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324D489A-7304-448B-B70E-D043FF7D62FE}" xr6:coauthVersionLast="36" xr6:coauthVersionMax="47" xr10:uidLastSave="{00000000-0000-0000-0000-000000000000}"/>
  <bookViews>
    <workbookView xWindow="-120" yWindow="-120" windowWidth="29040" windowHeight="15720" activeTab="2" xr2:uid="{75F7C7B3-2386-4EFA-AFB7-52A0843BF1D4}"/>
  </bookViews>
  <sheets>
    <sheet name="r" sheetId="7" r:id="rId1"/>
    <sheet name="Hoja2" sheetId="13" r:id="rId2"/>
    <sheet name="Ejemplo" sheetId="1" r:id="rId3"/>
    <sheet name="Hoja1" sheetId="12" r:id="rId4"/>
    <sheet name="Sheet1" sheetId="11" r:id="rId5"/>
    <sheet name="Sheet3" sheetId="9" r:id="rId6"/>
    <sheet name="Sheet4" sheetId="10" r:id="rId7"/>
    <sheet name="Sheet2" sheetId="8" r:id="rId8"/>
    <sheet name="Homocedasticidad" sheetId="3" r:id="rId9"/>
    <sheet name="result_regression" sheetId="6" r:id="rId10"/>
  </sheets>
  <definedNames>
    <definedName name="solver_eng" localSheetId="2" hidden="1">1</definedName>
    <definedName name="solver_neg" localSheetId="2" hidden="1">1</definedName>
    <definedName name="solver_num" localSheetId="2" hidden="1">0</definedName>
    <definedName name="solver_opt" localSheetId="2" hidden="1">Ejemplo!$B$407</definedName>
    <definedName name="solver_typ" localSheetId="2" hidden="1">1</definedName>
    <definedName name="solver_val" localSheetId="2" hidden="1">0</definedName>
    <definedName name="solver_ver" localSheetId="2"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1" i="1" l="1"/>
  <c r="D329" i="1" l="1"/>
  <c r="O61" i="1"/>
  <c r="K61" i="1"/>
  <c r="L61" i="1"/>
  <c r="K62" i="1"/>
  <c r="L6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12" i="1"/>
  <c r="F105" i="11" l="1"/>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10" i="8"/>
  <c r="F41" i="1"/>
  <c r="G41" i="1"/>
  <c r="H41" i="1"/>
  <c r="F34" i="1"/>
  <c r="G34" i="1"/>
  <c r="H34" i="1"/>
  <c r="L317" i="1"/>
  <c r="H225" i="1"/>
  <c r="H208" i="1"/>
  <c r="J208" i="1" l="1"/>
  <c r="F11" i="3"/>
  <c r="G11" i="3"/>
  <c r="H11" i="3"/>
  <c r="F12" i="3"/>
  <c r="G12" i="3"/>
  <c r="H12" i="3"/>
  <c r="F13" i="3"/>
  <c r="G13" i="3"/>
  <c r="H13" i="3"/>
  <c r="F14" i="3"/>
  <c r="G14" i="3"/>
  <c r="H14" i="3"/>
  <c r="F15" i="3"/>
  <c r="G15" i="3"/>
  <c r="H15" i="3"/>
  <c r="F16" i="3"/>
  <c r="G16" i="3"/>
  <c r="H16" i="3"/>
  <c r="F17" i="3"/>
  <c r="G17" i="3"/>
  <c r="H17" i="3"/>
  <c r="F18" i="3"/>
  <c r="G18" i="3"/>
  <c r="H18" i="3"/>
  <c r="F19" i="3"/>
  <c r="G19" i="3"/>
  <c r="H19" i="3"/>
  <c r="F20" i="3"/>
  <c r="G20" i="3"/>
  <c r="H20" i="3"/>
  <c r="F21" i="3"/>
  <c r="G21" i="3"/>
  <c r="H21" i="3"/>
  <c r="F22" i="3"/>
  <c r="G22" i="3"/>
  <c r="H22" i="3"/>
  <c r="F23" i="3"/>
  <c r="G23" i="3"/>
  <c r="H23" i="3"/>
  <c r="F24" i="3"/>
  <c r="G24" i="3"/>
  <c r="H24" i="3"/>
  <c r="F25" i="3"/>
  <c r="G25" i="3"/>
  <c r="H25" i="3"/>
  <c r="F26" i="3"/>
  <c r="G26" i="3"/>
  <c r="H26" i="3"/>
  <c r="F27" i="3"/>
  <c r="G27" i="3"/>
  <c r="H27" i="3"/>
  <c r="F28" i="3"/>
  <c r="G28" i="3"/>
  <c r="H28" i="3"/>
  <c r="F29" i="3"/>
  <c r="G29" i="3"/>
  <c r="H29" i="3"/>
  <c r="F30" i="3"/>
  <c r="G30" i="3"/>
  <c r="H30" i="3"/>
  <c r="F31" i="3"/>
  <c r="G31" i="3"/>
  <c r="H31" i="3"/>
  <c r="F32" i="3"/>
  <c r="G32" i="3"/>
  <c r="H32" i="3"/>
  <c r="F33" i="3"/>
  <c r="G33" i="3"/>
  <c r="H33" i="3"/>
  <c r="F34" i="3"/>
  <c r="G34" i="3"/>
  <c r="H34" i="3"/>
  <c r="F35" i="3"/>
  <c r="G35" i="3"/>
  <c r="H35" i="3"/>
  <c r="F36" i="3"/>
  <c r="G36" i="3"/>
  <c r="H36" i="3"/>
  <c r="F37" i="3"/>
  <c r="G37" i="3"/>
  <c r="H37" i="3"/>
  <c r="F38" i="3"/>
  <c r="G38" i="3"/>
  <c r="H38" i="3"/>
  <c r="F39" i="3"/>
  <c r="G39" i="3"/>
  <c r="H39" i="3"/>
  <c r="F40" i="3"/>
  <c r="G40" i="3"/>
  <c r="H40" i="3"/>
  <c r="F41" i="3"/>
  <c r="G41" i="3"/>
  <c r="H41" i="3"/>
  <c r="F42" i="3"/>
  <c r="G42" i="3"/>
  <c r="H42" i="3"/>
  <c r="F43" i="3"/>
  <c r="G43" i="3"/>
  <c r="H43" i="3"/>
  <c r="F44" i="3"/>
  <c r="G44" i="3"/>
  <c r="H44" i="3"/>
  <c r="F45" i="3"/>
  <c r="G45" i="3"/>
  <c r="H45" i="3"/>
  <c r="F46" i="3"/>
  <c r="G46" i="3"/>
  <c r="H46" i="3"/>
  <c r="F47" i="3"/>
  <c r="G47" i="3"/>
  <c r="H47" i="3"/>
  <c r="F48" i="3"/>
  <c r="G48" i="3"/>
  <c r="H48" i="3"/>
  <c r="F49" i="3"/>
  <c r="G49" i="3"/>
  <c r="H49" i="3"/>
  <c r="F50" i="3"/>
  <c r="G50" i="3"/>
  <c r="H50" i="3"/>
  <c r="F51" i="3"/>
  <c r="G51" i="3"/>
  <c r="H51" i="3"/>
  <c r="F52" i="3"/>
  <c r="G52" i="3"/>
  <c r="H52" i="3"/>
  <c r="F53" i="3"/>
  <c r="G53" i="3"/>
  <c r="H53" i="3"/>
  <c r="F54" i="3"/>
  <c r="G54" i="3"/>
  <c r="H54" i="3"/>
  <c r="F55" i="3"/>
  <c r="G55" i="3"/>
  <c r="H55" i="3"/>
  <c r="F56" i="3"/>
  <c r="G56" i="3"/>
  <c r="H56" i="3"/>
  <c r="F57" i="3"/>
  <c r="G57" i="3"/>
  <c r="H57" i="3"/>
  <c r="F58" i="3"/>
  <c r="G58" i="3"/>
  <c r="H58" i="3"/>
  <c r="F59" i="3"/>
  <c r="G59" i="3"/>
  <c r="H59" i="3"/>
  <c r="F60" i="3"/>
  <c r="G60" i="3"/>
  <c r="H60" i="3"/>
  <c r="C393" i="1"/>
  <c r="G61" i="3" l="1"/>
  <c r="F62" i="3"/>
  <c r="H61" i="3"/>
  <c r="G62" i="3"/>
  <c r="F61" i="3"/>
  <c r="H62" i="3"/>
  <c r="B400" i="1" l="1"/>
  <c r="B401" i="1"/>
  <c r="B402" i="1"/>
  <c r="B403" i="1"/>
  <c r="B404" i="1"/>
  <c r="B405" i="1"/>
  <c r="H341" i="1"/>
  <c r="E81" i="3"/>
  <c r="E80" i="3"/>
  <c r="E79" i="3"/>
  <c r="E62" i="3"/>
  <c r="E68" i="3" s="1"/>
  <c r="D62" i="3"/>
  <c r="E67" i="3" s="1"/>
  <c r="E61" i="3"/>
  <c r="D61" i="3"/>
  <c r="C14" i="3"/>
  <c r="C15" i="3" s="1"/>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E66" i="3" s="1"/>
  <c r="H201" i="1"/>
  <c r="D188" i="1"/>
  <c r="D189" i="1"/>
  <c r="D190" i="1"/>
  <c r="D185" i="1"/>
  <c r="D186" i="1"/>
  <c r="D187" i="1"/>
  <c r="E183" i="1"/>
  <c r="E182" i="1"/>
  <c r="E181" i="1"/>
  <c r="E61" i="1"/>
  <c r="E62" i="1"/>
  <c r="E102" i="1" s="1"/>
  <c r="D62" i="1"/>
  <c r="E101" i="1" s="1"/>
  <c r="E141" i="1" s="1"/>
  <c r="C402" i="1" s="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5" i="1"/>
  <c r="G35" i="1"/>
  <c r="H35" i="1"/>
  <c r="F36" i="1"/>
  <c r="G36" i="1"/>
  <c r="H36" i="1"/>
  <c r="F37" i="1"/>
  <c r="G37" i="1"/>
  <c r="H37" i="1"/>
  <c r="F38" i="1"/>
  <c r="G38" i="1"/>
  <c r="H38" i="1"/>
  <c r="F39" i="1"/>
  <c r="G39" i="1"/>
  <c r="H39" i="1"/>
  <c r="F40" i="1"/>
  <c r="G40" i="1"/>
  <c r="H40"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H11" i="1"/>
  <c r="G11" i="1"/>
  <c r="F11" i="1"/>
  <c r="D61" i="1"/>
  <c r="C14" i="1"/>
  <c r="C15" i="1" s="1"/>
  <c r="C16" i="1" s="1"/>
  <c r="C17" i="1" s="1"/>
  <c r="C18" i="1" s="1"/>
  <c r="C19" i="1" s="1"/>
  <c r="C20" i="1" s="1"/>
  <c r="C21" i="1" s="1"/>
  <c r="C22" i="1" s="1"/>
  <c r="C23" i="1" s="1"/>
  <c r="C24" i="1" s="1"/>
  <c r="C25" i="1" s="1"/>
  <c r="C26" i="1" s="1"/>
  <c r="C27" i="1" s="1"/>
  <c r="C28" i="1" s="1"/>
  <c r="C29" i="1" s="1"/>
  <c r="C30" i="1" s="1"/>
  <c r="C31" i="1" s="1"/>
  <c r="C32" i="1" s="1"/>
  <c r="C33" i="1" s="1"/>
  <c r="H79" i="3" l="1"/>
  <c r="E69" i="3"/>
  <c r="C34" i="1"/>
  <c r="C35" i="1" s="1"/>
  <c r="C36" i="1" s="1"/>
  <c r="C37" i="1" s="1"/>
  <c r="C38" i="1" s="1"/>
  <c r="C39" i="1" s="1"/>
  <c r="C40" i="1" s="1"/>
  <c r="H202" i="1"/>
  <c r="H203" i="1" s="1"/>
  <c r="E71" i="3"/>
  <c r="E70" i="3"/>
  <c r="H181" i="1"/>
  <c r="G61" i="1"/>
  <c r="H62" i="1"/>
  <c r="F61" i="1"/>
  <c r="H61" i="1"/>
  <c r="G62" i="1"/>
  <c r="F62" i="1"/>
  <c r="I208" i="1" l="1"/>
  <c r="K208" i="1" s="1"/>
  <c r="C41" i="1"/>
  <c r="C42" i="1" s="1"/>
  <c r="C43" i="1" s="1"/>
  <c r="C44" i="1" s="1"/>
  <c r="C45" i="1" s="1"/>
  <c r="C46" i="1" s="1"/>
  <c r="C47" i="1" s="1"/>
  <c r="C48" i="1" s="1"/>
  <c r="C49" i="1" s="1"/>
  <c r="C50" i="1" s="1"/>
  <c r="C51" i="1" s="1"/>
  <c r="C52" i="1" s="1"/>
  <c r="C53" i="1" s="1"/>
  <c r="C54" i="1" s="1"/>
  <c r="C55" i="1" s="1"/>
  <c r="C56" i="1" s="1"/>
  <c r="C57" i="1" s="1"/>
  <c r="C58" i="1" s="1"/>
  <c r="C59" i="1" s="1"/>
  <c r="C60" i="1" s="1"/>
  <c r="E100" i="1" s="1"/>
  <c r="H209" i="1"/>
  <c r="J209" i="1" s="1"/>
  <c r="H80" i="3"/>
  <c r="E75" i="3"/>
  <c r="E72" i="3"/>
  <c r="I209" i="1"/>
  <c r="K209" i="1" s="1"/>
  <c r="H210" i="1" l="1"/>
  <c r="J210" i="1" s="1"/>
  <c r="E140" i="1"/>
  <c r="E122" i="1"/>
  <c r="I127" i="1" s="1"/>
  <c r="F128" i="1"/>
  <c r="F129" i="1"/>
  <c r="E103" i="1"/>
  <c r="E105" i="1"/>
  <c r="E187" i="1" s="1"/>
  <c r="E104" i="1"/>
  <c r="E76" i="3"/>
  <c r="H82" i="3" s="1"/>
  <c r="H340" i="1" s="1"/>
  <c r="E77" i="3"/>
  <c r="E73" i="3"/>
  <c r="I210" i="1"/>
  <c r="C401" i="1" l="1"/>
  <c r="E158" i="1"/>
  <c r="E151" i="1"/>
  <c r="H211" i="1"/>
  <c r="J211" i="1" s="1"/>
  <c r="E186" i="1"/>
  <c r="E119" i="1"/>
  <c r="E188" i="1" s="1"/>
  <c r="E106" i="1"/>
  <c r="E144" i="1" s="1"/>
  <c r="C405" i="1" s="1"/>
  <c r="E185" i="1"/>
  <c r="E142" i="1"/>
  <c r="C403" i="1" s="1"/>
  <c r="I211" i="1"/>
  <c r="K211" i="1" s="1"/>
  <c r="K210" i="1"/>
  <c r="E107" i="1"/>
  <c r="E121" i="1"/>
  <c r="E128" i="1" s="1"/>
  <c r="G128" i="1" s="1"/>
  <c r="H212" i="1" l="1"/>
  <c r="J212" i="1" s="1"/>
  <c r="H182" i="1"/>
  <c r="E120" i="1"/>
  <c r="E127" i="1" s="1"/>
  <c r="G127" i="1" s="1"/>
  <c r="H127" i="1" s="1"/>
  <c r="J127" i="1" s="1"/>
  <c r="E156" i="1"/>
  <c r="I14" i="1"/>
  <c r="J14" i="1" s="1"/>
  <c r="C207" i="1" s="1"/>
  <c r="I41" i="1"/>
  <c r="J41" i="1" s="1"/>
  <c r="I34" i="1"/>
  <c r="J34" i="1" s="1"/>
  <c r="I212" i="1"/>
  <c r="K212" i="1" s="1"/>
  <c r="H343" i="1"/>
  <c r="I33" i="1"/>
  <c r="I44" i="1"/>
  <c r="J44" i="1" s="1"/>
  <c r="I60" i="1"/>
  <c r="I11" i="1"/>
  <c r="I53" i="1"/>
  <c r="J53" i="1" s="1"/>
  <c r="I28" i="1"/>
  <c r="I12" i="1"/>
  <c r="I35" i="1"/>
  <c r="I42" i="1"/>
  <c r="I22" i="1"/>
  <c r="I37" i="1"/>
  <c r="I29" i="1"/>
  <c r="I56" i="1"/>
  <c r="I40" i="1"/>
  <c r="I24" i="1"/>
  <c r="I17" i="1"/>
  <c r="I47" i="1"/>
  <c r="I31" i="1"/>
  <c r="I58" i="1"/>
  <c r="J58" i="1" s="1"/>
  <c r="I38" i="1"/>
  <c r="I18" i="1"/>
  <c r="I45" i="1"/>
  <c r="I57" i="1"/>
  <c r="I49" i="1"/>
  <c r="I21" i="1"/>
  <c r="I52" i="1"/>
  <c r="I36" i="1"/>
  <c r="I20" i="1"/>
  <c r="I59" i="1"/>
  <c r="I43" i="1"/>
  <c r="I27" i="1"/>
  <c r="I54" i="1"/>
  <c r="E143" i="1"/>
  <c r="I51" i="1"/>
  <c r="J51" i="1" s="1"/>
  <c r="I19" i="1"/>
  <c r="I25" i="1"/>
  <c r="I13" i="1"/>
  <c r="I48" i="1"/>
  <c r="I32" i="1"/>
  <c r="I16" i="1"/>
  <c r="I55" i="1"/>
  <c r="J55" i="1" s="1"/>
  <c r="I39" i="1"/>
  <c r="I23" i="1"/>
  <c r="I50" i="1"/>
  <c r="I26" i="1"/>
  <c r="E190" i="1"/>
  <c r="I15" i="1"/>
  <c r="I46" i="1"/>
  <c r="I30" i="1"/>
  <c r="E139" i="1"/>
  <c r="H205" i="1"/>
  <c r="M208" i="1" s="1"/>
  <c r="O208" i="1" s="1"/>
  <c r="E129" i="1" l="1"/>
  <c r="H213" i="1"/>
  <c r="J213" i="1" s="1"/>
  <c r="E189" i="1"/>
  <c r="H184" i="1" s="1"/>
  <c r="I213" i="1"/>
  <c r="K213" i="1" s="1"/>
  <c r="M213" i="1" s="1"/>
  <c r="D269" i="1"/>
  <c r="M212" i="1"/>
  <c r="L213" i="1" s="1"/>
  <c r="M209" i="1"/>
  <c r="M210" i="1"/>
  <c r="M211" i="1"/>
  <c r="E149" i="1"/>
  <c r="C404" i="1"/>
  <c r="F388" i="1" s="1"/>
  <c r="E155" i="1"/>
  <c r="D169" i="1" s="1"/>
  <c r="C400" i="1"/>
  <c r="J54" i="1"/>
  <c r="D309" i="1" s="1"/>
  <c r="J20" i="1"/>
  <c r="C213" i="1" s="1"/>
  <c r="J30" i="1"/>
  <c r="C223" i="1" s="1"/>
  <c r="J26" i="1"/>
  <c r="C219" i="1" s="1"/>
  <c r="J13" i="1"/>
  <c r="D268" i="1" s="1"/>
  <c r="J27" i="1"/>
  <c r="C220" i="1" s="1"/>
  <c r="J57" i="1"/>
  <c r="C250" i="1" s="1"/>
  <c r="J24" i="1"/>
  <c r="C217" i="1" s="1"/>
  <c r="J12" i="1"/>
  <c r="C205" i="1" s="1"/>
  <c r="J60" i="1"/>
  <c r="C253" i="1" s="1"/>
  <c r="J19" i="1"/>
  <c r="C212" i="1" s="1"/>
  <c r="J29" i="1"/>
  <c r="D284" i="1" s="1"/>
  <c r="J11" i="1"/>
  <c r="J16" i="1"/>
  <c r="D271" i="1" s="1"/>
  <c r="F271" i="1" s="1"/>
  <c r="D334" i="1" s="1"/>
  <c r="J25" i="1"/>
  <c r="D280" i="1" s="1"/>
  <c r="J43" i="1"/>
  <c r="C236" i="1" s="1"/>
  <c r="J52" i="1"/>
  <c r="D307" i="1" s="1"/>
  <c r="J45" i="1"/>
  <c r="C238" i="1" s="1"/>
  <c r="J31" i="1"/>
  <c r="C224" i="1" s="1"/>
  <c r="J40" i="1"/>
  <c r="C233" i="1" s="1"/>
  <c r="J22" i="1"/>
  <c r="D277" i="1" s="1"/>
  <c r="F277" i="1" s="1"/>
  <c r="D340" i="1" s="1"/>
  <c r="J28" i="1"/>
  <c r="C221" i="1" s="1"/>
  <c r="J48" i="1"/>
  <c r="D303" i="1" s="1"/>
  <c r="J17" i="1"/>
  <c r="C210" i="1" s="1"/>
  <c r="J15" i="1"/>
  <c r="C208" i="1" s="1"/>
  <c r="J23" i="1"/>
  <c r="C216" i="1" s="1"/>
  <c r="J32" i="1"/>
  <c r="C225" i="1" s="1"/>
  <c r="J59" i="1"/>
  <c r="C252" i="1" s="1"/>
  <c r="J21" i="1"/>
  <c r="D276" i="1" s="1"/>
  <c r="F276" i="1" s="1"/>
  <c r="D339" i="1" s="1"/>
  <c r="J18" i="1"/>
  <c r="C211" i="1" s="1"/>
  <c r="J47" i="1"/>
  <c r="C240" i="1" s="1"/>
  <c r="J42" i="1"/>
  <c r="C235" i="1" s="1"/>
  <c r="J33" i="1"/>
  <c r="D288" i="1" s="1"/>
  <c r="F288" i="1" s="1"/>
  <c r="D351" i="1" s="1"/>
  <c r="J50" i="1"/>
  <c r="D305" i="1" s="1"/>
  <c r="C251" i="1"/>
  <c r="D313" i="1"/>
  <c r="C246" i="1"/>
  <c r="D308" i="1"/>
  <c r="J46" i="1"/>
  <c r="C244" i="1"/>
  <c r="D306" i="1"/>
  <c r="C248" i="1"/>
  <c r="D310" i="1"/>
  <c r="G269" i="1"/>
  <c r="C237" i="1"/>
  <c r="D299" i="1"/>
  <c r="J36" i="1"/>
  <c r="J37" i="1"/>
  <c r="J35" i="1"/>
  <c r="J49" i="1"/>
  <c r="E148" i="1"/>
  <c r="D166" i="1" s="1"/>
  <c r="J38" i="1"/>
  <c r="J56" i="1"/>
  <c r="J39" i="1"/>
  <c r="E208" i="1"/>
  <c r="E212" i="1"/>
  <c r="E216" i="1"/>
  <c r="E220" i="1"/>
  <c r="E224" i="1"/>
  <c r="E228" i="1"/>
  <c r="E232" i="1"/>
  <c r="E236" i="1"/>
  <c r="E240" i="1"/>
  <c r="E244" i="1"/>
  <c r="E248" i="1"/>
  <c r="E252" i="1"/>
  <c r="E239" i="1"/>
  <c r="E205" i="1"/>
  <c r="E209" i="1"/>
  <c r="E213" i="1"/>
  <c r="E217" i="1"/>
  <c r="E221" i="1"/>
  <c r="E225" i="1"/>
  <c r="E229" i="1"/>
  <c r="E233" i="1"/>
  <c r="E237" i="1"/>
  <c r="E241" i="1"/>
  <c r="E245" i="1"/>
  <c r="E249" i="1"/>
  <c r="E253" i="1"/>
  <c r="E207" i="1"/>
  <c r="E211" i="1"/>
  <c r="E215" i="1"/>
  <c r="E219" i="1"/>
  <c r="E223" i="1"/>
  <c r="E227" i="1"/>
  <c r="E231" i="1"/>
  <c r="E235" i="1"/>
  <c r="E247" i="1"/>
  <c r="E251" i="1"/>
  <c r="E206" i="1"/>
  <c r="E210" i="1"/>
  <c r="E214" i="1"/>
  <c r="E218" i="1"/>
  <c r="E222" i="1"/>
  <c r="E226" i="1"/>
  <c r="E230" i="1"/>
  <c r="E234" i="1"/>
  <c r="E238" i="1"/>
  <c r="E242" i="1"/>
  <c r="E246" i="1"/>
  <c r="E250" i="1"/>
  <c r="E204" i="1"/>
  <c r="E243" i="1"/>
  <c r="I61" i="1"/>
  <c r="I62" i="1"/>
  <c r="F269" i="1"/>
  <c r="D332" i="1" s="1"/>
  <c r="D266" i="1" l="1"/>
  <c r="F266" i="1" s="1"/>
  <c r="C204" i="1"/>
  <c r="H214" i="1"/>
  <c r="J214" i="1" s="1"/>
  <c r="I214" i="1"/>
  <c r="K214" i="1" s="1"/>
  <c r="P208" i="1"/>
  <c r="E269" i="1"/>
  <c r="E166" i="1"/>
  <c r="C389" i="1"/>
  <c r="E394" i="1" s="1"/>
  <c r="C390" i="1"/>
  <c r="F391" i="1" s="1"/>
  <c r="C214" i="1"/>
  <c r="P213" i="1"/>
  <c r="H220" i="1" s="1"/>
  <c r="L214" i="1"/>
  <c r="O213" i="1"/>
  <c r="C206" i="1"/>
  <c r="C215" i="1"/>
  <c r="L209" i="1"/>
  <c r="P209" i="1" s="1"/>
  <c r="Q208" i="1"/>
  <c r="L212" i="1"/>
  <c r="L211" i="1"/>
  <c r="O211" i="1" s="1"/>
  <c r="Q211" i="1" s="1"/>
  <c r="L210" i="1"/>
  <c r="O210" i="1" s="1"/>
  <c r="Q210" i="1" s="1"/>
  <c r="E169" i="1"/>
  <c r="C245" i="1"/>
  <c r="E157" i="1"/>
  <c r="E159" i="1" s="1"/>
  <c r="D267" i="1"/>
  <c r="C209" i="1"/>
  <c r="C226" i="1"/>
  <c r="D270" i="1"/>
  <c r="F270" i="1" s="1"/>
  <c r="D333" i="1" s="1"/>
  <c r="D278" i="1"/>
  <c r="F278" i="1" s="1"/>
  <c r="D341" i="1" s="1"/>
  <c r="D275" i="1"/>
  <c r="F275" i="1" s="1"/>
  <c r="D338" i="1" s="1"/>
  <c r="C247" i="1"/>
  <c r="D300" i="1"/>
  <c r="G300" i="1" s="1"/>
  <c r="C243" i="1"/>
  <c r="D274" i="1"/>
  <c r="F274" i="1" s="1"/>
  <c r="D337" i="1" s="1"/>
  <c r="D315" i="1"/>
  <c r="D282" i="1"/>
  <c r="F282" i="1" s="1"/>
  <c r="D345" i="1" s="1"/>
  <c r="C218" i="1"/>
  <c r="C241" i="1"/>
  <c r="D302" i="1"/>
  <c r="E303" i="1" s="1"/>
  <c r="D283" i="1"/>
  <c r="F283" i="1" s="1"/>
  <c r="D346" i="1" s="1"/>
  <c r="D312" i="1"/>
  <c r="F312" i="1" s="1"/>
  <c r="D375" i="1" s="1"/>
  <c r="C222" i="1"/>
  <c r="D273" i="1"/>
  <c r="D285" i="1"/>
  <c r="F285" i="1" s="1"/>
  <c r="D348" i="1" s="1"/>
  <c r="D298" i="1"/>
  <c r="F298" i="1" s="1"/>
  <c r="D361" i="1" s="1"/>
  <c r="D287" i="1"/>
  <c r="E288" i="1" s="1"/>
  <c r="D286" i="1"/>
  <c r="G286" i="1" s="1"/>
  <c r="F268" i="1"/>
  <c r="D331" i="1" s="1"/>
  <c r="D272" i="1"/>
  <c r="F272" i="1" s="1"/>
  <c r="D335" i="1" s="1"/>
  <c r="D279" i="1"/>
  <c r="F279" i="1" s="1"/>
  <c r="D342" i="1" s="1"/>
  <c r="D281" i="1"/>
  <c r="E281" i="1" s="1"/>
  <c r="D297" i="1"/>
  <c r="F297" i="1" s="1"/>
  <c r="D360" i="1" s="1"/>
  <c r="D295" i="1"/>
  <c r="G295" i="1" s="1"/>
  <c r="D314" i="1"/>
  <c r="F314" i="1" s="1"/>
  <c r="D377" i="1" s="1"/>
  <c r="C231" i="1"/>
  <c r="D293" i="1"/>
  <c r="G299" i="1"/>
  <c r="F299" i="1"/>
  <c r="D362" i="1" s="1"/>
  <c r="G284" i="1"/>
  <c r="G310" i="1"/>
  <c r="E310" i="1"/>
  <c r="F310" i="1"/>
  <c r="D373" i="1" s="1"/>
  <c r="F284" i="1"/>
  <c r="D347" i="1" s="1"/>
  <c r="C227" i="1"/>
  <c r="D289" i="1"/>
  <c r="F289" i="1" s="1"/>
  <c r="D352" i="1" s="1"/>
  <c r="C230" i="1"/>
  <c r="D292" i="1"/>
  <c r="G280" i="1"/>
  <c r="G305" i="1"/>
  <c r="F305" i="1"/>
  <c r="D368" i="1" s="1"/>
  <c r="G266" i="1"/>
  <c r="G309" i="1"/>
  <c r="E309" i="1"/>
  <c r="F309" i="1"/>
  <c r="D372" i="1" s="1"/>
  <c r="G303" i="1"/>
  <c r="F303" i="1"/>
  <c r="D366" i="1" s="1"/>
  <c r="E306" i="1"/>
  <c r="G306" i="1"/>
  <c r="F306" i="1"/>
  <c r="D369" i="1" s="1"/>
  <c r="G288" i="1"/>
  <c r="G276" i="1"/>
  <c r="G277" i="1"/>
  <c r="E277" i="1"/>
  <c r="G271" i="1"/>
  <c r="G313" i="1"/>
  <c r="F313" i="1"/>
  <c r="D376" i="1" s="1"/>
  <c r="E307" i="1"/>
  <c r="G307" i="1"/>
  <c r="F307" i="1"/>
  <c r="D370" i="1" s="1"/>
  <c r="C234" i="1"/>
  <c r="D296" i="1"/>
  <c r="C249" i="1"/>
  <c r="D311" i="1"/>
  <c r="E308" i="1"/>
  <c r="G308" i="1"/>
  <c r="F308" i="1"/>
  <c r="D371" i="1" s="1"/>
  <c r="C232" i="1"/>
  <c r="D294" i="1"/>
  <c r="C228" i="1"/>
  <c r="D290" i="1"/>
  <c r="C239" i="1"/>
  <c r="D301" i="1"/>
  <c r="E150" i="1"/>
  <c r="E152" i="1" s="1"/>
  <c r="C242" i="1"/>
  <c r="D304" i="1"/>
  <c r="E305" i="1" s="1"/>
  <c r="C229" i="1"/>
  <c r="D291" i="1"/>
  <c r="G268" i="1"/>
  <c r="F280" i="1"/>
  <c r="D343" i="1" s="1"/>
  <c r="J61" i="1"/>
  <c r="J62" i="1"/>
  <c r="F315" i="1" l="1"/>
  <c r="D378" i="1" s="1"/>
  <c r="E315" i="1"/>
  <c r="F267" i="1"/>
  <c r="D330" i="1" s="1"/>
  <c r="E267" i="1"/>
  <c r="E391" i="1"/>
  <c r="G298" i="1"/>
  <c r="E274" i="1"/>
  <c r="F394" i="1"/>
  <c r="E314" i="1"/>
  <c r="E276" i="1"/>
  <c r="G275" i="1"/>
  <c r="E275" i="1"/>
  <c r="P210" i="1"/>
  <c r="P211" i="1"/>
  <c r="Q213" i="1"/>
  <c r="I220" i="1" s="1"/>
  <c r="J220" i="1" s="1"/>
  <c r="P212" i="1"/>
  <c r="H219" i="1" s="1"/>
  <c r="O212" i="1"/>
  <c r="E268" i="1"/>
  <c r="G274" i="1"/>
  <c r="G312" i="1"/>
  <c r="G267" i="1"/>
  <c r="O209" i="1"/>
  <c r="Q209" i="1" s="1"/>
  <c r="I218" i="1" s="1"/>
  <c r="G282" i="1"/>
  <c r="G315" i="1"/>
  <c r="P214" i="1"/>
  <c r="H221" i="1" s="1"/>
  <c r="O214" i="1"/>
  <c r="E271" i="1"/>
  <c r="E285" i="1"/>
  <c r="E278" i="1"/>
  <c r="G287" i="1"/>
  <c r="G278" i="1"/>
  <c r="F300" i="1"/>
  <c r="D363" i="1" s="1"/>
  <c r="G270" i="1"/>
  <c r="G283" i="1"/>
  <c r="E283" i="1"/>
  <c r="E270" i="1"/>
  <c r="E300" i="1"/>
  <c r="F287" i="1"/>
  <c r="D350" i="1" s="1"/>
  <c r="E279" i="1"/>
  <c r="E302" i="1"/>
  <c r="G281" i="1"/>
  <c r="F302" i="1"/>
  <c r="D365" i="1" s="1"/>
  <c r="G302" i="1"/>
  <c r="E272" i="1"/>
  <c r="F295" i="1"/>
  <c r="D358" i="1" s="1"/>
  <c r="E312" i="1"/>
  <c r="E313" i="1"/>
  <c r="G272" i="1"/>
  <c r="E299" i="1"/>
  <c r="F273" i="1"/>
  <c r="D336" i="1" s="1"/>
  <c r="E295" i="1"/>
  <c r="E286" i="1"/>
  <c r="G273" i="1"/>
  <c r="E284" i="1"/>
  <c r="G297" i="1"/>
  <c r="G285" i="1"/>
  <c r="F281" i="1"/>
  <c r="D344" i="1" s="1"/>
  <c r="E282" i="1"/>
  <c r="E287" i="1"/>
  <c r="F286" i="1"/>
  <c r="D349" i="1" s="1"/>
  <c r="G314" i="1"/>
  <c r="F294" i="1"/>
  <c r="D357" i="1" s="1"/>
  <c r="G279" i="1"/>
  <c r="E280" i="1"/>
  <c r="E273" i="1"/>
  <c r="E298" i="1"/>
  <c r="G290" i="1"/>
  <c r="E290" i="1"/>
  <c r="F290" i="1"/>
  <c r="D353" i="1" s="1"/>
  <c r="E292" i="1"/>
  <c r="G292" i="1"/>
  <c r="F292" i="1"/>
  <c r="D355" i="1" s="1"/>
  <c r="E291" i="1"/>
  <c r="G291" i="1"/>
  <c r="F291" i="1"/>
  <c r="D354" i="1" s="1"/>
  <c r="G296" i="1"/>
  <c r="E296" i="1"/>
  <c r="F296" i="1"/>
  <c r="D359" i="1" s="1"/>
  <c r="D316" i="1"/>
  <c r="E294" i="1"/>
  <c r="G294" i="1"/>
  <c r="G289" i="1"/>
  <c r="E289" i="1"/>
  <c r="G293" i="1"/>
  <c r="E293" i="1"/>
  <c r="G304" i="1"/>
  <c r="E304" i="1"/>
  <c r="F304" i="1"/>
  <c r="D367" i="1" s="1"/>
  <c r="G301" i="1"/>
  <c r="E301" i="1"/>
  <c r="F301" i="1"/>
  <c r="D364" i="1" s="1"/>
  <c r="E297" i="1"/>
  <c r="E311" i="1"/>
  <c r="F311" i="1"/>
  <c r="D374" i="1" s="1"/>
  <c r="G311" i="1"/>
  <c r="F293" i="1"/>
  <c r="D356" i="1" s="1"/>
  <c r="H218" i="1" l="1"/>
  <c r="E316" i="1"/>
  <c r="P215" i="1"/>
  <c r="Q214" i="1"/>
  <c r="I221" i="1" s="1"/>
  <c r="Q212" i="1"/>
  <c r="O215" i="1"/>
  <c r="F316" i="1"/>
  <c r="G316" i="1"/>
  <c r="J311" i="1" l="1"/>
  <c r="K317" i="1" s="1"/>
  <c r="Q215" i="1"/>
  <c r="I219" i="1"/>
  <c r="J219" i="1" s="1"/>
  <c r="J218" i="1"/>
  <c r="H222" i="1"/>
  <c r="I222" i="1" l="1"/>
  <c r="J221" i="1"/>
  <c r="J222" i="1" s="1"/>
  <c r="H227" i="1" s="1"/>
  <c r="H224" i="1" l="1"/>
</calcChain>
</file>

<file path=xl/sharedStrings.xml><?xml version="1.0" encoding="utf-8"?>
<sst xmlns="http://schemas.openxmlformats.org/spreadsheetml/2006/main" count="360" uniqueCount="205">
  <si>
    <t>Ejemplo:</t>
  </si>
  <si>
    <t>X^2</t>
  </si>
  <si>
    <t>Y^2</t>
  </si>
  <si>
    <t>XY</t>
  </si>
  <si>
    <t>e</t>
  </si>
  <si>
    <t>#</t>
  </si>
  <si>
    <t>X</t>
  </si>
  <si>
    <t>Y</t>
  </si>
  <si>
    <t>Gastos</t>
  </si>
  <si>
    <t>Ingresos</t>
  </si>
  <si>
    <t>Total</t>
  </si>
  <si>
    <t>Promedio</t>
  </si>
  <si>
    <t>Step 1:</t>
  </si>
  <si>
    <t>Paso 1. Identificar las variables</t>
  </si>
  <si>
    <t>Relación lineal directa</t>
  </si>
  <si>
    <t>Step 2:</t>
  </si>
  <si>
    <t>n</t>
  </si>
  <si>
    <t>b0</t>
  </si>
  <si>
    <t>b1</t>
  </si>
  <si>
    <t>SSE</t>
  </si>
  <si>
    <t>SSx</t>
  </si>
  <si>
    <t>SSR</t>
  </si>
  <si>
    <t>SSxy</t>
  </si>
  <si>
    <t>avg_X</t>
  </si>
  <si>
    <t>avg_Y</t>
  </si>
  <si>
    <t>Un estudio es realizado para analizar la relación entre los gastos mensuales en publicidad y los ingresos netos de una empresa. El objetivo es determinar si existe una correlación significativa entre los gastos y los ingresos de la empresa, y cómo los cambios en los gastos afectan a los ingresos. Se recopilan datos de 50 meses. ¿Existe una relación significativa entre los gastos en publicidad y los ingresos? ¿cuál es la naturaleza de esa relación? ¿es posible realizar una predicción confiable de los ingresos futuros en función de los gastos en publicidad?</t>
  </si>
  <si>
    <t>A partir de una inspección visual preliminar de los datos, parece existir una tendencia positiva general en la relación entre gastos en publicidad e ingresos. A medida que los gastos aumentan, los ingresos tienden a aumentar, lo que sugiere una correlación positiva (relación lineal directa). Esto es coherente con la intuición de que, en la mayoría de los casos,  se espera que un aumento en los gastos en publicidad puede conducir a un aumento en los ingresos netos de las empresas.</t>
  </si>
  <si>
    <t xml:space="preserve"> (en unidades de 1000)</t>
  </si>
  <si>
    <t>SST</t>
  </si>
  <si>
    <t>Tabla ANOVA</t>
  </si>
  <si>
    <t>Suma de cuadrados</t>
  </si>
  <si>
    <t>Grados de libertad</t>
  </si>
  <si>
    <t>Cuadrados medios</t>
  </si>
  <si>
    <t>valor P</t>
  </si>
  <si>
    <t>Fuente de varianza</t>
  </si>
  <si>
    <t>f_critico</t>
  </si>
  <si>
    <t>Regresión (SSR)</t>
  </si>
  <si>
    <t>Error (SSE)</t>
  </si>
  <si>
    <t>Total (SST)</t>
  </si>
  <si>
    <t>f_o</t>
  </si>
  <si>
    <t>s_e^2</t>
  </si>
  <si>
    <t>Denominador</t>
  </si>
  <si>
    <t>sqrt((s_e^2)(avg_X^2)/SSx)</t>
  </si>
  <si>
    <t>Numerador</t>
  </si>
  <si>
    <t>𝑏_𝑜−𝐵_0</t>
  </si>
  <si>
    <t>b_1 - B_1</t>
  </si>
  <si>
    <t>√((𝑠_𝑒^2)/〖𝑆𝑆〗_𝑥 )</t>
  </si>
  <si>
    <t>Step 4:</t>
  </si>
  <si>
    <t>Paso 4. Escribir la recta ajustada definitiva</t>
  </si>
  <si>
    <t>Step 5:</t>
  </si>
  <si>
    <t>r (correlación)</t>
  </si>
  <si>
    <t>Cov(X,Y)</t>
  </si>
  <si>
    <t>V(X)</t>
  </si>
  <si>
    <t>R^2 (coef. determinación)</t>
  </si>
  <si>
    <t>V(Y)</t>
  </si>
  <si>
    <t>Y_barra</t>
  </si>
  <si>
    <t>NORMALIDAD</t>
  </si>
  <si>
    <t># de clase</t>
  </si>
  <si>
    <t>ei</t>
  </si>
  <si>
    <t>Reordenados</t>
  </si>
  <si>
    <t>ez</t>
  </si>
  <si>
    <t>A</t>
  </si>
  <si>
    <t>P</t>
  </si>
  <si>
    <t>Clase</t>
  </si>
  <si>
    <t>Límites</t>
  </si>
  <si>
    <t>Fronteras</t>
  </si>
  <si>
    <t>Fronteras Zi</t>
  </si>
  <si>
    <t>prob</t>
  </si>
  <si>
    <t>oi</t>
  </si>
  <si>
    <t>(oi-ei)^2/ei</t>
  </si>
  <si>
    <t>α</t>
  </si>
  <si>
    <t>Valor P</t>
  </si>
  <si>
    <t>INDEPENDENCIA</t>
  </si>
  <si>
    <t>Ho: los residuos son independientes</t>
  </si>
  <si>
    <t>H1: los residuos son dependientes</t>
  </si>
  <si>
    <t>(ei-ei-1)^2</t>
  </si>
  <si>
    <t>ei^2</t>
  </si>
  <si>
    <t>DW</t>
  </si>
  <si>
    <t>HOMOCEDASTICIDAD</t>
  </si>
  <si>
    <t>Ho: los residuos tienen varianza constante</t>
  </si>
  <si>
    <t>H1: los residuos no tienen varianza constante</t>
  </si>
  <si>
    <t xml:space="preserve">SSy </t>
  </si>
  <si>
    <t>∑〖𝑥^2−〗  〖(∑𝑥)〗^2/𝑛</t>
  </si>
  <si>
    <t>∑〖𝑦^2−〖(∑𝑦)〗^2/𝑛〗</t>
  </si>
  <si>
    <t>∑𝑥𝑦−(∑𝑥)(∑𝑦)/𝑛</t>
  </si>
  <si>
    <t xml:space="preserve">〖𝑆𝑆〗_𝑥𝑦/〖𝑆𝑆〗_𝑥 </t>
  </si>
  <si>
    <t>𝑦 ̅−𝑏_1 𝑥 ̅</t>
  </si>
  <si>
    <t>Paso 3. Determinar si B_0 y B_1 son significativos. 3.1. Realizar un ANOVA (prueba de hipótesis para B_1 utilizando D. Fisher)</t>
  </si>
  <si>
    <t>Paso 3. Determinar si B_0 y B_1 son significativos. 3.2. Realizar pruebas de hipótesis para B_0 y B_1 utilizando D. T de Student.</t>
  </si>
  <si>
    <t>Para B_0</t>
  </si>
  <si>
    <t>t_o</t>
  </si>
  <si>
    <t>Para B_1</t>
  </si>
  <si>
    <t>Paso 3. Determinar si B_0 y B_1 son significativos. 3.3. Estimar intervalos de confianza para B_0 y B_1.</t>
  </si>
  <si>
    <t>Ambos intervalos no incluyen el valor de 0, por lo tanto β0 y β1 son significativos en la ecuación de regresión lineal.</t>
  </si>
  <si>
    <t>Step 3.1:</t>
  </si>
  <si>
    <t>Step 3.2:</t>
  </si>
  <si>
    <t>Step 3.3:</t>
  </si>
  <si>
    <r>
      <rPr>
        <b/>
        <sz val="11"/>
        <rFont val="Comic Sans MS"/>
        <family val="4"/>
      </rPr>
      <t>R^2:</t>
    </r>
    <r>
      <rPr>
        <sz val="11"/>
        <rFont val="Comic Sans MS"/>
        <family val="4"/>
      </rPr>
      <t xml:space="preserve"> Medida de la variabilidad explicada por el modelo ajustado. En este caso hay buen ajuste.</t>
    </r>
  </si>
  <si>
    <r>
      <rPr>
        <b/>
        <sz val="11"/>
        <rFont val="Calibri"/>
        <family val="2"/>
        <scheme val="minor"/>
      </rPr>
      <t>r:</t>
    </r>
    <r>
      <rPr>
        <sz val="11"/>
        <rFont val="Calibri"/>
        <family val="2"/>
        <scheme val="minor"/>
      </rPr>
      <t xml:space="preserve"> Medida de asociación lineal. En este caso hay una fuerte correlación entre lo invertido en publicidad y los ingresos mensuales.</t>
    </r>
  </si>
  <si>
    <t>Step 6.1:</t>
  </si>
  <si>
    <t>El intercepto representa los ingresos que se esperarían si no hubiera gastos. Cuando no se invierte en publicidad los ingresos promedio mensuales son 6'304.825. La pendiente representa el cambio en la variable dependiente (ingresos) por cada unidad de cambio en la variable independiente (gastos). En otras palabras, por cada peso adicional que se invierte en publicidad los ingresos mensuales promedio  aumentarán en 7.14 pesos.</t>
  </si>
  <si>
    <t>1, 2, 3, 4</t>
  </si>
  <si>
    <t>Paso 6. Verificar supuestos sobre los errores. 6.1. Verificar si los errores distribuyen normal con µ= 0 y σ^2 = s_e^2</t>
  </si>
  <si>
    <t>Step 6.2:</t>
  </si>
  <si>
    <t>Paso 6. Verificar supuestos sobre los errores. 6.2. Verificar si los errores son independientes.</t>
  </si>
  <si>
    <t>Step 6.3:</t>
  </si>
  <si>
    <t>Paso 6. Verificar supuestos sobre los errores. 6.3. Verificar si los errores tienen una varianza constante (Homocedasticidad).</t>
  </si>
  <si>
    <t>Estadistico:</t>
  </si>
  <si>
    <t>Critico</t>
  </si>
  <si>
    <t>Step 7:</t>
  </si>
  <si>
    <t>Ingreso promedio</t>
  </si>
  <si>
    <t>V(E(y/xo))</t>
  </si>
  <si>
    <t>Este intervalo sirve para estimar el valor promedio de y dado xo</t>
  </si>
  <si>
    <t>Paso 7. Inferencias para Y.</t>
  </si>
  <si>
    <t>Paso 2. Estimar B_0 y B_1 a partir de b0 y b1. Método de los mínimos cuadrados.</t>
  </si>
  <si>
    <t>Planteamiento de las hipótesis H0: B_1 = 0 y H1:B_1 ≠ 0.</t>
  </si>
  <si>
    <t>Planteamiento de las hipótesis H0: B_0 = 0 y H1:B_0 ≠ 0.</t>
  </si>
  <si>
    <t>Paso 5. Verificar qué tan buena es la recta.</t>
  </si>
  <si>
    <t>4.3. Si 𝛽_0≠0 y 𝛽_1≠0 la recta sería igual a la preliminar (𝑦 ̂=𝑏0+𝑏1∙𝑥).</t>
  </si>
  <si>
    <r>
      <rPr>
        <b/>
        <sz val="11"/>
        <rFont val="Calibri"/>
        <family val="2"/>
        <scheme val="minor"/>
      </rPr>
      <t>R^2:</t>
    </r>
    <r>
      <rPr>
        <sz val="11"/>
        <rFont val="Calibri"/>
        <family val="2"/>
        <scheme val="minor"/>
      </rPr>
      <t xml:space="preserve"> Medida de la variabilidad explicada por el modelo ajustado. En este caso hay buen ajuste.</t>
    </r>
  </si>
  <si>
    <r>
      <rPr>
        <b/>
        <sz val="11"/>
        <rFont val="Calibri"/>
        <family val="2"/>
        <scheme val="minor"/>
      </rPr>
      <t>r:</t>
    </r>
    <r>
      <rPr>
        <sz val="11"/>
        <rFont val="Calibri"/>
        <family val="2"/>
        <scheme val="minor"/>
      </rPr>
      <t xml:space="preserve"> Medida de asociación lineal. En este caso hay una fuerte correlación entre los gastos en publicidad y los ingresos mensuales.</t>
    </r>
  </si>
  <si>
    <r>
      <t>Se rechaza H0 (B_1=0) (</t>
    </r>
    <r>
      <rPr>
        <b/>
        <sz val="11"/>
        <color theme="1"/>
        <rFont val="Calibri"/>
        <family val="2"/>
        <scheme val="minor"/>
      </rPr>
      <t>f_o &gt; f_critico)</t>
    </r>
    <r>
      <rPr>
        <sz val="11"/>
        <color theme="1"/>
        <rFont val="Calibri"/>
        <family val="2"/>
        <scheme val="minor"/>
      </rPr>
      <t>. Se concluye entonces que hay relación entre X y Y. Se rechaza H0 (</t>
    </r>
    <r>
      <rPr>
        <b/>
        <sz val="11"/>
        <color theme="1"/>
        <rFont val="Calibri"/>
        <family val="2"/>
        <scheme val="minor"/>
      </rPr>
      <t>Valor P &lt; 0.01</t>
    </r>
    <r>
      <rPr>
        <sz val="11"/>
        <color theme="1"/>
        <rFont val="Calibri"/>
        <family val="2"/>
        <scheme val="minor"/>
      </rPr>
      <t>). Implica que B1 es significativo.</t>
    </r>
  </si>
  <si>
    <r>
      <t>Se rechaza H0 (B_0 = 0) (</t>
    </r>
    <r>
      <rPr>
        <b/>
        <sz val="11"/>
        <color theme="1"/>
        <rFont val="Calibri"/>
        <family val="2"/>
        <scheme val="minor"/>
      </rPr>
      <t>t_o &gt; t_critico; Valor P &lt; 0.01</t>
    </r>
    <r>
      <rPr>
        <sz val="11"/>
        <color theme="1"/>
        <rFont val="Calibri"/>
        <family val="2"/>
        <scheme val="minor"/>
      </rPr>
      <t>). Implica que B_0 es significativo.</t>
    </r>
  </si>
  <si>
    <r>
      <t>Se rechaza H0 (B_1 = 0) (</t>
    </r>
    <r>
      <rPr>
        <b/>
        <sz val="11"/>
        <color theme="1"/>
        <rFont val="Calibri"/>
        <family val="2"/>
        <scheme val="minor"/>
      </rPr>
      <t>t_o &gt; t_critico; Valor P &lt; 0.01)</t>
    </r>
    <r>
      <rPr>
        <sz val="11"/>
        <color theme="1"/>
        <rFont val="Calibri"/>
        <family val="2"/>
        <scheme val="minor"/>
      </rPr>
      <t>. Se concluye entonces que hay relación entre X y Y. Implica que B1 es significativo.</t>
    </r>
  </si>
  <si>
    <r>
      <t>t</t>
    </r>
    <r>
      <rPr>
        <sz val="8"/>
        <rFont val="Comic Sans MS"/>
        <family val="4"/>
      </rPr>
      <t>48,0.005</t>
    </r>
  </si>
  <si>
    <t>Intervalo de confianza del 99% para  β0</t>
  </si>
  <si>
    <t>Intervalo de confianza del 99% para β1</t>
  </si>
  <si>
    <t>Ho: los residuos o errores se ajustan a una distribución normal con media µ= 0 y varianza σ^2 estimada con s_e^2 = 342341</t>
  </si>
  <si>
    <t>H1: los residuos o errores no se ajustan a una distribución normal con media µ= 0 y varianza σ^2 estimada con s_e^2 = 342341</t>
  </si>
  <si>
    <t>X crítico</t>
  </si>
  <si>
    <t xml:space="preserve">No se rechaza H0  (los residuos se ajustan a una distribución normal) (X_o &lt; X_critico; Valor P &gt; 0.01). </t>
  </si>
  <si>
    <r>
      <t>No se rechaza H0 (residuos tienen varianza constante) (</t>
    </r>
    <r>
      <rPr>
        <b/>
        <sz val="11"/>
        <color theme="1"/>
        <rFont val="Calibri"/>
        <family val="2"/>
        <scheme val="minor"/>
      </rPr>
      <t>X_o &lt; X_critico; Valor P &gt; 0.01)</t>
    </r>
    <r>
      <rPr>
        <sz val="11"/>
        <color theme="1"/>
        <rFont val="Calibri"/>
        <family val="2"/>
        <scheme val="minor"/>
      </rPr>
      <t>. Se concluye entonces que los residuos tienen varianza constante.</t>
    </r>
  </si>
  <si>
    <r>
      <t>t</t>
    </r>
    <r>
      <rPr>
        <sz val="8"/>
        <rFont val="Calibri"/>
        <family val="2"/>
        <scheme val="minor"/>
      </rPr>
      <t>48,0.005</t>
    </r>
  </si>
  <si>
    <t>yo_barra</t>
  </si>
  <si>
    <t>Intervalo de predicción del 99% para Y|x0</t>
  </si>
  <si>
    <t>Intervalo de confianza del 99% para E(y|x0)</t>
  </si>
  <si>
    <t>x0</t>
  </si>
  <si>
    <t>V(Y|x0)</t>
  </si>
  <si>
    <r>
      <t xml:space="preserve">Este intervalo sirve para predecir un valor individual de </t>
    </r>
    <r>
      <rPr>
        <b/>
        <sz val="11"/>
        <rFont val="Calibri"/>
        <family val="2"/>
        <scheme val="minor"/>
      </rPr>
      <t>y</t>
    </r>
    <r>
      <rPr>
        <sz val="11"/>
        <rFont val="Calibri"/>
        <family val="2"/>
        <scheme val="minor"/>
      </rPr>
      <t xml:space="preserve"> para un valor dado de </t>
    </r>
    <r>
      <rPr>
        <b/>
        <sz val="11"/>
        <rFont val="Calibri"/>
        <family val="2"/>
        <scheme val="minor"/>
      </rPr>
      <t>x</t>
    </r>
    <r>
      <rPr>
        <sz val="11"/>
        <rFont val="Calibri"/>
        <family val="2"/>
        <scheme val="minor"/>
      </rPr>
      <t>0</t>
    </r>
  </si>
  <si>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</si>
  <si>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</si>
  <si>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</si>
  <si>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</si>
  <si>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</si>
  <si>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</si>
  <si>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</si>
  <si>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</si>
  <si>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</si>
  <si>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</si>
  <si>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</si>
  <si>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</si>
  <si>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</si>
  <si>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</si>
  <si>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</si>
  <si>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</si>
  <si>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</si>
  <si>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</si>
  <si>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</si>
  <si>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</si>
  <si>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</si>
  <si>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99.0%</t>
  </si>
  <si>
    <t>Upper 99.0%</t>
  </si>
  <si>
    <t>RESIDUAL OUTPUT</t>
  </si>
  <si>
    <t>Observation</t>
  </si>
  <si>
    <t>Residuals</t>
  </si>
  <si>
    <t>Standard Residuals</t>
  </si>
  <si>
    <t>PROBABILITY OUTPUT</t>
  </si>
  <si>
    <t>Percentile</t>
  </si>
  <si>
    <t>Predicted Ingresos</t>
  </si>
  <si>
    <t>Para un gasto de publicidad de 500,000 pesos mensuales se pronostica que el ingreso promedio es entre 9.6 millones y 10.2 millones, con un 99% de confianza. De forma similar, se pronostoca que el ingreso (valor individual) es entre 8.2 millones y 11.4 millones, con un 99% de confianza.</t>
  </si>
  <si>
    <t>Y = 6304 + 7.14X</t>
  </si>
  <si>
    <t>s_^2</t>
  </si>
  <si>
    <t>P(Z &lt; -3.2236)</t>
  </si>
  <si>
    <t>P(Z &gt; 0.9364)</t>
  </si>
  <si>
    <t>P(-3.2236 &lt; Z &lt; -2.3916)</t>
  </si>
  <si>
    <t>X^2_o</t>
  </si>
  <si>
    <t>Lower 95.0%</t>
  </si>
  <si>
    <t>Upper 95.0%</t>
  </si>
  <si>
    <t>precio</t>
  </si>
  <si>
    <t xml:space="preserve">inversión en publicidad </t>
  </si>
  <si>
    <t>competencia</t>
  </si>
  <si>
    <t>número de habitantes</t>
  </si>
  <si>
    <t xml:space="preserve">demanda </t>
  </si>
  <si>
    <r>
      <rPr>
        <b/>
        <sz val="11"/>
        <rFont val="Calibri"/>
        <family val="2"/>
        <scheme val="minor"/>
      </rPr>
      <t>k=1</t>
    </r>
    <r>
      <rPr>
        <sz val="11"/>
        <rFont val="Calibri"/>
        <family val="2"/>
        <scheme val="minor"/>
      </rPr>
      <t xml:space="preserve">, ya que sólo hay una variable independiente (estamos en una regresión lineal simple) </t>
    </r>
    <r>
      <rPr>
        <b/>
        <sz val="11"/>
        <rFont val="Calibri"/>
        <family val="2"/>
        <scheme val="minor"/>
      </rPr>
      <t>dL = 1,32</t>
    </r>
    <r>
      <rPr>
        <sz val="11"/>
        <rFont val="Calibri"/>
        <family val="2"/>
        <scheme val="minor"/>
      </rPr>
      <t xml:space="preserve">  y </t>
    </r>
    <r>
      <rPr>
        <b/>
        <sz val="11"/>
        <rFont val="Calibri"/>
        <family val="2"/>
        <scheme val="minor"/>
      </rPr>
      <t>dU=1,4</t>
    </r>
    <r>
      <rPr>
        <sz val="11"/>
        <rFont val="Calibri"/>
        <family val="2"/>
        <scheme val="minor"/>
      </rPr>
      <t xml:space="preserve">. Como </t>
    </r>
    <r>
      <rPr>
        <b/>
        <sz val="11"/>
        <rFont val="Calibri"/>
        <family val="2"/>
        <scheme val="minor"/>
      </rPr>
      <t>DW</t>
    </r>
    <r>
      <rPr>
        <sz val="11"/>
        <rFont val="Calibri"/>
        <family val="2"/>
        <scheme val="minor"/>
      </rPr>
      <t xml:space="preserve">  está entre  </t>
    </r>
    <r>
      <rPr>
        <b/>
        <sz val="11"/>
        <rFont val="Calibri"/>
        <family val="2"/>
        <scheme val="minor"/>
      </rPr>
      <t xml:space="preserve">dU=1,45 </t>
    </r>
    <r>
      <rPr>
        <sz val="11"/>
        <rFont val="Calibri"/>
        <family val="2"/>
        <scheme val="minor"/>
      </rPr>
      <t>y</t>
    </r>
    <r>
      <rPr>
        <b/>
        <sz val="11"/>
        <rFont val="Calibri"/>
        <family val="2"/>
        <scheme val="minor"/>
      </rPr>
      <t xml:space="preserve"> 4-Du = 2,55</t>
    </r>
    <r>
      <rPr>
        <sz val="11"/>
        <rFont val="Calibri"/>
        <family val="2"/>
        <scheme val="minor"/>
      </rPr>
      <t xml:space="preserve"> entonces no se rechaza H0. Se concluye que los residuos son independientes.</t>
    </r>
  </si>
  <si>
    <t>Dw</t>
  </si>
  <si>
    <t>Resumen</t>
  </si>
  <si>
    <t>Estadísticas de la regresión</t>
  </si>
  <si>
    <t>Coeficiente de correlación múltiple</t>
  </si>
  <si>
    <t>Coeficiente de determinación R^2</t>
  </si>
  <si>
    <t>R^2  ajustado</t>
  </si>
  <si>
    <t>Error típico</t>
  </si>
  <si>
    <t>Observaciones</t>
  </si>
  <si>
    <t>ANÁLISIS DE VARIANZA</t>
  </si>
  <si>
    <t>Regresión</t>
  </si>
  <si>
    <t>Residuos</t>
  </si>
  <si>
    <t>Intercepción</t>
  </si>
  <si>
    <t>Promedio de los cuadrados</t>
  </si>
  <si>
    <t>Valor crítico de F</t>
  </si>
  <si>
    <t>Coeficientes</t>
  </si>
  <si>
    <t>Estadístico t</t>
  </si>
  <si>
    <t>Probabilidad</t>
  </si>
  <si>
    <t>Inferior 95%</t>
  </si>
  <si>
    <t>Superior 95%</t>
  </si>
  <si>
    <t>Inferior 99.0%</t>
  </si>
  <si>
    <t>Superior 99.0%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</si>
</sst>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0"/>
    <numFmt numFmtId="166" formatCode="0.000000"/>
    <numFmt numFmtId="167" formatCode="0.0000"/>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11"/>
      <name val="Comic Sans MS"/>
      <family val="4"/>
    </font>
    <font>
      <sz val="11"/>
      <name val="Comic Sans MS"/>
      <family val="4"/>
    </font>
    <font>
      <b/>
      <sz val="11"/>
      <name val="Calibri"/>
      <family val="2"/>
      <scheme val="minor"/>
    </font>
    <font>
      <sz val="11"/>
      <name val="Calibri"/>
      <family val="2"/>
      <scheme val="minor"/>
    </font>
    <font>
      <sz val="8"/>
      <name val="Comic Sans MS"/>
      <family val="4"/>
    </font>
    <font>
      <b/>
      <sz val="11"/>
      <name val="Arial"/>
      <family val="2"/>
    </font>
    <font>
      <sz val="10"/>
      <name val="Arial"/>
      <family val="2"/>
    </font>
    <font>
      <sz val="8"/>
      <name val="Calibri"/>
      <family val="2"/>
      <scheme val="minor"/>
    </font>
    <font>
      <i/>
      <sz val="11"/>
      <color theme="1"/>
      <name val="Calibri"/>
      <family val="2"/>
      <scheme val="minor"/>
    </font>
    <font>
      <sz val="14"/>
      <color theme="1"/>
      <name val="Calibri"/>
      <family val="2"/>
      <scheme val="minor"/>
    </font>
    <font>
      <sz val="11"/>
      <color rgb="FF00000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
      <patternFill patternType="solid">
        <fgColor indexed="13"/>
        <bgColor indexed="64"/>
      </patternFill>
    </fill>
    <fill>
      <patternFill patternType="solid">
        <fgColor theme="7"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210">
    <xf numFmtId="0" fontId="0" fillId="0" borderId="0" xfId="0"/>
    <xf numFmtId="0" fontId="4" fillId="0" borderId="0" xfId="0" applyFont="1"/>
    <xf numFmtId="0" fontId="3" fillId="0" borderId="0" xfId="0" applyFont="1" applyAlignment="1">
      <alignment horizontal="center"/>
    </xf>
    <xf numFmtId="0" fontId="5" fillId="3" borderId="5" xfId="0" applyFont="1" applyFill="1" applyBorder="1" applyAlignment="1">
      <alignment horizontal="center"/>
    </xf>
    <xf numFmtId="0" fontId="6" fillId="3" borderId="5" xfId="0" applyFont="1" applyFill="1" applyBorder="1" applyAlignment="1">
      <alignment horizontal="center"/>
    </xf>
    <xf numFmtId="2" fontId="6" fillId="3" borderId="5" xfId="0" applyNumberFormat="1" applyFont="1" applyFill="1" applyBorder="1" applyAlignment="1">
      <alignment horizontal="center"/>
    </xf>
    <xf numFmtId="0" fontId="6" fillId="3" borderId="0" xfId="0" applyFont="1" applyFill="1" applyAlignment="1">
      <alignment horizontal="center"/>
    </xf>
    <xf numFmtId="2" fontId="6" fillId="3" borderId="0" xfId="0" applyNumberFormat="1" applyFont="1" applyFill="1" applyAlignment="1">
      <alignment horizontal="center"/>
    </xf>
    <xf numFmtId="0" fontId="5" fillId="3" borderId="6" xfId="0" applyFont="1" applyFill="1" applyBorder="1" applyAlignment="1">
      <alignment horizontal="center"/>
    </xf>
    <xf numFmtId="0" fontId="3" fillId="4" borderId="7" xfId="0" applyFont="1" applyFill="1" applyBorder="1" applyAlignment="1">
      <alignment horizontal="center"/>
    </xf>
    <xf numFmtId="0" fontId="4" fillId="3" borderId="9" xfId="0" applyFont="1" applyFill="1" applyBorder="1" applyAlignment="1">
      <alignment vertical="center"/>
    </xf>
    <xf numFmtId="0" fontId="4" fillId="3" borderId="12" xfId="0" applyFont="1" applyFill="1" applyBorder="1" applyAlignment="1">
      <alignment vertical="center"/>
    </xf>
    <xf numFmtId="0" fontId="4" fillId="3" borderId="9"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2" xfId="0" applyFont="1" applyFill="1" applyBorder="1" applyAlignment="1">
      <alignment horizontal="left" vertical="center" wrapText="1"/>
    </xf>
    <xf numFmtId="0" fontId="4" fillId="3" borderId="13" xfId="0" applyFont="1" applyFill="1" applyBorder="1" applyAlignment="1">
      <alignment horizontal="left" vertical="center" wrapText="1"/>
    </xf>
    <xf numFmtId="0" fontId="4" fillId="3" borderId="9" xfId="0" applyFont="1" applyFill="1" applyBorder="1" applyAlignment="1">
      <alignment vertical="center" wrapText="1"/>
    </xf>
    <xf numFmtId="0" fontId="4" fillId="3" borderId="10" xfId="0" applyFont="1" applyFill="1" applyBorder="1" applyAlignment="1">
      <alignment vertical="center" wrapText="1"/>
    </xf>
    <xf numFmtId="0" fontId="4" fillId="3" borderId="12" xfId="0" applyFont="1" applyFill="1" applyBorder="1" applyAlignment="1">
      <alignment vertical="center" wrapText="1"/>
    </xf>
    <xf numFmtId="0" fontId="4" fillId="3" borderId="13" xfId="0" applyFont="1" applyFill="1" applyBorder="1" applyAlignment="1">
      <alignment vertical="center" wrapText="1"/>
    </xf>
    <xf numFmtId="0" fontId="3" fillId="4" borderId="14" xfId="0" applyFont="1" applyFill="1" applyBorder="1" applyAlignment="1">
      <alignment horizontal="center"/>
    </xf>
    <xf numFmtId="0" fontId="0" fillId="2" borderId="4" xfId="0" applyFill="1" applyBorder="1"/>
    <xf numFmtId="2" fontId="0" fillId="2" borderId="4" xfId="0" applyNumberFormat="1" applyFill="1" applyBorder="1"/>
    <xf numFmtId="0" fontId="4" fillId="3" borderId="10" xfId="0" applyFont="1" applyFill="1" applyBorder="1" applyAlignment="1">
      <alignment vertical="center"/>
    </xf>
    <xf numFmtId="0" fontId="4" fillId="3" borderId="13" xfId="0" applyFont="1" applyFill="1" applyBorder="1" applyAlignment="1">
      <alignment vertical="center"/>
    </xf>
    <xf numFmtId="43" fontId="0" fillId="2" borderId="4" xfId="1" applyFont="1" applyFill="1" applyBorder="1"/>
    <xf numFmtId="43" fontId="0" fillId="0" borderId="0" xfId="0" applyNumberFormat="1"/>
    <xf numFmtId="0" fontId="0" fillId="0" borderId="12" xfId="0" applyBorder="1" applyAlignment="1">
      <alignment horizontal="left" vertical="top" wrapText="1"/>
    </xf>
    <xf numFmtId="0" fontId="0" fillId="0" borderId="13" xfId="0" applyBorder="1" applyAlignment="1">
      <alignment horizontal="left" vertical="top" wrapText="1"/>
    </xf>
    <xf numFmtId="0" fontId="4" fillId="0" borderId="0" xfId="0" applyFont="1" applyAlignment="1">
      <alignment horizontal="center"/>
    </xf>
    <xf numFmtId="0" fontId="3" fillId="0" borderId="0" xfId="0" applyFont="1" applyAlignment="1">
      <alignment horizontal="left"/>
    </xf>
    <xf numFmtId="164" fontId="3" fillId="0" borderId="14" xfId="0" applyNumberFormat="1" applyFont="1" applyBorder="1" applyAlignment="1">
      <alignment horizontal="center"/>
    </xf>
    <xf numFmtId="0" fontId="4" fillId="0" borderId="16" xfId="0" applyFont="1" applyBorder="1" applyAlignment="1">
      <alignment horizontal="center"/>
    </xf>
    <xf numFmtId="0" fontId="8" fillId="0" borderId="0" xfId="0" applyFont="1" applyAlignment="1">
      <alignment horizontal="center"/>
    </xf>
    <xf numFmtId="2" fontId="4" fillId="0" borderId="0" xfId="0" applyNumberFormat="1" applyFont="1" applyAlignment="1">
      <alignment horizontal="center"/>
    </xf>
    <xf numFmtId="0" fontId="9" fillId="0" borderId="0" xfId="0" applyFont="1"/>
    <xf numFmtId="43" fontId="5" fillId="3" borderId="5" xfId="1" applyFont="1" applyFill="1" applyBorder="1" applyAlignment="1">
      <alignment horizontal="center"/>
    </xf>
    <xf numFmtId="43" fontId="5" fillId="3" borderId="6" xfId="1" applyFont="1" applyFill="1" applyBorder="1" applyAlignment="1">
      <alignment horizontal="center"/>
    </xf>
    <xf numFmtId="0" fontId="0" fillId="0" borderId="0" xfId="0" applyAlignment="1">
      <alignment horizontal="left" vertical="top" wrapText="1"/>
    </xf>
    <xf numFmtId="0" fontId="0" fillId="0" borderId="2" xfId="0" applyBorder="1" applyAlignment="1">
      <alignment horizontal="left" vertical="top" wrapText="1"/>
    </xf>
    <xf numFmtId="0" fontId="4" fillId="0" borderId="0" xfId="0" applyFont="1" applyAlignment="1">
      <alignment horizont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0" xfId="0" applyAlignment="1">
      <alignment vertical="center" wrapText="1"/>
    </xf>
    <xf numFmtId="0" fontId="0" fillId="0" borderId="2"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2" borderId="6" xfId="0" applyFill="1" applyBorder="1"/>
    <xf numFmtId="43" fontId="0" fillId="2" borderId="6" xfId="0" applyNumberFormat="1" applyFill="1" applyBorder="1"/>
    <xf numFmtId="43" fontId="0" fillId="2" borderId="4" xfId="0" applyNumberFormat="1" applyFill="1" applyBorder="1"/>
    <xf numFmtId="164" fontId="0" fillId="2" borderId="4" xfId="0" applyNumberFormat="1" applyFill="1" applyBorder="1"/>
    <xf numFmtId="0" fontId="2" fillId="2" borderId="0" xfId="0" applyFont="1" applyFill="1"/>
    <xf numFmtId="43" fontId="0" fillId="0" borderId="0" xfId="1" applyFont="1"/>
    <xf numFmtId="167" fontId="4" fillId="0" borderId="0" xfId="0" applyNumberFormat="1" applyFont="1" applyAlignment="1">
      <alignment horizontal="center"/>
    </xf>
    <xf numFmtId="0" fontId="6" fillId="0" borderId="0" xfId="0" applyFont="1" applyAlignment="1">
      <alignment horizontal="center"/>
    </xf>
    <xf numFmtId="0" fontId="5" fillId="0" borderId="17" xfId="0" applyFont="1" applyBorder="1" applyAlignment="1">
      <alignment horizontal="center" vertical="center" wrapText="1"/>
    </xf>
    <xf numFmtId="164" fontId="5" fillId="0" borderId="18" xfId="0" applyNumberFormat="1" applyFont="1" applyBorder="1" applyAlignment="1">
      <alignment horizontal="center" vertical="center" wrapText="1"/>
    </xf>
    <xf numFmtId="0" fontId="5" fillId="0" borderId="18" xfId="0" applyFont="1" applyBorder="1" applyAlignment="1">
      <alignment horizontal="center" vertical="center" wrapText="1"/>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6" fillId="0" borderId="20" xfId="0" applyFont="1" applyBorder="1" applyAlignment="1">
      <alignment horizontal="center"/>
    </xf>
    <xf numFmtId="164" fontId="6" fillId="0" borderId="1" xfId="0" applyNumberFormat="1" applyFont="1" applyBorder="1" applyAlignment="1">
      <alignment horizontal="center"/>
    </xf>
    <xf numFmtId="0" fontId="6" fillId="0" borderId="1" xfId="0" applyFont="1" applyBorder="1" applyAlignment="1">
      <alignment vertical="center"/>
    </xf>
    <xf numFmtId="0" fontId="6" fillId="0" borderId="1" xfId="0" applyFont="1" applyBorder="1" applyAlignment="1">
      <alignment horizontal="center"/>
    </xf>
    <xf numFmtId="0" fontId="6" fillId="0" borderId="21" xfId="0" applyFont="1" applyBorder="1" applyAlignment="1">
      <alignment horizontal="center"/>
    </xf>
    <xf numFmtId="43" fontId="6" fillId="0" borderId="1" xfId="0" applyNumberFormat="1" applyFont="1" applyBorder="1" applyAlignment="1">
      <alignment vertical="center"/>
    </xf>
    <xf numFmtId="0" fontId="6" fillId="0" borderId="22" xfId="0" applyFont="1" applyBorder="1" applyAlignment="1">
      <alignment horizontal="center"/>
    </xf>
    <xf numFmtId="164" fontId="6" fillId="0" borderId="23" xfId="0" applyNumberFormat="1" applyFont="1" applyBorder="1" applyAlignment="1">
      <alignment horizontal="center"/>
    </xf>
    <xf numFmtId="43" fontId="6" fillId="0" borderId="23" xfId="0" applyNumberFormat="1" applyFont="1" applyBorder="1" applyAlignment="1">
      <alignment vertical="center"/>
    </xf>
    <xf numFmtId="0" fontId="6" fillId="0" borderId="23" xfId="0" applyFont="1" applyBorder="1" applyAlignment="1">
      <alignment horizontal="center"/>
    </xf>
    <xf numFmtId="0" fontId="6" fillId="0" borderId="24" xfId="0" applyFont="1" applyBorder="1" applyAlignment="1">
      <alignment horizontal="center"/>
    </xf>
    <xf numFmtId="0" fontId="6" fillId="0" borderId="0" xfId="0" applyFont="1"/>
    <xf numFmtId="165" fontId="6" fillId="0" borderId="0" xfId="0" applyNumberFormat="1" applyFont="1" applyAlignment="1">
      <alignment horizontal="center"/>
    </xf>
    <xf numFmtId="166" fontId="6" fillId="0" borderId="0" xfId="0" applyNumberFormat="1" applyFont="1" applyAlignment="1">
      <alignment horizontal="center"/>
    </xf>
    <xf numFmtId="164" fontId="6" fillId="0" borderId="8" xfId="0" applyNumberFormat="1" applyFont="1" applyBorder="1" applyAlignment="1">
      <alignment horizontal="center"/>
    </xf>
    <xf numFmtId="0" fontId="6" fillId="0" borderId="10" xfId="0" applyFont="1" applyBorder="1" applyAlignment="1">
      <alignment horizontal="center"/>
    </xf>
    <xf numFmtId="164" fontId="6" fillId="0" borderId="11" xfId="0" applyNumberFormat="1" applyFont="1" applyBorder="1" applyAlignment="1">
      <alignment horizontal="center"/>
    </xf>
    <xf numFmtId="0" fontId="6" fillId="0" borderId="13" xfId="0" applyFont="1" applyBorder="1" applyAlignment="1">
      <alignment horizontal="center"/>
    </xf>
    <xf numFmtId="2" fontId="6" fillId="0" borderId="1" xfId="0" applyNumberFormat="1" applyFont="1" applyBorder="1" applyAlignment="1">
      <alignment horizontal="center"/>
    </xf>
    <xf numFmtId="0" fontId="5" fillId="0" borderId="1" xfId="0" applyFont="1" applyBorder="1" applyAlignment="1">
      <alignment horizontal="center"/>
    </xf>
    <xf numFmtId="2" fontId="5" fillId="0" borderId="1" xfId="0" applyNumberFormat="1" applyFont="1" applyBorder="1" applyAlignment="1">
      <alignment horizontal="center"/>
    </xf>
    <xf numFmtId="0" fontId="5" fillId="0" borderId="14" xfId="0" applyFont="1" applyBorder="1" applyAlignment="1">
      <alignment horizontal="center"/>
    </xf>
    <xf numFmtId="0" fontId="5" fillId="0" borderId="16" xfId="0" applyFont="1" applyBorder="1" applyAlignment="1">
      <alignment horizontal="center"/>
    </xf>
    <xf numFmtId="0" fontId="2" fillId="2" borderId="4" xfId="0" applyFont="1" applyFill="1" applyBorder="1"/>
    <xf numFmtId="0" fontId="3" fillId="2" borderId="4" xfId="0" applyFont="1" applyFill="1" applyBorder="1" applyAlignment="1">
      <alignment horizontal="center"/>
    </xf>
    <xf numFmtId="0" fontId="4" fillId="2" borderId="4" xfId="0" applyFont="1" applyFill="1" applyBorder="1" applyAlignment="1">
      <alignment horizontal="center"/>
    </xf>
    <xf numFmtId="0" fontId="5" fillId="5" borderId="15" xfId="0" applyFont="1" applyFill="1" applyBorder="1" applyAlignment="1">
      <alignment horizontal="center"/>
    </xf>
    <xf numFmtId="2" fontId="6" fillId="0" borderId="0" xfId="0" applyNumberFormat="1" applyFont="1" applyAlignment="1">
      <alignment horizontal="center"/>
    </xf>
    <xf numFmtId="0" fontId="5" fillId="2" borderId="4" xfId="0" applyFont="1" applyFill="1" applyBorder="1" applyAlignment="1">
      <alignment horizontal="center"/>
    </xf>
    <xf numFmtId="0" fontId="6" fillId="2" borderId="4" xfId="0" applyFont="1" applyFill="1" applyBorder="1" applyAlignment="1">
      <alignment horizontal="center"/>
    </xf>
    <xf numFmtId="165" fontId="6" fillId="0" borderId="1" xfId="0" applyNumberFormat="1" applyFont="1" applyBorder="1" applyAlignment="1">
      <alignment horizontal="center"/>
    </xf>
    <xf numFmtId="167" fontId="6" fillId="0" borderId="1" xfId="0" applyNumberFormat="1" applyFont="1" applyBorder="1" applyAlignment="1">
      <alignment horizontal="center"/>
    </xf>
    <xf numFmtId="1" fontId="6" fillId="0" borderId="1" xfId="0" applyNumberFormat="1" applyFont="1" applyBorder="1" applyAlignment="1">
      <alignment horizontal="center"/>
    </xf>
    <xf numFmtId="0" fontId="5" fillId="0" borderId="4" xfId="0" applyFont="1" applyBorder="1" applyAlignment="1">
      <alignment horizontal="center"/>
    </xf>
    <xf numFmtId="167" fontId="6" fillId="3" borderId="5" xfId="0" applyNumberFormat="1" applyFont="1" applyFill="1" applyBorder="1" applyAlignment="1">
      <alignment horizontal="center"/>
    </xf>
    <xf numFmtId="167" fontId="6" fillId="3" borderId="0" xfId="0" applyNumberFormat="1" applyFont="1" applyFill="1" applyAlignment="1">
      <alignment horizontal="center"/>
    </xf>
    <xf numFmtId="2" fontId="6" fillId="3" borderId="6" xfId="0" applyNumberFormat="1" applyFont="1" applyFill="1" applyBorder="1" applyAlignment="1">
      <alignment horizontal="center"/>
    </xf>
    <xf numFmtId="0" fontId="5" fillId="3" borderId="4" xfId="0" applyFont="1" applyFill="1" applyBorder="1" applyAlignment="1">
      <alignment horizontal="center"/>
    </xf>
    <xf numFmtId="0" fontId="5" fillId="3" borderId="1" xfId="0" applyFont="1" applyFill="1" applyBorder="1" applyAlignment="1">
      <alignment horizontal="center"/>
    </xf>
    <xf numFmtId="2" fontId="5" fillId="3" borderId="1" xfId="0" applyNumberFormat="1" applyFont="1" applyFill="1" applyBorder="1" applyAlignment="1">
      <alignment horizontal="center"/>
    </xf>
    <xf numFmtId="0" fontId="6" fillId="3" borderId="1" xfId="0" applyFont="1" applyFill="1" applyBorder="1" applyAlignment="1">
      <alignment horizontal="center"/>
    </xf>
    <xf numFmtId="2" fontId="6" fillId="3" borderId="1" xfId="0" applyNumberFormat="1" applyFont="1" applyFill="1" applyBorder="1" applyAlignment="1">
      <alignment horizontal="center"/>
    </xf>
    <xf numFmtId="0" fontId="6" fillId="0" borderId="0" xfId="0" applyFont="1" applyAlignment="1">
      <alignment horizontal="left"/>
    </xf>
    <xf numFmtId="43" fontId="6" fillId="3" borderId="0" xfId="1" applyFont="1" applyFill="1" applyBorder="1" applyAlignment="1">
      <alignment horizontal="center"/>
    </xf>
    <xf numFmtId="2" fontId="5" fillId="0" borderId="4" xfId="0" applyNumberFormat="1" applyFont="1" applyBorder="1" applyAlignment="1">
      <alignment horizontal="center"/>
    </xf>
    <xf numFmtId="0" fontId="6" fillId="0" borderId="4" xfId="0" applyFont="1" applyBorder="1"/>
    <xf numFmtId="0" fontId="5" fillId="0" borderId="0" xfId="0" applyFont="1"/>
    <xf numFmtId="2" fontId="6" fillId="3" borderId="5" xfId="0" applyNumberFormat="1" applyFont="1" applyFill="1" applyBorder="1"/>
    <xf numFmtId="2" fontId="6" fillId="3" borderId="0" xfId="0" applyNumberFormat="1" applyFont="1" applyFill="1"/>
    <xf numFmtId="2" fontId="6" fillId="3" borderId="6" xfId="0" applyNumberFormat="1" applyFont="1" applyFill="1" applyBorder="1"/>
    <xf numFmtId="0" fontId="5" fillId="4" borderId="14" xfId="0" applyFont="1" applyFill="1" applyBorder="1" applyAlignment="1">
      <alignment horizontal="center"/>
    </xf>
    <xf numFmtId="0" fontId="5" fillId="4" borderId="16" xfId="0" applyFont="1" applyFill="1" applyBorder="1" applyAlignment="1">
      <alignment horizontal="center"/>
    </xf>
    <xf numFmtId="0" fontId="0" fillId="0" borderId="12" xfId="0" applyBorder="1"/>
    <xf numFmtId="0" fontId="11" fillId="0" borderId="27" xfId="0" applyFont="1" applyBorder="1" applyAlignment="1">
      <alignment horizontal="center"/>
    </xf>
    <xf numFmtId="0" fontId="11" fillId="0" borderId="27" xfId="0" applyFont="1" applyBorder="1" applyAlignment="1">
      <alignment horizontal="centerContinuous"/>
    </xf>
    <xf numFmtId="0" fontId="12" fillId="6" borderId="7" xfId="0" applyFont="1" applyFill="1" applyBorder="1"/>
    <xf numFmtId="0" fontId="13" fillId="0" borderId="7" xfId="0" applyFont="1" applyBorder="1" applyAlignment="1">
      <alignment vertical="center"/>
    </xf>
    <xf numFmtId="0" fontId="13" fillId="0" borderId="16" xfId="0" applyFont="1" applyBorder="1" applyAlignment="1">
      <alignment vertical="center"/>
    </xf>
    <xf numFmtId="0" fontId="13" fillId="0" borderId="28" xfId="0" applyFont="1" applyBorder="1" applyAlignment="1">
      <alignment horizontal="right" vertical="center"/>
    </xf>
    <xf numFmtId="0" fontId="13" fillId="0" borderId="13" xfId="0" applyFont="1" applyBorder="1" applyAlignment="1">
      <alignment horizontal="right" vertical="center"/>
    </xf>
    <xf numFmtId="164" fontId="6" fillId="4" borderId="1" xfId="0" applyNumberFormat="1" applyFont="1" applyFill="1" applyBorder="1" applyAlignment="1">
      <alignment horizontal="center"/>
    </xf>
    <xf numFmtId="2" fontId="6" fillId="3" borderId="0" xfId="0" applyNumberFormat="1" applyFont="1" applyFill="1" applyBorder="1" applyAlignment="1">
      <alignment horizontal="center"/>
    </xf>
    <xf numFmtId="2" fontId="0" fillId="0" borderId="0" xfId="0" applyNumberFormat="1"/>
    <xf numFmtId="0" fontId="0" fillId="0" borderId="0" xfId="0" applyAlignment="1">
      <alignment horizontal="center"/>
    </xf>
    <xf numFmtId="0" fontId="5" fillId="0" borderId="25" xfId="0" applyFont="1" applyBorder="1" applyAlignment="1">
      <alignment horizontal="center"/>
    </xf>
    <xf numFmtId="0" fontId="5" fillId="0" borderId="26" xfId="0" applyFont="1" applyBorder="1" applyAlignment="1">
      <alignment horizont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4"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4" fillId="3" borderId="12" xfId="0" applyFont="1" applyFill="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3" xfId="0" applyFont="1" applyBorder="1" applyAlignment="1">
      <alignment horizontal="left" vertical="center" wrapText="1"/>
    </xf>
    <xf numFmtId="0" fontId="6" fillId="0" borderId="0" xfId="0" applyFont="1" applyAlignment="1">
      <alignment horizontal="left" vertical="center" wrapText="1"/>
    </xf>
    <xf numFmtId="0" fontId="6" fillId="0" borderId="2"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5" fillId="0" borderId="1" xfId="0" applyFont="1" applyBorder="1" applyAlignment="1">
      <alignment horizontal="center"/>
    </xf>
    <xf numFmtId="2" fontId="5" fillId="0" borderId="1" xfId="0" applyNumberFormat="1" applyFont="1" applyBorder="1" applyAlignment="1">
      <alignment horizontal="center"/>
    </xf>
    <xf numFmtId="0" fontId="4" fillId="3" borderId="10" xfId="0" applyFont="1" applyFill="1" applyBorder="1" applyAlignment="1">
      <alignment horizontal="left" vertical="center" wrapText="1"/>
    </xf>
    <xf numFmtId="0" fontId="4" fillId="3" borderId="3" xfId="0" applyFont="1" applyFill="1" applyBorder="1" applyAlignment="1">
      <alignment horizontal="left" vertical="center" wrapText="1"/>
    </xf>
    <xf numFmtId="0" fontId="4" fillId="3" borderId="0" xfId="0" applyFont="1" applyFill="1" applyAlignment="1">
      <alignment horizontal="left" vertical="center" wrapText="1"/>
    </xf>
    <xf numFmtId="0" fontId="4" fillId="3" borderId="2" xfId="0" applyFont="1" applyFill="1" applyBorder="1" applyAlignment="1">
      <alignment horizontal="left" vertical="center" wrapText="1"/>
    </xf>
    <xf numFmtId="0" fontId="4" fillId="3" borderId="13" xfId="0" applyFont="1" applyFill="1" applyBorder="1" applyAlignment="1">
      <alignment horizontal="left" vertical="center" wrapText="1"/>
    </xf>
    <xf numFmtId="0" fontId="5" fillId="0" borderId="14" xfId="0" applyFont="1" applyBorder="1" applyAlignment="1">
      <alignment horizontal="center"/>
    </xf>
    <xf numFmtId="0" fontId="5" fillId="0" borderId="15" xfId="0" applyFont="1" applyBorder="1" applyAlignment="1">
      <alignment horizontal="center"/>
    </xf>
    <xf numFmtId="0" fontId="5" fillId="0" borderId="16" xfId="0" applyFont="1" applyBorder="1" applyAlignment="1">
      <alignment horizontal="center"/>
    </xf>
    <xf numFmtId="0" fontId="6" fillId="0" borderId="0" xfId="0" applyFont="1" applyAlignment="1">
      <alignment horizontal="center"/>
    </xf>
    <xf numFmtId="0" fontId="5" fillId="0" borderId="0" xfId="0" applyFont="1" applyAlignment="1">
      <alignment horizontal="center"/>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4" fillId="3" borderId="8" xfId="0" applyFont="1" applyFill="1" applyBorder="1" applyAlignment="1">
      <alignment horizontal="left" vertical="center"/>
    </xf>
    <xf numFmtId="0" fontId="4" fillId="3" borderId="9" xfId="0" applyFont="1" applyFill="1" applyBorder="1" applyAlignment="1">
      <alignment horizontal="left"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4" fillId="3" borderId="12" xfId="0" applyFont="1" applyFill="1" applyBorder="1" applyAlignment="1">
      <alignment horizontal="left" vertical="center"/>
    </xf>
    <xf numFmtId="0" fontId="4" fillId="3" borderId="13" xfId="0" applyFont="1" applyFill="1" applyBorder="1" applyAlignment="1">
      <alignment horizontal="left" vertical="center"/>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164" fontId="6" fillId="0" borderId="8"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0" fillId="0" borderId="0" xfId="0" applyAlignment="1">
      <alignment horizontal="left" vertical="center"/>
    </xf>
    <xf numFmtId="0" fontId="5" fillId="2" borderId="4" xfId="0" applyFont="1" applyFill="1" applyBorder="1" applyAlignment="1">
      <alignment horizontal="center"/>
    </xf>
    <xf numFmtId="0" fontId="6" fillId="0" borderId="8" xfId="0" applyFont="1" applyBorder="1" applyAlignment="1">
      <alignment horizontal="left" vertical="top" wrapText="1"/>
    </xf>
    <xf numFmtId="0" fontId="6" fillId="0" borderId="9" xfId="0" applyFont="1" applyBorder="1" applyAlignment="1">
      <alignment horizontal="left" vertical="top" wrapText="1"/>
    </xf>
    <xf numFmtId="0" fontId="6" fillId="0" borderId="10" xfId="0" applyFont="1" applyBorder="1" applyAlignment="1">
      <alignment horizontal="left" vertical="top" wrapText="1"/>
    </xf>
    <xf numFmtId="0" fontId="6" fillId="0" borderId="11" xfId="0" applyFont="1" applyBorder="1" applyAlignment="1">
      <alignment horizontal="left" vertical="top" wrapText="1"/>
    </xf>
    <xf numFmtId="0" fontId="6" fillId="0" borderId="12" xfId="0" applyFont="1" applyBorder="1" applyAlignment="1">
      <alignment horizontal="left" vertical="top" wrapText="1"/>
    </xf>
    <xf numFmtId="0" fontId="6" fillId="0" borderId="13" xfId="0" applyFont="1" applyBorder="1" applyAlignment="1">
      <alignment horizontal="left" vertical="top"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3" xfId="0" applyBorder="1" applyAlignment="1">
      <alignment horizontal="left" vertical="center" wrapText="1"/>
    </xf>
    <xf numFmtId="0" fontId="0" fillId="0" borderId="0" xfId="0" applyAlignment="1">
      <alignment horizontal="left" vertical="center" wrapText="1"/>
    </xf>
    <xf numFmtId="0" fontId="0" fillId="0" borderId="2"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3" borderId="8" xfId="0" applyFill="1" applyBorder="1" applyAlignment="1">
      <alignment horizontal="left" vertical="center" wrapText="1"/>
    </xf>
    <xf numFmtId="0" fontId="0" fillId="3" borderId="9" xfId="0" applyFill="1" applyBorder="1" applyAlignment="1">
      <alignment horizontal="left" vertical="center" wrapText="1"/>
    </xf>
    <xf numFmtId="0" fontId="0" fillId="3" borderId="10" xfId="0" applyFill="1" applyBorder="1" applyAlignment="1">
      <alignment horizontal="left" vertical="center" wrapText="1"/>
    </xf>
    <xf numFmtId="0" fontId="0" fillId="3" borderId="3" xfId="0" applyFill="1" applyBorder="1" applyAlignment="1">
      <alignment horizontal="left" vertical="center" wrapText="1"/>
    </xf>
    <xf numFmtId="0" fontId="0" fillId="3" borderId="0" xfId="0" applyFill="1" applyAlignment="1">
      <alignment horizontal="left" vertical="center" wrapText="1"/>
    </xf>
    <xf numFmtId="0" fontId="0" fillId="3" borderId="2" xfId="0" applyFill="1" applyBorder="1" applyAlignment="1">
      <alignment horizontal="left" vertical="center" wrapText="1"/>
    </xf>
    <xf numFmtId="0" fontId="0" fillId="3" borderId="11" xfId="0" applyFill="1" applyBorder="1" applyAlignment="1">
      <alignment horizontal="left" vertical="center" wrapText="1"/>
    </xf>
    <xf numFmtId="0" fontId="0" fillId="3" borderId="12" xfId="0" applyFill="1" applyBorder="1" applyAlignment="1">
      <alignment horizontal="left" vertical="center" wrapText="1"/>
    </xf>
    <xf numFmtId="0" fontId="0" fillId="3" borderId="13" xfId="0" applyFill="1" applyBorder="1" applyAlignment="1">
      <alignment horizontal="left" vertical="center" wrapText="1"/>
    </xf>
    <xf numFmtId="164" fontId="3" fillId="0" borderId="9" xfId="0" applyNumberFormat="1" applyFont="1" applyBorder="1" applyAlignment="1">
      <alignment horizontal="center" vertical="center"/>
    </xf>
    <xf numFmtId="164" fontId="3" fillId="0" borderId="0" xfId="0" applyNumberFormat="1" applyFont="1" applyAlignment="1">
      <alignment horizontal="center" vertical="center"/>
    </xf>
    <xf numFmtId="0" fontId="4" fillId="0" borderId="10" xfId="0" applyFont="1" applyBorder="1" applyAlignment="1">
      <alignment horizontal="center" vertical="center"/>
    </xf>
    <xf numFmtId="0" fontId="4" fillId="0" borderId="2" xfId="0" applyFont="1" applyBorder="1" applyAlignment="1">
      <alignment horizontal="center" vertical="center"/>
    </xf>
    <xf numFmtId="0" fontId="0" fillId="0" borderId="0" xfId="0" applyFill="1" applyBorder="1" applyAlignment="1"/>
    <xf numFmtId="0" fontId="0" fillId="0" borderId="12" xfId="0" applyFill="1" applyBorder="1" applyAlignment="1"/>
    <xf numFmtId="0" fontId="11" fillId="0" borderId="27" xfId="0" applyFont="1" applyFill="1" applyBorder="1" applyAlignment="1">
      <alignment horizontal="center"/>
    </xf>
    <xf numFmtId="0" fontId="11" fillId="0" borderId="27" xfId="0" applyFont="1" applyFill="1" applyBorder="1" applyAlignment="1">
      <alignment horizontal="centerContinuous"/>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Ejemplo!$E$10</c:f>
              <c:strCache>
                <c:ptCount val="1"/>
                <c:pt idx="0">
                  <c:v>Ingresos</c:v>
                </c:pt>
              </c:strCache>
            </c:strRef>
          </c:tx>
          <c:spPr>
            <a:ln w="19050" cap="rnd">
              <a:noFill/>
              <a:round/>
            </a:ln>
            <a:effectLst/>
          </c:spPr>
          <c:marker>
            <c:symbol val="circle"/>
            <c:size val="5"/>
            <c:spPr>
              <a:solidFill>
                <a:schemeClr val="accent1"/>
              </a:solidFill>
              <a:ln w="9525">
                <a:solidFill>
                  <a:schemeClr val="accent1"/>
                </a:solidFill>
              </a:ln>
              <a:effectLst/>
            </c:spPr>
          </c:marker>
          <c:xVal>
            <c:numRef>
              <c:f>Ejemplo!$D$11:$D$60</c:f>
              <c:numCache>
                <c:formatCode>General</c:formatCode>
                <c:ptCount val="50"/>
                <c:pt idx="0">
                  <c:v>264</c:v>
                </c:pt>
                <c:pt idx="1">
                  <c:v>300</c:v>
                </c:pt>
                <c:pt idx="2">
                  <c:v>360</c:v>
                </c:pt>
                <c:pt idx="3">
                  <c:v>384</c:v>
                </c:pt>
                <c:pt idx="4">
                  <c:v>420</c:v>
                </c:pt>
                <c:pt idx="5">
                  <c:v>435</c:v>
                </c:pt>
                <c:pt idx="6">
                  <c:v>480</c:v>
                </c:pt>
                <c:pt idx="7">
                  <c:v>480</c:v>
                </c:pt>
                <c:pt idx="8">
                  <c:v>489</c:v>
                </c:pt>
                <c:pt idx="9">
                  <c:v>492</c:v>
                </c:pt>
                <c:pt idx="10">
                  <c:v>492</c:v>
                </c:pt>
                <c:pt idx="11">
                  <c:v>495</c:v>
                </c:pt>
                <c:pt idx="12">
                  <c:v>552</c:v>
                </c:pt>
                <c:pt idx="13">
                  <c:v>560</c:v>
                </c:pt>
                <c:pt idx="14">
                  <c:v>565</c:v>
                </c:pt>
                <c:pt idx="15">
                  <c:v>583</c:v>
                </c:pt>
                <c:pt idx="16">
                  <c:v>591</c:v>
                </c:pt>
                <c:pt idx="17">
                  <c:v>630</c:v>
                </c:pt>
                <c:pt idx="18">
                  <c:v>630</c:v>
                </c:pt>
                <c:pt idx="19">
                  <c:v>680</c:v>
                </c:pt>
                <c:pt idx="20">
                  <c:v>708</c:v>
                </c:pt>
                <c:pt idx="21">
                  <c:v>708</c:v>
                </c:pt>
                <c:pt idx="22">
                  <c:v>753</c:v>
                </c:pt>
                <c:pt idx="23">
                  <c:v>756</c:v>
                </c:pt>
                <c:pt idx="24">
                  <c:v>760</c:v>
                </c:pt>
                <c:pt idx="25">
                  <c:v>768</c:v>
                </c:pt>
                <c:pt idx="26">
                  <c:v>790</c:v>
                </c:pt>
                <c:pt idx="27">
                  <c:v>791</c:v>
                </c:pt>
                <c:pt idx="28">
                  <c:v>812</c:v>
                </c:pt>
                <c:pt idx="29">
                  <c:v>830</c:v>
                </c:pt>
                <c:pt idx="30">
                  <c:v>863</c:v>
                </c:pt>
                <c:pt idx="31">
                  <c:v>888</c:v>
                </c:pt>
                <c:pt idx="32">
                  <c:v>900</c:v>
                </c:pt>
                <c:pt idx="33">
                  <c:v>920</c:v>
                </c:pt>
                <c:pt idx="34">
                  <c:v>921</c:v>
                </c:pt>
                <c:pt idx="35">
                  <c:v>960</c:v>
                </c:pt>
                <c:pt idx="36">
                  <c:v>976</c:v>
                </c:pt>
                <c:pt idx="37">
                  <c:v>980</c:v>
                </c:pt>
                <c:pt idx="38">
                  <c:v>985</c:v>
                </c:pt>
                <c:pt idx="39">
                  <c:v>986</c:v>
                </c:pt>
                <c:pt idx="40">
                  <c:v>1023</c:v>
                </c:pt>
                <c:pt idx="41">
                  <c:v>1040</c:v>
                </c:pt>
                <c:pt idx="42">
                  <c:v>1043</c:v>
                </c:pt>
                <c:pt idx="43">
                  <c:v>1044</c:v>
                </c:pt>
                <c:pt idx="44">
                  <c:v>1050</c:v>
                </c:pt>
                <c:pt idx="45">
                  <c:v>1164</c:v>
                </c:pt>
                <c:pt idx="46">
                  <c:v>1236</c:v>
                </c:pt>
                <c:pt idx="47">
                  <c:v>1296</c:v>
                </c:pt>
                <c:pt idx="48">
                  <c:v>1344</c:v>
                </c:pt>
                <c:pt idx="49">
                  <c:v>1380</c:v>
                </c:pt>
              </c:numCache>
            </c:numRef>
          </c:xVal>
          <c:yVal>
            <c:numRef>
              <c:f>Ejemplo!$E$11:$E$60</c:f>
              <c:numCache>
                <c:formatCode>General</c:formatCode>
                <c:ptCount val="50"/>
                <c:pt idx="0">
                  <c:v>8025</c:v>
                </c:pt>
                <c:pt idx="1">
                  <c:v>8700</c:v>
                </c:pt>
                <c:pt idx="2">
                  <c:v>9050</c:v>
                </c:pt>
                <c:pt idx="3">
                  <c:v>9200</c:v>
                </c:pt>
                <c:pt idx="4">
                  <c:v>9202.7000000000007</c:v>
                </c:pt>
                <c:pt idx="5">
                  <c:v>9202.7000000000007</c:v>
                </c:pt>
                <c:pt idx="6">
                  <c:v>8950</c:v>
                </c:pt>
                <c:pt idx="7">
                  <c:v>9636.7999999999993</c:v>
                </c:pt>
                <c:pt idx="8">
                  <c:v>9636.7999999999993</c:v>
                </c:pt>
                <c:pt idx="9">
                  <c:v>9925</c:v>
                </c:pt>
                <c:pt idx="10">
                  <c:v>9925</c:v>
                </c:pt>
                <c:pt idx="11">
                  <c:v>10230</c:v>
                </c:pt>
                <c:pt idx="12">
                  <c:v>9625</c:v>
                </c:pt>
                <c:pt idx="13">
                  <c:v>10215.6</c:v>
                </c:pt>
                <c:pt idx="14">
                  <c:v>9820</c:v>
                </c:pt>
                <c:pt idx="15">
                  <c:v>10470</c:v>
                </c:pt>
                <c:pt idx="16">
                  <c:v>10100</c:v>
                </c:pt>
                <c:pt idx="17">
                  <c:v>12600</c:v>
                </c:pt>
                <c:pt idx="18">
                  <c:v>11400</c:v>
                </c:pt>
                <c:pt idx="19">
                  <c:v>12000</c:v>
                </c:pt>
                <c:pt idx="20">
                  <c:v>11050</c:v>
                </c:pt>
                <c:pt idx="21">
                  <c:v>11050</c:v>
                </c:pt>
                <c:pt idx="22">
                  <c:v>11590.25</c:v>
                </c:pt>
                <c:pt idx="23">
                  <c:v>11775</c:v>
                </c:pt>
                <c:pt idx="24">
                  <c:v>11590.25</c:v>
                </c:pt>
                <c:pt idx="25">
                  <c:v>10750</c:v>
                </c:pt>
                <c:pt idx="26">
                  <c:v>11879.65</c:v>
                </c:pt>
                <c:pt idx="27">
                  <c:v>11590.25</c:v>
                </c:pt>
                <c:pt idx="28">
                  <c:v>11879.65</c:v>
                </c:pt>
                <c:pt idx="29">
                  <c:v>14600</c:v>
                </c:pt>
                <c:pt idx="30">
                  <c:v>11879.65</c:v>
                </c:pt>
                <c:pt idx="31">
                  <c:v>12350</c:v>
                </c:pt>
                <c:pt idx="32">
                  <c:v>12603.15</c:v>
                </c:pt>
                <c:pt idx="33">
                  <c:v>12400</c:v>
                </c:pt>
                <c:pt idx="34">
                  <c:v>12458.45</c:v>
                </c:pt>
                <c:pt idx="35">
                  <c:v>13109.6</c:v>
                </c:pt>
                <c:pt idx="36">
                  <c:v>13109.6</c:v>
                </c:pt>
                <c:pt idx="37">
                  <c:v>13254.3</c:v>
                </c:pt>
                <c:pt idx="38">
                  <c:v>13254.3</c:v>
                </c:pt>
                <c:pt idx="39">
                  <c:v>13109.6</c:v>
                </c:pt>
                <c:pt idx="40">
                  <c:v>14300</c:v>
                </c:pt>
                <c:pt idx="41">
                  <c:v>14100</c:v>
                </c:pt>
                <c:pt idx="42">
                  <c:v>13619.999999999998</c:v>
                </c:pt>
                <c:pt idx="43">
                  <c:v>14200</c:v>
                </c:pt>
                <c:pt idx="44">
                  <c:v>13760.749999999998</c:v>
                </c:pt>
                <c:pt idx="45">
                  <c:v>15150</c:v>
                </c:pt>
                <c:pt idx="46">
                  <c:v>15300</c:v>
                </c:pt>
                <c:pt idx="47">
                  <c:v>14550</c:v>
                </c:pt>
                <c:pt idx="48">
                  <c:v>15775</c:v>
                </c:pt>
                <c:pt idx="49">
                  <c:v>16400</c:v>
                </c:pt>
              </c:numCache>
            </c:numRef>
          </c:yVal>
          <c:smooth val="0"/>
          <c:extLst>
            <c:ext xmlns:c16="http://schemas.microsoft.com/office/drawing/2014/chart" uri="{C3380CC4-5D6E-409C-BE32-E72D297353CC}">
              <c16:uniqueId val="{00000000-5D6E-4F6E-85B0-F488D7F3655A}"/>
            </c:ext>
          </c:extLst>
        </c:ser>
        <c:dLbls>
          <c:showLegendKey val="0"/>
          <c:showVal val="0"/>
          <c:showCatName val="0"/>
          <c:showSerName val="0"/>
          <c:showPercent val="0"/>
          <c:showBubbleSize val="0"/>
        </c:dLbls>
        <c:axId val="2054908863"/>
        <c:axId val="1248770079"/>
      </c:scatterChart>
      <c:valAx>
        <c:axId val="2054908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48770079"/>
        <c:crosses val="autoZero"/>
        <c:crossBetween val="midCat"/>
      </c:valAx>
      <c:valAx>
        <c:axId val="124877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549088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Gastos Line Fit  Plot</a:t>
            </a:r>
          </a:p>
        </c:rich>
      </c:tx>
      <c:overlay val="0"/>
    </c:title>
    <c:autoTitleDeleted val="0"/>
    <c:plotArea>
      <c:layout/>
      <c:scatterChart>
        <c:scatterStyle val="lineMarker"/>
        <c:varyColors val="0"/>
        <c:ser>
          <c:idx val="0"/>
          <c:order val="0"/>
          <c:tx>
            <c:v>Ingresos</c:v>
          </c:tx>
          <c:spPr>
            <a:ln w="19050">
              <a:noFill/>
            </a:ln>
          </c:spPr>
          <c:xVal>
            <c:numRef>
              <c:f>Ejemplo!$D$11:$D$60</c:f>
              <c:numCache>
                <c:formatCode>General</c:formatCode>
                <c:ptCount val="50"/>
                <c:pt idx="0">
                  <c:v>264</c:v>
                </c:pt>
                <c:pt idx="1">
                  <c:v>300</c:v>
                </c:pt>
                <c:pt idx="2">
                  <c:v>360</c:v>
                </c:pt>
                <c:pt idx="3">
                  <c:v>384</c:v>
                </c:pt>
                <c:pt idx="4">
                  <c:v>420</c:v>
                </c:pt>
                <c:pt idx="5">
                  <c:v>435</c:v>
                </c:pt>
                <c:pt idx="6">
                  <c:v>480</c:v>
                </c:pt>
                <c:pt idx="7">
                  <c:v>480</c:v>
                </c:pt>
                <c:pt idx="8">
                  <c:v>489</c:v>
                </c:pt>
                <c:pt idx="9">
                  <c:v>492</c:v>
                </c:pt>
                <c:pt idx="10">
                  <c:v>492</c:v>
                </c:pt>
                <c:pt idx="11">
                  <c:v>495</c:v>
                </c:pt>
                <c:pt idx="12">
                  <c:v>552</c:v>
                </c:pt>
                <c:pt idx="13">
                  <c:v>560</c:v>
                </c:pt>
                <c:pt idx="14">
                  <c:v>565</c:v>
                </c:pt>
                <c:pt idx="15">
                  <c:v>583</c:v>
                </c:pt>
                <c:pt idx="16">
                  <c:v>591</c:v>
                </c:pt>
                <c:pt idx="17">
                  <c:v>630</c:v>
                </c:pt>
                <c:pt idx="18">
                  <c:v>630</c:v>
                </c:pt>
                <c:pt idx="19">
                  <c:v>680</c:v>
                </c:pt>
                <c:pt idx="20">
                  <c:v>708</c:v>
                </c:pt>
                <c:pt idx="21">
                  <c:v>708</c:v>
                </c:pt>
                <c:pt idx="22">
                  <c:v>753</c:v>
                </c:pt>
                <c:pt idx="23">
                  <c:v>756</c:v>
                </c:pt>
                <c:pt idx="24">
                  <c:v>760</c:v>
                </c:pt>
                <c:pt idx="25">
                  <c:v>768</c:v>
                </c:pt>
                <c:pt idx="26">
                  <c:v>790</c:v>
                </c:pt>
                <c:pt idx="27">
                  <c:v>791</c:v>
                </c:pt>
                <c:pt idx="28">
                  <c:v>812</c:v>
                </c:pt>
                <c:pt idx="29">
                  <c:v>830</c:v>
                </c:pt>
                <c:pt idx="30">
                  <c:v>863</c:v>
                </c:pt>
                <c:pt idx="31">
                  <c:v>888</c:v>
                </c:pt>
                <c:pt idx="32">
                  <c:v>900</c:v>
                </c:pt>
                <c:pt idx="33">
                  <c:v>920</c:v>
                </c:pt>
                <c:pt idx="34">
                  <c:v>921</c:v>
                </c:pt>
                <c:pt idx="35">
                  <c:v>960</c:v>
                </c:pt>
                <c:pt idx="36">
                  <c:v>976</c:v>
                </c:pt>
                <c:pt idx="37">
                  <c:v>980</c:v>
                </c:pt>
                <c:pt idx="38">
                  <c:v>985</c:v>
                </c:pt>
                <c:pt idx="39">
                  <c:v>986</c:v>
                </c:pt>
                <c:pt idx="40">
                  <c:v>1023</c:v>
                </c:pt>
                <c:pt idx="41">
                  <c:v>1040</c:v>
                </c:pt>
                <c:pt idx="42">
                  <c:v>1043</c:v>
                </c:pt>
                <c:pt idx="43">
                  <c:v>1044</c:v>
                </c:pt>
                <c:pt idx="44">
                  <c:v>1050</c:v>
                </c:pt>
                <c:pt idx="45">
                  <c:v>1164</c:v>
                </c:pt>
                <c:pt idx="46">
                  <c:v>1236</c:v>
                </c:pt>
                <c:pt idx="47">
                  <c:v>1296</c:v>
                </c:pt>
                <c:pt idx="48">
                  <c:v>1344</c:v>
                </c:pt>
                <c:pt idx="49">
                  <c:v>1380</c:v>
                </c:pt>
              </c:numCache>
            </c:numRef>
          </c:xVal>
          <c:yVal>
            <c:numRef>
              <c:f>Ejemplo!$E$11:$E$60</c:f>
              <c:numCache>
                <c:formatCode>General</c:formatCode>
                <c:ptCount val="50"/>
                <c:pt idx="0">
                  <c:v>8025</c:v>
                </c:pt>
                <c:pt idx="1">
                  <c:v>8700</c:v>
                </c:pt>
                <c:pt idx="2">
                  <c:v>9050</c:v>
                </c:pt>
                <c:pt idx="3">
                  <c:v>9200</c:v>
                </c:pt>
                <c:pt idx="4">
                  <c:v>9202.7000000000007</c:v>
                </c:pt>
                <c:pt idx="5">
                  <c:v>9202.7000000000007</c:v>
                </c:pt>
                <c:pt idx="6">
                  <c:v>8950</c:v>
                </c:pt>
                <c:pt idx="7">
                  <c:v>9636.7999999999993</c:v>
                </c:pt>
                <c:pt idx="8">
                  <c:v>9636.7999999999993</c:v>
                </c:pt>
                <c:pt idx="9">
                  <c:v>9925</c:v>
                </c:pt>
                <c:pt idx="10">
                  <c:v>9925</c:v>
                </c:pt>
                <c:pt idx="11">
                  <c:v>10230</c:v>
                </c:pt>
                <c:pt idx="12">
                  <c:v>9625</c:v>
                </c:pt>
                <c:pt idx="13">
                  <c:v>10215.6</c:v>
                </c:pt>
                <c:pt idx="14">
                  <c:v>9820</c:v>
                </c:pt>
                <c:pt idx="15">
                  <c:v>10470</c:v>
                </c:pt>
                <c:pt idx="16">
                  <c:v>10100</c:v>
                </c:pt>
                <c:pt idx="17">
                  <c:v>12600</c:v>
                </c:pt>
                <c:pt idx="18">
                  <c:v>11400</c:v>
                </c:pt>
                <c:pt idx="19">
                  <c:v>12000</c:v>
                </c:pt>
                <c:pt idx="20">
                  <c:v>11050</c:v>
                </c:pt>
                <c:pt idx="21">
                  <c:v>11050</c:v>
                </c:pt>
                <c:pt idx="22">
                  <c:v>11590.25</c:v>
                </c:pt>
                <c:pt idx="23">
                  <c:v>11775</c:v>
                </c:pt>
                <c:pt idx="24">
                  <c:v>11590.25</c:v>
                </c:pt>
                <c:pt idx="25">
                  <c:v>10750</c:v>
                </c:pt>
                <c:pt idx="26">
                  <c:v>11879.65</c:v>
                </c:pt>
                <c:pt idx="27">
                  <c:v>11590.25</c:v>
                </c:pt>
                <c:pt idx="28">
                  <c:v>11879.65</c:v>
                </c:pt>
                <c:pt idx="29">
                  <c:v>14600</c:v>
                </c:pt>
                <c:pt idx="30">
                  <c:v>11879.65</c:v>
                </c:pt>
                <c:pt idx="31">
                  <c:v>12350</c:v>
                </c:pt>
                <c:pt idx="32">
                  <c:v>12603.15</c:v>
                </c:pt>
                <c:pt idx="33">
                  <c:v>12400</c:v>
                </c:pt>
                <c:pt idx="34">
                  <c:v>12458.45</c:v>
                </c:pt>
                <c:pt idx="35">
                  <c:v>13109.6</c:v>
                </c:pt>
                <c:pt idx="36">
                  <c:v>13109.6</c:v>
                </c:pt>
                <c:pt idx="37">
                  <c:v>13254.3</c:v>
                </c:pt>
                <c:pt idx="38">
                  <c:v>13254.3</c:v>
                </c:pt>
                <c:pt idx="39">
                  <c:v>13109.6</c:v>
                </c:pt>
                <c:pt idx="40">
                  <c:v>14300</c:v>
                </c:pt>
                <c:pt idx="41">
                  <c:v>14100</c:v>
                </c:pt>
                <c:pt idx="42">
                  <c:v>13619.999999999998</c:v>
                </c:pt>
                <c:pt idx="43">
                  <c:v>14200</c:v>
                </c:pt>
                <c:pt idx="44">
                  <c:v>13760.749999999998</c:v>
                </c:pt>
                <c:pt idx="45">
                  <c:v>15150</c:v>
                </c:pt>
                <c:pt idx="46">
                  <c:v>15300</c:v>
                </c:pt>
                <c:pt idx="47">
                  <c:v>14550</c:v>
                </c:pt>
                <c:pt idx="48">
                  <c:v>15775</c:v>
                </c:pt>
                <c:pt idx="49">
                  <c:v>16400</c:v>
                </c:pt>
              </c:numCache>
            </c:numRef>
          </c:yVal>
          <c:smooth val="0"/>
          <c:extLst>
            <c:ext xmlns:c16="http://schemas.microsoft.com/office/drawing/2014/chart" uri="{C3380CC4-5D6E-409C-BE32-E72D297353CC}">
              <c16:uniqueId val="{00000004-4103-4722-B516-8FFA8A15A7BB}"/>
            </c:ext>
          </c:extLst>
        </c:ser>
        <c:ser>
          <c:idx val="1"/>
          <c:order val="1"/>
          <c:tx>
            <c:v>Predicted Ingresos</c:v>
          </c:tx>
          <c:spPr>
            <a:ln w="19050">
              <a:noFill/>
            </a:ln>
          </c:spPr>
          <c:xVal>
            <c:numRef>
              <c:f>Ejemplo!$D$11:$D$60</c:f>
              <c:numCache>
                <c:formatCode>General</c:formatCode>
                <c:ptCount val="50"/>
                <c:pt idx="0">
                  <c:v>264</c:v>
                </c:pt>
                <c:pt idx="1">
                  <c:v>300</c:v>
                </c:pt>
                <c:pt idx="2">
                  <c:v>360</c:v>
                </c:pt>
                <c:pt idx="3">
                  <c:v>384</c:v>
                </c:pt>
                <c:pt idx="4">
                  <c:v>420</c:v>
                </c:pt>
                <c:pt idx="5">
                  <c:v>435</c:v>
                </c:pt>
                <c:pt idx="6">
                  <c:v>480</c:v>
                </c:pt>
                <c:pt idx="7">
                  <c:v>480</c:v>
                </c:pt>
                <c:pt idx="8">
                  <c:v>489</c:v>
                </c:pt>
                <c:pt idx="9">
                  <c:v>492</c:v>
                </c:pt>
                <c:pt idx="10">
                  <c:v>492</c:v>
                </c:pt>
                <c:pt idx="11">
                  <c:v>495</c:v>
                </c:pt>
                <c:pt idx="12">
                  <c:v>552</c:v>
                </c:pt>
                <c:pt idx="13">
                  <c:v>560</c:v>
                </c:pt>
                <c:pt idx="14">
                  <c:v>565</c:v>
                </c:pt>
                <c:pt idx="15">
                  <c:v>583</c:v>
                </c:pt>
                <c:pt idx="16">
                  <c:v>591</c:v>
                </c:pt>
                <c:pt idx="17">
                  <c:v>630</c:v>
                </c:pt>
                <c:pt idx="18">
                  <c:v>630</c:v>
                </c:pt>
                <c:pt idx="19">
                  <c:v>680</c:v>
                </c:pt>
                <c:pt idx="20">
                  <c:v>708</c:v>
                </c:pt>
                <c:pt idx="21">
                  <c:v>708</c:v>
                </c:pt>
                <c:pt idx="22">
                  <c:v>753</c:v>
                </c:pt>
                <c:pt idx="23">
                  <c:v>756</c:v>
                </c:pt>
                <c:pt idx="24">
                  <c:v>760</c:v>
                </c:pt>
                <c:pt idx="25">
                  <c:v>768</c:v>
                </c:pt>
                <c:pt idx="26">
                  <c:v>790</c:v>
                </c:pt>
                <c:pt idx="27">
                  <c:v>791</c:v>
                </c:pt>
                <c:pt idx="28">
                  <c:v>812</c:v>
                </c:pt>
                <c:pt idx="29">
                  <c:v>830</c:v>
                </c:pt>
                <c:pt idx="30">
                  <c:v>863</c:v>
                </c:pt>
                <c:pt idx="31">
                  <c:v>888</c:v>
                </c:pt>
                <c:pt idx="32">
                  <c:v>900</c:v>
                </c:pt>
                <c:pt idx="33">
                  <c:v>920</c:v>
                </c:pt>
                <c:pt idx="34">
                  <c:v>921</c:v>
                </c:pt>
                <c:pt idx="35">
                  <c:v>960</c:v>
                </c:pt>
                <c:pt idx="36">
                  <c:v>976</c:v>
                </c:pt>
                <c:pt idx="37">
                  <c:v>980</c:v>
                </c:pt>
                <c:pt idx="38">
                  <c:v>985</c:v>
                </c:pt>
                <c:pt idx="39">
                  <c:v>986</c:v>
                </c:pt>
                <c:pt idx="40">
                  <c:v>1023</c:v>
                </c:pt>
                <c:pt idx="41">
                  <c:v>1040</c:v>
                </c:pt>
                <c:pt idx="42">
                  <c:v>1043</c:v>
                </c:pt>
                <c:pt idx="43">
                  <c:v>1044</c:v>
                </c:pt>
                <c:pt idx="44">
                  <c:v>1050</c:v>
                </c:pt>
                <c:pt idx="45">
                  <c:v>1164</c:v>
                </c:pt>
                <c:pt idx="46">
                  <c:v>1236</c:v>
                </c:pt>
                <c:pt idx="47">
                  <c:v>1296</c:v>
                </c:pt>
                <c:pt idx="48">
                  <c:v>1344</c:v>
                </c:pt>
                <c:pt idx="49">
                  <c:v>1380</c:v>
                </c:pt>
              </c:numCache>
            </c:numRef>
          </c:xVal>
          <c:yVal>
            <c:numRef>
              <c:f>result_regression!$B$25:$B$74</c:f>
              <c:numCache>
                <c:formatCode>General</c:formatCode>
                <c:ptCount val="50"/>
                <c:pt idx="0">
                  <c:v>8188.5241319582938</c:v>
                </c:pt>
                <c:pt idx="1">
                  <c:v>8445.3921511433346</c:v>
                </c:pt>
                <c:pt idx="2">
                  <c:v>8873.5055164517344</c:v>
                </c:pt>
                <c:pt idx="3">
                  <c:v>9044.7508625750961</c:v>
                </c:pt>
                <c:pt idx="4">
                  <c:v>9301.618881760136</c:v>
                </c:pt>
                <c:pt idx="5">
                  <c:v>9408.647223087235</c:v>
                </c:pt>
                <c:pt idx="6">
                  <c:v>9729.7322470685358</c:v>
                </c:pt>
                <c:pt idx="7">
                  <c:v>9729.7322470685358</c:v>
                </c:pt>
                <c:pt idx="8">
                  <c:v>9793.9492518647967</c:v>
                </c:pt>
                <c:pt idx="9">
                  <c:v>9815.3549201302158</c:v>
                </c:pt>
                <c:pt idx="10">
                  <c:v>9815.3549201302158</c:v>
                </c:pt>
                <c:pt idx="11">
                  <c:v>9836.7605883956367</c:v>
                </c:pt>
                <c:pt idx="12">
                  <c:v>10243.468285438617</c:v>
                </c:pt>
                <c:pt idx="13">
                  <c:v>10300.550067479737</c:v>
                </c:pt>
                <c:pt idx="14">
                  <c:v>10336.226181255437</c:v>
                </c:pt>
                <c:pt idx="15">
                  <c:v>10464.660190847957</c:v>
                </c:pt>
                <c:pt idx="16">
                  <c:v>10521.741972889078</c:v>
                </c:pt>
                <c:pt idx="17">
                  <c:v>10800.015660339537</c:v>
                </c:pt>
                <c:pt idx="18">
                  <c:v>10800.015660339537</c:v>
                </c:pt>
                <c:pt idx="19">
                  <c:v>11156.77679809654</c:v>
                </c:pt>
                <c:pt idx="20">
                  <c:v>11356.563035240459</c:v>
                </c:pt>
                <c:pt idx="21">
                  <c:v>11356.563035240459</c:v>
                </c:pt>
                <c:pt idx="22">
                  <c:v>11677.648059221759</c:v>
                </c:pt>
                <c:pt idx="23">
                  <c:v>11699.05372748718</c:v>
                </c:pt>
                <c:pt idx="24">
                  <c:v>11727.594618507741</c:v>
                </c:pt>
                <c:pt idx="25">
                  <c:v>11784.67640054886</c:v>
                </c:pt>
                <c:pt idx="26">
                  <c:v>11941.651301161941</c:v>
                </c:pt>
                <c:pt idx="27">
                  <c:v>11948.786523917081</c:v>
                </c:pt>
                <c:pt idx="28">
                  <c:v>12098.62620177502</c:v>
                </c:pt>
                <c:pt idx="29">
                  <c:v>12227.060211367541</c:v>
                </c:pt>
                <c:pt idx="30">
                  <c:v>12462.522562287162</c:v>
                </c:pt>
                <c:pt idx="31">
                  <c:v>12640.903131165662</c:v>
                </c:pt>
                <c:pt idx="32">
                  <c:v>12726.525804227342</c:v>
                </c:pt>
                <c:pt idx="33">
                  <c:v>12869.230259330143</c:v>
                </c:pt>
                <c:pt idx="34">
                  <c:v>12876.365482085283</c:v>
                </c:pt>
                <c:pt idx="35">
                  <c:v>13154.639169535743</c:v>
                </c:pt>
                <c:pt idx="36">
                  <c:v>13268.802733617984</c:v>
                </c:pt>
                <c:pt idx="37">
                  <c:v>13297.343624638543</c:v>
                </c:pt>
                <c:pt idx="38">
                  <c:v>13333.019738414243</c:v>
                </c:pt>
                <c:pt idx="39">
                  <c:v>13340.154961169384</c:v>
                </c:pt>
                <c:pt idx="40">
                  <c:v>13604.158203109564</c:v>
                </c:pt>
                <c:pt idx="41">
                  <c:v>13725.456989946944</c:v>
                </c:pt>
                <c:pt idx="42">
                  <c:v>13746.862658212365</c:v>
                </c:pt>
                <c:pt idx="43">
                  <c:v>13753.997880967505</c:v>
                </c:pt>
                <c:pt idx="44">
                  <c:v>13796.809217498343</c:v>
                </c:pt>
                <c:pt idx="45">
                  <c:v>14610.224611584306</c:v>
                </c:pt>
                <c:pt idx="46">
                  <c:v>15123.960649954386</c:v>
                </c:pt>
                <c:pt idx="47">
                  <c:v>15552.074015262788</c:v>
                </c:pt>
                <c:pt idx="48">
                  <c:v>15894.564707509508</c:v>
                </c:pt>
                <c:pt idx="49">
                  <c:v>16151.432726694549</c:v>
                </c:pt>
              </c:numCache>
            </c:numRef>
          </c:yVal>
          <c:smooth val="0"/>
          <c:extLst>
            <c:ext xmlns:c16="http://schemas.microsoft.com/office/drawing/2014/chart" uri="{C3380CC4-5D6E-409C-BE32-E72D297353CC}">
              <c16:uniqueId val="{00000005-4103-4722-B516-8FFA8A15A7BB}"/>
            </c:ext>
          </c:extLst>
        </c:ser>
        <c:dLbls>
          <c:showLegendKey val="0"/>
          <c:showVal val="0"/>
          <c:showCatName val="0"/>
          <c:showSerName val="0"/>
          <c:showPercent val="0"/>
          <c:showBubbleSize val="0"/>
        </c:dLbls>
        <c:axId val="14900656"/>
        <c:axId val="480708592"/>
      </c:scatterChart>
      <c:valAx>
        <c:axId val="14900656"/>
        <c:scaling>
          <c:orientation val="minMax"/>
        </c:scaling>
        <c:delete val="0"/>
        <c:axPos val="b"/>
        <c:title>
          <c:tx>
            <c:rich>
              <a:bodyPr/>
              <a:lstStyle/>
              <a:p>
                <a:pPr>
                  <a:defRPr/>
                </a:pPr>
                <a:r>
                  <a:rPr lang="en-US"/>
                  <a:t>Gastos</a:t>
                </a:r>
              </a:p>
            </c:rich>
          </c:tx>
          <c:overlay val="0"/>
        </c:title>
        <c:numFmt formatCode="General" sourceLinked="1"/>
        <c:majorTickMark val="out"/>
        <c:minorTickMark val="none"/>
        <c:tickLblPos val="nextTo"/>
        <c:crossAx val="480708592"/>
        <c:crosses val="autoZero"/>
        <c:crossBetween val="midCat"/>
      </c:valAx>
      <c:valAx>
        <c:axId val="480708592"/>
        <c:scaling>
          <c:orientation val="minMax"/>
        </c:scaling>
        <c:delete val="0"/>
        <c:axPos val="l"/>
        <c:title>
          <c:tx>
            <c:rich>
              <a:bodyPr/>
              <a:lstStyle/>
              <a:p>
                <a:pPr>
                  <a:defRPr/>
                </a:pPr>
                <a:r>
                  <a:rPr lang="en-US"/>
                  <a:t>Ingresos</a:t>
                </a:r>
              </a:p>
            </c:rich>
          </c:tx>
          <c:overlay val="0"/>
        </c:title>
        <c:numFmt formatCode="General" sourceLinked="1"/>
        <c:majorTickMark val="out"/>
        <c:minorTickMark val="none"/>
        <c:tickLblPos val="nextTo"/>
        <c:crossAx val="1490065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result_regression!$F$25:$F$74</c:f>
              <c:numCache>
                <c:formatCode>General</c:formatCode>
                <c:ptCount val="50"/>
                <c:pt idx="0">
                  <c:v>1</c:v>
                </c:pt>
                <c:pt idx="1">
                  <c:v>3</c:v>
                </c:pt>
                <c:pt idx="2">
                  <c:v>5</c:v>
                </c:pt>
                <c:pt idx="3">
                  <c:v>7</c:v>
                </c:pt>
                <c:pt idx="4">
                  <c:v>9</c:v>
                </c:pt>
                <c:pt idx="5">
                  <c:v>11</c:v>
                </c:pt>
                <c:pt idx="6">
                  <c:v>13</c:v>
                </c:pt>
                <c:pt idx="7">
                  <c:v>15</c:v>
                </c:pt>
                <c:pt idx="8">
                  <c:v>17</c:v>
                </c:pt>
                <c:pt idx="9">
                  <c:v>19</c:v>
                </c:pt>
                <c:pt idx="10">
                  <c:v>21</c:v>
                </c:pt>
                <c:pt idx="11">
                  <c:v>23</c:v>
                </c:pt>
                <c:pt idx="12">
                  <c:v>25</c:v>
                </c:pt>
                <c:pt idx="13">
                  <c:v>27</c:v>
                </c:pt>
                <c:pt idx="14">
                  <c:v>29</c:v>
                </c:pt>
                <c:pt idx="15">
                  <c:v>31</c:v>
                </c:pt>
                <c:pt idx="16">
                  <c:v>33</c:v>
                </c:pt>
                <c:pt idx="17">
                  <c:v>35</c:v>
                </c:pt>
                <c:pt idx="18">
                  <c:v>37</c:v>
                </c:pt>
                <c:pt idx="19">
                  <c:v>39</c:v>
                </c:pt>
                <c:pt idx="20">
                  <c:v>41</c:v>
                </c:pt>
                <c:pt idx="21">
                  <c:v>43</c:v>
                </c:pt>
                <c:pt idx="22">
                  <c:v>45</c:v>
                </c:pt>
                <c:pt idx="23">
                  <c:v>47</c:v>
                </c:pt>
                <c:pt idx="24">
                  <c:v>49</c:v>
                </c:pt>
                <c:pt idx="25">
                  <c:v>51</c:v>
                </c:pt>
                <c:pt idx="26">
                  <c:v>53</c:v>
                </c:pt>
                <c:pt idx="27">
                  <c:v>55</c:v>
                </c:pt>
                <c:pt idx="28">
                  <c:v>57</c:v>
                </c:pt>
                <c:pt idx="29">
                  <c:v>59</c:v>
                </c:pt>
                <c:pt idx="30">
                  <c:v>61</c:v>
                </c:pt>
                <c:pt idx="31">
                  <c:v>63</c:v>
                </c:pt>
                <c:pt idx="32">
                  <c:v>65</c:v>
                </c:pt>
                <c:pt idx="33">
                  <c:v>67</c:v>
                </c:pt>
                <c:pt idx="34">
                  <c:v>69</c:v>
                </c:pt>
                <c:pt idx="35">
                  <c:v>71</c:v>
                </c:pt>
                <c:pt idx="36">
                  <c:v>73</c:v>
                </c:pt>
                <c:pt idx="37">
                  <c:v>75</c:v>
                </c:pt>
                <c:pt idx="38">
                  <c:v>77</c:v>
                </c:pt>
                <c:pt idx="39">
                  <c:v>79</c:v>
                </c:pt>
                <c:pt idx="40">
                  <c:v>81</c:v>
                </c:pt>
                <c:pt idx="41">
                  <c:v>83</c:v>
                </c:pt>
                <c:pt idx="42">
                  <c:v>85</c:v>
                </c:pt>
                <c:pt idx="43">
                  <c:v>87</c:v>
                </c:pt>
                <c:pt idx="44">
                  <c:v>89</c:v>
                </c:pt>
                <c:pt idx="45">
                  <c:v>91</c:v>
                </c:pt>
                <c:pt idx="46">
                  <c:v>93</c:v>
                </c:pt>
                <c:pt idx="47">
                  <c:v>95</c:v>
                </c:pt>
                <c:pt idx="48">
                  <c:v>97</c:v>
                </c:pt>
                <c:pt idx="49">
                  <c:v>99</c:v>
                </c:pt>
              </c:numCache>
            </c:numRef>
          </c:xVal>
          <c:yVal>
            <c:numRef>
              <c:f>result_regression!$G$25:$G$74</c:f>
              <c:numCache>
                <c:formatCode>General</c:formatCode>
                <c:ptCount val="50"/>
                <c:pt idx="0">
                  <c:v>8025</c:v>
                </c:pt>
                <c:pt idx="1">
                  <c:v>8700</c:v>
                </c:pt>
                <c:pt idx="2">
                  <c:v>8950</c:v>
                </c:pt>
                <c:pt idx="3">
                  <c:v>9050</c:v>
                </c:pt>
                <c:pt idx="4">
                  <c:v>9200</c:v>
                </c:pt>
                <c:pt idx="5">
                  <c:v>9202.7000000000007</c:v>
                </c:pt>
                <c:pt idx="6">
                  <c:v>9202.7000000000007</c:v>
                </c:pt>
                <c:pt idx="7">
                  <c:v>9625</c:v>
                </c:pt>
                <c:pt idx="8">
                  <c:v>9636.7999999999993</c:v>
                </c:pt>
                <c:pt idx="9">
                  <c:v>9636.7999999999993</c:v>
                </c:pt>
                <c:pt idx="10">
                  <c:v>9820</c:v>
                </c:pt>
                <c:pt idx="11">
                  <c:v>9925</c:v>
                </c:pt>
                <c:pt idx="12">
                  <c:v>9925</c:v>
                </c:pt>
                <c:pt idx="13">
                  <c:v>10100</c:v>
                </c:pt>
                <c:pt idx="14">
                  <c:v>10215.6</c:v>
                </c:pt>
                <c:pt idx="15">
                  <c:v>10230</c:v>
                </c:pt>
                <c:pt idx="16">
                  <c:v>10470</c:v>
                </c:pt>
                <c:pt idx="17">
                  <c:v>10750</c:v>
                </c:pt>
                <c:pt idx="18">
                  <c:v>11050</c:v>
                </c:pt>
                <c:pt idx="19">
                  <c:v>11050</c:v>
                </c:pt>
                <c:pt idx="20">
                  <c:v>11400</c:v>
                </c:pt>
                <c:pt idx="21">
                  <c:v>11590.25</c:v>
                </c:pt>
                <c:pt idx="22">
                  <c:v>11590.25</c:v>
                </c:pt>
                <c:pt idx="23">
                  <c:v>11590.25</c:v>
                </c:pt>
                <c:pt idx="24">
                  <c:v>11775</c:v>
                </c:pt>
                <c:pt idx="25">
                  <c:v>11879.65</c:v>
                </c:pt>
                <c:pt idx="26">
                  <c:v>11879.65</c:v>
                </c:pt>
                <c:pt idx="27">
                  <c:v>11879.65</c:v>
                </c:pt>
                <c:pt idx="28">
                  <c:v>12000</c:v>
                </c:pt>
                <c:pt idx="29">
                  <c:v>12350</c:v>
                </c:pt>
                <c:pt idx="30">
                  <c:v>12400</c:v>
                </c:pt>
                <c:pt idx="31">
                  <c:v>12458.45</c:v>
                </c:pt>
                <c:pt idx="32">
                  <c:v>12600</c:v>
                </c:pt>
                <c:pt idx="33">
                  <c:v>12603.15</c:v>
                </c:pt>
                <c:pt idx="34">
                  <c:v>13109.6</c:v>
                </c:pt>
                <c:pt idx="35">
                  <c:v>13109.6</c:v>
                </c:pt>
                <c:pt idx="36">
                  <c:v>13109.6</c:v>
                </c:pt>
                <c:pt idx="37">
                  <c:v>13254.3</c:v>
                </c:pt>
                <c:pt idx="38">
                  <c:v>13254.3</c:v>
                </c:pt>
                <c:pt idx="39">
                  <c:v>13619.999999999998</c:v>
                </c:pt>
                <c:pt idx="40">
                  <c:v>13760.749999999998</c:v>
                </c:pt>
                <c:pt idx="41">
                  <c:v>14100</c:v>
                </c:pt>
                <c:pt idx="42">
                  <c:v>14200</c:v>
                </c:pt>
                <c:pt idx="43">
                  <c:v>14300</c:v>
                </c:pt>
                <c:pt idx="44">
                  <c:v>14550</c:v>
                </c:pt>
                <c:pt idx="45">
                  <c:v>14600</c:v>
                </c:pt>
                <c:pt idx="46">
                  <c:v>15150</c:v>
                </c:pt>
                <c:pt idx="47">
                  <c:v>15300</c:v>
                </c:pt>
                <c:pt idx="48">
                  <c:v>15775</c:v>
                </c:pt>
                <c:pt idx="49">
                  <c:v>16400</c:v>
                </c:pt>
              </c:numCache>
            </c:numRef>
          </c:yVal>
          <c:smooth val="0"/>
          <c:extLst>
            <c:ext xmlns:c16="http://schemas.microsoft.com/office/drawing/2014/chart" uri="{C3380CC4-5D6E-409C-BE32-E72D297353CC}">
              <c16:uniqueId val="{00000001-EF44-4891-B8C0-75C5A7C1D606}"/>
            </c:ext>
          </c:extLst>
        </c:ser>
        <c:dLbls>
          <c:showLegendKey val="0"/>
          <c:showVal val="0"/>
          <c:showCatName val="0"/>
          <c:showSerName val="0"/>
          <c:showPercent val="0"/>
          <c:showBubbleSize val="0"/>
        </c:dLbls>
        <c:axId val="14891056"/>
        <c:axId val="316617488"/>
      </c:scatterChart>
      <c:valAx>
        <c:axId val="14891056"/>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316617488"/>
        <c:crosses val="autoZero"/>
        <c:crossBetween val="midCat"/>
      </c:valAx>
      <c:valAx>
        <c:axId val="316617488"/>
        <c:scaling>
          <c:orientation val="minMax"/>
        </c:scaling>
        <c:delete val="0"/>
        <c:axPos val="l"/>
        <c:title>
          <c:tx>
            <c:rich>
              <a:bodyPr/>
              <a:lstStyle/>
              <a:p>
                <a:pPr>
                  <a:defRPr/>
                </a:pPr>
                <a:r>
                  <a:rPr lang="en-US"/>
                  <a:t>Ingresos</a:t>
                </a:r>
              </a:p>
            </c:rich>
          </c:tx>
          <c:overlay val="0"/>
        </c:title>
        <c:numFmt formatCode="General" sourceLinked="1"/>
        <c:majorTickMark val="out"/>
        <c:minorTickMark val="none"/>
        <c:tickLblPos val="nextTo"/>
        <c:crossAx val="1489105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Errores estandarizados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s-CO"/>
        </a:p>
      </c:txPr>
    </c:title>
    <c:autoTitleDeleted val="0"/>
    <c:plotArea>
      <c:layout/>
      <c:scatterChart>
        <c:scatterStyle val="lineMarker"/>
        <c:varyColors val="0"/>
        <c:ser>
          <c:idx val="0"/>
          <c:order val="0"/>
          <c:tx>
            <c:strRef>
              <c:f>Ejemplo!$G$265</c:f>
              <c:strCache>
                <c:ptCount val="1"/>
                <c:pt idx="0">
                  <c:v>ez</c:v>
                </c:pt>
              </c:strCache>
            </c:strRef>
          </c:tx>
          <c:spPr>
            <a:ln w="19050" cap="rnd">
              <a:noFill/>
              <a:round/>
            </a:ln>
            <a:effectLst/>
          </c:spPr>
          <c:marker>
            <c:symbol val="circle"/>
            <c:size val="5"/>
            <c:spPr>
              <a:solidFill>
                <a:schemeClr val="accent1"/>
              </a:solidFill>
              <a:ln w="9525">
                <a:solidFill>
                  <a:schemeClr val="accent1"/>
                </a:solidFill>
              </a:ln>
              <a:effectLst/>
            </c:spPr>
          </c:marker>
          <c:yVal>
            <c:numRef>
              <c:f>Ejemplo!$G$266:$G$315</c:f>
              <c:numCache>
                <c:formatCode>0.00</c:formatCode>
                <c:ptCount val="50"/>
                <c:pt idx="0">
                  <c:v>0.27948072667326296</c:v>
                </c:pt>
                <c:pt idx="1">
                  <c:v>-0.43515281667004629</c:v>
                </c:pt>
                <c:pt idx="2">
                  <c:v>-0.30164848408105971</c:v>
                </c:pt>
                <c:pt idx="3">
                  <c:v>-0.26533785089270595</c:v>
                </c:pt>
                <c:pt idx="4">
                  <c:v>0.16906324849399215</c:v>
                </c:pt>
                <c:pt idx="5">
                  <c:v>0.35198645530459532</c:v>
                </c:pt>
                <c:pt idx="6">
                  <c:v>1.3326481688761904</c:v>
                </c:pt>
                <c:pt idx="7">
                  <c:v>0.15883143136768513</c:v>
                </c:pt>
                <c:pt idx="8">
                  <c:v>0.26858535545404949</c:v>
                </c:pt>
                <c:pt idx="9">
                  <c:v>-0.1873955007813157</c:v>
                </c:pt>
                <c:pt idx="10">
                  <c:v>-0.1873955007813157</c:v>
                </c:pt>
                <c:pt idx="11">
                  <c:v>-0.67208940476004131</c:v>
                </c:pt>
                <c:pt idx="12">
                  <c:v>1.0570303218783339</c:v>
                </c:pt>
                <c:pt idx="13">
                  <c:v>0.14518900853260597</c:v>
                </c:pt>
                <c:pt idx="14">
                  <c:v>0.88228732075965954</c:v>
                </c:pt>
                <c:pt idx="15">
                  <c:v>-9.1263211382746987E-3</c:v>
                </c:pt>
                <c:pt idx="16">
                  <c:v>0.72080341684196081</c:v>
                </c:pt>
                <c:pt idx="17">
                  <c:v>-3.0763712072606926</c:v>
                </c:pt>
                <c:pt idx="18">
                  <c:v>-1.0254392255917819</c:v>
                </c:pt>
                <c:pt idx="19">
                  <c:v>-1.4411611937242226</c:v>
                </c:pt>
                <c:pt idx="20">
                  <c:v>0.52394994447679477</c:v>
                </c:pt>
                <c:pt idx="21">
                  <c:v>0.52394994447679477</c:v>
                </c:pt>
                <c:pt idx="22">
                  <c:v>0.14937289566141973</c:v>
                </c:pt>
                <c:pt idx="23">
                  <c:v>-0.12980053265423377</c:v>
                </c:pt>
                <c:pt idx="24">
                  <c:v>0.23473705883970142</c:v>
                </c:pt>
                <c:pt idx="25">
                  <c:v>1.7683757671364444</c:v>
                </c:pt>
                <c:pt idx="26">
                  <c:v>0.1059670428817592</c:v>
                </c:pt>
                <c:pt idx="27">
                  <c:v>0.61277835291495375</c:v>
                </c:pt>
                <c:pt idx="28">
                  <c:v>0.37425441287064715</c:v>
                </c:pt>
                <c:pt idx="29">
                  <c:v>-4.0556150859008113</c:v>
                </c:pt>
                <c:pt idx="30">
                  <c:v>0.99619331602670469</c:v>
                </c:pt>
                <c:pt idx="31">
                  <c:v>0.49718544606273474</c:v>
                </c:pt>
                <c:pt idx="32">
                  <c:v>0.21086281887831521</c:v>
                </c:pt>
                <c:pt idx="33">
                  <c:v>0.80196612135582224</c:v>
                </c:pt>
                <c:pt idx="34">
                  <c:v>0.71426352320273767</c:v>
                </c:pt>
                <c:pt idx="35">
                  <c:v>7.697689435721948E-2</c:v>
                </c:pt>
                <c:pt idx="36">
                  <c:v>0.27209498162186557</c:v>
                </c:pt>
                <c:pt idx="37">
                  <c:v>7.3566288648450467E-2</c:v>
                </c:pt>
                <c:pt idx="38">
                  <c:v>0.13454069091865256</c:v>
                </c:pt>
                <c:pt idx="39">
                  <c:v>0.3940437861622697</c:v>
                </c:pt>
                <c:pt idx="40">
                  <c:v>-1.1892701628537978</c:v>
                </c:pt>
                <c:pt idx="41">
                  <c:v>-0.64013519819029352</c:v>
                </c:pt>
                <c:pt idx="42">
                  <c:v>0.2168222358393963</c:v>
                </c:pt>
                <c:pt idx="43">
                  <c:v>-0.76226667484654043</c:v>
                </c:pt>
                <c:pt idx="44">
                  <c:v>6.162916866775893E-2</c:v>
                </c:pt>
                <c:pt idx="45">
                  <c:v>-0.92253550584959021</c:v>
                </c:pt>
                <c:pt idx="46">
                  <c:v>-0.30087061086730138</c:v>
                </c:pt>
                <c:pt idx="47">
                  <c:v>1.7126547049181928</c:v>
                </c:pt>
                <c:pt idx="48">
                  <c:v>0.20434923542511502</c:v>
                </c:pt>
                <c:pt idx="49">
                  <c:v>-0.42482880868199124</c:v>
                </c:pt>
              </c:numCache>
            </c:numRef>
          </c:yVal>
          <c:smooth val="0"/>
          <c:extLst>
            <c:ext xmlns:c16="http://schemas.microsoft.com/office/drawing/2014/chart" uri="{C3380CC4-5D6E-409C-BE32-E72D297353CC}">
              <c16:uniqueId val="{00000000-0D54-43BE-B927-13741F620207}"/>
            </c:ext>
          </c:extLst>
        </c:ser>
        <c:dLbls>
          <c:showLegendKey val="0"/>
          <c:showVal val="0"/>
          <c:showCatName val="0"/>
          <c:showSerName val="0"/>
          <c:showPercent val="0"/>
          <c:showBubbleSize val="0"/>
        </c:dLbls>
        <c:axId val="1238654767"/>
        <c:axId val="2103099839"/>
      </c:scatterChart>
      <c:valAx>
        <c:axId val="1238654767"/>
        <c:scaling>
          <c:orientation val="minMax"/>
        </c:scaling>
        <c:delete val="0"/>
        <c:axPos val="b"/>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103099839"/>
        <c:crosses val="autoZero"/>
        <c:crossBetween val="midCat"/>
      </c:valAx>
      <c:valAx>
        <c:axId val="21030998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386547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Ejemplo!$D$328</c:f>
              <c:strCache>
                <c:ptCount val="1"/>
                <c:pt idx="0">
                  <c:v>Y</c:v>
                </c:pt>
              </c:strCache>
            </c:strRef>
          </c:tx>
          <c:spPr>
            <a:ln w="25400" cap="rnd">
              <a:noFill/>
              <a:round/>
            </a:ln>
            <a:effectLst/>
          </c:spPr>
          <c:marker>
            <c:symbol val="circle"/>
            <c:size val="5"/>
            <c:spPr>
              <a:solidFill>
                <a:schemeClr val="accent1"/>
              </a:solidFill>
              <a:ln w="9525">
                <a:solidFill>
                  <a:schemeClr val="accent1"/>
                </a:solidFill>
              </a:ln>
              <a:effectLst/>
            </c:spPr>
          </c:marker>
          <c:xVal>
            <c:numRef>
              <c:f>Ejemplo!$C$329:$C$378</c:f>
              <c:numCache>
                <c:formatCode>0.00</c:formatCode>
                <c:ptCount val="50"/>
                <c:pt idx="0">
                  <c:v>264</c:v>
                </c:pt>
                <c:pt idx="1">
                  <c:v>300</c:v>
                </c:pt>
                <c:pt idx="2">
                  <c:v>360</c:v>
                </c:pt>
                <c:pt idx="3">
                  <c:v>384</c:v>
                </c:pt>
                <c:pt idx="4">
                  <c:v>420</c:v>
                </c:pt>
                <c:pt idx="5">
                  <c:v>435</c:v>
                </c:pt>
                <c:pt idx="6">
                  <c:v>480</c:v>
                </c:pt>
                <c:pt idx="7">
                  <c:v>480</c:v>
                </c:pt>
                <c:pt idx="8">
                  <c:v>489</c:v>
                </c:pt>
                <c:pt idx="9">
                  <c:v>492</c:v>
                </c:pt>
                <c:pt idx="10">
                  <c:v>492</c:v>
                </c:pt>
                <c:pt idx="11">
                  <c:v>495</c:v>
                </c:pt>
                <c:pt idx="12">
                  <c:v>552</c:v>
                </c:pt>
                <c:pt idx="13">
                  <c:v>560</c:v>
                </c:pt>
                <c:pt idx="14">
                  <c:v>565</c:v>
                </c:pt>
                <c:pt idx="15">
                  <c:v>583</c:v>
                </c:pt>
                <c:pt idx="16">
                  <c:v>591</c:v>
                </c:pt>
                <c:pt idx="17">
                  <c:v>630</c:v>
                </c:pt>
                <c:pt idx="18">
                  <c:v>630</c:v>
                </c:pt>
                <c:pt idx="19">
                  <c:v>680</c:v>
                </c:pt>
                <c:pt idx="20">
                  <c:v>708</c:v>
                </c:pt>
                <c:pt idx="21">
                  <c:v>708</c:v>
                </c:pt>
                <c:pt idx="22">
                  <c:v>753</c:v>
                </c:pt>
                <c:pt idx="23">
                  <c:v>756</c:v>
                </c:pt>
                <c:pt idx="24">
                  <c:v>760</c:v>
                </c:pt>
                <c:pt idx="25">
                  <c:v>768</c:v>
                </c:pt>
                <c:pt idx="26">
                  <c:v>790</c:v>
                </c:pt>
                <c:pt idx="27">
                  <c:v>791</c:v>
                </c:pt>
                <c:pt idx="28">
                  <c:v>812</c:v>
                </c:pt>
                <c:pt idx="29">
                  <c:v>830</c:v>
                </c:pt>
                <c:pt idx="30">
                  <c:v>863</c:v>
                </c:pt>
                <c:pt idx="31">
                  <c:v>888</c:v>
                </c:pt>
                <c:pt idx="32">
                  <c:v>900</c:v>
                </c:pt>
                <c:pt idx="33">
                  <c:v>920</c:v>
                </c:pt>
                <c:pt idx="34">
                  <c:v>921</c:v>
                </c:pt>
                <c:pt idx="35">
                  <c:v>960</c:v>
                </c:pt>
                <c:pt idx="36">
                  <c:v>976</c:v>
                </c:pt>
                <c:pt idx="37">
                  <c:v>980</c:v>
                </c:pt>
                <c:pt idx="38">
                  <c:v>985</c:v>
                </c:pt>
                <c:pt idx="39">
                  <c:v>986</c:v>
                </c:pt>
                <c:pt idx="40">
                  <c:v>1023</c:v>
                </c:pt>
                <c:pt idx="41">
                  <c:v>1040</c:v>
                </c:pt>
                <c:pt idx="42">
                  <c:v>1043</c:v>
                </c:pt>
                <c:pt idx="43">
                  <c:v>1044</c:v>
                </c:pt>
                <c:pt idx="44">
                  <c:v>1050</c:v>
                </c:pt>
                <c:pt idx="45">
                  <c:v>1164</c:v>
                </c:pt>
                <c:pt idx="46">
                  <c:v>1236</c:v>
                </c:pt>
                <c:pt idx="47">
                  <c:v>1296</c:v>
                </c:pt>
                <c:pt idx="48">
                  <c:v>1344</c:v>
                </c:pt>
                <c:pt idx="49">
                  <c:v>1380</c:v>
                </c:pt>
              </c:numCache>
            </c:numRef>
          </c:xVal>
          <c:yVal>
            <c:numRef>
              <c:f>Ejemplo!$D$329:$D$378</c:f>
              <c:numCache>
                <c:formatCode>0.00</c:formatCode>
                <c:ptCount val="50"/>
                <c:pt idx="0">
                  <c:v>26740.141732714066</c:v>
                </c:pt>
                <c:pt idx="1">
                  <c:v>64825.156699417668</c:v>
                </c:pt>
                <c:pt idx="2">
                  <c:v>31150.302722968365</c:v>
                </c:pt>
                <c:pt idx="3">
                  <c:v>24102.294671176696</c:v>
                </c:pt>
                <c:pt idx="4">
                  <c:v>9784.9451686759803</c:v>
                </c:pt>
                <c:pt idx="5">
                  <c:v>42414.258697343801</c:v>
                </c:pt>
                <c:pt idx="6">
                  <c:v>607982.37711855094</c:v>
                </c:pt>
                <c:pt idx="7">
                  <c:v>8636.4025452078531</c:v>
                </c:pt>
                <c:pt idx="8">
                  <c:v>24695.887361666104</c:v>
                </c:pt>
                <c:pt idx="9">
                  <c:v>12022.043539650966</c:v>
                </c:pt>
                <c:pt idx="10">
                  <c:v>12022.043539650966</c:v>
                </c:pt>
                <c:pt idx="11">
                  <c:v>154637.23483894445</c:v>
                </c:pt>
                <c:pt idx="12">
                  <c:v>382503.02009338536</c:v>
                </c:pt>
                <c:pt idx="13">
                  <c:v>7216.5139648120748</c:v>
                </c:pt>
                <c:pt idx="14">
                  <c:v>266489.47021357319</c:v>
                </c:pt>
                <c:pt idx="15">
                  <c:v>28.51356178022294</c:v>
                </c:pt>
                <c:pt idx="16">
                  <c:v>177866.29169637195</c:v>
                </c:pt>
                <c:pt idx="17">
                  <c:v>3239943.6230228995</c:v>
                </c:pt>
                <c:pt idx="18">
                  <c:v>359981.20783779729</c:v>
                </c:pt>
                <c:pt idx="19">
                  <c:v>711025.36822832329</c:v>
                </c:pt>
                <c:pt idx="20">
                  <c:v>93980.894575843835</c:v>
                </c:pt>
                <c:pt idx="21">
                  <c:v>93980.894575843835</c:v>
                </c:pt>
                <c:pt idx="22">
                  <c:v>7638.4207557304935</c:v>
                </c:pt>
                <c:pt idx="23">
                  <c:v>5767.8363085911869</c:v>
                </c:pt>
                <c:pt idx="24">
                  <c:v>18863.544233036901</c:v>
                </c:pt>
                <c:pt idx="25">
                  <c:v>1070555.2538527495</c:v>
                </c:pt>
                <c:pt idx="26">
                  <c:v>3844.1613457737349</c:v>
                </c:pt>
                <c:pt idx="27">
                  <c:v>128548.43898254458</c:v>
                </c:pt>
                <c:pt idx="28">
                  <c:v>47950.576943815046</c:v>
                </c:pt>
                <c:pt idx="29">
                  <c:v>5630843.2404750576</c:v>
                </c:pt>
                <c:pt idx="30">
                  <c:v>339740.42386720213</c:v>
                </c:pt>
                <c:pt idx="31">
                  <c:v>84624.63172198621</c:v>
                </c:pt>
                <c:pt idx="32">
                  <c:v>15221.589068743442</c:v>
                </c:pt>
                <c:pt idx="33">
                  <c:v>220177.03627103314</c:v>
                </c:pt>
                <c:pt idx="34">
                  <c:v>174653.35016657354</c:v>
                </c:pt>
                <c:pt idx="35">
                  <c:v>2028.526792469399</c:v>
                </c:pt>
                <c:pt idx="36">
                  <c:v>25345.510391438627</c:v>
                </c:pt>
                <c:pt idx="37">
                  <c:v>1852.753622023821</c:v>
                </c:pt>
                <c:pt idx="38">
                  <c:v>6196.7972160069539</c:v>
                </c:pt>
                <c:pt idx="39">
                  <c:v>53155.590119816217</c:v>
                </c:pt>
                <c:pt idx="40">
                  <c:v>484195.8062997107</c:v>
                </c:pt>
                <c:pt idx="41">
                  <c:v>140282.46637960337</c:v>
                </c:pt>
                <c:pt idx="42">
                  <c:v>16094.134048707854</c:v>
                </c:pt>
                <c:pt idx="43">
                  <c:v>198917.89018147593</c:v>
                </c:pt>
                <c:pt idx="44">
                  <c:v>1300.2671665929415</c:v>
                </c:pt>
                <c:pt idx="45">
                  <c:v>291357.46993931493</c:v>
                </c:pt>
                <c:pt idx="46">
                  <c:v>30989.852764482825</c:v>
                </c:pt>
                <c:pt idx="47">
                  <c:v>1004152.3320648858</c:v>
                </c:pt>
                <c:pt idx="48">
                  <c:v>14295.719281834095</c:v>
                </c:pt>
                <c:pt idx="49">
                  <c:v>61785.689358507545</c:v>
                </c:pt>
              </c:numCache>
            </c:numRef>
          </c:yVal>
          <c:smooth val="0"/>
          <c:extLst>
            <c:ext xmlns:c16="http://schemas.microsoft.com/office/drawing/2014/chart" uri="{C3380CC4-5D6E-409C-BE32-E72D297353CC}">
              <c16:uniqueId val="{00000000-D4EB-45B5-AE9B-9CA2700325F3}"/>
            </c:ext>
          </c:extLst>
        </c:ser>
        <c:dLbls>
          <c:showLegendKey val="0"/>
          <c:showVal val="0"/>
          <c:showCatName val="0"/>
          <c:showSerName val="0"/>
          <c:showPercent val="0"/>
          <c:showBubbleSize val="0"/>
        </c:dLbls>
        <c:axId val="1251442783"/>
        <c:axId val="2099526095"/>
      </c:scatterChart>
      <c:valAx>
        <c:axId val="125144278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99526095"/>
        <c:crosses val="autoZero"/>
        <c:crossBetween val="midCat"/>
      </c:valAx>
      <c:valAx>
        <c:axId val="20995260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51442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Sheet1!$F$4</c:f>
              <c:strCache>
                <c:ptCount val="1"/>
                <c:pt idx="0">
                  <c:v>precio</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Sheet1!$E$5:$E$104</c:f>
              <c:numCache>
                <c:formatCode>General</c:formatCode>
                <c:ptCount val="100"/>
                <c:pt idx="0">
                  <c:v>4776</c:v>
                </c:pt>
                <c:pt idx="1">
                  <c:v>6904</c:v>
                </c:pt>
                <c:pt idx="2">
                  <c:v>7449</c:v>
                </c:pt>
                <c:pt idx="3">
                  <c:v>3099</c:v>
                </c:pt>
                <c:pt idx="4">
                  <c:v>1721</c:v>
                </c:pt>
                <c:pt idx="5">
                  <c:v>8731</c:v>
                </c:pt>
                <c:pt idx="6">
                  <c:v>7647</c:v>
                </c:pt>
                <c:pt idx="7">
                  <c:v>4094</c:v>
                </c:pt>
                <c:pt idx="8">
                  <c:v>3291</c:v>
                </c:pt>
                <c:pt idx="9">
                  <c:v>3048</c:v>
                </c:pt>
                <c:pt idx="10">
                  <c:v>6680</c:v>
                </c:pt>
                <c:pt idx="11">
                  <c:v>1045</c:v>
                </c:pt>
                <c:pt idx="12">
                  <c:v>6778</c:v>
                </c:pt>
                <c:pt idx="13">
                  <c:v>5865</c:v>
                </c:pt>
                <c:pt idx="14">
                  <c:v>1113</c:v>
                </c:pt>
                <c:pt idx="15">
                  <c:v>4248</c:v>
                </c:pt>
                <c:pt idx="16">
                  <c:v>3974</c:v>
                </c:pt>
                <c:pt idx="17">
                  <c:v>1749</c:v>
                </c:pt>
                <c:pt idx="18">
                  <c:v>4391</c:v>
                </c:pt>
                <c:pt idx="19">
                  <c:v>6681</c:v>
                </c:pt>
                <c:pt idx="20">
                  <c:v>1395</c:v>
                </c:pt>
                <c:pt idx="21">
                  <c:v>1254</c:v>
                </c:pt>
                <c:pt idx="22">
                  <c:v>4353</c:v>
                </c:pt>
                <c:pt idx="23">
                  <c:v>3408</c:v>
                </c:pt>
                <c:pt idx="24">
                  <c:v>4633</c:v>
                </c:pt>
                <c:pt idx="25">
                  <c:v>6117</c:v>
                </c:pt>
                <c:pt idx="26">
                  <c:v>4618</c:v>
                </c:pt>
                <c:pt idx="27">
                  <c:v>2157</c:v>
                </c:pt>
                <c:pt idx="28">
                  <c:v>6769</c:v>
                </c:pt>
                <c:pt idx="29">
                  <c:v>2300</c:v>
                </c:pt>
                <c:pt idx="30">
                  <c:v>1404</c:v>
                </c:pt>
                <c:pt idx="31">
                  <c:v>8799</c:v>
                </c:pt>
                <c:pt idx="32">
                  <c:v>9185</c:v>
                </c:pt>
                <c:pt idx="33">
                  <c:v>1635</c:v>
                </c:pt>
                <c:pt idx="34">
                  <c:v>1026</c:v>
                </c:pt>
                <c:pt idx="35">
                  <c:v>6705</c:v>
                </c:pt>
                <c:pt idx="36">
                  <c:v>2106</c:v>
                </c:pt>
                <c:pt idx="37">
                  <c:v>8750</c:v>
                </c:pt>
                <c:pt idx="38">
                  <c:v>5690</c:v>
                </c:pt>
                <c:pt idx="39">
                  <c:v>3190</c:v>
                </c:pt>
                <c:pt idx="40">
                  <c:v>1271</c:v>
                </c:pt>
                <c:pt idx="41">
                  <c:v>6082</c:v>
                </c:pt>
                <c:pt idx="42">
                  <c:v>6887</c:v>
                </c:pt>
                <c:pt idx="43">
                  <c:v>5917</c:v>
                </c:pt>
                <c:pt idx="44">
                  <c:v>1092</c:v>
                </c:pt>
                <c:pt idx="45">
                  <c:v>1420</c:v>
                </c:pt>
                <c:pt idx="46">
                  <c:v>5595</c:v>
                </c:pt>
                <c:pt idx="47">
                  <c:v>8502</c:v>
                </c:pt>
                <c:pt idx="48">
                  <c:v>8757</c:v>
                </c:pt>
                <c:pt idx="49">
                  <c:v>1922</c:v>
                </c:pt>
                <c:pt idx="50">
                  <c:v>974</c:v>
                </c:pt>
                <c:pt idx="51">
                  <c:v>7922</c:v>
                </c:pt>
                <c:pt idx="52">
                  <c:v>6070</c:v>
                </c:pt>
                <c:pt idx="53">
                  <c:v>9181</c:v>
                </c:pt>
                <c:pt idx="54">
                  <c:v>7147</c:v>
                </c:pt>
                <c:pt idx="55">
                  <c:v>2573</c:v>
                </c:pt>
                <c:pt idx="56">
                  <c:v>1255</c:v>
                </c:pt>
                <c:pt idx="57">
                  <c:v>6664</c:v>
                </c:pt>
                <c:pt idx="58">
                  <c:v>1681</c:v>
                </c:pt>
                <c:pt idx="59">
                  <c:v>8752</c:v>
                </c:pt>
                <c:pt idx="60">
                  <c:v>6213</c:v>
                </c:pt>
                <c:pt idx="61">
                  <c:v>3662</c:v>
                </c:pt>
                <c:pt idx="62">
                  <c:v>8307</c:v>
                </c:pt>
                <c:pt idx="63">
                  <c:v>6322</c:v>
                </c:pt>
                <c:pt idx="64">
                  <c:v>7277</c:v>
                </c:pt>
                <c:pt idx="65">
                  <c:v>5117</c:v>
                </c:pt>
                <c:pt idx="66">
                  <c:v>7863</c:v>
                </c:pt>
                <c:pt idx="67">
                  <c:v>5004</c:v>
                </c:pt>
                <c:pt idx="68">
                  <c:v>6484</c:v>
                </c:pt>
                <c:pt idx="69">
                  <c:v>7594</c:v>
                </c:pt>
                <c:pt idx="70">
                  <c:v>2520</c:v>
                </c:pt>
                <c:pt idx="71">
                  <c:v>2248</c:v>
                </c:pt>
                <c:pt idx="72">
                  <c:v>7679</c:v>
                </c:pt>
                <c:pt idx="73">
                  <c:v>3698</c:v>
                </c:pt>
                <c:pt idx="74">
                  <c:v>6061</c:v>
                </c:pt>
                <c:pt idx="75">
                  <c:v>4358</c:v>
                </c:pt>
                <c:pt idx="76">
                  <c:v>5182</c:v>
                </c:pt>
                <c:pt idx="77">
                  <c:v>6685</c:v>
                </c:pt>
                <c:pt idx="78">
                  <c:v>5342</c:v>
                </c:pt>
                <c:pt idx="79">
                  <c:v>6026</c:v>
                </c:pt>
                <c:pt idx="80">
                  <c:v>4720</c:v>
                </c:pt>
                <c:pt idx="81">
                  <c:v>9276</c:v>
                </c:pt>
                <c:pt idx="82">
                  <c:v>5618</c:v>
                </c:pt>
                <c:pt idx="83">
                  <c:v>5808</c:v>
                </c:pt>
                <c:pt idx="84">
                  <c:v>3697</c:v>
                </c:pt>
                <c:pt idx="85">
                  <c:v>7635</c:v>
                </c:pt>
                <c:pt idx="86">
                  <c:v>2156</c:v>
                </c:pt>
                <c:pt idx="87">
                  <c:v>7096</c:v>
                </c:pt>
                <c:pt idx="88">
                  <c:v>5887</c:v>
                </c:pt>
                <c:pt idx="89">
                  <c:v>3383</c:v>
                </c:pt>
                <c:pt idx="90">
                  <c:v>8539</c:v>
                </c:pt>
                <c:pt idx="91">
                  <c:v>8860</c:v>
                </c:pt>
                <c:pt idx="92">
                  <c:v>5415</c:v>
                </c:pt>
                <c:pt idx="93">
                  <c:v>5217</c:v>
                </c:pt>
                <c:pt idx="94">
                  <c:v>5865</c:v>
                </c:pt>
                <c:pt idx="95">
                  <c:v>8191</c:v>
                </c:pt>
                <c:pt idx="96">
                  <c:v>4442</c:v>
                </c:pt>
                <c:pt idx="97">
                  <c:v>5396</c:v>
                </c:pt>
                <c:pt idx="98">
                  <c:v>9369</c:v>
                </c:pt>
                <c:pt idx="99">
                  <c:v>4730</c:v>
                </c:pt>
              </c:numCache>
            </c:numRef>
          </c:xVal>
          <c:yVal>
            <c:numRef>
              <c:f>Sheet1!$F$5:$F$104</c:f>
              <c:numCache>
                <c:formatCode>General</c:formatCode>
                <c:ptCount val="100"/>
                <c:pt idx="0">
                  <c:v>930</c:v>
                </c:pt>
                <c:pt idx="1">
                  <c:v>760</c:v>
                </c:pt>
                <c:pt idx="2">
                  <c:v>820</c:v>
                </c:pt>
                <c:pt idx="3">
                  <c:v>1110</c:v>
                </c:pt>
                <c:pt idx="4">
                  <c:v>1310</c:v>
                </c:pt>
                <c:pt idx="5">
                  <c:v>560</c:v>
                </c:pt>
                <c:pt idx="6">
                  <c:v>710</c:v>
                </c:pt>
                <c:pt idx="7">
                  <c:v>1070</c:v>
                </c:pt>
                <c:pt idx="8">
                  <c:v>1070</c:v>
                </c:pt>
                <c:pt idx="9">
                  <c:v>1220</c:v>
                </c:pt>
                <c:pt idx="10">
                  <c:v>910</c:v>
                </c:pt>
                <c:pt idx="11">
                  <c:v>1220</c:v>
                </c:pt>
                <c:pt idx="12">
                  <c:v>850</c:v>
                </c:pt>
                <c:pt idx="13">
                  <c:v>850</c:v>
                </c:pt>
                <c:pt idx="14">
                  <c:v>1300</c:v>
                </c:pt>
                <c:pt idx="15">
                  <c:v>1020</c:v>
                </c:pt>
                <c:pt idx="16">
                  <c:v>1110</c:v>
                </c:pt>
                <c:pt idx="17">
                  <c:v>1200</c:v>
                </c:pt>
                <c:pt idx="18">
                  <c:v>1010</c:v>
                </c:pt>
                <c:pt idx="19">
                  <c:v>850</c:v>
                </c:pt>
                <c:pt idx="20">
                  <c:v>1260</c:v>
                </c:pt>
                <c:pt idx="21">
                  <c:v>1240</c:v>
                </c:pt>
                <c:pt idx="22">
                  <c:v>1070</c:v>
                </c:pt>
                <c:pt idx="23">
                  <c:v>1180</c:v>
                </c:pt>
                <c:pt idx="24">
                  <c:v>1040</c:v>
                </c:pt>
                <c:pt idx="25">
                  <c:v>800</c:v>
                </c:pt>
                <c:pt idx="26">
                  <c:v>1010</c:v>
                </c:pt>
                <c:pt idx="27">
                  <c:v>1280</c:v>
                </c:pt>
                <c:pt idx="28">
                  <c:v>780</c:v>
                </c:pt>
                <c:pt idx="29">
                  <c:v>1140</c:v>
                </c:pt>
                <c:pt idx="30">
                  <c:v>1190</c:v>
                </c:pt>
                <c:pt idx="31">
                  <c:v>640</c:v>
                </c:pt>
                <c:pt idx="32">
                  <c:v>530</c:v>
                </c:pt>
                <c:pt idx="33">
                  <c:v>1180</c:v>
                </c:pt>
                <c:pt idx="34">
                  <c:v>1220</c:v>
                </c:pt>
                <c:pt idx="35">
                  <c:v>880</c:v>
                </c:pt>
                <c:pt idx="36">
                  <c:v>1230</c:v>
                </c:pt>
                <c:pt idx="37">
                  <c:v>610</c:v>
                </c:pt>
                <c:pt idx="38">
                  <c:v>870</c:v>
                </c:pt>
                <c:pt idx="39">
                  <c:v>1040</c:v>
                </c:pt>
                <c:pt idx="40">
                  <c:v>1340</c:v>
                </c:pt>
                <c:pt idx="41">
                  <c:v>790</c:v>
                </c:pt>
                <c:pt idx="42">
                  <c:v>870</c:v>
                </c:pt>
                <c:pt idx="43">
                  <c:v>820</c:v>
                </c:pt>
                <c:pt idx="44">
                  <c:v>1220</c:v>
                </c:pt>
                <c:pt idx="45">
                  <c:v>1300</c:v>
                </c:pt>
                <c:pt idx="46">
                  <c:v>850</c:v>
                </c:pt>
                <c:pt idx="47">
                  <c:v>680</c:v>
                </c:pt>
                <c:pt idx="48">
                  <c:v>570</c:v>
                </c:pt>
                <c:pt idx="49">
                  <c:v>1260</c:v>
                </c:pt>
                <c:pt idx="50">
                  <c:v>1380</c:v>
                </c:pt>
                <c:pt idx="51">
                  <c:v>680</c:v>
                </c:pt>
                <c:pt idx="52">
                  <c:v>810</c:v>
                </c:pt>
                <c:pt idx="53">
                  <c:v>640</c:v>
                </c:pt>
                <c:pt idx="54">
                  <c:v>750</c:v>
                </c:pt>
                <c:pt idx="55">
                  <c:v>1150</c:v>
                </c:pt>
                <c:pt idx="56">
                  <c:v>1280</c:v>
                </c:pt>
                <c:pt idx="57">
                  <c:v>830</c:v>
                </c:pt>
                <c:pt idx="58">
                  <c:v>1220</c:v>
                </c:pt>
                <c:pt idx="59">
                  <c:v>630</c:v>
                </c:pt>
                <c:pt idx="60">
                  <c:v>900</c:v>
                </c:pt>
                <c:pt idx="61">
                  <c:v>1080</c:v>
                </c:pt>
                <c:pt idx="62">
                  <c:v>610</c:v>
                </c:pt>
                <c:pt idx="63">
                  <c:v>820</c:v>
                </c:pt>
                <c:pt idx="64">
                  <c:v>830</c:v>
                </c:pt>
                <c:pt idx="65">
                  <c:v>940</c:v>
                </c:pt>
                <c:pt idx="66">
                  <c:v>680</c:v>
                </c:pt>
                <c:pt idx="67">
                  <c:v>1010</c:v>
                </c:pt>
                <c:pt idx="68">
                  <c:v>800</c:v>
                </c:pt>
                <c:pt idx="69">
                  <c:v>680</c:v>
                </c:pt>
                <c:pt idx="70">
                  <c:v>1100</c:v>
                </c:pt>
                <c:pt idx="71">
                  <c:v>1240</c:v>
                </c:pt>
                <c:pt idx="72">
                  <c:v>710</c:v>
                </c:pt>
                <c:pt idx="73">
                  <c:v>1060</c:v>
                </c:pt>
                <c:pt idx="74">
                  <c:v>800</c:v>
                </c:pt>
                <c:pt idx="75">
                  <c:v>1030</c:v>
                </c:pt>
                <c:pt idx="76">
                  <c:v>950</c:v>
                </c:pt>
                <c:pt idx="77">
                  <c:v>760</c:v>
                </c:pt>
                <c:pt idx="78">
                  <c:v>880</c:v>
                </c:pt>
                <c:pt idx="79">
                  <c:v>970</c:v>
                </c:pt>
                <c:pt idx="80">
                  <c:v>1050</c:v>
                </c:pt>
                <c:pt idx="81">
                  <c:v>550</c:v>
                </c:pt>
                <c:pt idx="82">
                  <c:v>900</c:v>
                </c:pt>
                <c:pt idx="83">
                  <c:v>830</c:v>
                </c:pt>
                <c:pt idx="84">
                  <c:v>1120</c:v>
                </c:pt>
                <c:pt idx="85">
                  <c:v>820</c:v>
                </c:pt>
                <c:pt idx="86">
                  <c:v>1180</c:v>
                </c:pt>
                <c:pt idx="87">
                  <c:v>800</c:v>
                </c:pt>
                <c:pt idx="88">
                  <c:v>810</c:v>
                </c:pt>
                <c:pt idx="89">
                  <c:v>1130</c:v>
                </c:pt>
                <c:pt idx="90">
                  <c:v>600</c:v>
                </c:pt>
                <c:pt idx="91">
                  <c:v>640</c:v>
                </c:pt>
                <c:pt idx="92">
                  <c:v>890</c:v>
                </c:pt>
                <c:pt idx="93">
                  <c:v>840</c:v>
                </c:pt>
                <c:pt idx="94">
                  <c:v>850</c:v>
                </c:pt>
                <c:pt idx="95">
                  <c:v>670</c:v>
                </c:pt>
                <c:pt idx="96">
                  <c:v>1010</c:v>
                </c:pt>
                <c:pt idx="97">
                  <c:v>980</c:v>
                </c:pt>
                <c:pt idx="98">
                  <c:v>580</c:v>
                </c:pt>
                <c:pt idx="99">
                  <c:v>920</c:v>
                </c:pt>
              </c:numCache>
            </c:numRef>
          </c:yVal>
          <c:smooth val="0"/>
          <c:extLst>
            <c:ext xmlns:c16="http://schemas.microsoft.com/office/drawing/2014/chart" uri="{C3380CC4-5D6E-409C-BE32-E72D297353CC}">
              <c16:uniqueId val="{00000000-3F56-43F5-AAEA-D124ACB8E815}"/>
            </c:ext>
          </c:extLst>
        </c:ser>
        <c:ser>
          <c:idx val="1"/>
          <c:order val="1"/>
          <c:tx>
            <c:strRef>
              <c:f>Sheet1!$G$4</c:f>
              <c:strCache>
                <c:ptCount val="1"/>
                <c:pt idx="0">
                  <c:v>inversión en publicidad </c:v>
                </c:pt>
              </c:strCache>
            </c:strRef>
          </c:tx>
          <c:spPr>
            <a:ln w="19050" cap="rnd">
              <a:noFill/>
              <a:round/>
            </a:ln>
            <a:effectLst/>
          </c:spPr>
          <c:marker>
            <c:symbol val="circle"/>
            <c:size val="5"/>
            <c:spPr>
              <a:solidFill>
                <a:schemeClr val="accent2"/>
              </a:solidFill>
              <a:ln w="9525">
                <a:solidFill>
                  <a:schemeClr val="accent2"/>
                </a:solidFill>
              </a:ln>
              <a:effectLst/>
            </c:spPr>
          </c:marker>
          <c:xVal>
            <c:numRef>
              <c:f>Sheet1!$E$5:$E$104</c:f>
              <c:numCache>
                <c:formatCode>General</c:formatCode>
                <c:ptCount val="100"/>
                <c:pt idx="0">
                  <c:v>4776</c:v>
                </c:pt>
                <c:pt idx="1">
                  <c:v>6904</c:v>
                </c:pt>
                <c:pt idx="2">
                  <c:v>7449</c:v>
                </c:pt>
                <c:pt idx="3">
                  <c:v>3099</c:v>
                </c:pt>
                <c:pt idx="4">
                  <c:v>1721</c:v>
                </c:pt>
                <c:pt idx="5">
                  <c:v>8731</c:v>
                </c:pt>
                <c:pt idx="6">
                  <c:v>7647</c:v>
                </c:pt>
                <c:pt idx="7">
                  <c:v>4094</c:v>
                </c:pt>
                <c:pt idx="8">
                  <c:v>3291</c:v>
                </c:pt>
                <c:pt idx="9">
                  <c:v>3048</c:v>
                </c:pt>
                <c:pt idx="10">
                  <c:v>6680</c:v>
                </c:pt>
                <c:pt idx="11">
                  <c:v>1045</c:v>
                </c:pt>
                <c:pt idx="12">
                  <c:v>6778</c:v>
                </c:pt>
                <c:pt idx="13">
                  <c:v>5865</c:v>
                </c:pt>
                <c:pt idx="14">
                  <c:v>1113</c:v>
                </c:pt>
                <c:pt idx="15">
                  <c:v>4248</c:v>
                </c:pt>
                <c:pt idx="16">
                  <c:v>3974</c:v>
                </c:pt>
                <c:pt idx="17">
                  <c:v>1749</c:v>
                </c:pt>
                <c:pt idx="18">
                  <c:v>4391</c:v>
                </c:pt>
                <c:pt idx="19">
                  <c:v>6681</c:v>
                </c:pt>
                <c:pt idx="20">
                  <c:v>1395</c:v>
                </c:pt>
                <c:pt idx="21">
                  <c:v>1254</c:v>
                </c:pt>
                <c:pt idx="22">
                  <c:v>4353</c:v>
                </c:pt>
                <c:pt idx="23">
                  <c:v>3408</c:v>
                </c:pt>
                <c:pt idx="24">
                  <c:v>4633</c:v>
                </c:pt>
                <c:pt idx="25">
                  <c:v>6117</c:v>
                </c:pt>
                <c:pt idx="26">
                  <c:v>4618</c:v>
                </c:pt>
                <c:pt idx="27">
                  <c:v>2157</c:v>
                </c:pt>
                <c:pt idx="28">
                  <c:v>6769</c:v>
                </c:pt>
                <c:pt idx="29">
                  <c:v>2300</c:v>
                </c:pt>
                <c:pt idx="30">
                  <c:v>1404</c:v>
                </c:pt>
                <c:pt idx="31">
                  <c:v>8799</c:v>
                </c:pt>
                <c:pt idx="32">
                  <c:v>9185</c:v>
                </c:pt>
                <c:pt idx="33">
                  <c:v>1635</c:v>
                </c:pt>
                <c:pt idx="34">
                  <c:v>1026</c:v>
                </c:pt>
                <c:pt idx="35">
                  <c:v>6705</c:v>
                </c:pt>
                <c:pt idx="36">
                  <c:v>2106</c:v>
                </c:pt>
                <c:pt idx="37">
                  <c:v>8750</c:v>
                </c:pt>
                <c:pt idx="38">
                  <c:v>5690</c:v>
                </c:pt>
                <c:pt idx="39">
                  <c:v>3190</c:v>
                </c:pt>
                <c:pt idx="40">
                  <c:v>1271</c:v>
                </c:pt>
                <c:pt idx="41">
                  <c:v>6082</c:v>
                </c:pt>
                <c:pt idx="42">
                  <c:v>6887</c:v>
                </c:pt>
                <c:pt idx="43">
                  <c:v>5917</c:v>
                </c:pt>
                <c:pt idx="44">
                  <c:v>1092</c:v>
                </c:pt>
                <c:pt idx="45">
                  <c:v>1420</c:v>
                </c:pt>
                <c:pt idx="46">
                  <c:v>5595</c:v>
                </c:pt>
                <c:pt idx="47">
                  <c:v>8502</c:v>
                </c:pt>
                <c:pt idx="48">
                  <c:v>8757</c:v>
                </c:pt>
                <c:pt idx="49">
                  <c:v>1922</c:v>
                </c:pt>
                <c:pt idx="50">
                  <c:v>974</c:v>
                </c:pt>
                <c:pt idx="51">
                  <c:v>7922</c:v>
                </c:pt>
                <c:pt idx="52">
                  <c:v>6070</c:v>
                </c:pt>
                <c:pt idx="53">
                  <c:v>9181</c:v>
                </c:pt>
                <c:pt idx="54">
                  <c:v>7147</c:v>
                </c:pt>
                <c:pt idx="55">
                  <c:v>2573</c:v>
                </c:pt>
                <c:pt idx="56">
                  <c:v>1255</c:v>
                </c:pt>
                <c:pt idx="57">
                  <c:v>6664</c:v>
                </c:pt>
                <c:pt idx="58">
                  <c:v>1681</c:v>
                </c:pt>
                <c:pt idx="59">
                  <c:v>8752</c:v>
                </c:pt>
                <c:pt idx="60">
                  <c:v>6213</c:v>
                </c:pt>
                <c:pt idx="61">
                  <c:v>3662</c:v>
                </c:pt>
                <c:pt idx="62">
                  <c:v>8307</c:v>
                </c:pt>
                <c:pt idx="63">
                  <c:v>6322</c:v>
                </c:pt>
                <c:pt idx="64">
                  <c:v>7277</c:v>
                </c:pt>
                <c:pt idx="65">
                  <c:v>5117</c:v>
                </c:pt>
                <c:pt idx="66">
                  <c:v>7863</c:v>
                </c:pt>
                <c:pt idx="67">
                  <c:v>5004</c:v>
                </c:pt>
                <c:pt idx="68">
                  <c:v>6484</c:v>
                </c:pt>
                <c:pt idx="69">
                  <c:v>7594</c:v>
                </c:pt>
                <c:pt idx="70">
                  <c:v>2520</c:v>
                </c:pt>
                <c:pt idx="71">
                  <c:v>2248</c:v>
                </c:pt>
                <c:pt idx="72">
                  <c:v>7679</c:v>
                </c:pt>
                <c:pt idx="73">
                  <c:v>3698</c:v>
                </c:pt>
                <c:pt idx="74">
                  <c:v>6061</c:v>
                </c:pt>
                <c:pt idx="75">
                  <c:v>4358</c:v>
                </c:pt>
                <c:pt idx="76">
                  <c:v>5182</c:v>
                </c:pt>
                <c:pt idx="77">
                  <c:v>6685</c:v>
                </c:pt>
                <c:pt idx="78">
                  <c:v>5342</c:v>
                </c:pt>
                <c:pt idx="79">
                  <c:v>6026</c:v>
                </c:pt>
                <c:pt idx="80">
                  <c:v>4720</c:v>
                </c:pt>
                <c:pt idx="81">
                  <c:v>9276</c:v>
                </c:pt>
                <c:pt idx="82">
                  <c:v>5618</c:v>
                </c:pt>
                <c:pt idx="83">
                  <c:v>5808</c:v>
                </c:pt>
                <c:pt idx="84">
                  <c:v>3697</c:v>
                </c:pt>
                <c:pt idx="85">
                  <c:v>7635</c:v>
                </c:pt>
                <c:pt idx="86">
                  <c:v>2156</c:v>
                </c:pt>
                <c:pt idx="87">
                  <c:v>7096</c:v>
                </c:pt>
                <c:pt idx="88">
                  <c:v>5887</c:v>
                </c:pt>
                <c:pt idx="89">
                  <c:v>3383</c:v>
                </c:pt>
                <c:pt idx="90">
                  <c:v>8539</c:v>
                </c:pt>
                <c:pt idx="91">
                  <c:v>8860</c:v>
                </c:pt>
                <c:pt idx="92">
                  <c:v>5415</c:v>
                </c:pt>
                <c:pt idx="93">
                  <c:v>5217</c:v>
                </c:pt>
                <c:pt idx="94">
                  <c:v>5865</c:v>
                </c:pt>
                <c:pt idx="95">
                  <c:v>8191</c:v>
                </c:pt>
                <c:pt idx="96">
                  <c:v>4442</c:v>
                </c:pt>
                <c:pt idx="97">
                  <c:v>5396</c:v>
                </c:pt>
                <c:pt idx="98">
                  <c:v>9369</c:v>
                </c:pt>
                <c:pt idx="99">
                  <c:v>4730</c:v>
                </c:pt>
              </c:numCache>
            </c:numRef>
          </c:xVal>
          <c:yVal>
            <c:numRef>
              <c:f>Sheet1!$G$5:$G$104</c:f>
              <c:numCache>
                <c:formatCode>General</c:formatCode>
                <c:ptCount val="100"/>
                <c:pt idx="0">
                  <c:v>1623740</c:v>
                </c:pt>
                <c:pt idx="1">
                  <c:v>1290978</c:v>
                </c:pt>
                <c:pt idx="2">
                  <c:v>1702638</c:v>
                </c:pt>
                <c:pt idx="3">
                  <c:v>967230</c:v>
                </c:pt>
                <c:pt idx="4">
                  <c:v>726165</c:v>
                </c:pt>
                <c:pt idx="5">
                  <c:v>30114</c:v>
                </c:pt>
                <c:pt idx="6">
                  <c:v>1038976</c:v>
                </c:pt>
                <c:pt idx="7">
                  <c:v>1352295</c:v>
                </c:pt>
                <c:pt idx="8">
                  <c:v>1437426</c:v>
                </c:pt>
                <c:pt idx="9">
                  <c:v>1508563</c:v>
                </c:pt>
                <c:pt idx="10">
                  <c:v>1804533</c:v>
                </c:pt>
                <c:pt idx="11">
                  <c:v>551565</c:v>
                </c:pt>
                <c:pt idx="12">
                  <c:v>1348720</c:v>
                </c:pt>
                <c:pt idx="13">
                  <c:v>1312935</c:v>
                </c:pt>
                <c:pt idx="14">
                  <c:v>614336</c:v>
                </c:pt>
                <c:pt idx="15">
                  <c:v>1743250</c:v>
                </c:pt>
                <c:pt idx="16">
                  <c:v>1515735</c:v>
                </c:pt>
                <c:pt idx="17">
                  <c:v>786505</c:v>
                </c:pt>
                <c:pt idx="18">
                  <c:v>1657503</c:v>
                </c:pt>
                <c:pt idx="19">
                  <c:v>1410675</c:v>
                </c:pt>
                <c:pt idx="20">
                  <c:v>875792</c:v>
                </c:pt>
                <c:pt idx="21">
                  <c:v>405630</c:v>
                </c:pt>
                <c:pt idx="22">
                  <c:v>1685440</c:v>
                </c:pt>
                <c:pt idx="23">
                  <c:v>1875319</c:v>
                </c:pt>
                <c:pt idx="24">
                  <c:v>1588192</c:v>
                </c:pt>
                <c:pt idx="25">
                  <c:v>1247217</c:v>
                </c:pt>
                <c:pt idx="26">
                  <c:v>1835524</c:v>
                </c:pt>
                <c:pt idx="27">
                  <c:v>1034272</c:v>
                </c:pt>
                <c:pt idx="28">
                  <c:v>1135065</c:v>
                </c:pt>
                <c:pt idx="29">
                  <c:v>733380</c:v>
                </c:pt>
                <c:pt idx="30">
                  <c:v>603440</c:v>
                </c:pt>
                <c:pt idx="31">
                  <c:v>627750</c:v>
                </c:pt>
                <c:pt idx="32">
                  <c:v>21581</c:v>
                </c:pt>
                <c:pt idx="33">
                  <c:v>495210</c:v>
                </c:pt>
                <c:pt idx="34">
                  <c:v>355120</c:v>
                </c:pt>
                <c:pt idx="35">
                  <c:v>1620144</c:v>
                </c:pt>
                <c:pt idx="36">
                  <c:v>975681</c:v>
                </c:pt>
                <c:pt idx="37">
                  <c:v>345591</c:v>
                </c:pt>
                <c:pt idx="38">
                  <c:v>1280142</c:v>
                </c:pt>
                <c:pt idx="39">
                  <c:v>1055984</c:v>
                </c:pt>
                <c:pt idx="40">
                  <c:v>520576</c:v>
                </c:pt>
                <c:pt idx="41">
                  <c:v>1493343</c:v>
                </c:pt>
                <c:pt idx="42">
                  <c:v>1568464</c:v>
                </c:pt>
                <c:pt idx="43">
                  <c:v>1153168</c:v>
                </c:pt>
                <c:pt idx="44">
                  <c:v>594738</c:v>
                </c:pt>
                <c:pt idx="45">
                  <c:v>544692</c:v>
                </c:pt>
                <c:pt idx="46">
                  <c:v>1150140</c:v>
                </c:pt>
                <c:pt idx="47">
                  <c:v>1086762</c:v>
                </c:pt>
                <c:pt idx="48">
                  <c:v>164016</c:v>
                </c:pt>
                <c:pt idx="49">
                  <c:v>1041624</c:v>
                </c:pt>
                <c:pt idx="50">
                  <c:v>457317</c:v>
                </c:pt>
                <c:pt idx="51">
                  <c:v>907003</c:v>
                </c:pt>
                <c:pt idx="52">
                  <c:v>1236726</c:v>
                </c:pt>
                <c:pt idx="53">
                  <c:v>765075</c:v>
                </c:pt>
                <c:pt idx="54">
                  <c:v>1141121</c:v>
                </c:pt>
                <c:pt idx="55">
                  <c:v>1336061</c:v>
                </c:pt>
                <c:pt idx="56">
                  <c:v>575264</c:v>
                </c:pt>
                <c:pt idx="57">
                  <c:v>1417830</c:v>
                </c:pt>
                <c:pt idx="58">
                  <c:v>767618</c:v>
                </c:pt>
                <c:pt idx="59">
                  <c:v>734863</c:v>
                </c:pt>
                <c:pt idx="60">
                  <c:v>1625610</c:v>
                </c:pt>
                <c:pt idx="61">
                  <c:v>1285392</c:v>
                </c:pt>
                <c:pt idx="62">
                  <c:v>392112</c:v>
                </c:pt>
                <c:pt idx="63">
                  <c:v>1194816</c:v>
                </c:pt>
                <c:pt idx="64">
                  <c:v>1656702</c:v>
                </c:pt>
                <c:pt idx="65">
                  <c:v>1449607</c:v>
                </c:pt>
                <c:pt idx="66">
                  <c:v>675427</c:v>
                </c:pt>
                <c:pt idx="67">
                  <c:v>2122642</c:v>
                </c:pt>
                <c:pt idx="68">
                  <c:v>1224017</c:v>
                </c:pt>
                <c:pt idx="69">
                  <c:v>575280</c:v>
                </c:pt>
                <c:pt idx="70">
                  <c:v>984232</c:v>
                </c:pt>
                <c:pt idx="71">
                  <c:v>943080</c:v>
                </c:pt>
                <c:pt idx="72">
                  <c:v>1147518</c:v>
                </c:pt>
                <c:pt idx="73">
                  <c:v>1704528</c:v>
                </c:pt>
                <c:pt idx="74">
                  <c:v>1221229</c:v>
                </c:pt>
                <c:pt idx="75">
                  <c:v>1883185</c:v>
                </c:pt>
                <c:pt idx="76">
                  <c:v>1677849</c:v>
                </c:pt>
                <c:pt idx="77">
                  <c:v>901456</c:v>
                </c:pt>
                <c:pt idx="78">
                  <c:v>1398046</c:v>
                </c:pt>
                <c:pt idx="79">
                  <c:v>2121464</c:v>
                </c:pt>
                <c:pt idx="80">
                  <c:v>1980288</c:v>
                </c:pt>
                <c:pt idx="81">
                  <c:v>156655</c:v>
                </c:pt>
                <c:pt idx="82">
                  <c:v>1341623</c:v>
                </c:pt>
                <c:pt idx="83">
                  <c:v>1246153</c:v>
                </c:pt>
                <c:pt idx="84">
                  <c:v>1890842</c:v>
                </c:pt>
                <c:pt idx="85">
                  <c:v>1629576</c:v>
                </c:pt>
                <c:pt idx="86">
                  <c:v>1305547</c:v>
                </c:pt>
                <c:pt idx="87">
                  <c:v>1270935</c:v>
                </c:pt>
                <c:pt idx="88">
                  <c:v>1153093</c:v>
                </c:pt>
                <c:pt idx="89">
                  <c:v>1598185</c:v>
                </c:pt>
                <c:pt idx="90">
                  <c:v>446448</c:v>
                </c:pt>
                <c:pt idx="91">
                  <c:v>738216</c:v>
                </c:pt>
                <c:pt idx="92">
                  <c:v>1511010</c:v>
                </c:pt>
                <c:pt idx="93">
                  <c:v>1059525</c:v>
                </c:pt>
                <c:pt idx="94">
                  <c:v>1156032</c:v>
                </c:pt>
                <c:pt idx="95">
                  <c:v>614355</c:v>
                </c:pt>
                <c:pt idx="96">
                  <c:v>1312890</c:v>
                </c:pt>
                <c:pt idx="97">
                  <c:v>1974157</c:v>
                </c:pt>
                <c:pt idx="98">
                  <c:v>120795</c:v>
                </c:pt>
                <c:pt idx="99">
                  <c:v>1536473</c:v>
                </c:pt>
              </c:numCache>
            </c:numRef>
          </c:yVal>
          <c:smooth val="0"/>
          <c:extLst>
            <c:ext xmlns:c16="http://schemas.microsoft.com/office/drawing/2014/chart" uri="{C3380CC4-5D6E-409C-BE32-E72D297353CC}">
              <c16:uniqueId val="{00000001-3F56-43F5-AAEA-D124ACB8E815}"/>
            </c:ext>
          </c:extLst>
        </c:ser>
        <c:ser>
          <c:idx val="2"/>
          <c:order val="2"/>
          <c:tx>
            <c:strRef>
              <c:f>Sheet1!$H$4</c:f>
              <c:strCache>
                <c:ptCount val="1"/>
                <c:pt idx="0">
                  <c:v>competencia</c:v>
                </c:pt>
              </c:strCache>
            </c:strRef>
          </c:tx>
          <c:spPr>
            <a:ln w="19050" cap="rnd">
              <a:noFill/>
              <a:round/>
            </a:ln>
            <a:effectLst/>
          </c:spPr>
          <c:marker>
            <c:symbol val="circle"/>
            <c:size val="5"/>
            <c:spPr>
              <a:solidFill>
                <a:schemeClr val="accent3"/>
              </a:solidFill>
              <a:ln w="9525">
                <a:solidFill>
                  <a:schemeClr val="accent3"/>
                </a:solidFill>
              </a:ln>
              <a:effectLst/>
            </c:spPr>
          </c:marker>
          <c:xVal>
            <c:numRef>
              <c:f>Sheet1!$E$5:$E$104</c:f>
              <c:numCache>
                <c:formatCode>General</c:formatCode>
                <c:ptCount val="100"/>
                <c:pt idx="0">
                  <c:v>4776</c:v>
                </c:pt>
                <c:pt idx="1">
                  <c:v>6904</c:v>
                </c:pt>
                <c:pt idx="2">
                  <c:v>7449</c:v>
                </c:pt>
                <c:pt idx="3">
                  <c:v>3099</c:v>
                </c:pt>
                <c:pt idx="4">
                  <c:v>1721</c:v>
                </c:pt>
                <c:pt idx="5">
                  <c:v>8731</c:v>
                </c:pt>
                <c:pt idx="6">
                  <c:v>7647</c:v>
                </c:pt>
                <c:pt idx="7">
                  <c:v>4094</c:v>
                </c:pt>
                <c:pt idx="8">
                  <c:v>3291</c:v>
                </c:pt>
                <c:pt idx="9">
                  <c:v>3048</c:v>
                </c:pt>
                <c:pt idx="10">
                  <c:v>6680</c:v>
                </c:pt>
                <c:pt idx="11">
                  <c:v>1045</c:v>
                </c:pt>
                <c:pt idx="12">
                  <c:v>6778</c:v>
                </c:pt>
                <c:pt idx="13">
                  <c:v>5865</c:v>
                </c:pt>
                <c:pt idx="14">
                  <c:v>1113</c:v>
                </c:pt>
                <c:pt idx="15">
                  <c:v>4248</c:v>
                </c:pt>
                <c:pt idx="16">
                  <c:v>3974</c:v>
                </c:pt>
                <c:pt idx="17">
                  <c:v>1749</c:v>
                </c:pt>
                <c:pt idx="18">
                  <c:v>4391</c:v>
                </c:pt>
                <c:pt idx="19">
                  <c:v>6681</c:v>
                </c:pt>
                <c:pt idx="20">
                  <c:v>1395</c:v>
                </c:pt>
                <c:pt idx="21">
                  <c:v>1254</c:v>
                </c:pt>
                <c:pt idx="22">
                  <c:v>4353</c:v>
                </c:pt>
                <c:pt idx="23">
                  <c:v>3408</c:v>
                </c:pt>
                <c:pt idx="24">
                  <c:v>4633</c:v>
                </c:pt>
                <c:pt idx="25">
                  <c:v>6117</c:v>
                </c:pt>
                <c:pt idx="26">
                  <c:v>4618</c:v>
                </c:pt>
                <c:pt idx="27">
                  <c:v>2157</c:v>
                </c:pt>
                <c:pt idx="28">
                  <c:v>6769</c:v>
                </c:pt>
                <c:pt idx="29">
                  <c:v>2300</c:v>
                </c:pt>
                <c:pt idx="30">
                  <c:v>1404</c:v>
                </c:pt>
                <c:pt idx="31">
                  <c:v>8799</c:v>
                </c:pt>
                <c:pt idx="32">
                  <c:v>9185</c:v>
                </c:pt>
                <c:pt idx="33">
                  <c:v>1635</c:v>
                </c:pt>
                <c:pt idx="34">
                  <c:v>1026</c:v>
                </c:pt>
                <c:pt idx="35">
                  <c:v>6705</c:v>
                </c:pt>
                <c:pt idx="36">
                  <c:v>2106</c:v>
                </c:pt>
                <c:pt idx="37">
                  <c:v>8750</c:v>
                </c:pt>
                <c:pt idx="38">
                  <c:v>5690</c:v>
                </c:pt>
                <c:pt idx="39">
                  <c:v>3190</c:v>
                </c:pt>
                <c:pt idx="40">
                  <c:v>1271</c:v>
                </c:pt>
                <c:pt idx="41">
                  <c:v>6082</c:v>
                </c:pt>
                <c:pt idx="42">
                  <c:v>6887</c:v>
                </c:pt>
                <c:pt idx="43">
                  <c:v>5917</c:v>
                </c:pt>
                <c:pt idx="44">
                  <c:v>1092</c:v>
                </c:pt>
                <c:pt idx="45">
                  <c:v>1420</c:v>
                </c:pt>
                <c:pt idx="46">
                  <c:v>5595</c:v>
                </c:pt>
                <c:pt idx="47">
                  <c:v>8502</c:v>
                </c:pt>
                <c:pt idx="48">
                  <c:v>8757</c:v>
                </c:pt>
                <c:pt idx="49">
                  <c:v>1922</c:v>
                </c:pt>
                <c:pt idx="50">
                  <c:v>974</c:v>
                </c:pt>
                <c:pt idx="51">
                  <c:v>7922</c:v>
                </c:pt>
                <c:pt idx="52">
                  <c:v>6070</c:v>
                </c:pt>
                <c:pt idx="53">
                  <c:v>9181</c:v>
                </c:pt>
                <c:pt idx="54">
                  <c:v>7147</c:v>
                </c:pt>
                <c:pt idx="55">
                  <c:v>2573</c:v>
                </c:pt>
                <c:pt idx="56">
                  <c:v>1255</c:v>
                </c:pt>
                <c:pt idx="57">
                  <c:v>6664</c:v>
                </c:pt>
                <c:pt idx="58">
                  <c:v>1681</c:v>
                </c:pt>
                <c:pt idx="59">
                  <c:v>8752</c:v>
                </c:pt>
                <c:pt idx="60">
                  <c:v>6213</c:v>
                </c:pt>
                <c:pt idx="61">
                  <c:v>3662</c:v>
                </c:pt>
                <c:pt idx="62">
                  <c:v>8307</c:v>
                </c:pt>
                <c:pt idx="63">
                  <c:v>6322</c:v>
                </c:pt>
                <c:pt idx="64">
                  <c:v>7277</c:v>
                </c:pt>
                <c:pt idx="65">
                  <c:v>5117</c:v>
                </c:pt>
                <c:pt idx="66">
                  <c:v>7863</c:v>
                </c:pt>
                <c:pt idx="67">
                  <c:v>5004</c:v>
                </c:pt>
                <c:pt idx="68">
                  <c:v>6484</c:v>
                </c:pt>
                <c:pt idx="69">
                  <c:v>7594</c:v>
                </c:pt>
                <c:pt idx="70">
                  <c:v>2520</c:v>
                </c:pt>
                <c:pt idx="71">
                  <c:v>2248</c:v>
                </c:pt>
                <c:pt idx="72">
                  <c:v>7679</c:v>
                </c:pt>
                <c:pt idx="73">
                  <c:v>3698</c:v>
                </c:pt>
                <c:pt idx="74">
                  <c:v>6061</c:v>
                </c:pt>
                <c:pt idx="75">
                  <c:v>4358</c:v>
                </c:pt>
                <c:pt idx="76">
                  <c:v>5182</c:v>
                </c:pt>
                <c:pt idx="77">
                  <c:v>6685</c:v>
                </c:pt>
                <c:pt idx="78">
                  <c:v>5342</c:v>
                </c:pt>
                <c:pt idx="79">
                  <c:v>6026</c:v>
                </c:pt>
                <c:pt idx="80">
                  <c:v>4720</c:v>
                </c:pt>
                <c:pt idx="81">
                  <c:v>9276</c:v>
                </c:pt>
                <c:pt idx="82">
                  <c:v>5618</c:v>
                </c:pt>
                <c:pt idx="83">
                  <c:v>5808</c:v>
                </c:pt>
                <c:pt idx="84">
                  <c:v>3697</c:v>
                </c:pt>
                <c:pt idx="85">
                  <c:v>7635</c:v>
                </c:pt>
                <c:pt idx="86">
                  <c:v>2156</c:v>
                </c:pt>
                <c:pt idx="87">
                  <c:v>7096</c:v>
                </c:pt>
                <c:pt idx="88">
                  <c:v>5887</c:v>
                </c:pt>
                <c:pt idx="89">
                  <c:v>3383</c:v>
                </c:pt>
                <c:pt idx="90">
                  <c:v>8539</c:v>
                </c:pt>
                <c:pt idx="91">
                  <c:v>8860</c:v>
                </c:pt>
                <c:pt idx="92">
                  <c:v>5415</c:v>
                </c:pt>
                <c:pt idx="93">
                  <c:v>5217</c:v>
                </c:pt>
                <c:pt idx="94">
                  <c:v>5865</c:v>
                </c:pt>
                <c:pt idx="95">
                  <c:v>8191</c:v>
                </c:pt>
                <c:pt idx="96">
                  <c:v>4442</c:v>
                </c:pt>
                <c:pt idx="97">
                  <c:v>5396</c:v>
                </c:pt>
                <c:pt idx="98">
                  <c:v>9369</c:v>
                </c:pt>
                <c:pt idx="99">
                  <c:v>4730</c:v>
                </c:pt>
              </c:numCache>
            </c:numRef>
          </c:xVal>
          <c:yVal>
            <c:numRef>
              <c:f>Sheet1!$H$5:$H$104</c:f>
              <c:numCache>
                <c:formatCode>General</c:formatCode>
                <c:ptCount val="100"/>
                <c:pt idx="0">
                  <c:v>1934</c:v>
                </c:pt>
                <c:pt idx="1">
                  <c:v>2775</c:v>
                </c:pt>
                <c:pt idx="2">
                  <c:v>2486</c:v>
                </c:pt>
                <c:pt idx="3">
                  <c:v>1093</c:v>
                </c:pt>
                <c:pt idx="4">
                  <c:v>759</c:v>
                </c:pt>
                <c:pt idx="5">
                  <c:v>3158</c:v>
                </c:pt>
                <c:pt idx="6">
                  <c:v>2575</c:v>
                </c:pt>
                <c:pt idx="7">
                  <c:v>1386</c:v>
                </c:pt>
                <c:pt idx="8">
                  <c:v>1282</c:v>
                </c:pt>
                <c:pt idx="9">
                  <c:v>1207</c:v>
                </c:pt>
                <c:pt idx="10">
                  <c:v>2156</c:v>
                </c:pt>
                <c:pt idx="11">
                  <c:v>409</c:v>
                </c:pt>
                <c:pt idx="12">
                  <c:v>2535</c:v>
                </c:pt>
                <c:pt idx="13">
                  <c:v>2198</c:v>
                </c:pt>
                <c:pt idx="14">
                  <c:v>562</c:v>
                </c:pt>
                <c:pt idx="15">
                  <c:v>1659</c:v>
                </c:pt>
                <c:pt idx="16">
                  <c:v>1381</c:v>
                </c:pt>
                <c:pt idx="17">
                  <c:v>791</c:v>
                </c:pt>
                <c:pt idx="18">
                  <c:v>1771</c:v>
                </c:pt>
                <c:pt idx="19">
                  <c:v>2435</c:v>
                </c:pt>
                <c:pt idx="20">
                  <c:v>646</c:v>
                </c:pt>
                <c:pt idx="21">
                  <c:v>441</c:v>
                </c:pt>
                <c:pt idx="22">
                  <c:v>1585</c:v>
                </c:pt>
                <c:pt idx="23">
                  <c:v>1169</c:v>
                </c:pt>
                <c:pt idx="24">
                  <c:v>1728</c:v>
                </c:pt>
                <c:pt idx="25">
                  <c:v>2272</c:v>
                </c:pt>
                <c:pt idx="26">
                  <c:v>1967</c:v>
                </c:pt>
                <c:pt idx="27">
                  <c:v>944</c:v>
                </c:pt>
                <c:pt idx="28">
                  <c:v>2509</c:v>
                </c:pt>
                <c:pt idx="29">
                  <c:v>1131</c:v>
                </c:pt>
                <c:pt idx="30">
                  <c:v>661</c:v>
                </c:pt>
                <c:pt idx="31">
                  <c:v>3085</c:v>
                </c:pt>
                <c:pt idx="32">
                  <c:v>3226</c:v>
                </c:pt>
                <c:pt idx="33">
                  <c:v>427</c:v>
                </c:pt>
                <c:pt idx="34">
                  <c:v>690</c:v>
                </c:pt>
                <c:pt idx="35">
                  <c:v>2229</c:v>
                </c:pt>
                <c:pt idx="36">
                  <c:v>745</c:v>
                </c:pt>
                <c:pt idx="37">
                  <c:v>3088</c:v>
                </c:pt>
                <c:pt idx="38">
                  <c:v>2046</c:v>
                </c:pt>
                <c:pt idx="39">
                  <c:v>1153</c:v>
                </c:pt>
                <c:pt idx="40">
                  <c:v>754</c:v>
                </c:pt>
                <c:pt idx="41">
                  <c:v>2221</c:v>
                </c:pt>
                <c:pt idx="42">
                  <c:v>2388</c:v>
                </c:pt>
                <c:pt idx="43">
                  <c:v>2084</c:v>
                </c:pt>
                <c:pt idx="44">
                  <c:v>618</c:v>
                </c:pt>
                <c:pt idx="45">
                  <c:v>409</c:v>
                </c:pt>
                <c:pt idx="46">
                  <c:v>1970</c:v>
                </c:pt>
                <c:pt idx="47">
                  <c:v>2860</c:v>
                </c:pt>
                <c:pt idx="48">
                  <c:v>3211</c:v>
                </c:pt>
                <c:pt idx="49">
                  <c:v>779</c:v>
                </c:pt>
                <c:pt idx="50">
                  <c:v>301</c:v>
                </c:pt>
                <c:pt idx="51">
                  <c:v>2614</c:v>
                </c:pt>
                <c:pt idx="52">
                  <c:v>2276</c:v>
                </c:pt>
                <c:pt idx="53">
                  <c:v>3412</c:v>
                </c:pt>
                <c:pt idx="54">
                  <c:v>2446</c:v>
                </c:pt>
                <c:pt idx="55">
                  <c:v>732</c:v>
                </c:pt>
                <c:pt idx="56">
                  <c:v>478</c:v>
                </c:pt>
                <c:pt idx="57">
                  <c:v>2556</c:v>
                </c:pt>
                <c:pt idx="58">
                  <c:v>583</c:v>
                </c:pt>
                <c:pt idx="59">
                  <c:v>3051</c:v>
                </c:pt>
                <c:pt idx="60">
                  <c:v>2566</c:v>
                </c:pt>
                <c:pt idx="61">
                  <c:v>1419</c:v>
                </c:pt>
                <c:pt idx="62">
                  <c:v>3230</c:v>
                </c:pt>
                <c:pt idx="63">
                  <c:v>2422</c:v>
                </c:pt>
                <c:pt idx="64">
                  <c:v>2535</c:v>
                </c:pt>
                <c:pt idx="65">
                  <c:v>1849</c:v>
                </c:pt>
                <c:pt idx="66">
                  <c:v>2523</c:v>
                </c:pt>
                <c:pt idx="67">
                  <c:v>1923</c:v>
                </c:pt>
                <c:pt idx="68">
                  <c:v>2176</c:v>
                </c:pt>
                <c:pt idx="69">
                  <c:v>2451</c:v>
                </c:pt>
                <c:pt idx="70">
                  <c:v>1136</c:v>
                </c:pt>
                <c:pt idx="71">
                  <c:v>928</c:v>
                </c:pt>
                <c:pt idx="72">
                  <c:v>2900</c:v>
                </c:pt>
                <c:pt idx="73">
                  <c:v>1435</c:v>
                </c:pt>
                <c:pt idx="74">
                  <c:v>1882</c:v>
                </c:pt>
                <c:pt idx="75">
                  <c:v>1505</c:v>
                </c:pt>
                <c:pt idx="76">
                  <c:v>1955</c:v>
                </c:pt>
                <c:pt idx="77">
                  <c:v>2663</c:v>
                </c:pt>
                <c:pt idx="78">
                  <c:v>2137</c:v>
                </c:pt>
                <c:pt idx="79">
                  <c:v>2141</c:v>
                </c:pt>
                <c:pt idx="80">
                  <c:v>1560</c:v>
                </c:pt>
                <c:pt idx="81">
                  <c:v>3126</c:v>
                </c:pt>
                <c:pt idx="82">
                  <c:v>1822</c:v>
                </c:pt>
                <c:pt idx="83">
                  <c:v>2356</c:v>
                </c:pt>
                <c:pt idx="84">
                  <c:v>1202</c:v>
                </c:pt>
                <c:pt idx="85">
                  <c:v>2668</c:v>
                </c:pt>
                <c:pt idx="86">
                  <c:v>654</c:v>
                </c:pt>
                <c:pt idx="87">
                  <c:v>2537</c:v>
                </c:pt>
                <c:pt idx="88">
                  <c:v>2050</c:v>
                </c:pt>
                <c:pt idx="89">
                  <c:v>1216</c:v>
                </c:pt>
                <c:pt idx="90">
                  <c:v>3107</c:v>
                </c:pt>
                <c:pt idx="91">
                  <c:v>3284</c:v>
                </c:pt>
                <c:pt idx="92">
                  <c:v>1749</c:v>
                </c:pt>
                <c:pt idx="93">
                  <c:v>2057</c:v>
                </c:pt>
                <c:pt idx="94">
                  <c:v>2046</c:v>
                </c:pt>
                <c:pt idx="95">
                  <c:v>2760</c:v>
                </c:pt>
                <c:pt idx="96">
                  <c:v>1601</c:v>
                </c:pt>
                <c:pt idx="97">
                  <c:v>1963</c:v>
                </c:pt>
                <c:pt idx="98">
                  <c:v>3411</c:v>
                </c:pt>
                <c:pt idx="99">
                  <c:v>1604</c:v>
                </c:pt>
              </c:numCache>
            </c:numRef>
          </c:yVal>
          <c:smooth val="0"/>
          <c:extLst>
            <c:ext xmlns:c16="http://schemas.microsoft.com/office/drawing/2014/chart" uri="{C3380CC4-5D6E-409C-BE32-E72D297353CC}">
              <c16:uniqueId val="{00000002-3F56-43F5-AAEA-D124ACB8E815}"/>
            </c:ext>
          </c:extLst>
        </c:ser>
        <c:ser>
          <c:idx val="3"/>
          <c:order val="3"/>
          <c:tx>
            <c:strRef>
              <c:f>Sheet1!$I$4</c:f>
              <c:strCache>
                <c:ptCount val="1"/>
                <c:pt idx="0">
                  <c:v>número de habitantes</c:v>
                </c:pt>
              </c:strCache>
            </c:strRef>
          </c:tx>
          <c:spPr>
            <a:ln w="19050" cap="rnd">
              <a:noFill/>
              <a:round/>
            </a:ln>
            <a:effectLst/>
          </c:spPr>
          <c:marker>
            <c:symbol val="circle"/>
            <c:size val="5"/>
            <c:spPr>
              <a:solidFill>
                <a:schemeClr val="accent4"/>
              </a:solidFill>
              <a:ln w="9525">
                <a:solidFill>
                  <a:schemeClr val="accent4"/>
                </a:solidFill>
              </a:ln>
              <a:effectLst/>
            </c:spPr>
          </c:marker>
          <c:xVal>
            <c:numRef>
              <c:f>Sheet1!$E$5:$E$104</c:f>
              <c:numCache>
                <c:formatCode>General</c:formatCode>
                <c:ptCount val="100"/>
                <c:pt idx="0">
                  <c:v>4776</c:v>
                </c:pt>
                <c:pt idx="1">
                  <c:v>6904</c:v>
                </c:pt>
                <c:pt idx="2">
                  <c:v>7449</c:v>
                </c:pt>
                <c:pt idx="3">
                  <c:v>3099</c:v>
                </c:pt>
                <c:pt idx="4">
                  <c:v>1721</c:v>
                </c:pt>
                <c:pt idx="5">
                  <c:v>8731</c:v>
                </c:pt>
                <c:pt idx="6">
                  <c:v>7647</c:v>
                </c:pt>
                <c:pt idx="7">
                  <c:v>4094</c:v>
                </c:pt>
                <c:pt idx="8">
                  <c:v>3291</c:v>
                </c:pt>
                <c:pt idx="9">
                  <c:v>3048</c:v>
                </c:pt>
                <c:pt idx="10">
                  <c:v>6680</c:v>
                </c:pt>
                <c:pt idx="11">
                  <c:v>1045</c:v>
                </c:pt>
                <c:pt idx="12">
                  <c:v>6778</c:v>
                </c:pt>
                <c:pt idx="13">
                  <c:v>5865</c:v>
                </c:pt>
                <c:pt idx="14">
                  <c:v>1113</c:v>
                </c:pt>
                <c:pt idx="15">
                  <c:v>4248</c:v>
                </c:pt>
                <c:pt idx="16">
                  <c:v>3974</c:v>
                </c:pt>
                <c:pt idx="17">
                  <c:v>1749</c:v>
                </c:pt>
                <c:pt idx="18">
                  <c:v>4391</c:v>
                </c:pt>
                <c:pt idx="19">
                  <c:v>6681</c:v>
                </c:pt>
                <c:pt idx="20">
                  <c:v>1395</c:v>
                </c:pt>
                <c:pt idx="21">
                  <c:v>1254</c:v>
                </c:pt>
                <c:pt idx="22">
                  <c:v>4353</c:v>
                </c:pt>
                <c:pt idx="23">
                  <c:v>3408</c:v>
                </c:pt>
                <c:pt idx="24">
                  <c:v>4633</c:v>
                </c:pt>
                <c:pt idx="25">
                  <c:v>6117</c:v>
                </c:pt>
                <c:pt idx="26">
                  <c:v>4618</c:v>
                </c:pt>
                <c:pt idx="27">
                  <c:v>2157</c:v>
                </c:pt>
                <c:pt idx="28">
                  <c:v>6769</c:v>
                </c:pt>
                <c:pt idx="29">
                  <c:v>2300</c:v>
                </c:pt>
                <c:pt idx="30">
                  <c:v>1404</c:v>
                </c:pt>
                <c:pt idx="31">
                  <c:v>8799</c:v>
                </c:pt>
                <c:pt idx="32">
                  <c:v>9185</c:v>
                </c:pt>
                <c:pt idx="33">
                  <c:v>1635</c:v>
                </c:pt>
                <c:pt idx="34">
                  <c:v>1026</c:v>
                </c:pt>
                <c:pt idx="35">
                  <c:v>6705</c:v>
                </c:pt>
                <c:pt idx="36">
                  <c:v>2106</c:v>
                </c:pt>
                <c:pt idx="37">
                  <c:v>8750</c:v>
                </c:pt>
                <c:pt idx="38">
                  <c:v>5690</c:v>
                </c:pt>
                <c:pt idx="39">
                  <c:v>3190</c:v>
                </c:pt>
                <c:pt idx="40">
                  <c:v>1271</c:v>
                </c:pt>
                <c:pt idx="41">
                  <c:v>6082</c:v>
                </c:pt>
                <c:pt idx="42">
                  <c:v>6887</c:v>
                </c:pt>
                <c:pt idx="43">
                  <c:v>5917</c:v>
                </c:pt>
                <c:pt idx="44">
                  <c:v>1092</c:v>
                </c:pt>
                <c:pt idx="45">
                  <c:v>1420</c:v>
                </c:pt>
                <c:pt idx="46">
                  <c:v>5595</c:v>
                </c:pt>
                <c:pt idx="47">
                  <c:v>8502</c:v>
                </c:pt>
                <c:pt idx="48">
                  <c:v>8757</c:v>
                </c:pt>
                <c:pt idx="49">
                  <c:v>1922</c:v>
                </c:pt>
                <c:pt idx="50">
                  <c:v>974</c:v>
                </c:pt>
                <c:pt idx="51">
                  <c:v>7922</c:v>
                </c:pt>
                <c:pt idx="52">
                  <c:v>6070</c:v>
                </c:pt>
                <c:pt idx="53">
                  <c:v>9181</c:v>
                </c:pt>
                <c:pt idx="54">
                  <c:v>7147</c:v>
                </c:pt>
                <c:pt idx="55">
                  <c:v>2573</c:v>
                </c:pt>
                <c:pt idx="56">
                  <c:v>1255</c:v>
                </c:pt>
                <c:pt idx="57">
                  <c:v>6664</c:v>
                </c:pt>
                <c:pt idx="58">
                  <c:v>1681</c:v>
                </c:pt>
                <c:pt idx="59">
                  <c:v>8752</c:v>
                </c:pt>
                <c:pt idx="60">
                  <c:v>6213</c:v>
                </c:pt>
                <c:pt idx="61">
                  <c:v>3662</c:v>
                </c:pt>
                <c:pt idx="62">
                  <c:v>8307</c:v>
                </c:pt>
                <c:pt idx="63">
                  <c:v>6322</c:v>
                </c:pt>
                <c:pt idx="64">
                  <c:v>7277</c:v>
                </c:pt>
                <c:pt idx="65">
                  <c:v>5117</c:v>
                </c:pt>
                <c:pt idx="66">
                  <c:v>7863</c:v>
                </c:pt>
                <c:pt idx="67">
                  <c:v>5004</c:v>
                </c:pt>
                <c:pt idx="68">
                  <c:v>6484</c:v>
                </c:pt>
                <c:pt idx="69">
                  <c:v>7594</c:v>
                </c:pt>
                <c:pt idx="70">
                  <c:v>2520</c:v>
                </c:pt>
                <c:pt idx="71">
                  <c:v>2248</c:v>
                </c:pt>
                <c:pt idx="72">
                  <c:v>7679</c:v>
                </c:pt>
                <c:pt idx="73">
                  <c:v>3698</c:v>
                </c:pt>
                <c:pt idx="74">
                  <c:v>6061</c:v>
                </c:pt>
                <c:pt idx="75">
                  <c:v>4358</c:v>
                </c:pt>
                <c:pt idx="76">
                  <c:v>5182</c:v>
                </c:pt>
                <c:pt idx="77">
                  <c:v>6685</c:v>
                </c:pt>
                <c:pt idx="78">
                  <c:v>5342</c:v>
                </c:pt>
                <c:pt idx="79">
                  <c:v>6026</c:v>
                </c:pt>
                <c:pt idx="80">
                  <c:v>4720</c:v>
                </c:pt>
                <c:pt idx="81">
                  <c:v>9276</c:v>
                </c:pt>
                <c:pt idx="82">
                  <c:v>5618</c:v>
                </c:pt>
                <c:pt idx="83">
                  <c:v>5808</c:v>
                </c:pt>
                <c:pt idx="84">
                  <c:v>3697</c:v>
                </c:pt>
                <c:pt idx="85">
                  <c:v>7635</c:v>
                </c:pt>
                <c:pt idx="86">
                  <c:v>2156</c:v>
                </c:pt>
                <c:pt idx="87">
                  <c:v>7096</c:v>
                </c:pt>
                <c:pt idx="88">
                  <c:v>5887</c:v>
                </c:pt>
                <c:pt idx="89">
                  <c:v>3383</c:v>
                </c:pt>
                <c:pt idx="90">
                  <c:v>8539</c:v>
                </c:pt>
                <c:pt idx="91">
                  <c:v>8860</c:v>
                </c:pt>
                <c:pt idx="92">
                  <c:v>5415</c:v>
                </c:pt>
                <c:pt idx="93">
                  <c:v>5217</c:v>
                </c:pt>
                <c:pt idx="94">
                  <c:v>5865</c:v>
                </c:pt>
                <c:pt idx="95">
                  <c:v>8191</c:v>
                </c:pt>
                <c:pt idx="96">
                  <c:v>4442</c:v>
                </c:pt>
                <c:pt idx="97">
                  <c:v>5396</c:v>
                </c:pt>
                <c:pt idx="98">
                  <c:v>9369</c:v>
                </c:pt>
                <c:pt idx="99">
                  <c:v>4730</c:v>
                </c:pt>
              </c:numCache>
            </c:numRef>
          </c:xVal>
          <c:yVal>
            <c:numRef>
              <c:f>Sheet1!$I$5:$I$104</c:f>
              <c:numCache>
                <c:formatCode>General</c:formatCode>
                <c:ptCount val="100"/>
                <c:pt idx="0">
                  <c:v>3432929</c:v>
                </c:pt>
                <c:pt idx="1">
                  <c:v>4159026</c:v>
                </c:pt>
                <c:pt idx="2">
                  <c:v>4286899</c:v>
                </c:pt>
                <c:pt idx="3">
                  <c:v>2751363</c:v>
                </c:pt>
                <c:pt idx="4">
                  <c:v>2028546</c:v>
                </c:pt>
                <c:pt idx="5">
                  <c:v>4645697</c:v>
                </c:pt>
                <c:pt idx="6">
                  <c:v>4343386</c:v>
                </c:pt>
                <c:pt idx="7">
                  <c:v>3179229</c:v>
                </c:pt>
                <c:pt idx="8">
                  <c:v>2804461</c:v>
                </c:pt>
                <c:pt idx="9">
                  <c:v>2736786</c:v>
                </c:pt>
                <c:pt idx="10">
                  <c:v>3975550</c:v>
                </c:pt>
                <c:pt idx="11">
                  <c:v>1775528</c:v>
                </c:pt>
                <c:pt idx="12">
                  <c:v>4021816</c:v>
                </c:pt>
                <c:pt idx="13">
                  <c:v>3855516</c:v>
                </c:pt>
                <c:pt idx="14">
                  <c:v>1868823</c:v>
                </c:pt>
                <c:pt idx="15">
                  <c:v>3288617</c:v>
                </c:pt>
                <c:pt idx="16">
                  <c:v>3221801</c:v>
                </c:pt>
                <c:pt idx="17">
                  <c:v>2107724</c:v>
                </c:pt>
                <c:pt idx="18">
                  <c:v>3379719</c:v>
                </c:pt>
                <c:pt idx="19">
                  <c:v>3976179</c:v>
                </c:pt>
                <c:pt idx="20">
                  <c:v>2064582</c:v>
                </c:pt>
                <c:pt idx="21">
                  <c:v>1683746</c:v>
                </c:pt>
                <c:pt idx="22">
                  <c:v>3285955</c:v>
                </c:pt>
                <c:pt idx="23">
                  <c:v>2932576</c:v>
                </c:pt>
                <c:pt idx="24">
                  <c:v>3393008</c:v>
                </c:pt>
                <c:pt idx="25">
                  <c:v>3871692</c:v>
                </c:pt>
                <c:pt idx="26">
                  <c:v>3468069</c:v>
                </c:pt>
                <c:pt idx="27">
                  <c:v>2382226</c:v>
                </c:pt>
                <c:pt idx="28">
                  <c:v>4089621</c:v>
                </c:pt>
                <c:pt idx="29">
                  <c:v>2447958</c:v>
                </c:pt>
                <c:pt idx="30">
                  <c:v>2040833</c:v>
                </c:pt>
                <c:pt idx="31">
                  <c:v>4641390</c:v>
                </c:pt>
                <c:pt idx="32">
                  <c:v>4735240</c:v>
                </c:pt>
                <c:pt idx="33">
                  <c:v>2056696</c:v>
                </c:pt>
                <c:pt idx="34">
                  <c:v>1724094</c:v>
                </c:pt>
                <c:pt idx="35">
                  <c:v>4015595</c:v>
                </c:pt>
                <c:pt idx="36">
                  <c:v>2331309</c:v>
                </c:pt>
                <c:pt idx="37">
                  <c:v>4542576</c:v>
                </c:pt>
                <c:pt idx="38">
                  <c:v>3675255</c:v>
                </c:pt>
                <c:pt idx="39">
                  <c:v>2810694</c:v>
                </c:pt>
                <c:pt idx="40">
                  <c:v>1642407</c:v>
                </c:pt>
                <c:pt idx="41">
                  <c:v>3923646</c:v>
                </c:pt>
                <c:pt idx="42">
                  <c:v>4057093</c:v>
                </c:pt>
                <c:pt idx="43">
                  <c:v>3780873</c:v>
                </c:pt>
                <c:pt idx="44">
                  <c:v>1950000</c:v>
                </c:pt>
                <c:pt idx="45">
                  <c:v>1895389</c:v>
                </c:pt>
                <c:pt idx="46">
                  <c:v>3726594</c:v>
                </c:pt>
                <c:pt idx="47">
                  <c:v>4588845</c:v>
                </c:pt>
                <c:pt idx="48">
                  <c:v>4568643</c:v>
                </c:pt>
                <c:pt idx="49">
                  <c:v>2247221</c:v>
                </c:pt>
                <c:pt idx="50">
                  <c:v>1637071</c:v>
                </c:pt>
                <c:pt idx="51">
                  <c:v>4392892</c:v>
                </c:pt>
                <c:pt idx="52">
                  <c:v>3928740</c:v>
                </c:pt>
                <c:pt idx="53">
                  <c:v>4729165</c:v>
                </c:pt>
                <c:pt idx="54">
                  <c:v>4232021</c:v>
                </c:pt>
                <c:pt idx="55">
                  <c:v>2495496</c:v>
                </c:pt>
                <c:pt idx="56">
                  <c:v>1895389</c:v>
                </c:pt>
                <c:pt idx="57">
                  <c:v>3984972</c:v>
                </c:pt>
                <c:pt idx="58">
                  <c:v>2060946</c:v>
                </c:pt>
                <c:pt idx="59">
                  <c:v>4553845</c:v>
                </c:pt>
                <c:pt idx="60">
                  <c:v>3910882</c:v>
                </c:pt>
                <c:pt idx="61">
                  <c:v>2956772</c:v>
                </c:pt>
                <c:pt idx="62">
                  <c:v>4487483</c:v>
                </c:pt>
                <c:pt idx="63">
                  <c:v>3996874</c:v>
                </c:pt>
                <c:pt idx="64">
                  <c:v>4237334</c:v>
                </c:pt>
                <c:pt idx="65">
                  <c:v>3545772</c:v>
                </c:pt>
                <c:pt idx="66">
                  <c:v>4340507</c:v>
                </c:pt>
                <c:pt idx="67">
                  <c:v>3569314</c:v>
                </c:pt>
                <c:pt idx="68">
                  <c:v>3910563</c:v>
                </c:pt>
                <c:pt idx="69">
                  <c:v>4303196</c:v>
                </c:pt>
                <c:pt idx="70">
                  <c:v>2470830</c:v>
                </c:pt>
                <c:pt idx="71">
                  <c:v>2413504</c:v>
                </c:pt>
                <c:pt idx="72">
                  <c:v>4398011</c:v>
                </c:pt>
                <c:pt idx="73">
                  <c:v>3047130</c:v>
                </c:pt>
                <c:pt idx="74">
                  <c:v>3846102</c:v>
                </c:pt>
                <c:pt idx="75">
                  <c:v>3312854</c:v>
                </c:pt>
                <c:pt idx="76">
                  <c:v>3553871</c:v>
                </c:pt>
                <c:pt idx="77">
                  <c:v>4009052</c:v>
                </c:pt>
                <c:pt idx="78">
                  <c:v>3650685</c:v>
                </c:pt>
                <c:pt idx="79">
                  <c:v>3815102</c:v>
                </c:pt>
                <c:pt idx="80">
                  <c:v>3359315</c:v>
                </c:pt>
                <c:pt idx="81">
                  <c:v>4699734</c:v>
                </c:pt>
                <c:pt idx="82">
                  <c:v>3657526</c:v>
                </c:pt>
                <c:pt idx="83">
                  <c:v>3787809</c:v>
                </c:pt>
                <c:pt idx="84">
                  <c:v>3087475</c:v>
                </c:pt>
                <c:pt idx="85">
                  <c:v>4259108</c:v>
                </c:pt>
                <c:pt idx="86">
                  <c:v>2424356</c:v>
                </c:pt>
                <c:pt idx="87">
                  <c:v>4125227</c:v>
                </c:pt>
                <c:pt idx="88">
                  <c:v>3846102</c:v>
                </c:pt>
                <c:pt idx="89">
                  <c:v>2802231</c:v>
                </c:pt>
                <c:pt idx="90">
                  <c:v>4483860</c:v>
                </c:pt>
                <c:pt idx="91">
                  <c:v>4597826</c:v>
                </c:pt>
                <c:pt idx="92">
                  <c:v>3655475</c:v>
                </c:pt>
                <c:pt idx="93">
                  <c:v>3681372</c:v>
                </c:pt>
                <c:pt idx="94">
                  <c:v>3775910</c:v>
                </c:pt>
                <c:pt idx="95">
                  <c:v>4488875</c:v>
                </c:pt>
                <c:pt idx="96">
                  <c:v>3385262</c:v>
                </c:pt>
                <c:pt idx="97">
                  <c:v>3692222</c:v>
                </c:pt>
                <c:pt idx="98">
                  <c:v>4734184</c:v>
                </c:pt>
                <c:pt idx="99">
                  <c:v>3487836</c:v>
                </c:pt>
              </c:numCache>
            </c:numRef>
          </c:yVal>
          <c:smooth val="0"/>
          <c:extLst>
            <c:ext xmlns:c16="http://schemas.microsoft.com/office/drawing/2014/chart" uri="{C3380CC4-5D6E-409C-BE32-E72D297353CC}">
              <c16:uniqueId val="{00000003-3F56-43F5-AAEA-D124ACB8E815}"/>
            </c:ext>
          </c:extLst>
        </c:ser>
        <c:dLbls>
          <c:showLegendKey val="0"/>
          <c:showVal val="0"/>
          <c:showCatName val="0"/>
          <c:showSerName val="0"/>
          <c:showPercent val="0"/>
          <c:showBubbleSize val="0"/>
        </c:dLbls>
        <c:axId val="763433663"/>
        <c:axId val="763424063"/>
      </c:scatterChart>
      <c:valAx>
        <c:axId val="763433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63424063"/>
        <c:crosses val="autoZero"/>
        <c:crossBetween val="midCat"/>
      </c:valAx>
      <c:valAx>
        <c:axId val="76342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634336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Sheet1!$F$4</c:f>
              <c:strCache>
                <c:ptCount val="1"/>
                <c:pt idx="0">
                  <c:v>precio</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Sheet1!$E$5:$E$104</c:f>
              <c:numCache>
                <c:formatCode>General</c:formatCode>
                <c:ptCount val="100"/>
                <c:pt idx="0">
                  <c:v>4776</c:v>
                </c:pt>
                <c:pt idx="1">
                  <c:v>6904</c:v>
                </c:pt>
                <c:pt idx="2">
                  <c:v>7449</c:v>
                </c:pt>
                <c:pt idx="3">
                  <c:v>3099</c:v>
                </c:pt>
                <c:pt idx="4">
                  <c:v>1721</c:v>
                </c:pt>
                <c:pt idx="5">
                  <c:v>8731</c:v>
                </c:pt>
                <c:pt idx="6">
                  <c:v>7647</c:v>
                </c:pt>
                <c:pt idx="7">
                  <c:v>4094</c:v>
                </c:pt>
                <c:pt idx="8">
                  <c:v>3291</c:v>
                </c:pt>
                <c:pt idx="9">
                  <c:v>3048</c:v>
                </c:pt>
                <c:pt idx="10">
                  <c:v>6680</c:v>
                </c:pt>
                <c:pt idx="11">
                  <c:v>1045</c:v>
                </c:pt>
                <c:pt idx="12">
                  <c:v>6778</c:v>
                </c:pt>
                <c:pt idx="13">
                  <c:v>5865</c:v>
                </c:pt>
                <c:pt idx="14">
                  <c:v>1113</c:v>
                </c:pt>
                <c:pt idx="15">
                  <c:v>4248</c:v>
                </c:pt>
                <c:pt idx="16">
                  <c:v>3974</c:v>
                </c:pt>
                <c:pt idx="17">
                  <c:v>1749</c:v>
                </c:pt>
                <c:pt idx="18">
                  <c:v>4391</c:v>
                </c:pt>
                <c:pt idx="19">
                  <c:v>6681</c:v>
                </c:pt>
                <c:pt idx="20">
                  <c:v>1395</c:v>
                </c:pt>
                <c:pt idx="21">
                  <c:v>1254</c:v>
                </c:pt>
                <c:pt idx="22">
                  <c:v>4353</c:v>
                </c:pt>
                <c:pt idx="23">
                  <c:v>3408</c:v>
                </c:pt>
                <c:pt idx="24">
                  <c:v>4633</c:v>
                </c:pt>
                <c:pt idx="25">
                  <c:v>6117</c:v>
                </c:pt>
                <c:pt idx="26">
                  <c:v>4618</c:v>
                </c:pt>
                <c:pt idx="27">
                  <c:v>2157</c:v>
                </c:pt>
                <c:pt idx="28">
                  <c:v>6769</c:v>
                </c:pt>
                <c:pt idx="29">
                  <c:v>2300</c:v>
                </c:pt>
                <c:pt idx="30">
                  <c:v>1404</c:v>
                </c:pt>
                <c:pt idx="31">
                  <c:v>8799</c:v>
                </c:pt>
                <c:pt idx="32">
                  <c:v>9185</c:v>
                </c:pt>
                <c:pt idx="33">
                  <c:v>1635</c:v>
                </c:pt>
                <c:pt idx="34">
                  <c:v>1026</c:v>
                </c:pt>
                <c:pt idx="35">
                  <c:v>6705</c:v>
                </c:pt>
                <c:pt idx="36">
                  <c:v>2106</c:v>
                </c:pt>
                <c:pt idx="37">
                  <c:v>8750</c:v>
                </c:pt>
                <c:pt idx="38">
                  <c:v>5690</c:v>
                </c:pt>
                <c:pt idx="39">
                  <c:v>3190</c:v>
                </c:pt>
                <c:pt idx="40">
                  <c:v>1271</c:v>
                </c:pt>
                <c:pt idx="41">
                  <c:v>6082</c:v>
                </c:pt>
                <c:pt idx="42">
                  <c:v>6887</c:v>
                </c:pt>
                <c:pt idx="43">
                  <c:v>5917</c:v>
                </c:pt>
                <c:pt idx="44">
                  <c:v>1092</c:v>
                </c:pt>
                <c:pt idx="45">
                  <c:v>1420</c:v>
                </c:pt>
                <c:pt idx="46">
                  <c:v>5595</c:v>
                </c:pt>
                <c:pt idx="47">
                  <c:v>8502</c:v>
                </c:pt>
                <c:pt idx="48">
                  <c:v>8757</c:v>
                </c:pt>
                <c:pt idx="49">
                  <c:v>1922</c:v>
                </c:pt>
                <c:pt idx="50">
                  <c:v>974</c:v>
                </c:pt>
                <c:pt idx="51">
                  <c:v>7922</c:v>
                </c:pt>
                <c:pt idx="52">
                  <c:v>6070</c:v>
                </c:pt>
                <c:pt idx="53">
                  <c:v>9181</c:v>
                </c:pt>
                <c:pt idx="54">
                  <c:v>7147</c:v>
                </c:pt>
                <c:pt idx="55">
                  <c:v>2573</c:v>
                </c:pt>
                <c:pt idx="56">
                  <c:v>1255</c:v>
                </c:pt>
                <c:pt idx="57">
                  <c:v>6664</c:v>
                </c:pt>
                <c:pt idx="58">
                  <c:v>1681</c:v>
                </c:pt>
                <c:pt idx="59">
                  <c:v>8752</c:v>
                </c:pt>
                <c:pt idx="60">
                  <c:v>6213</c:v>
                </c:pt>
                <c:pt idx="61">
                  <c:v>3662</c:v>
                </c:pt>
                <c:pt idx="62">
                  <c:v>8307</c:v>
                </c:pt>
                <c:pt idx="63">
                  <c:v>6322</c:v>
                </c:pt>
                <c:pt idx="64">
                  <c:v>7277</c:v>
                </c:pt>
                <c:pt idx="65">
                  <c:v>5117</c:v>
                </c:pt>
                <c:pt idx="66">
                  <c:v>7863</c:v>
                </c:pt>
                <c:pt idx="67">
                  <c:v>5004</c:v>
                </c:pt>
                <c:pt idx="68">
                  <c:v>6484</c:v>
                </c:pt>
                <c:pt idx="69">
                  <c:v>7594</c:v>
                </c:pt>
                <c:pt idx="70">
                  <c:v>2520</c:v>
                </c:pt>
                <c:pt idx="71">
                  <c:v>2248</c:v>
                </c:pt>
                <c:pt idx="72">
                  <c:v>7679</c:v>
                </c:pt>
                <c:pt idx="73">
                  <c:v>3698</c:v>
                </c:pt>
                <c:pt idx="74">
                  <c:v>6061</c:v>
                </c:pt>
                <c:pt idx="75">
                  <c:v>4358</c:v>
                </c:pt>
                <c:pt idx="76">
                  <c:v>5182</c:v>
                </c:pt>
                <c:pt idx="77">
                  <c:v>6685</c:v>
                </c:pt>
                <c:pt idx="78">
                  <c:v>5342</c:v>
                </c:pt>
                <c:pt idx="79">
                  <c:v>6026</c:v>
                </c:pt>
                <c:pt idx="80">
                  <c:v>4720</c:v>
                </c:pt>
                <c:pt idx="81">
                  <c:v>9276</c:v>
                </c:pt>
                <c:pt idx="82">
                  <c:v>5618</c:v>
                </c:pt>
                <c:pt idx="83">
                  <c:v>5808</c:v>
                </c:pt>
                <c:pt idx="84">
                  <c:v>3697</c:v>
                </c:pt>
                <c:pt idx="85">
                  <c:v>7635</c:v>
                </c:pt>
                <c:pt idx="86">
                  <c:v>2156</c:v>
                </c:pt>
                <c:pt idx="87">
                  <c:v>7096</c:v>
                </c:pt>
                <c:pt idx="88">
                  <c:v>5887</c:v>
                </c:pt>
                <c:pt idx="89">
                  <c:v>3383</c:v>
                </c:pt>
                <c:pt idx="90">
                  <c:v>8539</c:v>
                </c:pt>
                <c:pt idx="91">
                  <c:v>8860</c:v>
                </c:pt>
                <c:pt idx="92">
                  <c:v>5415</c:v>
                </c:pt>
                <c:pt idx="93">
                  <c:v>5217</c:v>
                </c:pt>
                <c:pt idx="94">
                  <c:v>5865</c:v>
                </c:pt>
                <c:pt idx="95">
                  <c:v>8191</c:v>
                </c:pt>
                <c:pt idx="96">
                  <c:v>4442</c:v>
                </c:pt>
                <c:pt idx="97">
                  <c:v>5396</c:v>
                </c:pt>
                <c:pt idx="98">
                  <c:v>9369</c:v>
                </c:pt>
                <c:pt idx="99">
                  <c:v>4730</c:v>
                </c:pt>
              </c:numCache>
            </c:numRef>
          </c:xVal>
          <c:yVal>
            <c:numRef>
              <c:f>Sheet1!$F$5:$F$104</c:f>
              <c:numCache>
                <c:formatCode>General</c:formatCode>
                <c:ptCount val="100"/>
                <c:pt idx="0">
                  <c:v>930</c:v>
                </c:pt>
                <c:pt idx="1">
                  <c:v>760</c:v>
                </c:pt>
                <c:pt idx="2">
                  <c:v>820</c:v>
                </c:pt>
                <c:pt idx="3">
                  <c:v>1110</c:v>
                </c:pt>
                <c:pt idx="4">
                  <c:v>1310</c:v>
                </c:pt>
                <c:pt idx="5">
                  <c:v>560</c:v>
                </c:pt>
                <c:pt idx="6">
                  <c:v>710</c:v>
                </c:pt>
                <c:pt idx="7">
                  <c:v>1070</c:v>
                </c:pt>
                <c:pt idx="8">
                  <c:v>1070</c:v>
                </c:pt>
                <c:pt idx="9">
                  <c:v>1220</c:v>
                </c:pt>
                <c:pt idx="10">
                  <c:v>910</c:v>
                </c:pt>
                <c:pt idx="11">
                  <c:v>1220</c:v>
                </c:pt>
                <c:pt idx="12">
                  <c:v>850</c:v>
                </c:pt>
                <c:pt idx="13">
                  <c:v>850</c:v>
                </c:pt>
                <c:pt idx="14">
                  <c:v>1300</c:v>
                </c:pt>
                <c:pt idx="15">
                  <c:v>1020</c:v>
                </c:pt>
                <c:pt idx="16">
                  <c:v>1110</c:v>
                </c:pt>
                <c:pt idx="17">
                  <c:v>1200</c:v>
                </c:pt>
                <c:pt idx="18">
                  <c:v>1010</c:v>
                </c:pt>
                <c:pt idx="19">
                  <c:v>850</c:v>
                </c:pt>
                <c:pt idx="20">
                  <c:v>1260</c:v>
                </c:pt>
                <c:pt idx="21">
                  <c:v>1240</c:v>
                </c:pt>
                <c:pt idx="22">
                  <c:v>1070</c:v>
                </c:pt>
                <c:pt idx="23">
                  <c:v>1180</c:v>
                </c:pt>
                <c:pt idx="24">
                  <c:v>1040</c:v>
                </c:pt>
                <c:pt idx="25">
                  <c:v>800</c:v>
                </c:pt>
                <c:pt idx="26">
                  <c:v>1010</c:v>
                </c:pt>
                <c:pt idx="27">
                  <c:v>1280</c:v>
                </c:pt>
                <c:pt idx="28">
                  <c:v>780</c:v>
                </c:pt>
                <c:pt idx="29">
                  <c:v>1140</c:v>
                </c:pt>
                <c:pt idx="30">
                  <c:v>1190</c:v>
                </c:pt>
                <c:pt idx="31">
                  <c:v>640</c:v>
                </c:pt>
                <c:pt idx="32">
                  <c:v>530</c:v>
                </c:pt>
                <c:pt idx="33">
                  <c:v>1180</c:v>
                </c:pt>
                <c:pt idx="34">
                  <c:v>1220</c:v>
                </c:pt>
                <c:pt idx="35">
                  <c:v>880</c:v>
                </c:pt>
                <c:pt idx="36">
                  <c:v>1230</c:v>
                </c:pt>
                <c:pt idx="37">
                  <c:v>610</c:v>
                </c:pt>
                <c:pt idx="38">
                  <c:v>870</c:v>
                </c:pt>
                <c:pt idx="39">
                  <c:v>1040</c:v>
                </c:pt>
                <c:pt idx="40">
                  <c:v>1340</c:v>
                </c:pt>
                <c:pt idx="41">
                  <c:v>790</c:v>
                </c:pt>
                <c:pt idx="42">
                  <c:v>870</c:v>
                </c:pt>
                <c:pt idx="43">
                  <c:v>820</c:v>
                </c:pt>
                <c:pt idx="44">
                  <c:v>1220</c:v>
                </c:pt>
                <c:pt idx="45">
                  <c:v>1300</c:v>
                </c:pt>
                <c:pt idx="46">
                  <c:v>850</c:v>
                </c:pt>
                <c:pt idx="47">
                  <c:v>680</c:v>
                </c:pt>
                <c:pt idx="48">
                  <c:v>570</c:v>
                </c:pt>
                <c:pt idx="49">
                  <c:v>1260</c:v>
                </c:pt>
                <c:pt idx="50">
                  <c:v>1380</c:v>
                </c:pt>
                <c:pt idx="51">
                  <c:v>680</c:v>
                </c:pt>
                <c:pt idx="52">
                  <c:v>810</c:v>
                </c:pt>
                <c:pt idx="53">
                  <c:v>640</c:v>
                </c:pt>
                <c:pt idx="54">
                  <c:v>750</c:v>
                </c:pt>
                <c:pt idx="55">
                  <c:v>1150</c:v>
                </c:pt>
                <c:pt idx="56">
                  <c:v>1280</c:v>
                </c:pt>
                <c:pt idx="57">
                  <c:v>830</c:v>
                </c:pt>
                <c:pt idx="58">
                  <c:v>1220</c:v>
                </c:pt>
                <c:pt idx="59">
                  <c:v>630</c:v>
                </c:pt>
                <c:pt idx="60">
                  <c:v>900</c:v>
                </c:pt>
                <c:pt idx="61">
                  <c:v>1080</c:v>
                </c:pt>
                <c:pt idx="62">
                  <c:v>610</c:v>
                </c:pt>
                <c:pt idx="63">
                  <c:v>820</c:v>
                </c:pt>
                <c:pt idx="64">
                  <c:v>830</c:v>
                </c:pt>
                <c:pt idx="65">
                  <c:v>940</c:v>
                </c:pt>
                <c:pt idx="66">
                  <c:v>680</c:v>
                </c:pt>
                <c:pt idx="67">
                  <c:v>1010</c:v>
                </c:pt>
                <c:pt idx="68">
                  <c:v>800</c:v>
                </c:pt>
                <c:pt idx="69">
                  <c:v>680</c:v>
                </c:pt>
                <c:pt idx="70">
                  <c:v>1100</c:v>
                </c:pt>
                <c:pt idx="71">
                  <c:v>1240</c:v>
                </c:pt>
                <c:pt idx="72">
                  <c:v>710</c:v>
                </c:pt>
                <c:pt idx="73">
                  <c:v>1060</c:v>
                </c:pt>
                <c:pt idx="74">
                  <c:v>800</c:v>
                </c:pt>
                <c:pt idx="75">
                  <c:v>1030</c:v>
                </c:pt>
                <c:pt idx="76">
                  <c:v>950</c:v>
                </c:pt>
                <c:pt idx="77">
                  <c:v>760</c:v>
                </c:pt>
                <c:pt idx="78">
                  <c:v>880</c:v>
                </c:pt>
                <c:pt idx="79">
                  <c:v>970</c:v>
                </c:pt>
                <c:pt idx="80">
                  <c:v>1050</c:v>
                </c:pt>
                <c:pt idx="81">
                  <c:v>550</c:v>
                </c:pt>
                <c:pt idx="82">
                  <c:v>900</c:v>
                </c:pt>
                <c:pt idx="83">
                  <c:v>830</c:v>
                </c:pt>
                <c:pt idx="84">
                  <c:v>1120</c:v>
                </c:pt>
                <c:pt idx="85">
                  <c:v>820</c:v>
                </c:pt>
                <c:pt idx="86">
                  <c:v>1180</c:v>
                </c:pt>
                <c:pt idx="87">
                  <c:v>800</c:v>
                </c:pt>
                <c:pt idx="88">
                  <c:v>810</c:v>
                </c:pt>
                <c:pt idx="89">
                  <c:v>1130</c:v>
                </c:pt>
                <c:pt idx="90">
                  <c:v>600</c:v>
                </c:pt>
                <c:pt idx="91">
                  <c:v>640</c:v>
                </c:pt>
                <c:pt idx="92">
                  <c:v>890</c:v>
                </c:pt>
                <c:pt idx="93">
                  <c:v>840</c:v>
                </c:pt>
                <c:pt idx="94">
                  <c:v>850</c:v>
                </c:pt>
                <c:pt idx="95">
                  <c:v>670</c:v>
                </c:pt>
                <c:pt idx="96">
                  <c:v>1010</c:v>
                </c:pt>
                <c:pt idx="97">
                  <c:v>980</c:v>
                </c:pt>
                <c:pt idx="98">
                  <c:v>580</c:v>
                </c:pt>
                <c:pt idx="99">
                  <c:v>920</c:v>
                </c:pt>
              </c:numCache>
            </c:numRef>
          </c:yVal>
          <c:smooth val="0"/>
          <c:extLst>
            <c:ext xmlns:c16="http://schemas.microsoft.com/office/drawing/2014/chart" uri="{C3380CC4-5D6E-409C-BE32-E72D297353CC}">
              <c16:uniqueId val="{00000000-E6DE-47C9-B9F5-DF7843F1432F}"/>
            </c:ext>
          </c:extLst>
        </c:ser>
        <c:dLbls>
          <c:showLegendKey val="0"/>
          <c:showVal val="0"/>
          <c:showCatName val="0"/>
          <c:showSerName val="0"/>
          <c:showPercent val="0"/>
          <c:showBubbleSize val="0"/>
        </c:dLbls>
        <c:axId val="763433663"/>
        <c:axId val="763424063"/>
      </c:scatterChart>
      <c:valAx>
        <c:axId val="763433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63424063"/>
        <c:crosses val="autoZero"/>
        <c:crossBetween val="midCat"/>
      </c:valAx>
      <c:valAx>
        <c:axId val="76342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634336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Sheet1!$G$4</c:f>
              <c:strCache>
                <c:ptCount val="1"/>
                <c:pt idx="0">
                  <c:v>inversión en publicidad </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Sheet1!$E$5:$E$104</c:f>
              <c:numCache>
                <c:formatCode>General</c:formatCode>
                <c:ptCount val="100"/>
                <c:pt idx="0">
                  <c:v>4776</c:v>
                </c:pt>
                <c:pt idx="1">
                  <c:v>6904</c:v>
                </c:pt>
                <c:pt idx="2">
                  <c:v>7449</c:v>
                </c:pt>
                <c:pt idx="3">
                  <c:v>3099</c:v>
                </c:pt>
                <c:pt idx="4">
                  <c:v>1721</c:v>
                </c:pt>
                <c:pt idx="5">
                  <c:v>8731</c:v>
                </c:pt>
                <c:pt idx="6">
                  <c:v>7647</c:v>
                </c:pt>
                <c:pt idx="7">
                  <c:v>4094</c:v>
                </c:pt>
                <c:pt idx="8">
                  <c:v>3291</c:v>
                </c:pt>
                <c:pt idx="9">
                  <c:v>3048</c:v>
                </c:pt>
                <c:pt idx="10">
                  <c:v>6680</c:v>
                </c:pt>
                <c:pt idx="11">
                  <c:v>1045</c:v>
                </c:pt>
                <c:pt idx="12">
                  <c:v>6778</c:v>
                </c:pt>
                <c:pt idx="13">
                  <c:v>5865</c:v>
                </c:pt>
                <c:pt idx="14">
                  <c:v>1113</c:v>
                </c:pt>
                <c:pt idx="15">
                  <c:v>4248</c:v>
                </c:pt>
                <c:pt idx="16">
                  <c:v>3974</c:v>
                </c:pt>
                <c:pt idx="17">
                  <c:v>1749</c:v>
                </c:pt>
                <c:pt idx="18">
                  <c:v>4391</c:v>
                </c:pt>
                <c:pt idx="19">
                  <c:v>6681</c:v>
                </c:pt>
                <c:pt idx="20">
                  <c:v>1395</c:v>
                </c:pt>
                <c:pt idx="21">
                  <c:v>1254</c:v>
                </c:pt>
                <c:pt idx="22">
                  <c:v>4353</c:v>
                </c:pt>
                <c:pt idx="23">
                  <c:v>3408</c:v>
                </c:pt>
                <c:pt idx="24">
                  <c:v>4633</c:v>
                </c:pt>
                <c:pt idx="25">
                  <c:v>6117</c:v>
                </c:pt>
                <c:pt idx="26">
                  <c:v>4618</c:v>
                </c:pt>
                <c:pt idx="27">
                  <c:v>2157</c:v>
                </c:pt>
                <c:pt idx="28">
                  <c:v>6769</c:v>
                </c:pt>
                <c:pt idx="29">
                  <c:v>2300</c:v>
                </c:pt>
                <c:pt idx="30">
                  <c:v>1404</c:v>
                </c:pt>
                <c:pt idx="31">
                  <c:v>8799</c:v>
                </c:pt>
                <c:pt idx="32">
                  <c:v>9185</c:v>
                </c:pt>
                <c:pt idx="33">
                  <c:v>1635</c:v>
                </c:pt>
                <c:pt idx="34">
                  <c:v>1026</c:v>
                </c:pt>
                <c:pt idx="35">
                  <c:v>6705</c:v>
                </c:pt>
                <c:pt idx="36">
                  <c:v>2106</c:v>
                </c:pt>
                <c:pt idx="37">
                  <c:v>8750</c:v>
                </c:pt>
                <c:pt idx="38">
                  <c:v>5690</c:v>
                </c:pt>
                <c:pt idx="39">
                  <c:v>3190</c:v>
                </c:pt>
                <c:pt idx="40">
                  <c:v>1271</c:v>
                </c:pt>
                <c:pt idx="41">
                  <c:v>6082</c:v>
                </c:pt>
                <c:pt idx="42">
                  <c:v>6887</c:v>
                </c:pt>
                <c:pt idx="43">
                  <c:v>5917</c:v>
                </c:pt>
                <c:pt idx="44">
                  <c:v>1092</c:v>
                </c:pt>
                <c:pt idx="45">
                  <c:v>1420</c:v>
                </c:pt>
                <c:pt idx="46">
                  <c:v>5595</c:v>
                </c:pt>
                <c:pt idx="47">
                  <c:v>8502</c:v>
                </c:pt>
                <c:pt idx="48">
                  <c:v>8757</c:v>
                </c:pt>
                <c:pt idx="49">
                  <c:v>1922</c:v>
                </c:pt>
                <c:pt idx="50">
                  <c:v>974</c:v>
                </c:pt>
                <c:pt idx="51">
                  <c:v>7922</c:v>
                </c:pt>
                <c:pt idx="52">
                  <c:v>6070</c:v>
                </c:pt>
                <c:pt idx="53">
                  <c:v>9181</c:v>
                </c:pt>
                <c:pt idx="54">
                  <c:v>7147</c:v>
                </c:pt>
                <c:pt idx="55">
                  <c:v>2573</c:v>
                </c:pt>
                <c:pt idx="56">
                  <c:v>1255</c:v>
                </c:pt>
                <c:pt idx="57">
                  <c:v>6664</c:v>
                </c:pt>
                <c:pt idx="58">
                  <c:v>1681</c:v>
                </c:pt>
                <c:pt idx="59">
                  <c:v>8752</c:v>
                </c:pt>
                <c:pt idx="60">
                  <c:v>6213</c:v>
                </c:pt>
                <c:pt idx="61">
                  <c:v>3662</c:v>
                </c:pt>
                <c:pt idx="62">
                  <c:v>8307</c:v>
                </c:pt>
                <c:pt idx="63">
                  <c:v>6322</c:v>
                </c:pt>
                <c:pt idx="64">
                  <c:v>7277</c:v>
                </c:pt>
                <c:pt idx="65">
                  <c:v>5117</c:v>
                </c:pt>
                <c:pt idx="66">
                  <c:v>7863</c:v>
                </c:pt>
                <c:pt idx="67">
                  <c:v>5004</c:v>
                </c:pt>
                <c:pt idx="68">
                  <c:v>6484</c:v>
                </c:pt>
                <c:pt idx="69">
                  <c:v>7594</c:v>
                </c:pt>
                <c:pt idx="70">
                  <c:v>2520</c:v>
                </c:pt>
                <c:pt idx="71">
                  <c:v>2248</c:v>
                </c:pt>
                <c:pt idx="72">
                  <c:v>7679</c:v>
                </c:pt>
                <c:pt idx="73">
                  <c:v>3698</c:v>
                </c:pt>
                <c:pt idx="74">
                  <c:v>6061</c:v>
                </c:pt>
                <c:pt idx="75">
                  <c:v>4358</c:v>
                </c:pt>
                <c:pt idx="76">
                  <c:v>5182</c:v>
                </c:pt>
                <c:pt idx="77">
                  <c:v>6685</c:v>
                </c:pt>
                <c:pt idx="78">
                  <c:v>5342</c:v>
                </c:pt>
                <c:pt idx="79">
                  <c:v>6026</c:v>
                </c:pt>
                <c:pt idx="80">
                  <c:v>4720</c:v>
                </c:pt>
                <c:pt idx="81">
                  <c:v>9276</c:v>
                </c:pt>
                <c:pt idx="82">
                  <c:v>5618</c:v>
                </c:pt>
                <c:pt idx="83">
                  <c:v>5808</c:v>
                </c:pt>
                <c:pt idx="84">
                  <c:v>3697</c:v>
                </c:pt>
                <c:pt idx="85">
                  <c:v>7635</c:v>
                </c:pt>
                <c:pt idx="86">
                  <c:v>2156</c:v>
                </c:pt>
                <c:pt idx="87">
                  <c:v>7096</c:v>
                </c:pt>
                <c:pt idx="88">
                  <c:v>5887</c:v>
                </c:pt>
                <c:pt idx="89">
                  <c:v>3383</c:v>
                </c:pt>
                <c:pt idx="90">
                  <c:v>8539</c:v>
                </c:pt>
                <c:pt idx="91">
                  <c:v>8860</c:v>
                </c:pt>
                <c:pt idx="92">
                  <c:v>5415</c:v>
                </c:pt>
                <c:pt idx="93">
                  <c:v>5217</c:v>
                </c:pt>
                <c:pt idx="94">
                  <c:v>5865</c:v>
                </c:pt>
                <c:pt idx="95">
                  <c:v>8191</c:v>
                </c:pt>
                <c:pt idx="96">
                  <c:v>4442</c:v>
                </c:pt>
                <c:pt idx="97">
                  <c:v>5396</c:v>
                </c:pt>
                <c:pt idx="98">
                  <c:v>9369</c:v>
                </c:pt>
                <c:pt idx="99">
                  <c:v>4730</c:v>
                </c:pt>
              </c:numCache>
            </c:numRef>
          </c:xVal>
          <c:yVal>
            <c:numRef>
              <c:f>Sheet1!$G$5:$G$104</c:f>
              <c:numCache>
                <c:formatCode>General</c:formatCode>
                <c:ptCount val="100"/>
                <c:pt idx="0">
                  <c:v>1623740</c:v>
                </c:pt>
                <c:pt idx="1">
                  <c:v>1290978</c:v>
                </c:pt>
                <c:pt idx="2">
                  <c:v>1702638</c:v>
                </c:pt>
                <c:pt idx="3">
                  <c:v>967230</c:v>
                </c:pt>
                <c:pt idx="4">
                  <c:v>726165</c:v>
                </c:pt>
                <c:pt idx="5">
                  <c:v>30114</c:v>
                </c:pt>
                <c:pt idx="6">
                  <c:v>1038976</c:v>
                </c:pt>
                <c:pt idx="7">
                  <c:v>1352295</c:v>
                </c:pt>
                <c:pt idx="8">
                  <c:v>1437426</c:v>
                </c:pt>
                <c:pt idx="9">
                  <c:v>1508563</c:v>
                </c:pt>
                <c:pt idx="10">
                  <c:v>1804533</c:v>
                </c:pt>
                <c:pt idx="11">
                  <c:v>551565</c:v>
                </c:pt>
                <c:pt idx="12">
                  <c:v>1348720</c:v>
                </c:pt>
                <c:pt idx="13">
                  <c:v>1312935</c:v>
                </c:pt>
                <c:pt idx="14">
                  <c:v>614336</c:v>
                </c:pt>
                <c:pt idx="15">
                  <c:v>1743250</c:v>
                </c:pt>
                <c:pt idx="16">
                  <c:v>1515735</c:v>
                </c:pt>
                <c:pt idx="17">
                  <c:v>786505</c:v>
                </c:pt>
                <c:pt idx="18">
                  <c:v>1657503</c:v>
                </c:pt>
                <c:pt idx="19">
                  <c:v>1410675</c:v>
                </c:pt>
                <c:pt idx="20">
                  <c:v>875792</c:v>
                </c:pt>
                <c:pt idx="21">
                  <c:v>405630</c:v>
                </c:pt>
                <c:pt idx="22">
                  <c:v>1685440</c:v>
                </c:pt>
                <c:pt idx="23">
                  <c:v>1875319</c:v>
                </c:pt>
                <c:pt idx="24">
                  <c:v>1588192</c:v>
                </c:pt>
                <c:pt idx="25">
                  <c:v>1247217</c:v>
                </c:pt>
                <c:pt idx="26">
                  <c:v>1835524</c:v>
                </c:pt>
                <c:pt idx="27">
                  <c:v>1034272</c:v>
                </c:pt>
                <c:pt idx="28">
                  <c:v>1135065</c:v>
                </c:pt>
                <c:pt idx="29">
                  <c:v>733380</c:v>
                </c:pt>
                <c:pt idx="30">
                  <c:v>603440</c:v>
                </c:pt>
                <c:pt idx="31">
                  <c:v>627750</c:v>
                </c:pt>
                <c:pt idx="32">
                  <c:v>21581</c:v>
                </c:pt>
                <c:pt idx="33">
                  <c:v>495210</c:v>
                </c:pt>
                <c:pt idx="34">
                  <c:v>355120</c:v>
                </c:pt>
                <c:pt idx="35">
                  <c:v>1620144</c:v>
                </c:pt>
                <c:pt idx="36">
                  <c:v>975681</c:v>
                </c:pt>
                <c:pt idx="37">
                  <c:v>345591</c:v>
                </c:pt>
                <c:pt idx="38">
                  <c:v>1280142</c:v>
                </c:pt>
                <c:pt idx="39">
                  <c:v>1055984</c:v>
                </c:pt>
                <c:pt idx="40">
                  <c:v>520576</c:v>
                </c:pt>
                <c:pt idx="41">
                  <c:v>1493343</c:v>
                </c:pt>
                <c:pt idx="42">
                  <c:v>1568464</c:v>
                </c:pt>
                <c:pt idx="43">
                  <c:v>1153168</c:v>
                </c:pt>
                <c:pt idx="44">
                  <c:v>594738</c:v>
                </c:pt>
                <c:pt idx="45">
                  <c:v>544692</c:v>
                </c:pt>
                <c:pt idx="46">
                  <c:v>1150140</c:v>
                </c:pt>
                <c:pt idx="47">
                  <c:v>1086762</c:v>
                </c:pt>
                <c:pt idx="48">
                  <c:v>164016</c:v>
                </c:pt>
                <c:pt idx="49">
                  <c:v>1041624</c:v>
                </c:pt>
                <c:pt idx="50">
                  <c:v>457317</c:v>
                </c:pt>
                <c:pt idx="51">
                  <c:v>907003</c:v>
                </c:pt>
                <c:pt idx="52">
                  <c:v>1236726</c:v>
                </c:pt>
                <c:pt idx="53">
                  <c:v>765075</c:v>
                </c:pt>
                <c:pt idx="54">
                  <c:v>1141121</c:v>
                </c:pt>
                <c:pt idx="55">
                  <c:v>1336061</c:v>
                </c:pt>
                <c:pt idx="56">
                  <c:v>575264</c:v>
                </c:pt>
                <c:pt idx="57">
                  <c:v>1417830</c:v>
                </c:pt>
                <c:pt idx="58">
                  <c:v>767618</c:v>
                </c:pt>
                <c:pt idx="59">
                  <c:v>734863</c:v>
                </c:pt>
                <c:pt idx="60">
                  <c:v>1625610</c:v>
                </c:pt>
                <c:pt idx="61">
                  <c:v>1285392</c:v>
                </c:pt>
                <c:pt idx="62">
                  <c:v>392112</c:v>
                </c:pt>
                <c:pt idx="63">
                  <c:v>1194816</c:v>
                </c:pt>
                <c:pt idx="64">
                  <c:v>1656702</c:v>
                </c:pt>
                <c:pt idx="65">
                  <c:v>1449607</c:v>
                </c:pt>
                <c:pt idx="66">
                  <c:v>675427</c:v>
                </c:pt>
                <c:pt idx="67">
                  <c:v>2122642</c:v>
                </c:pt>
                <c:pt idx="68">
                  <c:v>1224017</c:v>
                </c:pt>
                <c:pt idx="69">
                  <c:v>575280</c:v>
                </c:pt>
                <c:pt idx="70">
                  <c:v>984232</c:v>
                </c:pt>
                <c:pt idx="71">
                  <c:v>943080</c:v>
                </c:pt>
                <c:pt idx="72">
                  <c:v>1147518</c:v>
                </c:pt>
                <c:pt idx="73">
                  <c:v>1704528</c:v>
                </c:pt>
                <c:pt idx="74">
                  <c:v>1221229</c:v>
                </c:pt>
                <c:pt idx="75">
                  <c:v>1883185</c:v>
                </c:pt>
                <c:pt idx="76">
                  <c:v>1677849</c:v>
                </c:pt>
                <c:pt idx="77">
                  <c:v>901456</c:v>
                </c:pt>
                <c:pt idx="78">
                  <c:v>1398046</c:v>
                </c:pt>
                <c:pt idx="79">
                  <c:v>2121464</c:v>
                </c:pt>
                <c:pt idx="80">
                  <c:v>1980288</c:v>
                </c:pt>
                <c:pt idx="81">
                  <c:v>156655</c:v>
                </c:pt>
                <c:pt idx="82">
                  <c:v>1341623</c:v>
                </c:pt>
                <c:pt idx="83">
                  <c:v>1246153</c:v>
                </c:pt>
                <c:pt idx="84">
                  <c:v>1890842</c:v>
                </c:pt>
                <c:pt idx="85">
                  <c:v>1629576</c:v>
                </c:pt>
                <c:pt idx="86">
                  <c:v>1305547</c:v>
                </c:pt>
                <c:pt idx="87">
                  <c:v>1270935</c:v>
                </c:pt>
                <c:pt idx="88">
                  <c:v>1153093</c:v>
                </c:pt>
                <c:pt idx="89">
                  <c:v>1598185</c:v>
                </c:pt>
                <c:pt idx="90">
                  <c:v>446448</c:v>
                </c:pt>
                <c:pt idx="91">
                  <c:v>738216</c:v>
                </c:pt>
                <c:pt idx="92">
                  <c:v>1511010</c:v>
                </c:pt>
                <c:pt idx="93">
                  <c:v>1059525</c:v>
                </c:pt>
                <c:pt idx="94">
                  <c:v>1156032</c:v>
                </c:pt>
                <c:pt idx="95">
                  <c:v>614355</c:v>
                </c:pt>
                <c:pt idx="96">
                  <c:v>1312890</c:v>
                </c:pt>
                <c:pt idx="97">
                  <c:v>1974157</c:v>
                </c:pt>
                <c:pt idx="98">
                  <c:v>120795</c:v>
                </c:pt>
                <c:pt idx="99">
                  <c:v>1536473</c:v>
                </c:pt>
              </c:numCache>
            </c:numRef>
          </c:yVal>
          <c:smooth val="0"/>
          <c:extLst>
            <c:ext xmlns:c16="http://schemas.microsoft.com/office/drawing/2014/chart" uri="{C3380CC4-5D6E-409C-BE32-E72D297353CC}">
              <c16:uniqueId val="{00000000-10FB-481F-8C20-3BD50AA579B1}"/>
            </c:ext>
          </c:extLst>
        </c:ser>
        <c:dLbls>
          <c:showLegendKey val="0"/>
          <c:showVal val="0"/>
          <c:showCatName val="0"/>
          <c:showSerName val="0"/>
          <c:showPercent val="0"/>
          <c:showBubbleSize val="0"/>
        </c:dLbls>
        <c:axId val="763433663"/>
        <c:axId val="763424063"/>
      </c:scatterChart>
      <c:valAx>
        <c:axId val="763433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63424063"/>
        <c:crosses val="autoZero"/>
        <c:crossBetween val="midCat"/>
      </c:valAx>
      <c:valAx>
        <c:axId val="76342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634336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Sheet1!$H$4</c:f>
              <c:strCache>
                <c:ptCount val="1"/>
                <c:pt idx="0">
                  <c:v>competencia</c:v>
                </c:pt>
              </c:strCache>
            </c:strRef>
          </c:tx>
          <c:spPr>
            <a:ln w="25400" cap="rnd">
              <a:noFill/>
              <a:round/>
            </a:ln>
            <a:effectLst/>
          </c:spPr>
          <c:marker>
            <c:symbol val="circle"/>
            <c:size val="5"/>
            <c:spPr>
              <a:solidFill>
                <a:schemeClr val="accent1"/>
              </a:solidFill>
              <a:ln w="9525">
                <a:solidFill>
                  <a:schemeClr val="accent1"/>
                </a:solidFill>
              </a:ln>
              <a:effectLst/>
            </c:spPr>
          </c:marker>
          <c:xVal>
            <c:numRef>
              <c:f>Sheet1!$E$5:$E$104</c:f>
              <c:numCache>
                <c:formatCode>General</c:formatCode>
                <c:ptCount val="100"/>
                <c:pt idx="0">
                  <c:v>4776</c:v>
                </c:pt>
                <c:pt idx="1">
                  <c:v>6904</c:v>
                </c:pt>
                <c:pt idx="2">
                  <c:v>7449</c:v>
                </c:pt>
                <c:pt idx="3">
                  <c:v>3099</c:v>
                </c:pt>
                <c:pt idx="4">
                  <c:v>1721</c:v>
                </c:pt>
                <c:pt idx="5">
                  <c:v>8731</c:v>
                </c:pt>
                <c:pt idx="6">
                  <c:v>7647</c:v>
                </c:pt>
                <c:pt idx="7">
                  <c:v>4094</c:v>
                </c:pt>
                <c:pt idx="8">
                  <c:v>3291</c:v>
                </c:pt>
                <c:pt idx="9">
                  <c:v>3048</c:v>
                </c:pt>
                <c:pt idx="10">
                  <c:v>6680</c:v>
                </c:pt>
                <c:pt idx="11">
                  <c:v>1045</c:v>
                </c:pt>
                <c:pt idx="12">
                  <c:v>6778</c:v>
                </c:pt>
                <c:pt idx="13">
                  <c:v>5865</c:v>
                </c:pt>
                <c:pt idx="14">
                  <c:v>1113</c:v>
                </c:pt>
                <c:pt idx="15">
                  <c:v>4248</c:v>
                </c:pt>
                <c:pt idx="16">
                  <c:v>3974</c:v>
                </c:pt>
                <c:pt idx="17">
                  <c:v>1749</c:v>
                </c:pt>
                <c:pt idx="18">
                  <c:v>4391</c:v>
                </c:pt>
                <c:pt idx="19">
                  <c:v>6681</c:v>
                </c:pt>
                <c:pt idx="20">
                  <c:v>1395</c:v>
                </c:pt>
                <c:pt idx="21">
                  <c:v>1254</c:v>
                </c:pt>
                <c:pt idx="22">
                  <c:v>4353</c:v>
                </c:pt>
                <c:pt idx="23">
                  <c:v>3408</c:v>
                </c:pt>
                <c:pt idx="24">
                  <c:v>4633</c:v>
                </c:pt>
                <c:pt idx="25">
                  <c:v>6117</c:v>
                </c:pt>
                <c:pt idx="26">
                  <c:v>4618</c:v>
                </c:pt>
                <c:pt idx="27">
                  <c:v>2157</c:v>
                </c:pt>
                <c:pt idx="28">
                  <c:v>6769</c:v>
                </c:pt>
                <c:pt idx="29">
                  <c:v>2300</c:v>
                </c:pt>
                <c:pt idx="30">
                  <c:v>1404</c:v>
                </c:pt>
                <c:pt idx="31">
                  <c:v>8799</c:v>
                </c:pt>
                <c:pt idx="32">
                  <c:v>9185</c:v>
                </c:pt>
                <c:pt idx="33">
                  <c:v>1635</c:v>
                </c:pt>
                <c:pt idx="34">
                  <c:v>1026</c:v>
                </c:pt>
                <c:pt idx="35">
                  <c:v>6705</c:v>
                </c:pt>
                <c:pt idx="36">
                  <c:v>2106</c:v>
                </c:pt>
                <c:pt idx="37">
                  <c:v>8750</c:v>
                </c:pt>
                <c:pt idx="38">
                  <c:v>5690</c:v>
                </c:pt>
                <c:pt idx="39">
                  <c:v>3190</c:v>
                </c:pt>
                <c:pt idx="40">
                  <c:v>1271</c:v>
                </c:pt>
                <c:pt idx="41">
                  <c:v>6082</c:v>
                </c:pt>
                <c:pt idx="42">
                  <c:v>6887</c:v>
                </c:pt>
                <c:pt idx="43">
                  <c:v>5917</c:v>
                </c:pt>
                <c:pt idx="44">
                  <c:v>1092</c:v>
                </c:pt>
                <c:pt idx="45">
                  <c:v>1420</c:v>
                </c:pt>
                <c:pt idx="46">
                  <c:v>5595</c:v>
                </c:pt>
                <c:pt idx="47">
                  <c:v>8502</c:v>
                </c:pt>
                <c:pt idx="48">
                  <c:v>8757</c:v>
                </c:pt>
                <c:pt idx="49">
                  <c:v>1922</c:v>
                </c:pt>
                <c:pt idx="50">
                  <c:v>974</c:v>
                </c:pt>
                <c:pt idx="51">
                  <c:v>7922</c:v>
                </c:pt>
                <c:pt idx="52">
                  <c:v>6070</c:v>
                </c:pt>
                <c:pt idx="53">
                  <c:v>9181</c:v>
                </c:pt>
                <c:pt idx="54">
                  <c:v>7147</c:v>
                </c:pt>
                <c:pt idx="55">
                  <c:v>2573</c:v>
                </c:pt>
                <c:pt idx="56">
                  <c:v>1255</c:v>
                </c:pt>
                <c:pt idx="57">
                  <c:v>6664</c:v>
                </c:pt>
                <c:pt idx="58">
                  <c:v>1681</c:v>
                </c:pt>
                <c:pt idx="59">
                  <c:v>8752</c:v>
                </c:pt>
                <c:pt idx="60">
                  <c:v>6213</c:v>
                </c:pt>
                <c:pt idx="61">
                  <c:v>3662</c:v>
                </c:pt>
                <c:pt idx="62">
                  <c:v>8307</c:v>
                </c:pt>
                <c:pt idx="63">
                  <c:v>6322</c:v>
                </c:pt>
                <c:pt idx="64">
                  <c:v>7277</c:v>
                </c:pt>
                <c:pt idx="65">
                  <c:v>5117</c:v>
                </c:pt>
                <c:pt idx="66">
                  <c:v>7863</c:v>
                </c:pt>
                <c:pt idx="67">
                  <c:v>5004</c:v>
                </c:pt>
                <c:pt idx="68">
                  <c:v>6484</c:v>
                </c:pt>
                <c:pt idx="69">
                  <c:v>7594</c:v>
                </c:pt>
                <c:pt idx="70">
                  <c:v>2520</c:v>
                </c:pt>
                <c:pt idx="71">
                  <c:v>2248</c:v>
                </c:pt>
                <c:pt idx="72">
                  <c:v>7679</c:v>
                </c:pt>
                <c:pt idx="73">
                  <c:v>3698</c:v>
                </c:pt>
                <c:pt idx="74">
                  <c:v>6061</c:v>
                </c:pt>
                <c:pt idx="75">
                  <c:v>4358</c:v>
                </c:pt>
                <c:pt idx="76">
                  <c:v>5182</c:v>
                </c:pt>
                <c:pt idx="77">
                  <c:v>6685</c:v>
                </c:pt>
                <c:pt idx="78">
                  <c:v>5342</c:v>
                </c:pt>
                <c:pt idx="79">
                  <c:v>6026</c:v>
                </c:pt>
                <c:pt idx="80">
                  <c:v>4720</c:v>
                </c:pt>
                <c:pt idx="81">
                  <c:v>9276</c:v>
                </c:pt>
                <c:pt idx="82">
                  <c:v>5618</c:v>
                </c:pt>
                <c:pt idx="83">
                  <c:v>5808</c:v>
                </c:pt>
                <c:pt idx="84">
                  <c:v>3697</c:v>
                </c:pt>
                <c:pt idx="85">
                  <c:v>7635</c:v>
                </c:pt>
                <c:pt idx="86">
                  <c:v>2156</c:v>
                </c:pt>
                <c:pt idx="87">
                  <c:v>7096</c:v>
                </c:pt>
                <c:pt idx="88">
                  <c:v>5887</c:v>
                </c:pt>
                <c:pt idx="89">
                  <c:v>3383</c:v>
                </c:pt>
                <c:pt idx="90">
                  <c:v>8539</c:v>
                </c:pt>
                <c:pt idx="91">
                  <c:v>8860</c:v>
                </c:pt>
                <c:pt idx="92">
                  <c:v>5415</c:v>
                </c:pt>
                <c:pt idx="93">
                  <c:v>5217</c:v>
                </c:pt>
                <c:pt idx="94">
                  <c:v>5865</c:v>
                </c:pt>
                <c:pt idx="95">
                  <c:v>8191</c:v>
                </c:pt>
                <c:pt idx="96">
                  <c:v>4442</c:v>
                </c:pt>
                <c:pt idx="97">
                  <c:v>5396</c:v>
                </c:pt>
                <c:pt idx="98">
                  <c:v>9369</c:v>
                </c:pt>
                <c:pt idx="99">
                  <c:v>4730</c:v>
                </c:pt>
              </c:numCache>
            </c:numRef>
          </c:xVal>
          <c:yVal>
            <c:numRef>
              <c:f>Sheet1!$H$5:$H$104</c:f>
              <c:numCache>
                <c:formatCode>General</c:formatCode>
                <c:ptCount val="100"/>
                <c:pt idx="0">
                  <c:v>1934</c:v>
                </c:pt>
                <c:pt idx="1">
                  <c:v>2775</c:v>
                </c:pt>
                <c:pt idx="2">
                  <c:v>2486</c:v>
                </c:pt>
                <c:pt idx="3">
                  <c:v>1093</c:v>
                </c:pt>
                <c:pt idx="4">
                  <c:v>759</c:v>
                </c:pt>
                <c:pt idx="5">
                  <c:v>3158</c:v>
                </c:pt>
                <c:pt idx="6">
                  <c:v>2575</c:v>
                </c:pt>
                <c:pt idx="7">
                  <c:v>1386</c:v>
                </c:pt>
                <c:pt idx="8">
                  <c:v>1282</c:v>
                </c:pt>
                <c:pt idx="9">
                  <c:v>1207</c:v>
                </c:pt>
                <c:pt idx="10">
                  <c:v>2156</c:v>
                </c:pt>
                <c:pt idx="11">
                  <c:v>409</c:v>
                </c:pt>
                <c:pt idx="12">
                  <c:v>2535</c:v>
                </c:pt>
                <c:pt idx="13">
                  <c:v>2198</c:v>
                </c:pt>
                <c:pt idx="14">
                  <c:v>562</c:v>
                </c:pt>
                <c:pt idx="15">
                  <c:v>1659</c:v>
                </c:pt>
                <c:pt idx="16">
                  <c:v>1381</c:v>
                </c:pt>
                <c:pt idx="17">
                  <c:v>791</c:v>
                </c:pt>
                <c:pt idx="18">
                  <c:v>1771</c:v>
                </c:pt>
                <c:pt idx="19">
                  <c:v>2435</c:v>
                </c:pt>
                <c:pt idx="20">
                  <c:v>646</c:v>
                </c:pt>
                <c:pt idx="21">
                  <c:v>441</c:v>
                </c:pt>
                <c:pt idx="22">
                  <c:v>1585</c:v>
                </c:pt>
                <c:pt idx="23">
                  <c:v>1169</c:v>
                </c:pt>
                <c:pt idx="24">
                  <c:v>1728</c:v>
                </c:pt>
                <c:pt idx="25">
                  <c:v>2272</c:v>
                </c:pt>
                <c:pt idx="26">
                  <c:v>1967</c:v>
                </c:pt>
                <c:pt idx="27">
                  <c:v>944</c:v>
                </c:pt>
                <c:pt idx="28">
                  <c:v>2509</c:v>
                </c:pt>
                <c:pt idx="29">
                  <c:v>1131</c:v>
                </c:pt>
                <c:pt idx="30">
                  <c:v>661</c:v>
                </c:pt>
                <c:pt idx="31">
                  <c:v>3085</c:v>
                </c:pt>
                <c:pt idx="32">
                  <c:v>3226</c:v>
                </c:pt>
                <c:pt idx="33">
                  <c:v>427</c:v>
                </c:pt>
                <c:pt idx="34">
                  <c:v>690</c:v>
                </c:pt>
                <c:pt idx="35">
                  <c:v>2229</c:v>
                </c:pt>
                <c:pt idx="36">
                  <c:v>745</c:v>
                </c:pt>
                <c:pt idx="37">
                  <c:v>3088</c:v>
                </c:pt>
                <c:pt idx="38">
                  <c:v>2046</c:v>
                </c:pt>
                <c:pt idx="39">
                  <c:v>1153</c:v>
                </c:pt>
                <c:pt idx="40">
                  <c:v>754</c:v>
                </c:pt>
                <c:pt idx="41">
                  <c:v>2221</c:v>
                </c:pt>
                <c:pt idx="42">
                  <c:v>2388</c:v>
                </c:pt>
                <c:pt idx="43">
                  <c:v>2084</c:v>
                </c:pt>
                <c:pt idx="44">
                  <c:v>618</c:v>
                </c:pt>
                <c:pt idx="45">
                  <c:v>409</c:v>
                </c:pt>
                <c:pt idx="46">
                  <c:v>1970</c:v>
                </c:pt>
                <c:pt idx="47">
                  <c:v>2860</c:v>
                </c:pt>
                <c:pt idx="48">
                  <c:v>3211</c:v>
                </c:pt>
                <c:pt idx="49">
                  <c:v>779</c:v>
                </c:pt>
                <c:pt idx="50">
                  <c:v>301</c:v>
                </c:pt>
                <c:pt idx="51">
                  <c:v>2614</c:v>
                </c:pt>
                <c:pt idx="52">
                  <c:v>2276</c:v>
                </c:pt>
                <c:pt idx="53">
                  <c:v>3412</c:v>
                </c:pt>
                <c:pt idx="54">
                  <c:v>2446</c:v>
                </c:pt>
                <c:pt idx="55">
                  <c:v>732</c:v>
                </c:pt>
                <c:pt idx="56">
                  <c:v>478</c:v>
                </c:pt>
                <c:pt idx="57">
                  <c:v>2556</c:v>
                </c:pt>
                <c:pt idx="58">
                  <c:v>583</c:v>
                </c:pt>
                <c:pt idx="59">
                  <c:v>3051</c:v>
                </c:pt>
                <c:pt idx="60">
                  <c:v>2566</c:v>
                </c:pt>
                <c:pt idx="61">
                  <c:v>1419</c:v>
                </c:pt>
                <c:pt idx="62">
                  <c:v>3230</c:v>
                </c:pt>
                <c:pt idx="63">
                  <c:v>2422</c:v>
                </c:pt>
                <c:pt idx="64">
                  <c:v>2535</c:v>
                </c:pt>
                <c:pt idx="65">
                  <c:v>1849</c:v>
                </c:pt>
                <c:pt idx="66">
                  <c:v>2523</c:v>
                </c:pt>
                <c:pt idx="67">
                  <c:v>1923</c:v>
                </c:pt>
                <c:pt idx="68">
                  <c:v>2176</c:v>
                </c:pt>
                <c:pt idx="69">
                  <c:v>2451</c:v>
                </c:pt>
                <c:pt idx="70">
                  <c:v>1136</c:v>
                </c:pt>
                <c:pt idx="71">
                  <c:v>928</c:v>
                </c:pt>
                <c:pt idx="72">
                  <c:v>2900</c:v>
                </c:pt>
                <c:pt idx="73">
                  <c:v>1435</c:v>
                </c:pt>
                <c:pt idx="74">
                  <c:v>1882</c:v>
                </c:pt>
                <c:pt idx="75">
                  <c:v>1505</c:v>
                </c:pt>
                <c:pt idx="76">
                  <c:v>1955</c:v>
                </c:pt>
                <c:pt idx="77">
                  <c:v>2663</c:v>
                </c:pt>
                <c:pt idx="78">
                  <c:v>2137</c:v>
                </c:pt>
                <c:pt idx="79">
                  <c:v>2141</c:v>
                </c:pt>
                <c:pt idx="80">
                  <c:v>1560</c:v>
                </c:pt>
                <c:pt idx="81">
                  <c:v>3126</c:v>
                </c:pt>
                <c:pt idx="82">
                  <c:v>1822</c:v>
                </c:pt>
                <c:pt idx="83">
                  <c:v>2356</c:v>
                </c:pt>
                <c:pt idx="84">
                  <c:v>1202</c:v>
                </c:pt>
                <c:pt idx="85">
                  <c:v>2668</c:v>
                </c:pt>
                <c:pt idx="86">
                  <c:v>654</c:v>
                </c:pt>
                <c:pt idx="87">
                  <c:v>2537</c:v>
                </c:pt>
                <c:pt idx="88">
                  <c:v>2050</c:v>
                </c:pt>
                <c:pt idx="89">
                  <c:v>1216</c:v>
                </c:pt>
                <c:pt idx="90">
                  <c:v>3107</c:v>
                </c:pt>
                <c:pt idx="91">
                  <c:v>3284</c:v>
                </c:pt>
                <c:pt idx="92">
                  <c:v>1749</c:v>
                </c:pt>
                <c:pt idx="93">
                  <c:v>2057</c:v>
                </c:pt>
                <c:pt idx="94">
                  <c:v>2046</c:v>
                </c:pt>
                <c:pt idx="95">
                  <c:v>2760</c:v>
                </c:pt>
                <c:pt idx="96">
                  <c:v>1601</c:v>
                </c:pt>
                <c:pt idx="97">
                  <c:v>1963</c:v>
                </c:pt>
                <c:pt idx="98">
                  <c:v>3411</c:v>
                </c:pt>
                <c:pt idx="99">
                  <c:v>1604</c:v>
                </c:pt>
              </c:numCache>
            </c:numRef>
          </c:yVal>
          <c:smooth val="0"/>
          <c:extLst>
            <c:ext xmlns:c16="http://schemas.microsoft.com/office/drawing/2014/chart" uri="{C3380CC4-5D6E-409C-BE32-E72D297353CC}">
              <c16:uniqueId val="{00000000-18C8-47CA-A21B-7983D53B51C5}"/>
            </c:ext>
          </c:extLst>
        </c:ser>
        <c:dLbls>
          <c:showLegendKey val="0"/>
          <c:showVal val="0"/>
          <c:showCatName val="0"/>
          <c:showSerName val="0"/>
          <c:showPercent val="0"/>
          <c:showBubbleSize val="0"/>
        </c:dLbls>
        <c:axId val="763433663"/>
        <c:axId val="763424063"/>
      </c:scatterChart>
      <c:valAx>
        <c:axId val="763433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63424063"/>
        <c:crosses val="autoZero"/>
        <c:crossBetween val="midCat"/>
      </c:valAx>
      <c:valAx>
        <c:axId val="76342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634336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Sheet1!$I$4</c:f>
              <c:strCache>
                <c:ptCount val="1"/>
                <c:pt idx="0">
                  <c:v>número de habitantes</c:v>
                </c:pt>
              </c:strCache>
            </c:strRef>
          </c:tx>
          <c:spPr>
            <a:ln w="25400" cap="rnd">
              <a:noFill/>
              <a:round/>
            </a:ln>
            <a:effectLst/>
          </c:spPr>
          <c:marker>
            <c:symbol val="circle"/>
            <c:size val="5"/>
            <c:spPr>
              <a:solidFill>
                <a:schemeClr val="accent1"/>
              </a:solidFill>
              <a:ln w="9525">
                <a:solidFill>
                  <a:schemeClr val="accent1"/>
                </a:solidFill>
              </a:ln>
              <a:effectLst/>
            </c:spPr>
          </c:marker>
          <c:xVal>
            <c:numRef>
              <c:f>Sheet1!$E$5:$E$104</c:f>
              <c:numCache>
                <c:formatCode>General</c:formatCode>
                <c:ptCount val="100"/>
                <c:pt idx="0">
                  <c:v>4776</c:v>
                </c:pt>
                <c:pt idx="1">
                  <c:v>6904</c:v>
                </c:pt>
                <c:pt idx="2">
                  <c:v>7449</c:v>
                </c:pt>
                <c:pt idx="3">
                  <c:v>3099</c:v>
                </c:pt>
                <c:pt idx="4">
                  <c:v>1721</c:v>
                </c:pt>
                <c:pt idx="5">
                  <c:v>8731</c:v>
                </c:pt>
                <c:pt idx="6">
                  <c:v>7647</c:v>
                </c:pt>
                <c:pt idx="7">
                  <c:v>4094</c:v>
                </c:pt>
                <c:pt idx="8">
                  <c:v>3291</c:v>
                </c:pt>
                <c:pt idx="9">
                  <c:v>3048</c:v>
                </c:pt>
                <c:pt idx="10">
                  <c:v>6680</c:v>
                </c:pt>
                <c:pt idx="11">
                  <c:v>1045</c:v>
                </c:pt>
                <c:pt idx="12">
                  <c:v>6778</c:v>
                </c:pt>
                <c:pt idx="13">
                  <c:v>5865</c:v>
                </c:pt>
                <c:pt idx="14">
                  <c:v>1113</c:v>
                </c:pt>
                <c:pt idx="15">
                  <c:v>4248</c:v>
                </c:pt>
                <c:pt idx="16">
                  <c:v>3974</c:v>
                </c:pt>
                <c:pt idx="17">
                  <c:v>1749</c:v>
                </c:pt>
                <c:pt idx="18">
                  <c:v>4391</c:v>
                </c:pt>
                <c:pt idx="19">
                  <c:v>6681</c:v>
                </c:pt>
                <c:pt idx="20">
                  <c:v>1395</c:v>
                </c:pt>
                <c:pt idx="21">
                  <c:v>1254</c:v>
                </c:pt>
                <c:pt idx="22">
                  <c:v>4353</c:v>
                </c:pt>
                <c:pt idx="23">
                  <c:v>3408</c:v>
                </c:pt>
                <c:pt idx="24">
                  <c:v>4633</c:v>
                </c:pt>
                <c:pt idx="25">
                  <c:v>6117</c:v>
                </c:pt>
                <c:pt idx="26">
                  <c:v>4618</c:v>
                </c:pt>
                <c:pt idx="27">
                  <c:v>2157</c:v>
                </c:pt>
                <c:pt idx="28">
                  <c:v>6769</c:v>
                </c:pt>
                <c:pt idx="29">
                  <c:v>2300</c:v>
                </c:pt>
                <c:pt idx="30">
                  <c:v>1404</c:v>
                </c:pt>
                <c:pt idx="31">
                  <c:v>8799</c:v>
                </c:pt>
                <c:pt idx="32">
                  <c:v>9185</c:v>
                </c:pt>
                <c:pt idx="33">
                  <c:v>1635</c:v>
                </c:pt>
                <c:pt idx="34">
                  <c:v>1026</c:v>
                </c:pt>
                <c:pt idx="35">
                  <c:v>6705</c:v>
                </c:pt>
                <c:pt idx="36">
                  <c:v>2106</c:v>
                </c:pt>
                <c:pt idx="37">
                  <c:v>8750</c:v>
                </c:pt>
                <c:pt idx="38">
                  <c:v>5690</c:v>
                </c:pt>
                <c:pt idx="39">
                  <c:v>3190</c:v>
                </c:pt>
                <c:pt idx="40">
                  <c:v>1271</c:v>
                </c:pt>
                <c:pt idx="41">
                  <c:v>6082</c:v>
                </c:pt>
                <c:pt idx="42">
                  <c:v>6887</c:v>
                </c:pt>
                <c:pt idx="43">
                  <c:v>5917</c:v>
                </c:pt>
                <c:pt idx="44">
                  <c:v>1092</c:v>
                </c:pt>
                <c:pt idx="45">
                  <c:v>1420</c:v>
                </c:pt>
                <c:pt idx="46">
                  <c:v>5595</c:v>
                </c:pt>
                <c:pt idx="47">
                  <c:v>8502</c:v>
                </c:pt>
                <c:pt idx="48">
                  <c:v>8757</c:v>
                </c:pt>
                <c:pt idx="49">
                  <c:v>1922</c:v>
                </c:pt>
                <c:pt idx="50">
                  <c:v>974</c:v>
                </c:pt>
                <c:pt idx="51">
                  <c:v>7922</c:v>
                </c:pt>
                <c:pt idx="52">
                  <c:v>6070</c:v>
                </c:pt>
                <c:pt idx="53">
                  <c:v>9181</c:v>
                </c:pt>
                <c:pt idx="54">
                  <c:v>7147</c:v>
                </c:pt>
                <c:pt idx="55">
                  <c:v>2573</c:v>
                </c:pt>
                <c:pt idx="56">
                  <c:v>1255</c:v>
                </c:pt>
                <c:pt idx="57">
                  <c:v>6664</c:v>
                </c:pt>
                <c:pt idx="58">
                  <c:v>1681</c:v>
                </c:pt>
                <c:pt idx="59">
                  <c:v>8752</c:v>
                </c:pt>
                <c:pt idx="60">
                  <c:v>6213</c:v>
                </c:pt>
                <c:pt idx="61">
                  <c:v>3662</c:v>
                </c:pt>
                <c:pt idx="62">
                  <c:v>8307</c:v>
                </c:pt>
                <c:pt idx="63">
                  <c:v>6322</c:v>
                </c:pt>
                <c:pt idx="64">
                  <c:v>7277</c:v>
                </c:pt>
                <c:pt idx="65">
                  <c:v>5117</c:v>
                </c:pt>
                <c:pt idx="66">
                  <c:v>7863</c:v>
                </c:pt>
                <c:pt idx="67">
                  <c:v>5004</c:v>
                </c:pt>
                <c:pt idx="68">
                  <c:v>6484</c:v>
                </c:pt>
                <c:pt idx="69">
                  <c:v>7594</c:v>
                </c:pt>
                <c:pt idx="70">
                  <c:v>2520</c:v>
                </c:pt>
                <c:pt idx="71">
                  <c:v>2248</c:v>
                </c:pt>
                <c:pt idx="72">
                  <c:v>7679</c:v>
                </c:pt>
                <c:pt idx="73">
                  <c:v>3698</c:v>
                </c:pt>
                <c:pt idx="74">
                  <c:v>6061</c:v>
                </c:pt>
                <c:pt idx="75">
                  <c:v>4358</c:v>
                </c:pt>
                <c:pt idx="76">
                  <c:v>5182</c:v>
                </c:pt>
                <c:pt idx="77">
                  <c:v>6685</c:v>
                </c:pt>
                <c:pt idx="78">
                  <c:v>5342</c:v>
                </c:pt>
                <c:pt idx="79">
                  <c:v>6026</c:v>
                </c:pt>
                <c:pt idx="80">
                  <c:v>4720</c:v>
                </c:pt>
                <c:pt idx="81">
                  <c:v>9276</c:v>
                </c:pt>
                <c:pt idx="82">
                  <c:v>5618</c:v>
                </c:pt>
                <c:pt idx="83">
                  <c:v>5808</c:v>
                </c:pt>
                <c:pt idx="84">
                  <c:v>3697</c:v>
                </c:pt>
                <c:pt idx="85">
                  <c:v>7635</c:v>
                </c:pt>
                <c:pt idx="86">
                  <c:v>2156</c:v>
                </c:pt>
                <c:pt idx="87">
                  <c:v>7096</c:v>
                </c:pt>
                <c:pt idx="88">
                  <c:v>5887</c:v>
                </c:pt>
                <c:pt idx="89">
                  <c:v>3383</c:v>
                </c:pt>
                <c:pt idx="90">
                  <c:v>8539</c:v>
                </c:pt>
                <c:pt idx="91">
                  <c:v>8860</c:v>
                </c:pt>
                <c:pt idx="92">
                  <c:v>5415</c:v>
                </c:pt>
                <c:pt idx="93">
                  <c:v>5217</c:v>
                </c:pt>
                <c:pt idx="94">
                  <c:v>5865</c:v>
                </c:pt>
                <c:pt idx="95">
                  <c:v>8191</c:v>
                </c:pt>
                <c:pt idx="96">
                  <c:v>4442</c:v>
                </c:pt>
                <c:pt idx="97">
                  <c:v>5396</c:v>
                </c:pt>
                <c:pt idx="98">
                  <c:v>9369</c:v>
                </c:pt>
                <c:pt idx="99">
                  <c:v>4730</c:v>
                </c:pt>
              </c:numCache>
            </c:numRef>
          </c:xVal>
          <c:yVal>
            <c:numRef>
              <c:f>Sheet1!$I$5:$I$104</c:f>
              <c:numCache>
                <c:formatCode>General</c:formatCode>
                <c:ptCount val="100"/>
                <c:pt idx="0">
                  <c:v>3432929</c:v>
                </c:pt>
                <c:pt idx="1">
                  <c:v>4159026</c:v>
                </c:pt>
                <c:pt idx="2">
                  <c:v>4286899</c:v>
                </c:pt>
                <c:pt idx="3">
                  <c:v>2751363</c:v>
                </c:pt>
                <c:pt idx="4">
                  <c:v>2028546</c:v>
                </c:pt>
                <c:pt idx="5">
                  <c:v>4645697</c:v>
                </c:pt>
                <c:pt idx="6">
                  <c:v>4343386</c:v>
                </c:pt>
                <c:pt idx="7">
                  <c:v>3179229</c:v>
                </c:pt>
                <c:pt idx="8">
                  <c:v>2804461</c:v>
                </c:pt>
                <c:pt idx="9">
                  <c:v>2736786</c:v>
                </c:pt>
                <c:pt idx="10">
                  <c:v>3975550</c:v>
                </c:pt>
                <c:pt idx="11">
                  <c:v>1775528</c:v>
                </c:pt>
                <c:pt idx="12">
                  <c:v>4021816</c:v>
                </c:pt>
                <c:pt idx="13">
                  <c:v>3855516</c:v>
                </c:pt>
                <c:pt idx="14">
                  <c:v>1868823</c:v>
                </c:pt>
                <c:pt idx="15">
                  <c:v>3288617</c:v>
                </c:pt>
                <c:pt idx="16">
                  <c:v>3221801</c:v>
                </c:pt>
                <c:pt idx="17">
                  <c:v>2107724</c:v>
                </c:pt>
                <c:pt idx="18">
                  <c:v>3379719</c:v>
                </c:pt>
                <c:pt idx="19">
                  <c:v>3976179</c:v>
                </c:pt>
                <c:pt idx="20">
                  <c:v>2064582</c:v>
                </c:pt>
                <c:pt idx="21">
                  <c:v>1683746</c:v>
                </c:pt>
                <c:pt idx="22">
                  <c:v>3285955</c:v>
                </c:pt>
                <c:pt idx="23">
                  <c:v>2932576</c:v>
                </c:pt>
                <c:pt idx="24">
                  <c:v>3393008</c:v>
                </c:pt>
                <c:pt idx="25">
                  <c:v>3871692</c:v>
                </c:pt>
                <c:pt idx="26">
                  <c:v>3468069</c:v>
                </c:pt>
                <c:pt idx="27">
                  <c:v>2382226</c:v>
                </c:pt>
                <c:pt idx="28">
                  <c:v>4089621</c:v>
                </c:pt>
                <c:pt idx="29">
                  <c:v>2447958</c:v>
                </c:pt>
                <c:pt idx="30">
                  <c:v>2040833</c:v>
                </c:pt>
                <c:pt idx="31">
                  <c:v>4641390</c:v>
                </c:pt>
                <c:pt idx="32">
                  <c:v>4735240</c:v>
                </c:pt>
                <c:pt idx="33">
                  <c:v>2056696</c:v>
                </c:pt>
                <c:pt idx="34">
                  <c:v>1724094</c:v>
                </c:pt>
                <c:pt idx="35">
                  <c:v>4015595</c:v>
                </c:pt>
                <c:pt idx="36">
                  <c:v>2331309</c:v>
                </c:pt>
                <c:pt idx="37">
                  <c:v>4542576</c:v>
                </c:pt>
                <c:pt idx="38">
                  <c:v>3675255</c:v>
                </c:pt>
                <c:pt idx="39">
                  <c:v>2810694</c:v>
                </c:pt>
                <c:pt idx="40">
                  <c:v>1642407</c:v>
                </c:pt>
                <c:pt idx="41">
                  <c:v>3923646</c:v>
                </c:pt>
                <c:pt idx="42">
                  <c:v>4057093</c:v>
                </c:pt>
                <c:pt idx="43">
                  <c:v>3780873</c:v>
                </c:pt>
                <c:pt idx="44">
                  <c:v>1950000</c:v>
                </c:pt>
                <c:pt idx="45">
                  <c:v>1895389</c:v>
                </c:pt>
                <c:pt idx="46">
                  <c:v>3726594</c:v>
                </c:pt>
                <c:pt idx="47">
                  <c:v>4588845</c:v>
                </c:pt>
                <c:pt idx="48">
                  <c:v>4568643</c:v>
                </c:pt>
                <c:pt idx="49">
                  <c:v>2247221</c:v>
                </c:pt>
                <c:pt idx="50">
                  <c:v>1637071</c:v>
                </c:pt>
                <c:pt idx="51">
                  <c:v>4392892</c:v>
                </c:pt>
                <c:pt idx="52">
                  <c:v>3928740</c:v>
                </c:pt>
                <c:pt idx="53">
                  <c:v>4729165</c:v>
                </c:pt>
                <c:pt idx="54">
                  <c:v>4232021</c:v>
                </c:pt>
                <c:pt idx="55">
                  <c:v>2495496</c:v>
                </c:pt>
                <c:pt idx="56">
                  <c:v>1895389</c:v>
                </c:pt>
                <c:pt idx="57">
                  <c:v>3984972</c:v>
                </c:pt>
                <c:pt idx="58">
                  <c:v>2060946</c:v>
                </c:pt>
                <c:pt idx="59">
                  <c:v>4553845</c:v>
                </c:pt>
                <c:pt idx="60">
                  <c:v>3910882</c:v>
                </c:pt>
                <c:pt idx="61">
                  <c:v>2956772</c:v>
                </c:pt>
                <c:pt idx="62">
                  <c:v>4487483</c:v>
                </c:pt>
                <c:pt idx="63">
                  <c:v>3996874</c:v>
                </c:pt>
                <c:pt idx="64">
                  <c:v>4237334</c:v>
                </c:pt>
                <c:pt idx="65">
                  <c:v>3545772</c:v>
                </c:pt>
                <c:pt idx="66">
                  <c:v>4340507</c:v>
                </c:pt>
                <c:pt idx="67">
                  <c:v>3569314</c:v>
                </c:pt>
                <c:pt idx="68">
                  <c:v>3910563</c:v>
                </c:pt>
                <c:pt idx="69">
                  <c:v>4303196</c:v>
                </c:pt>
                <c:pt idx="70">
                  <c:v>2470830</c:v>
                </c:pt>
                <c:pt idx="71">
                  <c:v>2413504</c:v>
                </c:pt>
                <c:pt idx="72">
                  <c:v>4398011</c:v>
                </c:pt>
                <c:pt idx="73">
                  <c:v>3047130</c:v>
                </c:pt>
                <c:pt idx="74">
                  <c:v>3846102</c:v>
                </c:pt>
                <c:pt idx="75">
                  <c:v>3312854</c:v>
                </c:pt>
                <c:pt idx="76">
                  <c:v>3553871</c:v>
                </c:pt>
                <c:pt idx="77">
                  <c:v>4009052</c:v>
                </c:pt>
                <c:pt idx="78">
                  <c:v>3650685</c:v>
                </c:pt>
                <c:pt idx="79">
                  <c:v>3815102</c:v>
                </c:pt>
                <c:pt idx="80">
                  <c:v>3359315</c:v>
                </c:pt>
                <c:pt idx="81">
                  <c:v>4699734</c:v>
                </c:pt>
                <c:pt idx="82">
                  <c:v>3657526</c:v>
                </c:pt>
                <c:pt idx="83">
                  <c:v>3787809</c:v>
                </c:pt>
                <c:pt idx="84">
                  <c:v>3087475</c:v>
                </c:pt>
                <c:pt idx="85">
                  <c:v>4259108</c:v>
                </c:pt>
                <c:pt idx="86">
                  <c:v>2424356</c:v>
                </c:pt>
                <c:pt idx="87">
                  <c:v>4125227</c:v>
                </c:pt>
                <c:pt idx="88">
                  <c:v>3846102</c:v>
                </c:pt>
                <c:pt idx="89">
                  <c:v>2802231</c:v>
                </c:pt>
                <c:pt idx="90">
                  <c:v>4483860</c:v>
                </c:pt>
                <c:pt idx="91">
                  <c:v>4597826</c:v>
                </c:pt>
                <c:pt idx="92">
                  <c:v>3655475</c:v>
                </c:pt>
                <c:pt idx="93">
                  <c:v>3681372</c:v>
                </c:pt>
                <c:pt idx="94">
                  <c:v>3775910</c:v>
                </c:pt>
                <c:pt idx="95">
                  <c:v>4488875</c:v>
                </c:pt>
                <c:pt idx="96">
                  <c:v>3385262</c:v>
                </c:pt>
                <c:pt idx="97">
                  <c:v>3692222</c:v>
                </c:pt>
                <c:pt idx="98">
                  <c:v>4734184</c:v>
                </c:pt>
                <c:pt idx="99">
                  <c:v>3487836</c:v>
                </c:pt>
              </c:numCache>
            </c:numRef>
          </c:yVal>
          <c:smooth val="0"/>
          <c:extLst>
            <c:ext xmlns:c16="http://schemas.microsoft.com/office/drawing/2014/chart" uri="{C3380CC4-5D6E-409C-BE32-E72D297353CC}">
              <c16:uniqueId val="{00000000-BB92-469D-8160-CB9FA1164D4C}"/>
            </c:ext>
          </c:extLst>
        </c:ser>
        <c:dLbls>
          <c:showLegendKey val="0"/>
          <c:showVal val="0"/>
          <c:showCatName val="0"/>
          <c:showSerName val="0"/>
          <c:showPercent val="0"/>
          <c:showBubbleSize val="0"/>
        </c:dLbls>
        <c:axId val="763433663"/>
        <c:axId val="763424063"/>
      </c:scatterChart>
      <c:valAx>
        <c:axId val="763433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63424063"/>
        <c:crosses val="autoZero"/>
        <c:crossBetween val="midCat"/>
      </c:valAx>
      <c:valAx>
        <c:axId val="76342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634336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Gastos  Residual Plot</a:t>
            </a:r>
          </a:p>
        </c:rich>
      </c:tx>
      <c:overlay val="0"/>
    </c:title>
    <c:autoTitleDeleted val="0"/>
    <c:plotArea>
      <c:layout/>
      <c:scatterChart>
        <c:scatterStyle val="lineMarker"/>
        <c:varyColors val="0"/>
        <c:ser>
          <c:idx val="0"/>
          <c:order val="0"/>
          <c:spPr>
            <a:ln w="19050">
              <a:noFill/>
            </a:ln>
          </c:spPr>
          <c:xVal>
            <c:numRef>
              <c:f>Ejemplo!$D$11:$D$60</c:f>
              <c:numCache>
                <c:formatCode>General</c:formatCode>
                <c:ptCount val="50"/>
                <c:pt idx="0">
                  <c:v>264</c:v>
                </c:pt>
                <c:pt idx="1">
                  <c:v>300</c:v>
                </c:pt>
                <c:pt idx="2">
                  <c:v>360</c:v>
                </c:pt>
                <c:pt idx="3">
                  <c:v>384</c:v>
                </c:pt>
                <c:pt idx="4">
                  <c:v>420</c:v>
                </c:pt>
                <c:pt idx="5">
                  <c:v>435</c:v>
                </c:pt>
                <c:pt idx="6">
                  <c:v>480</c:v>
                </c:pt>
                <c:pt idx="7">
                  <c:v>480</c:v>
                </c:pt>
                <c:pt idx="8">
                  <c:v>489</c:v>
                </c:pt>
                <c:pt idx="9">
                  <c:v>492</c:v>
                </c:pt>
                <c:pt idx="10">
                  <c:v>492</c:v>
                </c:pt>
                <c:pt idx="11">
                  <c:v>495</c:v>
                </c:pt>
                <c:pt idx="12">
                  <c:v>552</c:v>
                </c:pt>
                <c:pt idx="13">
                  <c:v>560</c:v>
                </c:pt>
                <c:pt idx="14">
                  <c:v>565</c:v>
                </c:pt>
                <c:pt idx="15">
                  <c:v>583</c:v>
                </c:pt>
                <c:pt idx="16">
                  <c:v>591</c:v>
                </c:pt>
                <c:pt idx="17">
                  <c:v>630</c:v>
                </c:pt>
                <c:pt idx="18">
                  <c:v>630</c:v>
                </c:pt>
                <c:pt idx="19">
                  <c:v>680</c:v>
                </c:pt>
                <c:pt idx="20">
                  <c:v>708</c:v>
                </c:pt>
                <c:pt idx="21">
                  <c:v>708</c:v>
                </c:pt>
                <c:pt idx="22">
                  <c:v>753</c:v>
                </c:pt>
                <c:pt idx="23">
                  <c:v>756</c:v>
                </c:pt>
                <c:pt idx="24">
                  <c:v>760</c:v>
                </c:pt>
                <c:pt idx="25">
                  <c:v>768</c:v>
                </c:pt>
                <c:pt idx="26">
                  <c:v>790</c:v>
                </c:pt>
                <c:pt idx="27">
                  <c:v>791</c:v>
                </c:pt>
                <c:pt idx="28">
                  <c:v>812</c:v>
                </c:pt>
                <c:pt idx="29">
                  <c:v>830</c:v>
                </c:pt>
                <c:pt idx="30">
                  <c:v>863</c:v>
                </c:pt>
                <c:pt idx="31">
                  <c:v>888</c:v>
                </c:pt>
                <c:pt idx="32">
                  <c:v>900</c:v>
                </c:pt>
                <c:pt idx="33">
                  <c:v>920</c:v>
                </c:pt>
                <c:pt idx="34">
                  <c:v>921</c:v>
                </c:pt>
                <c:pt idx="35">
                  <c:v>960</c:v>
                </c:pt>
                <c:pt idx="36">
                  <c:v>976</c:v>
                </c:pt>
                <c:pt idx="37">
                  <c:v>980</c:v>
                </c:pt>
                <c:pt idx="38">
                  <c:v>985</c:v>
                </c:pt>
                <c:pt idx="39">
                  <c:v>986</c:v>
                </c:pt>
                <c:pt idx="40">
                  <c:v>1023</c:v>
                </c:pt>
                <c:pt idx="41">
                  <c:v>1040</c:v>
                </c:pt>
                <c:pt idx="42">
                  <c:v>1043</c:v>
                </c:pt>
                <c:pt idx="43">
                  <c:v>1044</c:v>
                </c:pt>
                <c:pt idx="44">
                  <c:v>1050</c:v>
                </c:pt>
                <c:pt idx="45">
                  <c:v>1164</c:v>
                </c:pt>
                <c:pt idx="46">
                  <c:v>1236</c:v>
                </c:pt>
                <c:pt idx="47">
                  <c:v>1296</c:v>
                </c:pt>
                <c:pt idx="48">
                  <c:v>1344</c:v>
                </c:pt>
                <c:pt idx="49">
                  <c:v>1380</c:v>
                </c:pt>
              </c:numCache>
            </c:numRef>
          </c:xVal>
          <c:yVal>
            <c:numRef>
              <c:f>result_regression!$C$25:$C$74</c:f>
              <c:numCache>
                <c:formatCode>General</c:formatCode>
                <c:ptCount val="50"/>
                <c:pt idx="0">
                  <c:v>-163.52413195829376</c:v>
                </c:pt>
                <c:pt idx="1">
                  <c:v>254.60784885666544</c:v>
                </c:pt>
                <c:pt idx="2">
                  <c:v>176.49448354826563</c:v>
                </c:pt>
                <c:pt idx="3">
                  <c:v>155.24913742490389</c:v>
                </c:pt>
                <c:pt idx="4">
                  <c:v>-98.918881760135264</c:v>
                </c:pt>
                <c:pt idx="5">
                  <c:v>-205.94722308723431</c:v>
                </c:pt>
                <c:pt idx="6">
                  <c:v>-779.7322470685358</c:v>
                </c:pt>
                <c:pt idx="7">
                  <c:v>-92.932247068536526</c:v>
                </c:pt>
                <c:pt idx="8">
                  <c:v>-157.14925186479741</c:v>
                </c:pt>
                <c:pt idx="9">
                  <c:v>109.64507986978424</c:v>
                </c:pt>
                <c:pt idx="10">
                  <c:v>109.64507986978424</c:v>
                </c:pt>
                <c:pt idx="11">
                  <c:v>393.23941160436334</c:v>
                </c:pt>
                <c:pt idx="12">
                  <c:v>-618.46828543861739</c:v>
                </c:pt>
                <c:pt idx="13">
                  <c:v>-84.95006747973639</c:v>
                </c:pt>
                <c:pt idx="14">
                  <c:v>-516.22618125543704</c:v>
                </c:pt>
                <c:pt idx="15">
                  <c:v>5.3398091520430171</c:v>
                </c:pt>
                <c:pt idx="16">
                  <c:v>-421.74197288907817</c:v>
                </c:pt>
                <c:pt idx="17">
                  <c:v>1799.9843396604629</c:v>
                </c:pt>
                <c:pt idx="18">
                  <c:v>599.98433966046287</c:v>
                </c:pt>
                <c:pt idx="19">
                  <c:v>843.22320190345999</c:v>
                </c:pt>
                <c:pt idx="20">
                  <c:v>-306.5630352404587</c:v>
                </c:pt>
                <c:pt idx="21">
                  <c:v>-306.5630352404587</c:v>
                </c:pt>
                <c:pt idx="22">
                  <c:v>-87.398059221759468</c:v>
                </c:pt>
                <c:pt idx="23">
                  <c:v>75.946272512819633</c:v>
                </c:pt>
                <c:pt idx="24">
                  <c:v>-137.34461850774096</c:v>
                </c:pt>
                <c:pt idx="25">
                  <c:v>-1034.6764005488603</c:v>
                </c:pt>
                <c:pt idx="26">
                  <c:v>-62.001301161941228</c:v>
                </c:pt>
                <c:pt idx="27">
                  <c:v>-358.53652391708056</c:v>
                </c:pt>
                <c:pt idx="28">
                  <c:v>-218.97620177501994</c:v>
                </c:pt>
                <c:pt idx="29">
                  <c:v>2372.9397886324587</c:v>
                </c:pt>
                <c:pt idx="30">
                  <c:v>-582.87256228716251</c:v>
                </c:pt>
                <c:pt idx="31">
                  <c:v>-290.90313116566176</c:v>
                </c:pt>
                <c:pt idx="32">
                  <c:v>-123.37580422734209</c:v>
                </c:pt>
                <c:pt idx="33">
                  <c:v>-469.23025933014287</c:v>
                </c:pt>
                <c:pt idx="34">
                  <c:v>-417.91548208528184</c:v>
                </c:pt>
                <c:pt idx="35">
                  <c:v>-45.039169535742985</c:v>
                </c:pt>
                <c:pt idx="36">
                  <c:v>-159.20273361798354</c:v>
                </c:pt>
                <c:pt idx="37">
                  <c:v>-43.043624638543406</c:v>
                </c:pt>
                <c:pt idx="38">
                  <c:v>-78.719738414243693</c:v>
                </c:pt>
                <c:pt idx="39">
                  <c:v>-230.55496116938411</c:v>
                </c:pt>
                <c:pt idx="40">
                  <c:v>695.84179689043594</c:v>
                </c:pt>
                <c:pt idx="41">
                  <c:v>374.5430100530557</c:v>
                </c:pt>
                <c:pt idx="42">
                  <c:v>-126.86265821236702</c:v>
                </c:pt>
                <c:pt idx="43">
                  <c:v>446.0021190324951</c:v>
                </c:pt>
                <c:pt idx="44">
                  <c:v>-36.059217498344879</c:v>
                </c:pt>
                <c:pt idx="45">
                  <c:v>539.77538841569367</c:v>
                </c:pt>
                <c:pt idx="46">
                  <c:v>176.0393500456139</c:v>
                </c:pt>
                <c:pt idx="47">
                  <c:v>-1002.0740152627877</c:v>
                </c:pt>
                <c:pt idx="48">
                  <c:v>-119.56470750950757</c:v>
                </c:pt>
                <c:pt idx="49">
                  <c:v>248.56727330545073</c:v>
                </c:pt>
              </c:numCache>
            </c:numRef>
          </c:yVal>
          <c:smooth val="0"/>
          <c:extLst>
            <c:ext xmlns:c16="http://schemas.microsoft.com/office/drawing/2014/chart" uri="{C3380CC4-5D6E-409C-BE32-E72D297353CC}">
              <c16:uniqueId val="{00000004-9CA6-4224-9737-D75E94D33FD9}"/>
            </c:ext>
          </c:extLst>
        </c:ser>
        <c:dLbls>
          <c:showLegendKey val="0"/>
          <c:showVal val="0"/>
          <c:showCatName val="0"/>
          <c:showSerName val="0"/>
          <c:showPercent val="0"/>
          <c:showBubbleSize val="0"/>
        </c:dLbls>
        <c:axId val="14899216"/>
        <c:axId val="316614512"/>
      </c:scatterChart>
      <c:valAx>
        <c:axId val="14899216"/>
        <c:scaling>
          <c:orientation val="minMax"/>
        </c:scaling>
        <c:delete val="0"/>
        <c:axPos val="b"/>
        <c:title>
          <c:tx>
            <c:rich>
              <a:bodyPr/>
              <a:lstStyle/>
              <a:p>
                <a:pPr>
                  <a:defRPr/>
                </a:pPr>
                <a:r>
                  <a:rPr lang="en-US"/>
                  <a:t>Gastos</a:t>
                </a:r>
              </a:p>
            </c:rich>
          </c:tx>
          <c:overlay val="0"/>
        </c:title>
        <c:numFmt formatCode="General" sourceLinked="1"/>
        <c:majorTickMark val="out"/>
        <c:minorTickMark val="none"/>
        <c:tickLblPos val="nextTo"/>
        <c:crossAx val="316614512"/>
        <c:crosses val="autoZero"/>
        <c:crossBetween val="midCat"/>
      </c:valAx>
      <c:valAx>
        <c:axId val="31661451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489921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emf"/><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60960</xdr:colOff>
      <xdr:row>68</xdr:row>
      <xdr:rowOff>26670</xdr:rowOff>
    </xdr:from>
    <xdr:to>
      <xdr:col>9</xdr:col>
      <xdr:colOff>53340</xdr:colOff>
      <xdr:row>83</xdr:row>
      <xdr:rowOff>26670</xdr:rowOff>
    </xdr:to>
    <xdr:graphicFrame macro="">
      <xdr:nvGraphicFramePr>
        <xdr:cNvPr id="2" name="Chart 1">
          <a:extLst>
            <a:ext uri="{FF2B5EF4-FFF2-40B4-BE49-F238E27FC236}">
              <a16:creationId xmlns:a16="http://schemas.microsoft.com/office/drawing/2014/main" id="{2C63ED2E-4113-8F15-8EE4-EFF30B02F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1205865</xdr:colOff>
      <xdr:row>278</xdr:row>
      <xdr:rowOff>66675</xdr:rowOff>
    </xdr:from>
    <xdr:to>
      <xdr:col>12</xdr:col>
      <xdr:colOff>698023</xdr:colOff>
      <xdr:row>309</xdr:row>
      <xdr:rowOff>43816</xdr:rowOff>
    </xdr:to>
    <xdr:pic>
      <xdr:nvPicPr>
        <xdr:cNvPr id="5" name="Picture 69">
          <a:extLst>
            <a:ext uri="{FF2B5EF4-FFF2-40B4-BE49-F238E27FC236}">
              <a16:creationId xmlns:a16="http://schemas.microsoft.com/office/drawing/2014/main" id="{34B6900F-C2FA-4046-9CB4-1FB5716AAF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59415" y="59055000"/>
          <a:ext cx="5844540" cy="7063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265</xdr:row>
      <xdr:rowOff>147637</xdr:rowOff>
    </xdr:from>
    <xdr:to>
      <xdr:col>14</xdr:col>
      <xdr:colOff>66675</xdr:colOff>
      <xdr:row>277</xdr:row>
      <xdr:rowOff>147637</xdr:rowOff>
    </xdr:to>
    <xdr:graphicFrame macro="">
      <xdr:nvGraphicFramePr>
        <xdr:cNvPr id="3" name="Chart 2">
          <a:extLst>
            <a:ext uri="{FF2B5EF4-FFF2-40B4-BE49-F238E27FC236}">
              <a16:creationId xmlns:a16="http://schemas.microsoft.com/office/drawing/2014/main" id="{26DCEB0F-25E2-8D48-2F13-A2C744358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542924</xdr:colOff>
      <xdr:row>324</xdr:row>
      <xdr:rowOff>171450</xdr:rowOff>
    </xdr:from>
    <xdr:to>
      <xdr:col>11</xdr:col>
      <xdr:colOff>0</xdr:colOff>
      <xdr:row>336</xdr:row>
      <xdr:rowOff>171450</xdr:rowOff>
    </xdr:to>
    <xdr:graphicFrame macro="">
      <xdr:nvGraphicFramePr>
        <xdr:cNvPr id="10" name="Chart 9">
          <a:extLst>
            <a:ext uri="{FF2B5EF4-FFF2-40B4-BE49-F238E27FC236}">
              <a16:creationId xmlns:a16="http://schemas.microsoft.com/office/drawing/2014/main" id="{1B80427D-4795-46F0-804C-63068FDF7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38100</xdr:colOff>
      <xdr:row>64</xdr:row>
      <xdr:rowOff>0</xdr:rowOff>
    </xdr:from>
    <xdr:to>
      <xdr:col>23</xdr:col>
      <xdr:colOff>209549</xdr:colOff>
      <xdr:row>76</xdr:row>
      <xdr:rowOff>200024</xdr:rowOff>
    </xdr:to>
    <xdr:graphicFrame macro="">
      <xdr:nvGraphicFramePr>
        <xdr:cNvPr id="2" name="Chart 1">
          <a:extLst>
            <a:ext uri="{FF2B5EF4-FFF2-40B4-BE49-F238E27FC236}">
              <a16:creationId xmlns:a16="http://schemas.microsoft.com/office/drawing/2014/main" id="{112BCB92-0F0B-3141-087E-D14E063FD2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19050</xdr:colOff>
      <xdr:row>77</xdr:row>
      <xdr:rowOff>142876</xdr:rowOff>
    </xdr:from>
    <xdr:to>
      <xdr:col>23</xdr:col>
      <xdr:colOff>333375</xdr:colOff>
      <xdr:row>91</xdr:row>
      <xdr:rowOff>66676</xdr:rowOff>
    </xdr:to>
    <xdr:graphicFrame macro="">
      <xdr:nvGraphicFramePr>
        <xdr:cNvPr id="3" name="Chart 2">
          <a:extLst>
            <a:ext uri="{FF2B5EF4-FFF2-40B4-BE49-F238E27FC236}">
              <a16:creationId xmlns:a16="http://schemas.microsoft.com/office/drawing/2014/main" id="{28C546FF-BA54-48CE-AF99-4CCA03AAF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66675</xdr:colOff>
      <xdr:row>128</xdr:row>
      <xdr:rowOff>0</xdr:rowOff>
    </xdr:from>
    <xdr:to>
      <xdr:col>23</xdr:col>
      <xdr:colOff>361950</xdr:colOff>
      <xdr:row>144</xdr:row>
      <xdr:rowOff>85725</xdr:rowOff>
    </xdr:to>
    <xdr:graphicFrame macro="">
      <xdr:nvGraphicFramePr>
        <xdr:cNvPr id="5" name="Chart 4">
          <a:extLst>
            <a:ext uri="{FF2B5EF4-FFF2-40B4-BE49-F238E27FC236}">
              <a16:creationId xmlns:a16="http://schemas.microsoft.com/office/drawing/2014/main" id="{7DE2F36F-8332-456E-934D-EB32AA729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123825</xdr:colOff>
      <xdr:row>91</xdr:row>
      <xdr:rowOff>171450</xdr:rowOff>
    </xdr:from>
    <xdr:to>
      <xdr:col>23</xdr:col>
      <xdr:colOff>438150</xdr:colOff>
      <xdr:row>108</xdr:row>
      <xdr:rowOff>180975</xdr:rowOff>
    </xdr:to>
    <xdr:graphicFrame macro="">
      <xdr:nvGraphicFramePr>
        <xdr:cNvPr id="6" name="Chart 5">
          <a:extLst>
            <a:ext uri="{FF2B5EF4-FFF2-40B4-BE49-F238E27FC236}">
              <a16:creationId xmlns:a16="http://schemas.microsoft.com/office/drawing/2014/main" id="{9BFE0BB9-95E7-45B6-9E21-35581BB69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85725</xdr:colOff>
      <xdr:row>109</xdr:row>
      <xdr:rowOff>152400</xdr:rowOff>
    </xdr:from>
    <xdr:to>
      <xdr:col>23</xdr:col>
      <xdr:colOff>400050</xdr:colOff>
      <xdr:row>127</xdr:row>
      <xdr:rowOff>95250</xdr:rowOff>
    </xdr:to>
    <xdr:graphicFrame macro="">
      <xdr:nvGraphicFramePr>
        <xdr:cNvPr id="7" name="Chart 6">
          <a:extLst>
            <a:ext uri="{FF2B5EF4-FFF2-40B4-BE49-F238E27FC236}">
              <a16:creationId xmlns:a16="http://schemas.microsoft.com/office/drawing/2014/main" id="{4B7FB3AD-86BF-406E-A83F-7E47EB7E2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28575</xdr:colOff>
      <xdr:row>8</xdr:row>
      <xdr:rowOff>47625</xdr:rowOff>
    </xdr:from>
    <xdr:to>
      <xdr:col>18</xdr:col>
      <xdr:colOff>9525</xdr:colOff>
      <xdr:row>23</xdr:row>
      <xdr:rowOff>123825</xdr:rowOff>
    </xdr:to>
    <xdr:graphicFrame macro="">
      <xdr:nvGraphicFramePr>
        <xdr:cNvPr id="2" name="Chart 1">
          <a:extLst>
            <a:ext uri="{FF2B5EF4-FFF2-40B4-BE49-F238E27FC236}">
              <a16:creationId xmlns:a16="http://schemas.microsoft.com/office/drawing/2014/main" id="{98BA84F0-9B53-7F81-7720-84404D8AE8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9524</xdr:colOff>
      <xdr:row>24</xdr:row>
      <xdr:rowOff>161925</xdr:rowOff>
    </xdr:from>
    <xdr:to>
      <xdr:col>17</xdr:col>
      <xdr:colOff>590549</xdr:colOff>
      <xdr:row>39</xdr:row>
      <xdr:rowOff>95250</xdr:rowOff>
    </xdr:to>
    <xdr:graphicFrame macro="">
      <xdr:nvGraphicFramePr>
        <xdr:cNvPr id="3" name="Chart 2">
          <a:extLst>
            <a:ext uri="{FF2B5EF4-FFF2-40B4-BE49-F238E27FC236}">
              <a16:creationId xmlns:a16="http://schemas.microsoft.com/office/drawing/2014/main" id="{D3E3AE11-364D-3E7A-F61B-4598D5CD0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47625</xdr:colOff>
      <xdr:row>40</xdr:row>
      <xdr:rowOff>171451</xdr:rowOff>
    </xdr:from>
    <xdr:to>
      <xdr:col>17</xdr:col>
      <xdr:colOff>600075</xdr:colOff>
      <xdr:row>55</xdr:row>
      <xdr:rowOff>171451</xdr:rowOff>
    </xdr:to>
    <xdr:graphicFrame macro="">
      <xdr:nvGraphicFramePr>
        <xdr:cNvPr id="4" name="Chart 3">
          <a:extLst>
            <a:ext uri="{FF2B5EF4-FFF2-40B4-BE49-F238E27FC236}">
              <a16:creationId xmlns:a16="http://schemas.microsoft.com/office/drawing/2014/main" id="{E5B81CD8-4739-C676-5910-AD215A722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DA41C-E4CA-406B-B565-1F19D88AD688}">
  <dimension ref="A1:I18"/>
  <sheetViews>
    <sheetView workbookViewId="0">
      <selection activeCell="B5" sqref="B5"/>
    </sheetView>
  </sheetViews>
  <sheetFormatPr baseColWidth="10" defaultColWidth="9.140625" defaultRowHeight="15" x14ac:dyDescent="0.25"/>
  <sheetData>
    <row r="1" spans="1:9" x14ac:dyDescent="0.25">
      <c r="A1" t="s">
        <v>139</v>
      </c>
    </row>
    <row r="2" spans="1:9" ht="15.75" thickBot="1" x14ac:dyDescent="0.3"/>
    <row r="3" spans="1:9" x14ac:dyDescent="0.25">
      <c r="A3" s="114" t="s">
        <v>140</v>
      </c>
      <c r="B3" s="114"/>
    </row>
    <row r="4" spans="1:9" x14ac:dyDescent="0.25">
      <c r="A4" t="s">
        <v>141</v>
      </c>
      <c r="B4">
        <v>2.3833361483196647E-2</v>
      </c>
    </row>
    <row r="5" spans="1:9" x14ac:dyDescent="0.25">
      <c r="A5" t="s">
        <v>142</v>
      </c>
      <c r="B5">
        <v>5.6802911958872147E-4</v>
      </c>
    </row>
    <row r="6" spans="1:9" x14ac:dyDescent="0.25">
      <c r="A6" t="s">
        <v>143</v>
      </c>
      <c r="B6">
        <v>-2.0253470273753179E-2</v>
      </c>
    </row>
    <row r="7" spans="1:9" x14ac:dyDescent="0.25">
      <c r="A7" t="s">
        <v>144</v>
      </c>
      <c r="B7">
        <v>922490.76183409756</v>
      </c>
    </row>
    <row r="8" spans="1:9" ht="15.75" thickBot="1" x14ac:dyDescent="0.3">
      <c r="A8" s="112" t="s">
        <v>145</v>
      </c>
      <c r="B8" s="112">
        <v>50</v>
      </c>
    </row>
    <row r="10" spans="1:9" ht="15.75" thickBot="1" x14ac:dyDescent="0.3">
      <c r="A10" t="s">
        <v>146</v>
      </c>
    </row>
    <row r="11" spans="1:9" x14ac:dyDescent="0.25">
      <c r="A11" s="113"/>
      <c r="B11" s="113" t="s">
        <v>150</v>
      </c>
      <c r="C11" s="113" t="s">
        <v>151</v>
      </c>
      <c r="D11" s="113" t="s">
        <v>152</v>
      </c>
      <c r="E11" s="113" t="s">
        <v>153</v>
      </c>
      <c r="F11" s="113" t="s">
        <v>154</v>
      </c>
    </row>
    <row r="12" spans="1:9" x14ac:dyDescent="0.25">
      <c r="A12" t="s">
        <v>147</v>
      </c>
      <c r="B12">
        <v>1</v>
      </c>
      <c r="C12">
        <v>23215746385.21875</v>
      </c>
      <c r="D12">
        <v>23215746385.21875</v>
      </c>
      <c r="E12">
        <v>2.7280894082505908E-2</v>
      </c>
      <c r="F12">
        <v>0.86950440265550344</v>
      </c>
    </row>
    <row r="13" spans="1:9" x14ac:dyDescent="0.25">
      <c r="A13" t="s">
        <v>148</v>
      </c>
      <c r="B13">
        <v>48</v>
      </c>
      <c r="C13">
        <v>40847481872124.18</v>
      </c>
      <c r="D13">
        <v>850989205669.25378</v>
      </c>
    </row>
    <row r="14" spans="1:9" ht="15.75" thickBot="1" x14ac:dyDescent="0.3">
      <c r="A14" s="112" t="s">
        <v>10</v>
      </c>
      <c r="B14" s="112">
        <v>49</v>
      </c>
      <c r="C14" s="112">
        <v>40870697618509.398</v>
      </c>
      <c r="D14" s="112"/>
      <c r="E14" s="112"/>
      <c r="F14" s="112"/>
    </row>
    <row r="15" spans="1:9" ht="15.75" thickBot="1" x14ac:dyDescent="0.3"/>
    <row r="16" spans="1:9" x14ac:dyDescent="0.25">
      <c r="A16" s="113"/>
      <c r="B16" s="113" t="s">
        <v>155</v>
      </c>
      <c r="C16" s="113" t="s">
        <v>144</v>
      </c>
      <c r="D16" s="113" t="s">
        <v>156</v>
      </c>
      <c r="E16" s="113" t="s">
        <v>157</v>
      </c>
      <c r="F16" s="113" t="s">
        <v>158</v>
      </c>
      <c r="G16" s="113" t="s">
        <v>159</v>
      </c>
      <c r="H16" s="113" t="s">
        <v>176</v>
      </c>
      <c r="I16" s="113" t="s">
        <v>177</v>
      </c>
    </row>
    <row r="17" spans="1:9" x14ac:dyDescent="0.25">
      <c r="A17" t="s">
        <v>149</v>
      </c>
      <c r="B17">
        <v>268249.169134219</v>
      </c>
      <c r="C17">
        <v>388253.98332427535</v>
      </c>
      <c r="D17">
        <v>0.69091156988896474</v>
      </c>
      <c r="E17">
        <v>0.4929490111625402</v>
      </c>
      <c r="F17">
        <v>-512387.78452362778</v>
      </c>
      <c r="G17">
        <v>1048886.1227920658</v>
      </c>
      <c r="H17">
        <v>-512387.78452362778</v>
      </c>
      <c r="I17">
        <v>1048886.1227920658</v>
      </c>
    </row>
    <row r="18" spans="1:9" ht="15.75" thickBot="1" x14ac:dyDescent="0.3">
      <c r="A18" s="112" t="s">
        <v>6</v>
      </c>
      <c r="B18" s="112">
        <v>78.324292328639643</v>
      </c>
      <c r="C18" s="112">
        <v>474.20614767865567</v>
      </c>
      <c r="D18" s="112">
        <v>0.16516928916264464</v>
      </c>
      <c r="E18" s="112">
        <v>0.8695044026555333</v>
      </c>
      <c r="F18" s="112">
        <v>-875.13107047315464</v>
      </c>
      <c r="G18" s="112">
        <v>1031.7796551304339</v>
      </c>
      <c r="H18" s="112">
        <v>-875.13107047315464</v>
      </c>
      <c r="I18" s="112">
        <v>1031.7796551304339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FB37A-AA28-466E-928F-B290FD2626DE}">
  <dimension ref="A1:I74"/>
  <sheetViews>
    <sheetView workbookViewId="0">
      <selection activeCell="E38" sqref="E38"/>
    </sheetView>
  </sheetViews>
  <sheetFormatPr baseColWidth="10" defaultColWidth="9.140625" defaultRowHeight="15" x14ac:dyDescent="0.25"/>
  <cols>
    <col min="1" max="1" width="18" bestFit="1" customWidth="1"/>
    <col min="2" max="2" width="17.85546875" bestFit="1" customWidth="1"/>
    <col min="3" max="3" width="14.5703125" bestFit="1" customWidth="1"/>
    <col min="4" max="4" width="18.5703125" bestFit="1" customWidth="1"/>
    <col min="5" max="5" width="12" bestFit="1" customWidth="1"/>
    <col min="6" max="6" width="20.140625" bestFit="1" customWidth="1"/>
    <col min="7" max="7" width="12" bestFit="1" customWidth="1"/>
    <col min="8" max="8" width="12.42578125" bestFit="1" customWidth="1"/>
    <col min="9" max="9" width="12.5703125" bestFit="1" customWidth="1"/>
  </cols>
  <sheetData>
    <row r="1" spans="1:9" x14ac:dyDescent="0.25">
      <c r="A1" t="s">
        <v>139</v>
      </c>
    </row>
    <row r="2" spans="1:9" ht="15.75" thickBot="1" x14ac:dyDescent="0.3"/>
    <row r="3" spans="1:9" x14ac:dyDescent="0.25">
      <c r="A3" s="114" t="s">
        <v>140</v>
      </c>
      <c r="B3" s="114"/>
    </row>
    <row r="4" spans="1:9" x14ac:dyDescent="0.25">
      <c r="A4" t="s">
        <v>141</v>
      </c>
      <c r="B4">
        <v>0.9599025925888659</v>
      </c>
    </row>
    <row r="5" spans="1:9" x14ac:dyDescent="0.25">
      <c r="A5" t="s">
        <v>142</v>
      </c>
      <c r="B5">
        <v>0.92141298725882625</v>
      </c>
    </row>
    <row r="6" spans="1:9" x14ac:dyDescent="0.25">
      <c r="A6" t="s">
        <v>143</v>
      </c>
      <c r="B6">
        <v>0.91977575782671839</v>
      </c>
    </row>
    <row r="7" spans="1:9" x14ac:dyDescent="0.25">
      <c r="A7" t="s">
        <v>144</v>
      </c>
      <c r="B7">
        <v>585.09985251853777</v>
      </c>
    </row>
    <row r="8" spans="1:9" ht="15.75" thickBot="1" x14ac:dyDescent="0.3">
      <c r="A8" s="112" t="s">
        <v>145</v>
      </c>
      <c r="B8" s="112">
        <v>50</v>
      </c>
    </row>
    <row r="10" spans="1:9" ht="15.75" thickBot="1" x14ac:dyDescent="0.3">
      <c r="A10" t="s">
        <v>146</v>
      </c>
    </row>
    <row r="11" spans="1:9" x14ac:dyDescent="0.25">
      <c r="A11" s="113"/>
      <c r="B11" s="113" t="s">
        <v>150</v>
      </c>
      <c r="C11" s="113" t="s">
        <v>151</v>
      </c>
      <c r="D11" s="113" t="s">
        <v>152</v>
      </c>
      <c r="E11" s="113" t="s">
        <v>153</v>
      </c>
      <c r="F11" s="113" t="s">
        <v>154</v>
      </c>
    </row>
    <row r="12" spans="1:9" x14ac:dyDescent="0.25">
      <c r="A12" t="s">
        <v>147</v>
      </c>
      <c r="B12">
        <v>1</v>
      </c>
      <c r="C12">
        <v>192665859.09842369</v>
      </c>
      <c r="D12">
        <v>192665859.09842369</v>
      </c>
      <c r="E12">
        <v>562.78794479805367</v>
      </c>
      <c r="F12">
        <v>3.668693245493579E-28</v>
      </c>
    </row>
    <row r="13" spans="1:9" x14ac:dyDescent="0.25">
      <c r="A13" t="s">
        <v>148</v>
      </c>
      <c r="B13">
        <v>48</v>
      </c>
      <c r="C13">
        <v>16432408.196026307</v>
      </c>
      <c r="D13">
        <v>342341.8374172147</v>
      </c>
    </row>
    <row r="14" spans="1:9" ht="15.75" thickBot="1" x14ac:dyDescent="0.3">
      <c r="A14" s="112" t="s">
        <v>10</v>
      </c>
      <c r="B14" s="112">
        <v>49</v>
      </c>
      <c r="C14" s="112">
        <v>209098267.29444999</v>
      </c>
      <c r="D14" s="112"/>
      <c r="E14" s="112"/>
      <c r="F14" s="112"/>
    </row>
    <row r="15" spans="1:9" ht="15.75" thickBot="1" x14ac:dyDescent="0.3"/>
    <row r="16" spans="1:9" x14ac:dyDescent="0.25">
      <c r="A16" s="113"/>
      <c r="B16" s="113" t="s">
        <v>155</v>
      </c>
      <c r="C16" s="113" t="s">
        <v>144</v>
      </c>
      <c r="D16" s="113" t="s">
        <v>156</v>
      </c>
      <c r="E16" s="113" t="s">
        <v>157</v>
      </c>
      <c r="F16" s="113" t="s">
        <v>158</v>
      </c>
      <c r="G16" s="113" t="s">
        <v>159</v>
      </c>
      <c r="H16" s="113" t="s">
        <v>160</v>
      </c>
      <c r="I16" s="113" t="s">
        <v>161</v>
      </c>
    </row>
    <row r="17" spans="1:9" x14ac:dyDescent="0.25">
      <c r="A17" t="s">
        <v>149</v>
      </c>
      <c r="B17">
        <v>6304.8253246013301</v>
      </c>
      <c r="C17">
        <v>246.25433422348195</v>
      </c>
      <c r="D17">
        <v>25.602900937692912</v>
      </c>
      <c r="E17">
        <v>1.2277052768464232E-29</v>
      </c>
      <c r="F17">
        <v>5809.697800995983</v>
      </c>
      <c r="G17">
        <v>6799.9528482066771</v>
      </c>
      <c r="H17">
        <v>5644.3209576931622</v>
      </c>
      <c r="I17">
        <v>6965.3296915094979</v>
      </c>
    </row>
    <row r="18" spans="1:9" ht="15.75" thickBot="1" x14ac:dyDescent="0.3">
      <c r="A18" s="112" t="s">
        <v>8</v>
      </c>
      <c r="B18" s="112">
        <v>7.1352227551400134</v>
      </c>
      <c r="C18" s="112">
        <v>0.30077043429521511</v>
      </c>
      <c r="D18" s="112">
        <v>23.723152083946459</v>
      </c>
      <c r="E18" s="112">
        <v>3.6686932454936566E-28</v>
      </c>
      <c r="F18" s="112">
        <v>6.5304832658803189</v>
      </c>
      <c r="G18" s="112">
        <v>7.7399622443997078</v>
      </c>
      <c r="H18" s="112">
        <v>6.3284950850858221</v>
      </c>
      <c r="I18" s="112">
        <v>7.9419504251942046</v>
      </c>
    </row>
    <row r="22" spans="1:9" x14ac:dyDescent="0.25">
      <c r="A22" t="s">
        <v>162</v>
      </c>
      <c r="F22" t="s">
        <v>166</v>
      </c>
    </row>
    <row r="23" spans="1:9" ht="15.75" thickBot="1" x14ac:dyDescent="0.3"/>
    <row r="24" spans="1:9" x14ac:dyDescent="0.25">
      <c r="A24" s="113" t="s">
        <v>163</v>
      </c>
      <c r="B24" s="113" t="s">
        <v>168</v>
      </c>
      <c r="C24" s="113" t="s">
        <v>164</v>
      </c>
      <c r="D24" s="113" t="s">
        <v>165</v>
      </c>
      <c r="F24" s="113" t="s">
        <v>167</v>
      </c>
      <c r="G24" s="113" t="s">
        <v>9</v>
      </c>
    </row>
    <row r="25" spans="1:9" x14ac:dyDescent="0.25">
      <c r="A25">
        <v>1</v>
      </c>
      <c r="B25">
        <v>8188.5241319582938</v>
      </c>
      <c r="C25">
        <v>-163.52413195829376</v>
      </c>
      <c r="D25">
        <v>-0.28237697736170037</v>
      </c>
      <c r="F25">
        <v>1</v>
      </c>
      <c r="G25">
        <v>8025</v>
      </c>
    </row>
    <row r="26" spans="1:9" x14ac:dyDescent="0.25">
      <c r="A26">
        <v>2</v>
      </c>
      <c r="B26">
        <v>8445.3921511433346</v>
      </c>
      <c r="C26">
        <v>254.60784885666544</v>
      </c>
      <c r="D26">
        <v>0.43966229272537283</v>
      </c>
      <c r="F26">
        <v>3</v>
      </c>
      <c r="G26">
        <v>8700</v>
      </c>
    </row>
    <row r="27" spans="1:9" x14ac:dyDescent="0.25">
      <c r="A27">
        <v>3</v>
      </c>
      <c r="B27">
        <v>8873.5055164517344</v>
      </c>
      <c r="C27">
        <v>176.49448354826563</v>
      </c>
      <c r="D27">
        <v>0.30477445859846908</v>
      </c>
      <c r="F27">
        <v>5</v>
      </c>
      <c r="G27">
        <v>8950</v>
      </c>
    </row>
    <row r="28" spans="1:9" x14ac:dyDescent="0.25">
      <c r="A28">
        <v>4</v>
      </c>
      <c r="B28">
        <v>9044.7508625750961</v>
      </c>
      <c r="C28">
        <v>155.24913742490389</v>
      </c>
      <c r="D28">
        <v>0.26808753936841884</v>
      </c>
      <c r="F28">
        <v>7</v>
      </c>
      <c r="G28">
        <v>9050</v>
      </c>
    </row>
    <row r="29" spans="1:9" x14ac:dyDescent="0.25">
      <c r="A29">
        <v>5</v>
      </c>
      <c r="B29">
        <v>9301.618881760136</v>
      </c>
      <c r="C29">
        <v>-98.918881760135264</v>
      </c>
      <c r="D29">
        <v>-0.17081524604913048</v>
      </c>
      <c r="F29">
        <v>9</v>
      </c>
      <c r="G29">
        <v>9200</v>
      </c>
    </row>
    <row r="30" spans="1:9" x14ac:dyDescent="0.25">
      <c r="A30">
        <v>6</v>
      </c>
      <c r="B30">
        <v>9408.647223087235</v>
      </c>
      <c r="C30">
        <v>-205.94722308723431</v>
      </c>
      <c r="D30">
        <v>-0.35563408076210534</v>
      </c>
      <c r="F30">
        <v>11</v>
      </c>
      <c r="G30">
        <v>9202.7000000000007</v>
      </c>
    </row>
    <row r="31" spans="1:9" x14ac:dyDescent="0.25">
      <c r="A31">
        <v>7</v>
      </c>
      <c r="B31">
        <v>9729.7322470685358</v>
      </c>
      <c r="C31">
        <v>-779.7322470685358</v>
      </c>
      <c r="D31">
        <v>-1.3464583633124889</v>
      </c>
      <c r="F31">
        <v>13</v>
      </c>
      <c r="G31">
        <v>9202.7000000000007</v>
      </c>
    </row>
    <row r="32" spans="1:9" x14ac:dyDescent="0.25">
      <c r="A32">
        <v>8</v>
      </c>
      <c r="B32">
        <v>9729.7322470685358</v>
      </c>
      <c r="C32">
        <v>-92.932247068536526</v>
      </c>
      <c r="D32">
        <v>-0.16047739689782906</v>
      </c>
      <c r="F32">
        <v>15</v>
      </c>
      <c r="G32">
        <v>9625</v>
      </c>
    </row>
    <row r="33" spans="1:7" x14ac:dyDescent="0.25">
      <c r="A33">
        <v>9</v>
      </c>
      <c r="B33">
        <v>9793.9492518647967</v>
      </c>
      <c r="C33">
        <v>-157.14925186479741</v>
      </c>
      <c r="D33">
        <v>-0.2713686977256165</v>
      </c>
      <c r="F33">
        <v>17</v>
      </c>
      <c r="G33">
        <v>9636.7999999999993</v>
      </c>
    </row>
    <row r="34" spans="1:7" x14ac:dyDescent="0.25">
      <c r="A34">
        <v>10</v>
      </c>
      <c r="B34">
        <v>9815.3549201302158</v>
      </c>
      <c r="C34">
        <v>109.64507986978424</v>
      </c>
      <c r="D34">
        <v>0.18933747493677841</v>
      </c>
      <c r="F34">
        <v>19</v>
      </c>
      <c r="G34">
        <v>9636.7999999999993</v>
      </c>
    </row>
    <row r="35" spans="1:7" x14ac:dyDescent="0.25">
      <c r="A35">
        <v>11</v>
      </c>
      <c r="B35">
        <v>9815.3549201302158</v>
      </c>
      <c r="C35">
        <v>109.64507986978424</v>
      </c>
      <c r="D35">
        <v>0.18933747493677841</v>
      </c>
      <c r="F35">
        <v>21</v>
      </c>
      <c r="G35">
        <v>9820</v>
      </c>
    </row>
    <row r="36" spans="1:7" x14ac:dyDescent="0.25">
      <c r="A36">
        <v>12</v>
      </c>
      <c r="B36">
        <v>9836.7605883956367</v>
      </c>
      <c r="C36">
        <v>393.23941160436334</v>
      </c>
      <c r="D36">
        <v>0.67905424782596902</v>
      </c>
      <c r="F36">
        <v>23</v>
      </c>
      <c r="G36">
        <v>9925</v>
      </c>
    </row>
    <row r="37" spans="1:7" x14ac:dyDescent="0.25">
      <c r="A37">
        <v>13</v>
      </c>
      <c r="B37">
        <v>10243.468285438617</v>
      </c>
      <c r="C37">
        <v>-618.46828543861739</v>
      </c>
      <c r="D37">
        <v>-1.0679842965365607</v>
      </c>
      <c r="F37">
        <v>25</v>
      </c>
      <c r="G37">
        <v>9925</v>
      </c>
    </row>
    <row r="38" spans="1:7" x14ac:dyDescent="0.25">
      <c r="A38">
        <v>14</v>
      </c>
      <c r="B38">
        <v>10300.550067479737</v>
      </c>
      <c r="C38">
        <v>-84.95006747973639</v>
      </c>
      <c r="D38">
        <v>-0.14669359802942405</v>
      </c>
      <c r="F38">
        <v>27</v>
      </c>
      <c r="G38">
        <v>10100</v>
      </c>
    </row>
    <row r="39" spans="1:7" x14ac:dyDescent="0.25">
      <c r="A39">
        <v>15</v>
      </c>
      <c r="B39">
        <v>10336.226181255437</v>
      </c>
      <c r="C39">
        <v>-516.22618125543704</v>
      </c>
      <c r="D39">
        <v>-0.8914304387505434</v>
      </c>
      <c r="F39">
        <v>29</v>
      </c>
      <c r="G39">
        <v>10215.6</v>
      </c>
    </row>
    <row r="40" spans="1:7" x14ac:dyDescent="0.25">
      <c r="A40">
        <v>16</v>
      </c>
      <c r="B40">
        <v>10464.660190847957</v>
      </c>
      <c r="C40">
        <v>5.3398091520430171</v>
      </c>
      <c r="D40">
        <v>9.2208969403171654E-3</v>
      </c>
      <c r="F40">
        <v>31</v>
      </c>
      <c r="G40">
        <v>10230</v>
      </c>
    </row>
    <row r="41" spans="1:7" x14ac:dyDescent="0.25">
      <c r="A41">
        <v>17</v>
      </c>
      <c r="B41">
        <v>10521.741972889078</v>
      </c>
      <c r="C41">
        <v>-421.74197288907817</v>
      </c>
      <c r="D41">
        <v>-0.72827308180636974</v>
      </c>
      <c r="F41">
        <v>33</v>
      </c>
      <c r="G41">
        <v>10470</v>
      </c>
    </row>
    <row r="42" spans="1:7" x14ac:dyDescent="0.25">
      <c r="A42">
        <v>18</v>
      </c>
      <c r="B42">
        <v>10800.015660339537</v>
      </c>
      <c r="C42">
        <v>1799.9843396604629</v>
      </c>
      <c r="D42">
        <v>3.1082515531184791</v>
      </c>
      <c r="F42">
        <v>35</v>
      </c>
      <c r="G42">
        <v>10750</v>
      </c>
    </row>
    <row r="43" spans="1:7" x14ac:dyDescent="0.25">
      <c r="A43">
        <v>19</v>
      </c>
      <c r="B43">
        <v>10800.015660339537</v>
      </c>
      <c r="C43">
        <v>599.98433966046287</v>
      </c>
      <c r="D43">
        <v>1.0360658226327577</v>
      </c>
      <c r="F43">
        <v>37</v>
      </c>
      <c r="G43">
        <v>11050</v>
      </c>
    </row>
    <row r="44" spans="1:7" x14ac:dyDescent="0.25">
      <c r="A44">
        <v>20</v>
      </c>
      <c r="B44">
        <v>11156.77679809654</v>
      </c>
      <c r="C44">
        <v>843.22320190345999</v>
      </c>
      <c r="D44">
        <v>1.456095905499025</v>
      </c>
      <c r="F44">
        <v>39</v>
      </c>
      <c r="G44">
        <v>11050</v>
      </c>
    </row>
    <row r="45" spans="1:7" x14ac:dyDescent="0.25">
      <c r="A45">
        <v>21</v>
      </c>
      <c r="B45">
        <v>11356.563035240459</v>
      </c>
      <c r="C45">
        <v>-306.5630352404587</v>
      </c>
      <c r="D45">
        <v>-0.52937962259972482</v>
      </c>
      <c r="F45">
        <v>41</v>
      </c>
      <c r="G45">
        <v>11400</v>
      </c>
    </row>
    <row r="46" spans="1:7" x14ac:dyDescent="0.25">
      <c r="A46">
        <v>22</v>
      </c>
      <c r="B46">
        <v>11356.563035240459</v>
      </c>
      <c r="C46">
        <v>-306.5630352404587</v>
      </c>
      <c r="D46">
        <v>-0.52937962259972482</v>
      </c>
      <c r="F46">
        <v>43</v>
      </c>
      <c r="G46">
        <v>11590.25</v>
      </c>
    </row>
    <row r="47" spans="1:7" x14ac:dyDescent="0.25">
      <c r="A47">
        <v>23</v>
      </c>
      <c r="B47">
        <v>11677.648059221759</v>
      </c>
      <c r="C47">
        <v>-87.398059221759468</v>
      </c>
      <c r="D47">
        <v>-0.15092084265956329</v>
      </c>
      <c r="F47">
        <v>45</v>
      </c>
      <c r="G47">
        <v>11590.25</v>
      </c>
    </row>
    <row r="48" spans="1:7" x14ac:dyDescent="0.25">
      <c r="A48">
        <v>24</v>
      </c>
      <c r="B48">
        <v>11699.05372748718</v>
      </c>
      <c r="C48">
        <v>75.946272512819633</v>
      </c>
      <c r="D48">
        <v>0.13114565182053733</v>
      </c>
      <c r="F48">
        <v>47</v>
      </c>
      <c r="G48">
        <v>11590.25</v>
      </c>
    </row>
    <row r="49" spans="1:7" x14ac:dyDescent="0.25">
      <c r="A49">
        <v>25</v>
      </c>
      <c r="B49">
        <v>11727.594618507741</v>
      </c>
      <c r="C49">
        <v>-137.34461850774096</v>
      </c>
      <c r="D49">
        <v>-0.23716963219228826</v>
      </c>
      <c r="F49">
        <v>49</v>
      </c>
      <c r="G49">
        <v>11775</v>
      </c>
    </row>
    <row r="50" spans="1:7" x14ac:dyDescent="0.25">
      <c r="A50">
        <v>26</v>
      </c>
      <c r="B50">
        <v>11784.67640054886</v>
      </c>
      <c r="C50">
        <v>-1034.6764005488603</v>
      </c>
      <c r="D50">
        <v>-1.7867013940730641</v>
      </c>
      <c r="F50">
        <v>51</v>
      </c>
      <c r="G50">
        <v>11879.65</v>
      </c>
    </row>
    <row r="51" spans="1:7" x14ac:dyDescent="0.25">
      <c r="A51">
        <v>27</v>
      </c>
      <c r="B51">
        <v>11941.651301161941</v>
      </c>
      <c r="C51">
        <v>-62.001301161941228</v>
      </c>
      <c r="D51">
        <v>-0.10706517628276865</v>
      </c>
      <c r="F51">
        <v>53</v>
      </c>
      <c r="G51">
        <v>11879.65</v>
      </c>
    </row>
    <row r="52" spans="1:7" x14ac:dyDescent="0.25">
      <c r="A52">
        <v>28</v>
      </c>
      <c r="B52">
        <v>11948.786523917081</v>
      </c>
      <c r="C52">
        <v>-358.53652391708056</v>
      </c>
      <c r="D52">
        <v>-0.61912855726577232</v>
      </c>
      <c r="F52">
        <v>55</v>
      </c>
      <c r="G52">
        <v>11879.65</v>
      </c>
    </row>
    <row r="53" spans="1:7" x14ac:dyDescent="0.25">
      <c r="A53">
        <v>29</v>
      </c>
      <c r="B53">
        <v>12098.62620177502</v>
      </c>
      <c r="C53">
        <v>-218.97620177501994</v>
      </c>
      <c r="D53">
        <v>-0.37813280052846532</v>
      </c>
      <c r="F53">
        <v>57</v>
      </c>
      <c r="G53">
        <v>12000</v>
      </c>
    </row>
    <row r="54" spans="1:7" x14ac:dyDescent="0.25">
      <c r="A54">
        <v>30</v>
      </c>
      <c r="B54">
        <v>12227.060211367541</v>
      </c>
      <c r="C54">
        <v>2372.9397886324587</v>
      </c>
      <c r="D54">
        <v>4.0976433077549865</v>
      </c>
      <c r="F54">
        <v>59</v>
      </c>
      <c r="G54">
        <v>12350</v>
      </c>
    </row>
    <row r="55" spans="1:7" x14ac:dyDescent="0.25">
      <c r="A55">
        <v>31</v>
      </c>
      <c r="B55">
        <v>12462.522562287162</v>
      </c>
      <c r="C55">
        <v>-582.87256228716251</v>
      </c>
      <c r="D55">
        <v>-1.00651683855259</v>
      </c>
      <c r="F55">
        <v>61</v>
      </c>
      <c r="G55">
        <v>12400</v>
      </c>
    </row>
    <row r="56" spans="1:7" x14ac:dyDescent="0.25">
      <c r="A56">
        <v>32</v>
      </c>
      <c r="B56">
        <v>12640.903131165662</v>
      </c>
      <c r="C56">
        <v>-290.90313116566176</v>
      </c>
      <c r="D56">
        <v>-0.5023377644625836</v>
      </c>
      <c r="F56">
        <v>63</v>
      </c>
      <c r="G56">
        <v>12458.45</v>
      </c>
    </row>
    <row r="57" spans="1:7" x14ac:dyDescent="0.25">
      <c r="A57">
        <v>33</v>
      </c>
      <c r="B57">
        <v>12726.525804227342</v>
      </c>
      <c r="C57">
        <v>-123.37580422734209</v>
      </c>
      <c r="D57">
        <v>-0.21304798417258183</v>
      </c>
      <c r="F57">
        <v>65</v>
      </c>
      <c r="G57">
        <v>12600</v>
      </c>
    </row>
    <row r="58" spans="1:7" x14ac:dyDescent="0.25">
      <c r="A58">
        <v>34</v>
      </c>
      <c r="B58">
        <v>12869.230259330143</v>
      </c>
      <c r="C58">
        <v>-469.23025933014287</v>
      </c>
      <c r="D58">
        <v>-0.81027687308003038</v>
      </c>
      <c r="F58">
        <v>67</v>
      </c>
      <c r="G58">
        <v>12603.15</v>
      </c>
    </row>
    <row r="59" spans="1:7" x14ac:dyDescent="0.25">
      <c r="A59">
        <v>35</v>
      </c>
      <c r="B59">
        <v>12876.365482085283</v>
      </c>
      <c r="C59">
        <v>-417.91548208528184</v>
      </c>
      <c r="D59">
        <v>-0.72166541543848506</v>
      </c>
      <c r="F59">
        <v>69</v>
      </c>
      <c r="G59">
        <v>13109.6</v>
      </c>
    </row>
    <row r="60" spans="1:7" x14ac:dyDescent="0.25">
      <c r="A60">
        <v>36</v>
      </c>
      <c r="B60">
        <v>13154.639169535743</v>
      </c>
      <c r="C60">
        <v>-45.039169535742985</v>
      </c>
      <c r="D60">
        <v>-7.7774603687411514E-2</v>
      </c>
      <c r="F60">
        <v>71</v>
      </c>
      <c r="G60">
        <v>13109.6</v>
      </c>
    </row>
    <row r="61" spans="1:7" x14ac:dyDescent="0.25">
      <c r="A61">
        <v>37</v>
      </c>
      <c r="B61">
        <v>13268.802733617984</v>
      </c>
      <c r="C61">
        <v>-159.20273361798354</v>
      </c>
      <c r="D61">
        <v>-0.27491469404792074</v>
      </c>
      <c r="F61">
        <v>73</v>
      </c>
      <c r="G61">
        <v>13109.6</v>
      </c>
    </row>
    <row r="62" spans="1:7" x14ac:dyDescent="0.25">
      <c r="A62">
        <v>38</v>
      </c>
      <c r="B62">
        <v>13297.343624638543</v>
      </c>
      <c r="C62">
        <v>-43.043624638543406</v>
      </c>
      <c r="D62">
        <v>-7.4328653970311048E-2</v>
      </c>
      <c r="F62">
        <v>75</v>
      </c>
      <c r="G62">
        <v>13254.3</v>
      </c>
    </row>
    <row r="63" spans="1:7" x14ac:dyDescent="0.25">
      <c r="A63">
        <v>39</v>
      </c>
      <c r="B63">
        <v>13333.019738414243</v>
      </c>
      <c r="C63">
        <v>-78.719738414243693</v>
      </c>
      <c r="D63">
        <v>-0.13593493220797037</v>
      </c>
      <c r="F63">
        <v>77</v>
      </c>
      <c r="G63">
        <v>13254.3</v>
      </c>
    </row>
    <row r="64" spans="1:7" x14ac:dyDescent="0.25">
      <c r="A64">
        <v>40</v>
      </c>
      <c r="B64">
        <v>13340.154961169384</v>
      </c>
      <c r="C64">
        <v>-230.55496116938411</v>
      </c>
      <c r="D64">
        <v>-0.39812725052323944</v>
      </c>
      <c r="F64">
        <v>79</v>
      </c>
      <c r="G64">
        <v>13619.999999999998</v>
      </c>
    </row>
    <row r="65" spans="1:7" x14ac:dyDescent="0.25">
      <c r="A65">
        <v>41</v>
      </c>
      <c r="B65">
        <v>13604.158203109564</v>
      </c>
      <c r="C65">
        <v>695.84179689043594</v>
      </c>
      <c r="D65">
        <v>1.2015945351599207</v>
      </c>
      <c r="F65">
        <v>81</v>
      </c>
      <c r="G65">
        <v>13760.749999999998</v>
      </c>
    </row>
    <row r="66" spans="1:7" x14ac:dyDescent="0.25">
      <c r="A66">
        <v>42</v>
      </c>
      <c r="B66">
        <v>13725.456989946944</v>
      </c>
      <c r="C66">
        <v>374.5430100530557</v>
      </c>
      <c r="D66">
        <v>0.64676890073759341</v>
      </c>
      <c r="F66">
        <v>83</v>
      </c>
      <c r="G66">
        <v>14100</v>
      </c>
    </row>
    <row r="67" spans="1:7" x14ac:dyDescent="0.25">
      <c r="A67">
        <v>43</v>
      </c>
      <c r="B67">
        <v>13746.862658212365</v>
      </c>
      <c r="C67">
        <v>-126.86265821236702</v>
      </c>
      <c r="D67">
        <v>-0.21906915839929511</v>
      </c>
      <c r="F67">
        <v>85</v>
      </c>
      <c r="G67">
        <v>14200</v>
      </c>
    </row>
    <row r="68" spans="1:7" x14ac:dyDescent="0.25">
      <c r="A68">
        <v>44</v>
      </c>
      <c r="B68">
        <v>13753.997880967505</v>
      </c>
      <c r="C68">
        <v>446.0021190324951</v>
      </c>
      <c r="D68">
        <v>0.77016602235460874</v>
      </c>
      <c r="F68">
        <v>87</v>
      </c>
      <c r="G68">
        <v>14300</v>
      </c>
    </row>
    <row r="69" spans="1:7" x14ac:dyDescent="0.25">
      <c r="A69">
        <v>45</v>
      </c>
      <c r="B69">
        <v>13796.809217498343</v>
      </c>
      <c r="C69">
        <v>-36.059217498344879</v>
      </c>
      <c r="D69">
        <v>-6.2267829960459403E-2</v>
      </c>
      <c r="F69">
        <v>89</v>
      </c>
      <c r="G69">
        <v>14550</v>
      </c>
    </row>
    <row r="70" spans="1:7" x14ac:dyDescent="0.25">
      <c r="A70">
        <v>46</v>
      </c>
      <c r="B70">
        <v>14610.224611584306</v>
      </c>
      <c r="C70">
        <v>539.77538841569367</v>
      </c>
      <c r="D70">
        <v>0.9320957146186567</v>
      </c>
      <c r="F70">
        <v>91</v>
      </c>
      <c r="G70">
        <v>14600</v>
      </c>
    </row>
    <row r="71" spans="1:7" x14ac:dyDescent="0.25">
      <c r="A71">
        <v>47</v>
      </c>
      <c r="B71">
        <v>15123.960649954386</v>
      </c>
      <c r="C71">
        <v>176.0393500456139</v>
      </c>
      <c r="D71">
        <v>0.30398852430708501</v>
      </c>
      <c r="F71">
        <v>93</v>
      </c>
      <c r="G71">
        <v>15150</v>
      </c>
    </row>
    <row r="72" spans="1:7" x14ac:dyDescent="0.25">
      <c r="A72">
        <v>48</v>
      </c>
      <c r="B72">
        <v>15552.074015262788</v>
      </c>
      <c r="C72">
        <v>-1002.0740152627877</v>
      </c>
      <c r="D72">
        <v>-1.7304028960983997</v>
      </c>
      <c r="F72">
        <v>95</v>
      </c>
      <c r="G72">
        <v>15300</v>
      </c>
    </row>
    <row r="73" spans="1:7" x14ac:dyDescent="0.25">
      <c r="A73">
        <v>49</v>
      </c>
      <c r="B73">
        <v>15894.564707509508</v>
      </c>
      <c r="C73">
        <v>-119.56470750950757</v>
      </c>
      <c r="D73">
        <v>-0.20646690064241713</v>
      </c>
      <c r="F73">
        <v>97</v>
      </c>
      <c r="G73">
        <v>15775</v>
      </c>
    </row>
    <row r="74" spans="1:7" ht="15.75" thickBot="1" x14ac:dyDescent="0.3">
      <c r="A74" s="112">
        <v>50</v>
      </c>
      <c r="B74" s="112">
        <v>16151.432726694549</v>
      </c>
      <c r="C74" s="112">
        <v>248.56727330545073</v>
      </c>
      <c r="D74" s="112">
        <v>0.42923129734108278</v>
      </c>
      <c r="F74" s="112">
        <v>99</v>
      </c>
      <c r="G74" s="112">
        <v>16400</v>
      </c>
    </row>
  </sheetData>
  <sortState ref="G25:G74">
    <sortCondition ref="G25"/>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178CA-DB4A-4F81-AC92-7BD0B5304C9E}">
  <dimension ref="A1:I18"/>
  <sheetViews>
    <sheetView topLeftCell="A7" zoomScale="130" zoomScaleNormal="130" workbookViewId="0">
      <selection activeCell="H17" sqref="H17:I17"/>
    </sheetView>
  </sheetViews>
  <sheetFormatPr baseColWidth="10" defaultRowHeight="15" x14ac:dyDescent="0.25"/>
  <cols>
    <col min="1" max="1" width="32.85546875" bestFit="1" customWidth="1"/>
    <col min="2" max="2" width="17.7109375" bestFit="1" customWidth="1"/>
    <col min="3" max="3" width="19" bestFit="1" customWidth="1"/>
    <col min="4" max="4" width="25.42578125" bestFit="1" customWidth="1"/>
    <col min="5" max="5" width="12.7109375" bestFit="1" customWidth="1"/>
    <col min="6" max="6" width="15.85546875" bestFit="1" customWidth="1"/>
    <col min="7" max="7" width="12.85546875" bestFit="1" customWidth="1"/>
    <col min="8" max="8" width="13.5703125" bestFit="1" customWidth="1"/>
    <col min="9" max="9" width="14.42578125" bestFit="1" customWidth="1"/>
  </cols>
  <sheetData>
    <row r="1" spans="1:9" x14ac:dyDescent="0.25">
      <c r="A1" t="s">
        <v>185</v>
      </c>
    </row>
    <row r="2" spans="1:9" ht="15.75" thickBot="1" x14ac:dyDescent="0.3"/>
    <row r="3" spans="1:9" x14ac:dyDescent="0.25">
      <c r="A3" s="209" t="s">
        <v>186</v>
      </c>
      <c r="B3" s="209"/>
    </row>
    <row r="4" spans="1:9" x14ac:dyDescent="0.25">
      <c r="A4" s="206" t="s">
        <v>187</v>
      </c>
      <c r="B4" s="206">
        <v>0.9599025925888659</v>
      </c>
    </row>
    <row r="5" spans="1:9" x14ac:dyDescent="0.25">
      <c r="A5" s="206" t="s">
        <v>188</v>
      </c>
      <c r="B5" s="206">
        <v>0.92141298725882625</v>
      </c>
    </row>
    <row r="6" spans="1:9" x14ac:dyDescent="0.25">
      <c r="A6" s="206" t="s">
        <v>189</v>
      </c>
      <c r="B6" s="206">
        <v>0.91977575782671839</v>
      </c>
    </row>
    <row r="7" spans="1:9" x14ac:dyDescent="0.25">
      <c r="A7" s="206" t="s">
        <v>190</v>
      </c>
      <c r="B7" s="206">
        <v>585.09985251853777</v>
      </c>
    </row>
    <row r="8" spans="1:9" ht="15.75" thickBot="1" x14ac:dyDescent="0.3">
      <c r="A8" s="207" t="s">
        <v>191</v>
      </c>
      <c r="B8" s="207">
        <v>50</v>
      </c>
    </row>
    <row r="10" spans="1:9" ht="15.75" thickBot="1" x14ac:dyDescent="0.3">
      <c r="A10" t="s">
        <v>192</v>
      </c>
    </row>
    <row r="11" spans="1:9" x14ac:dyDescent="0.25">
      <c r="A11" s="208"/>
      <c r="B11" s="208" t="s">
        <v>31</v>
      </c>
      <c r="C11" s="208" t="s">
        <v>30</v>
      </c>
      <c r="D11" s="208" t="s">
        <v>196</v>
      </c>
      <c r="E11" s="208" t="s">
        <v>153</v>
      </c>
      <c r="F11" s="208" t="s">
        <v>197</v>
      </c>
    </row>
    <row r="12" spans="1:9" x14ac:dyDescent="0.25">
      <c r="A12" s="206" t="s">
        <v>193</v>
      </c>
      <c r="B12" s="206">
        <v>1</v>
      </c>
      <c r="C12" s="206">
        <v>192665859.09842369</v>
      </c>
      <c r="D12" s="206">
        <v>192665859.09842369</v>
      </c>
      <c r="E12" s="206">
        <v>562.78794479805367</v>
      </c>
      <c r="F12" s="206">
        <v>3.668693245493579E-28</v>
      </c>
    </row>
    <row r="13" spans="1:9" x14ac:dyDescent="0.25">
      <c r="A13" s="206" t="s">
        <v>194</v>
      </c>
      <c r="B13" s="206">
        <v>48</v>
      </c>
      <c r="C13" s="206">
        <v>16432408.196026307</v>
      </c>
      <c r="D13" s="206">
        <v>342341.8374172147</v>
      </c>
      <c r="E13" s="206"/>
      <c r="F13" s="206"/>
    </row>
    <row r="14" spans="1:9" ht="15.75" thickBot="1" x14ac:dyDescent="0.3">
      <c r="A14" s="207" t="s">
        <v>10</v>
      </c>
      <c r="B14" s="207">
        <v>49</v>
      </c>
      <c r="C14" s="207">
        <v>209098267.29444999</v>
      </c>
      <c r="D14" s="207"/>
      <c r="E14" s="207"/>
      <c r="F14" s="207"/>
    </row>
    <row r="15" spans="1:9" ht="15.75" thickBot="1" x14ac:dyDescent="0.3"/>
    <row r="16" spans="1:9" x14ac:dyDescent="0.25">
      <c r="A16" s="208"/>
      <c r="B16" s="208" t="s">
        <v>198</v>
      </c>
      <c r="C16" s="208" t="s">
        <v>190</v>
      </c>
      <c r="D16" s="208" t="s">
        <v>199</v>
      </c>
      <c r="E16" s="208" t="s">
        <v>200</v>
      </c>
      <c r="F16" s="208" t="s">
        <v>201</v>
      </c>
      <c r="G16" s="208" t="s">
        <v>202</v>
      </c>
      <c r="H16" s="208" t="s">
        <v>203</v>
      </c>
      <c r="I16" s="208" t="s">
        <v>204</v>
      </c>
    </row>
    <row r="17" spans="1:9" x14ac:dyDescent="0.25">
      <c r="A17" s="206" t="s">
        <v>195</v>
      </c>
      <c r="B17" s="206">
        <v>6304.8253246013301</v>
      </c>
      <c r="C17" s="206">
        <v>246.25433422348195</v>
      </c>
      <c r="D17" s="206">
        <v>25.602900937692912</v>
      </c>
      <c r="E17" s="206">
        <v>1.2277052768464232E-29</v>
      </c>
      <c r="F17" s="206">
        <v>5809.697800995983</v>
      </c>
      <c r="G17" s="206">
        <v>6799.9528482066771</v>
      </c>
      <c r="H17" s="206">
        <v>5644.3209576931622</v>
      </c>
      <c r="I17" s="206">
        <v>6965.3296915094979</v>
      </c>
    </row>
    <row r="18" spans="1:9" ht="15.75" thickBot="1" x14ac:dyDescent="0.3">
      <c r="A18" s="207" t="s">
        <v>8</v>
      </c>
      <c r="B18" s="207">
        <v>7.1352227551400134</v>
      </c>
      <c r="C18" s="207">
        <v>0.30077043429521511</v>
      </c>
      <c r="D18" s="207">
        <v>23.723152083946459</v>
      </c>
      <c r="E18" s="207">
        <v>3.6686932454936566E-28</v>
      </c>
      <c r="F18" s="207">
        <v>6.5304832658803189</v>
      </c>
      <c r="G18" s="207">
        <v>7.7399622443997078</v>
      </c>
      <c r="H18" s="207">
        <v>6.3284950850858221</v>
      </c>
      <c r="I18" s="207">
        <v>7.9419504251942046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01019-23DC-46B6-AFA6-96DDA17FB3F9}">
  <dimension ref="A1:Q407"/>
  <sheetViews>
    <sheetView tabSelected="1" topLeftCell="G4" zoomScale="190" zoomScaleNormal="190" workbookViewId="0">
      <selection activeCell="L11" sqref="L11"/>
    </sheetView>
  </sheetViews>
  <sheetFormatPr baseColWidth="10" defaultColWidth="9.140625" defaultRowHeight="15" x14ac:dyDescent="0.25"/>
  <cols>
    <col min="1" max="1" width="15.7109375" customWidth="1"/>
    <col min="2" max="2" width="11.5703125" bestFit="1" customWidth="1"/>
    <col min="3" max="3" width="27.28515625" customWidth="1"/>
    <col min="4" max="4" width="45" customWidth="1"/>
    <col min="5" max="5" width="19.28515625" customWidth="1"/>
    <col min="6" max="6" width="30" customWidth="1"/>
    <col min="7" max="7" width="24.28515625" customWidth="1"/>
    <col min="8" max="8" width="19.140625" customWidth="1"/>
    <col min="9" max="9" width="13.42578125" customWidth="1"/>
    <col min="10" max="10" width="21.7109375" customWidth="1"/>
    <col min="11" max="11" width="26" customWidth="1"/>
    <col min="12" max="12" width="14.85546875" bestFit="1" customWidth="1"/>
    <col min="13" max="13" width="12.7109375" bestFit="1" customWidth="1"/>
    <col min="14" max="14" width="24.7109375" customWidth="1"/>
    <col min="16" max="16" width="10.7109375" bestFit="1" customWidth="1"/>
  </cols>
  <sheetData>
    <row r="1" spans="2:12" ht="15.75" thickBot="1" x14ac:dyDescent="0.3"/>
    <row r="2" spans="2:12" ht="16.899999999999999" customHeight="1" thickBot="1" x14ac:dyDescent="0.4">
      <c r="B2" s="20" t="s">
        <v>0</v>
      </c>
      <c r="C2" s="132" t="s">
        <v>25</v>
      </c>
      <c r="D2" s="133"/>
      <c r="E2" s="133"/>
      <c r="F2" s="133"/>
      <c r="G2" s="133"/>
      <c r="H2" s="133"/>
      <c r="I2" s="133"/>
      <c r="J2" s="147"/>
      <c r="K2" s="1"/>
    </row>
    <row r="3" spans="2:12" ht="18" x14ac:dyDescent="0.35">
      <c r="B3" s="2"/>
      <c r="C3" s="148"/>
      <c r="D3" s="149"/>
      <c r="E3" s="149"/>
      <c r="F3" s="149"/>
      <c r="G3" s="149"/>
      <c r="H3" s="149"/>
      <c r="I3" s="149"/>
      <c r="J3" s="150"/>
      <c r="K3" s="1"/>
    </row>
    <row r="4" spans="2:12" ht="16.5" x14ac:dyDescent="0.3">
      <c r="C4" s="148"/>
      <c r="D4" s="149"/>
      <c r="E4" s="149"/>
      <c r="F4" s="149"/>
      <c r="G4" s="149"/>
      <c r="H4" s="149"/>
      <c r="I4" s="149"/>
      <c r="J4" s="150"/>
      <c r="K4" s="1"/>
    </row>
    <row r="5" spans="2:12" ht="16.5" x14ac:dyDescent="0.3">
      <c r="C5" s="148"/>
      <c r="D5" s="149"/>
      <c r="E5" s="149"/>
      <c r="F5" s="149"/>
      <c r="G5" s="149"/>
      <c r="H5" s="149"/>
      <c r="I5" s="149"/>
      <c r="J5" s="150"/>
      <c r="K5" s="1"/>
    </row>
    <row r="6" spans="2:12" ht="14.45" customHeight="1" thickBot="1" x14ac:dyDescent="0.3">
      <c r="C6" s="134"/>
      <c r="D6" s="135"/>
      <c r="E6" s="135"/>
      <c r="F6" s="135"/>
      <c r="G6" s="135"/>
      <c r="H6" s="135"/>
      <c r="I6" s="135"/>
      <c r="J6" s="151"/>
    </row>
    <row r="8" spans="2:12" ht="18" x14ac:dyDescent="0.35">
      <c r="C8" s="1"/>
      <c r="D8" s="2" t="s">
        <v>6</v>
      </c>
      <c r="E8" s="2" t="s">
        <v>7</v>
      </c>
      <c r="F8" s="1"/>
      <c r="G8" s="1"/>
      <c r="H8" s="1"/>
      <c r="I8" s="1"/>
      <c r="J8" s="1"/>
    </row>
    <row r="9" spans="2:12" ht="16.5" x14ac:dyDescent="0.3">
      <c r="C9" s="1"/>
      <c r="D9" s="155" t="s">
        <v>27</v>
      </c>
      <c r="E9" s="155"/>
      <c r="F9" s="1"/>
      <c r="G9" s="1"/>
      <c r="H9" s="1"/>
      <c r="I9" s="1"/>
      <c r="J9" s="1"/>
    </row>
    <row r="10" spans="2:12" ht="14.45" customHeight="1" x14ac:dyDescent="0.25">
      <c r="C10" s="3" t="s">
        <v>5</v>
      </c>
      <c r="D10" s="3" t="s">
        <v>8</v>
      </c>
      <c r="E10" s="3" t="s">
        <v>9</v>
      </c>
      <c r="F10" s="3" t="s">
        <v>1</v>
      </c>
      <c r="G10" s="3" t="s">
        <v>2</v>
      </c>
      <c r="H10" s="3" t="s">
        <v>3</v>
      </c>
      <c r="I10" s="3" t="s">
        <v>55</v>
      </c>
      <c r="J10" s="3" t="s">
        <v>4</v>
      </c>
      <c r="K10" s="93" t="s">
        <v>75</v>
      </c>
      <c r="L10" s="93" t="s">
        <v>76</v>
      </c>
    </row>
    <row r="11" spans="2:12" ht="14.45" customHeight="1" x14ac:dyDescent="0.25">
      <c r="C11" s="4">
        <v>1</v>
      </c>
      <c r="D11" s="4">
        <v>264</v>
      </c>
      <c r="E11" s="4">
        <v>8025</v>
      </c>
      <c r="F11" s="4">
        <f>D11^2</f>
        <v>69696</v>
      </c>
      <c r="G11" s="4">
        <f>E11^2</f>
        <v>64400625</v>
      </c>
      <c r="H11" s="5">
        <f t="shared" ref="H11:H42" si="0">D11*E11</f>
        <v>2118600</v>
      </c>
      <c r="I11" s="5">
        <f t="shared" ref="I11:I42" si="1">$E$107+D11*$E$106</f>
        <v>8188.5241319582956</v>
      </c>
      <c r="J11" s="5">
        <f>I11-E11</f>
        <v>163.52413195829558</v>
      </c>
      <c r="L11" s="122">
        <f>J11^2</f>
        <v>26740.141732714066</v>
      </c>
    </row>
    <row r="12" spans="2:12" ht="14.45" customHeight="1" x14ac:dyDescent="0.25">
      <c r="C12" s="6">
        <v>2</v>
      </c>
      <c r="D12" s="6">
        <v>300</v>
      </c>
      <c r="E12" s="6">
        <v>8700</v>
      </c>
      <c r="F12" s="6">
        <f t="shared" ref="F12:F43" si="2">D12^2</f>
        <v>90000</v>
      </c>
      <c r="G12" s="6">
        <f t="shared" ref="G12:G57" si="3">E12^2</f>
        <v>75690000</v>
      </c>
      <c r="H12" s="7">
        <f t="shared" si="0"/>
        <v>2610000</v>
      </c>
      <c r="I12" s="7">
        <f t="shared" si="1"/>
        <v>8445.3921511433364</v>
      </c>
      <c r="J12" s="7">
        <f t="shared" ref="J12:J60" si="4">I12-E12</f>
        <v>-254.60784885666362</v>
      </c>
      <c r="K12" s="122">
        <f>(J12-J11)^2</f>
        <v>174834.3533802414</v>
      </c>
      <c r="L12" s="122">
        <f>J12^2</f>
        <v>64825.156699417668</v>
      </c>
    </row>
    <row r="13" spans="2:12" ht="14.45" customHeight="1" x14ac:dyDescent="0.25">
      <c r="C13" s="6">
        <v>3</v>
      </c>
      <c r="D13" s="6">
        <v>360</v>
      </c>
      <c r="E13" s="6">
        <v>9050</v>
      </c>
      <c r="F13" s="6">
        <f t="shared" si="2"/>
        <v>129600</v>
      </c>
      <c r="G13" s="6">
        <f t="shared" si="3"/>
        <v>81902500</v>
      </c>
      <c r="H13" s="7">
        <f t="shared" si="0"/>
        <v>3258000</v>
      </c>
      <c r="I13" s="7">
        <f t="shared" si="1"/>
        <v>8873.5055164517362</v>
      </c>
      <c r="J13" s="7">
        <f t="shared" si="4"/>
        <v>-176.49448354826382</v>
      </c>
      <c r="K13" s="122">
        <f t="shared" ref="K13:K60" si="5">(J13-J12)^2</f>
        <v>6101.697839803518</v>
      </c>
      <c r="L13" s="122">
        <f t="shared" ref="L13:L60" si="6">J13^2</f>
        <v>31150.302722968365</v>
      </c>
    </row>
    <row r="14" spans="2:12" ht="14.45" customHeight="1" x14ac:dyDescent="0.25">
      <c r="C14" s="6">
        <f>+C13+1</f>
        <v>4</v>
      </c>
      <c r="D14" s="6">
        <v>384</v>
      </c>
      <c r="E14" s="6">
        <v>9200</v>
      </c>
      <c r="F14" s="6">
        <f t="shared" si="2"/>
        <v>147456</v>
      </c>
      <c r="G14" s="6">
        <f t="shared" si="3"/>
        <v>84640000</v>
      </c>
      <c r="H14" s="7">
        <f t="shared" si="0"/>
        <v>3532800</v>
      </c>
      <c r="I14" s="7">
        <f t="shared" si="1"/>
        <v>9044.7508625750961</v>
      </c>
      <c r="J14" s="7">
        <f t="shared" si="4"/>
        <v>-155.24913742490389</v>
      </c>
      <c r="K14" s="122">
        <f t="shared" si="5"/>
        <v>451.36473190136451</v>
      </c>
      <c r="L14" s="122">
        <f t="shared" si="6"/>
        <v>24102.294671176696</v>
      </c>
    </row>
    <row r="15" spans="2:12" ht="15" customHeight="1" x14ac:dyDescent="0.25">
      <c r="C15" s="6">
        <f t="shared" ref="C15:C57" si="7">+C14+1</f>
        <v>5</v>
      </c>
      <c r="D15" s="6">
        <v>420</v>
      </c>
      <c r="E15" s="6">
        <v>9202.7000000000007</v>
      </c>
      <c r="F15" s="6">
        <f t="shared" si="2"/>
        <v>176400</v>
      </c>
      <c r="G15" s="6">
        <f t="shared" si="3"/>
        <v>84689687.290000007</v>
      </c>
      <c r="H15" s="7">
        <f t="shared" si="0"/>
        <v>3865134.0000000005</v>
      </c>
      <c r="I15" s="7">
        <f t="shared" si="1"/>
        <v>9301.6188817601378</v>
      </c>
      <c r="J15" s="7">
        <f t="shared" si="4"/>
        <v>98.918881760137083</v>
      </c>
      <c r="K15" s="122">
        <f t="shared" si="5"/>
        <v>64601.381976447359</v>
      </c>
      <c r="L15" s="122">
        <f t="shared" si="6"/>
        <v>9784.9451686759803</v>
      </c>
    </row>
    <row r="16" spans="2:12" x14ac:dyDescent="0.25">
      <c r="C16" s="6">
        <f t="shared" si="7"/>
        <v>6</v>
      </c>
      <c r="D16" s="6">
        <v>435</v>
      </c>
      <c r="E16" s="6">
        <v>9202.7000000000007</v>
      </c>
      <c r="F16" s="6">
        <f t="shared" si="2"/>
        <v>189225</v>
      </c>
      <c r="G16" s="6">
        <f t="shared" si="3"/>
        <v>84689687.290000007</v>
      </c>
      <c r="H16" s="7">
        <f t="shared" si="0"/>
        <v>4003174.5000000005</v>
      </c>
      <c r="I16" s="7">
        <f t="shared" si="1"/>
        <v>9408.6472230872369</v>
      </c>
      <c r="J16" s="7">
        <f t="shared" si="4"/>
        <v>205.94722308723613</v>
      </c>
      <c r="K16" s="122">
        <f t="shared" si="5"/>
        <v>11455.065847230017</v>
      </c>
      <c r="L16" s="122">
        <f t="shared" si="6"/>
        <v>42414.258697343801</v>
      </c>
    </row>
    <row r="17" spans="3:12" x14ac:dyDescent="0.25">
      <c r="C17" s="6">
        <f t="shared" si="7"/>
        <v>7</v>
      </c>
      <c r="D17" s="6">
        <v>480</v>
      </c>
      <c r="E17" s="6">
        <v>8950</v>
      </c>
      <c r="F17" s="6">
        <f t="shared" si="2"/>
        <v>230400</v>
      </c>
      <c r="G17" s="6">
        <f t="shared" si="3"/>
        <v>80102500</v>
      </c>
      <c r="H17" s="7">
        <f t="shared" si="0"/>
        <v>4296000</v>
      </c>
      <c r="I17" s="7">
        <f t="shared" si="1"/>
        <v>9729.7322470685376</v>
      </c>
      <c r="J17" s="7">
        <f t="shared" si="4"/>
        <v>779.73224706853762</v>
      </c>
      <c r="K17" s="122">
        <f t="shared" si="5"/>
        <v>329229.25374522276</v>
      </c>
      <c r="L17" s="122">
        <f t="shared" si="6"/>
        <v>607982.37711855094</v>
      </c>
    </row>
    <row r="18" spans="3:12" ht="14.45" customHeight="1" x14ac:dyDescent="0.25">
      <c r="C18" s="6">
        <f t="shared" si="7"/>
        <v>8</v>
      </c>
      <c r="D18" s="6">
        <v>480</v>
      </c>
      <c r="E18" s="6">
        <v>9636.7999999999993</v>
      </c>
      <c r="F18" s="6">
        <f t="shared" si="2"/>
        <v>230400</v>
      </c>
      <c r="G18" s="6">
        <f t="shared" si="3"/>
        <v>92867914.23999998</v>
      </c>
      <c r="H18" s="7">
        <f t="shared" si="0"/>
        <v>4625664</v>
      </c>
      <c r="I18" s="7">
        <f t="shared" si="1"/>
        <v>9729.7322470685376</v>
      </c>
      <c r="J18" s="7">
        <f t="shared" si="4"/>
        <v>92.932247068538345</v>
      </c>
      <c r="K18" s="122">
        <f t="shared" si="5"/>
        <v>471694.239999999</v>
      </c>
      <c r="L18" s="122">
        <f t="shared" si="6"/>
        <v>8636.4025452078531</v>
      </c>
    </row>
    <row r="19" spans="3:12" ht="16.899999999999999" customHeight="1" x14ac:dyDescent="0.25">
      <c r="C19" s="6">
        <f t="shared" si="7"/>
        <v>9</v>
      </c>
      <c r="D19" s="6">
        <v>489</v>
      </c>
      <c r="E19" s="6">
        <v>9636.7999999999993</v>
      </c>
      <c r="F19" s="6">
        <f t="shared" si="2"/>
        <v>239121</v>
      </c>
      <c r="G19" s="6">
        <f t="shared" si="3"/>
        <v>92867914.23999998</v>
      </c>
      <c r="H19" s="7">
        <f t="shared" si="0"/>
        <v>4712395.1999999993</v>
      </c>
      <c r="I19" s="7">
        <f t="shared" si="1"/>
        <v>9793.9492518647985</v>
      </c>
      <c r="J19" s="7">
        <f t="shared" si="4"/>
        <v>157.14925186479923</v>
      </c>
      <c r="K19" s="122">
        <f t="shared" si="5"/>
        <v>4123.8237050029929</v>
      </c>
      <c r="L19" s="122">
        <f t="shared" si="6"/>
        <v>24695.887361666104</v>
      </c>
    </row>
    <row r="20" spans="3:12" ht="15" customHeight="1" x14ac:dyDescent="0.25">
      <c r="C20" s="6">
        <f t="shared" si="7"/>
        <v>10</v>
      </c>
      <c r="D20" s="6">
        <v>492</v>
      </c>
      <c r="E20" s="6">
        <v>9925</v>
      </c>
      <c r="F20" s="6">
        <f t="shared" si="2"/>
        <v>242064</v>
      </c>
      <c r="G20" s="6">
        <f t="shared" si="3"/>
        <v>98505625</v>
      </c>
      <c r="H20" s="7">
        <f t="shared" si="0"/>
        <v>4883100</v>
      </c>
      <c r="I20" s="7">
        <f t="shared" si="1"/>
        <v>9815.3549201302176</v>
      </c>
      <c r="J20" s="7">
        <f t="shared" si="4"/>
        <v>-109.64507986978242</v>
      </c>
      <c r="K20" s="122">
        <f t="shared" si="5"/>
        <v>71179.215445701993</v>
      </c>
      <c r="L20" s="122">
        <f t="shared" si="6"/>
        <v>12022.043539650966</v>
      </c>
    </row>
    <row r="21" spans="3:12" x14ac:dyDescent="0.25">
      <c r="C21" s="6">
        <f t="shared" si="7"/>
        <v>11</v>
      </c>
      <c r="D21" s="6">
        <v>492</v>
      </c>
      <c r="E21" s="6">
        <v>9925</v>
      </c>
      <c r="F21" s="6">
        <f t="shared" si="2"/>
        <v>242064</v>
      </c>
      <c r="G21" s="6">
        <f t="shared" si="3"/>
        <v>98505625</v>
      </c>
      <c r="H21" s="7">
        <f t="shared" si="0"/>
        <v>4883100</v>
      </c>
      <c r="I21" s="7">
        <f t="shared" si="1"/>
        <v>9815.3549201302176</v>
      </c>
      <c r="J21" s="7">
        <f t="shared" si="4"/>
        <v>-109.64507986978242</v>
      </c>
      <c r="K21" s="122">
        <f t="shared" si="5"/>
        <v>0</v>
      </c>
      <c r="L21" s="122">
        <f t="shared" si="6"/>
        <v>12022.043539650966</v>
      </c>
    </row>
    <row r="22" spans="3:12" x14ac:dyDescent="0.25">
      <c r="C22" s="6">
        <f t="shared" si="7"/>
        <v>12</v>
      </c>
      <c r="D22" s="6">
        <v>495</v>
      </c>
      <c r="E22" s="6">
        <v>10230</v>
      </c>
      <c r="F22" s="6">
        <f t="shared" si="2"/>
        <v>245025</v>
      </c>
      <c r="G22" s="6">
        <f t="shared" si="3"/>
        <v>104652900</v>
      </c>
      <c r="H22" s="7">
        <f t="shared" si="0"/>
        <v>5063850</v>
      </c>
      <c r="I22" s="7">
        <f t="shared" si="1"/>
        <v>9836.7605883956385</v>
      </c>
      <c r="J22" s="7">
        <f t="shared" si="4"/>
        <v>-393.23941160436152</v>
      </c>
      <c r="K22" s="122">
        <f t="shared" si="5"/>
        <v>80425.744991982501</v>
      </c>
      <c r="L22" s="122">
        <f t="shared" si="6"/>
        <v>154637.23483894445</v>
      </c>
    </row>
    <row r="23" spans="3:12" x14ac:dyDescent="0.25">
      <c r="C23" s="6">
        <f t="shared" si="7"/>
        <v>13</v>
      </c>
      <c r="D23" s="6">
        <v>552</v>
      </c>
      <c r="E23" s="6">
        <v>9625</v>
      </c>
      <c r="F23" s="6">
        <f t="shared" si="2"/>
        <v>304704</v>
      </c>
      <c r="G23" s="6">
        <f t="shared" si="3"/>
        <v>92640625</v>
      </c>
      <c r="H23" s="7">
        <f t="shared" si="0"/>
        <v>5313000</v>
      </c>
      <c r="I23" s="7">
        <f t="shared" si="1"/>
        <v>10243.468285438619</v>
      </c>
      <c r="J23" s="7">
        <f t="shared" si="4"/>
        <v>618.4682854386192</v>
      </c>
      <c r="K23" s="122">
        <f t="shared" si="5"/>
        <v>1023552.4642560116</v>
      </c>
      <c r="L23" s="122">
        <f t="shared" si="6"/>
        <v>382503.02009338536</v>
      </c>
    </row>
    <row r="24" spans="3:12" x14ac:dyDescent="0.25">
      <c r="C24" s="6">
        <f t="shared" si="7"/>
        <v>14</v>
      </c>
      <c r="D24" s="6">
        <v>560</v>
      </c>
      <c r="E24" s="6">
        <v>10215.6</v>
      </c>
      <c r="F24" s="6">
        <f t="shared" si="2"/>
        <v>313600</v>
      </c>
      <c r="G24" s="6">
        <f t="shared" si="3"/>
        <v>104358483.36000001</v>
      </c>
      <c r="H24" s="7">
        <f t="shared" si="0"/>
        <v>5720736</v>
      </c>
      <c r="I24" s="7">
        <f t="shared" si="1"/>
        <v>10300.550067479739</v>
      </c>
      <c r="J24" s="7">
        <f t="shared" si="4"/>
        <v>84.950067479738209</v>
      </c>
      <c r="K24" s="122">
        <f t="shared" si="5"/>
        <v>284641.68889402004</v>
      </c>
      <c r="L24" s="122">
        <f t="shared" si="6"/>
        <v>7216.5139648120748</v>
      </c>
    </row>
    <row r="25" spans="3:12" x14ac:dyDescent="0.25">
      <c r="C25" s="6">
        <f t="shared" si="7"/>
        <v>15</v>
      </c>
      <c r="D25" s="6">
        <v>565</v>
      </c>
      <c r="E25" s="6">
        <v>9820</v>
      </c>
      <c r="F25" s="6">
        <f t="shared" si="2"/>
        <v>319225</v>
      </c>
      <c r="G25" s="6">
        <f t="shared" si="3"/>
        <v>96432400</v>
      </c>
      <c r="H25" s="7">
        <f t="shared" si="0"/>
        <v>5548300</v>
      </c>
      <c r="I25" s="7">
        <f t="shared" si="1"/>
        <v>10336.226181255439</v>
      </c>
      <c r="J25" s="7">
        <f t="shared" si="4"/>
        <v>516.22618125543886</v>
      </c>
      <c r="K25" s="122">
        <f t="shared" si="5"/>
        <v>185999.08631347108</v>
      </c>
      <c r="L25" s="122">
        <f t="shared" si="6"/>
        <v>266489.47021357319</v>
      </c>
    </row>
    <row r="26" spans="3:12" x14ac:dyDescent="0.25">
      <c r="C26" s="6">
        <f t="shared" si="7"/>
        <v>16</v>
      </c>
      <c r="D26" s="6">
        <v>583</v>
      </c>
      <c r="E26" s="6">
        <v>10470</v>
      </c>
      <c r="F26" s="6">
        <f t="shared" si="2"/>
        <v>339889</v>
      </c>
      <c r="G26" s="6">
        <f t="shared" si="3"/>
        <v>109620900</v>
      </c>
      <c r="H26" s="7">
        <f t="shared" si="0"/>
        <v>6104010</v>
      </c>
      <c r="I26" s="7">
        <f t="shared" si="1"/>
        <v>10464.660190847959</v>
      </c>
      <c r="J26" s="7">
        <f t="shared" si="4"/>
        <v>-5.3398091520411981</v>
      </c>
      <c r="K26" s="122">
        <f t="shared" si="5"/>
        <v>272031.0823497356</v>
      </c>
      <c r="L26" s="122">
        <f t="shared" si="6"/>
        <v>28.51356178022294</v>
      </c>
    </row>
    <row r="27" spans="3:12" x14ac:dyDescent="0.25">
      <c r="C27" s="6">
        <f t="shared" si="7"/>
        <v>17</v>
      </c>
      <c r="D27" s="6">
        <v>591</v>
      </c>
      <c r="E27" s="6">
        <v>10100</v>
      </c>
      <c r="F27" s="6">
        <f t="shared" si="2"/>
        <v>349281</v>
      </c>
      <c r="G27" s="6">
        <f t="shared" si="3"/>
        <v>102010000</v>
      </c>
      <c r="H27" s="7">
        <f t="shared" si="0"/>
        <v>5969100</v>
      </c>
      <c r="I27" s="7">
        <f t="shared" si="1"/>
        <v>10521.741972889078</v>
      </c>
      <c r="J27" s="7">
        <f t="shared" si="4"/>
        <v>421.74197288907817</v>
      </c>
      <c r="K27" s="122">
        <f t="shared" si="5"/>
        <v>182398.8485514182</v>
      </c>
      <c r="L27" s="122">
        <f t="shared" si="6"/>
        <v>177866.29169637195</v>
      </c>
    </row>
    <row r="28" spans="3:12" x14ac:dyDescent="0.25">
      <c r="C28" s="6">
        <f t="shared" si="7"/>
        <v>18</v>
      </c>
      <c r="D28" s="6">
        <v>630</v>
      </c>
      <c r="E28" s="6">
        <v>12600</v>
      </c>
      <c r="F28" s="6">
        <f t="shared" si="2"/>
        <v>396900</v>
      </c>
      <c r="G28" s="6">
        <f t="shared" si="3"/>
        <v>158760000</v>
      </c>
      <c r="H28" s="7">
        <f t="shared" si="0"/>
        <v>7938000</v>
      </c>
      <c r="I28" s="7">
        <f t="shared" si="1"/>
        <v>10800.015660339541</v>
      </c>
      <c r="J28" s="7">
        <f>I28-E28</f>
        <v>-1799.9843396604592</v>
      </c>
      <c r="K28" s="122">
        <f t="shared" si="5"/>
        <v>4936067.8078749646</v>
      </c>
      <c r="L28" s="122">
        <f t="shared" si="6"/>
        <v>3239943.6230228995</v>
      </c>
    </row>
    <row r="29" spans="3:12" x14ac:dyDescent="0.25">
      <c r="C29" s="6">
        <f t="shared" si="7"/>
        <v>19</v>
      </c>
      <c r="D29" s="6">
        <v>630</v>
      </c>
      <c r="E29" s="6">
        <v>11400</v>
      </c>
      <c r="F29" s="6">
        <f t="shared" si="2"/>
        <v>396900</v>
      </c>
      <c r="G29" s="6">
        <f t="shared" si="3"/>
        <v>129960000</v>
      </c>
      <c r="H29" s="7">
        <f t="shared" si="0"/>
        <v>7182000</v>
      </c>
      <c r="I29" s="7">
        <f t="shared" si="1"/>
        <v>10800.015660339541</v>
      </c>
      <c r="J29" s="7">
        <f t="shared" si="4"/>
        <v>-599.98433966045923</v>
      </c>
      <c r="K29" s="122">
        <f t="shared" si="5"/>
        <v>1440000</v>
      </c>
      <c r="L29" s="122">
        <f t="shared" si="6"/>
        <v>359981.20783779729</v>
      </c>
    </row>
    <row r="30" spans="3:12" x14ac:dyDescent="0.25">
      <c r="C30" s="6">
        <f t="shared" si="7"/>
        <v>20</v>
      </c>
      <c r="D30" s="6">
        <v>680</v>
      </c>
      <c r="E30" s="6">
        <v>12000</v>
      </c>
      <c r="F30" s="6">
        <f t="shared" si="2"/>
        <v>462400</v>
      </c>
      <c r="G30" s="6">
        <f t="shared" si="3"/>
        <v>144000000</v>
      </c>
      <c r="H30" s="7">
        <f t="shared" si="0"/>
        <v>8160000</v>
      </c>
      <c r="I30" s="7">
        <f t="shared" si="1"/>
        <v>11156.77679809654</v>
      </c>
      <c r="J30" s="7">
        <f t="shared" si="4"/>
        <v>-843.22320190345999</v>
      </c>
      <c r="K30" s="122">
        <f t="shared" si="5"/>
        <v>59165.144105269501</v>
      </c>
      <c r="L30" s="122">
        <f t="shared" si="6"/>
        <v>711025.36822832329</v>
      </c>
    </row>
    <row r="31" spans="3:12" x14ac:dyDescent="0.25">
      <c r="C31" s="6">
        <f t="shared" si="7"/>
        <v>21</v>
      </c>
      <c r="D31" s="6">
        <v>708</v>
      </c>
      <c r="E31" s="6">
        <v>11050</v>
      </c>
      <c r="F31" s="6">
        <f t="shared" si="2"/>
        <v>501264</v>
      </c>
      <c r="G31" s="6">
        <f t="shared" si="3"/>
        <v>122102500</v>
      </c>
      <c r="H31" s="7">
        <f t="shared" si="0"/>
        <v>7823400</v>
      </c>
      <c r="I31" s="7">
        <f t="shared" si="1"/>
        <v>11356.563035240461</v>
      </c>
      <c r="J31" s="7">
        <f t="shared" si="4"/>
        <v>306.56303524046052</v>
      </c>
      <c r="K31" s="122">
        <f t="shared" si="5"/>
        <v>1322008.3911255759</v>
      </c>
      <c r="L31" s="122">
        <f t="shared" si="6"/>
        <v>93980.894575843835</v>
      </c>
    </row>
    <row r="32" spans="3:12" x14ac:dyDescent="0.25">
      <c r="C32" s="6">
        <f t="shared" si="7"/>
        <v>22</v>
      </c>
      <c r="D32" s="6">
        <v>708</v>
      </c>
      <c r="E32" s="6">
        <v>11050</v>
      </c>
      <c r="F32" s="6">
        <f t="shared" si="2"/>
        <v>501264</v>
      </c>
      <c r="G32" s="6">
        <f t="shared" si="3"/>
        <v>122102500</v>
      </c>
      <c r="H32" s="7">
        <f t="shared" si="0"/>
        <v>7823400</v>
      </c>
      <c r="I32" s="7">
        <f t="shared" si="1"/>
        <v>11356.563035240461</v>
      </c>
      <c r="J32" s="7">
        <f t="shared" si="4"/>
        <v>306.56303524046052</v>
      </c>
      <c r="K32" s="122">
        <f t="shared" si="5"/>
        <v>0</v>
      </c>
      <c r="L32" s="122">
        <f t="shared" si="6"/>
        <v>93980.894575843835</v>
      </c>
    </row>
    <row r="33" spans="3:12" x14ac:dyDescent="0.25">
      <c r="C33" s="6">
        <f t="shared" si="7"/>
        <v>23</v>
      </c>
      <c r="D33" s="6">
        <v>753</v>
      </c>
      <c r="E33" s="6">
        <v>11590.25</v>
      </c>
      <c r="F33" s="6">
        <f t="shared" si="2"/>
        <v>567009</v>
      </c>
      <c r="G33" s="6">
        <f t="shared" si="3"/>
        <v>134333895.0625</v>
      </c>
      <c r="H33" s="7">
        <f t="shared" si="0"/>
        <v>8727458.25</v>
      </c>
      <c r="I33" s="7">
        <f t="shared" si="1"/>
        <v>11677.648059221761</v>
      </c>
      <c r="J33" s="7">
        <f t="shared" si="4"/>
        <v>87.398059221761287</v>
      </c>
      <c r="K33" s="122">
        <f t="shared" si="5"/>
        <v>48033.286713277012</v>
      </c>
      <c r="L33" s="122">
        <f t="shared" si="6"/>
        <v>7638.4207557304935</v>
      </c>
    </row>
    <row r="34" spans="3:12" ht="16.899999999999999" customHeight="1" x14ac:dyDescent="0.25">
      <c r="C34" s="6">
        <f t="shared" si="7"/>
        <v>24</v>
      </c>
      <c r="D34" s="6">
        <v>756</v>
      </c>
      <c r="E34" s="6">
        <v>11775</v>
      </c>
      <c r="F34" s="6">
        <f t="shared" si="2"/>
        <v>571536</v>
      </c>
      <c r="G34" s="6">
        <f t="shared" si="3"/>
        <v>138650625</v>
      </c>
      <c r="H34" s="7">
        <f t="shared" si="0"/>
        <v>8901900</v>
      </c>
      <c r="I34" s="7">
        <f t="shared" si="1"/>
        <v>11699.053727487182</v>
      </c>
      <c r="J34" s="7">
        <f t="shared" si="4"/>
        <v>-75.946272512817814</v>
      </c>
      <c r="K34" s="122">
        <f t="shared" si="5"/>
        <v>26681.370709816223</v>
      </c>
      <c r="L34" s="122">
        <f t="shared" si="6"/>
        <v>5767.8363085911869</v>
      </c>
    </row>
    <row r="35" spans="3:12" ht="15" customHeight="1" x14ac:dyDescent="0.25">
      <c r="C35" s="6">
        <f>+C34+1</f>
        <v>25</v>
      </c>
      <c r="D35" s="6">
        <v>760</v>
      </c>
      <c r="E35" s="6">
        <v>11590.25</v>
      </c>
      <c r="F35" s="6">
        <f t="shared" si="2"/>
        <v>577600</v>
      </c>
      <c r="G35" s="6">
        <f t="shared" si="3"/>
        <v>134333895.0625</v>
      </c>
      <c r="H35" s="7">
        <f t="shared" si="0"/>
        <v>8808590</v>
      </c>
      <c r="I35" s="7">
        <f t="shared" si="1"/>
        <v>11727.594618507741</v>
      </c>
      <c r="J35" s="7">
        <f t="shared" si="4"/>
        <v>137.34461850774096</v>
      </c>
      <c r="K35" s="122">
        <f t="shared" si="5"/>
        <v>45493.004192343877</v>
      </c>
      <c r="L35" s="122">
        <f t="shared" si="6"/>
        <v>18863.544233036901</v>
      </c>
    </row>
    <row r="36" spans="3:12" x14ac:dyDescent="0.25">
      <c r="C36" s="6">
        <f t="shared" si="7"/>
        <v>26</v>
      </c>
      <c r="D36" s="6">
        <v>768</v>
      </c>
      <c r="E36" s="6">
        <v>10750</v>
      </c>
      <c r="F36" s="6">
        <f t="shared" si="2"/>
        <v>589824</v>
      </c>
      <c r="G36" s="6">
        <f t="shared" si="3"/>
        <v>115562500</v>
      </c>
      <c r="H36" s="7">
        <f t="shared" si="0"/>
        <v>8256000</v>
      </c>
      <c r="I36" s="7">
        <f t="shared" si="1"/>
        <v>11784.676400548862</v>
      </c>
      <c r="J36" s="7">
        <f t="shared" si="4"/>
        <v>1034.6764005488621</v>
      </c>
      <c r="K36" s="122">
        <f t="shared" si="5"/>
        <v>805204.32706109423</v>
      </c>
      <c r="L36" s="122">
        <f t="shared" si="6"/>
        <v>1070555.2538527495</v>
      </c>
    </row>
    <row r="37" spans="3:12" x14ac:dyDescent="0.25">
      <c r="C37" s="6">
        <f t="shared" si="7"/>
        <v>27</v>
      </c>
      <c r="D37" s="6">
        <v>790</v>
      </c>
      <c r="E37" s="6">
        <v>11879.65</v>
      </c>
      <c r="F37" s="6">
        <f t="shared" si="2"/>
        <v>624100</v>
      </c>
      <c r="G37" s="6">
        <f t="shared" si="3"/>
        <v>141126084.1225</v>
      </c>
      <c r="H37" s="7">
        <f t="shared" si="0"/>
        <v>9384923.5</v>
      </c>
      <c r="I37" s="7">
        <f t="shared" si="1"/>
        <v>11941.651301161941</v>
      </c>
      <c r="J37" s="7">
        <f t="shared" si="4"/>
        <v>62.001301161941228</v>
      </c>
      <c r="K37" s="122">
        <f t="shared" si="5"/>
        <v>946096.84896735649</v>
      </c>
      <c r="L37" s="122">
        <f t="shared" si="6"/>
        <v>3844.1613457737349</v>
      </c>
    </row>
    <row r="38" spans="3:12" x14ac:dyDescent="0.25">
      <c r="C38" s="6">
        <f t="shared" si="7"/>
        <v>28</v>
      </c>
      <c r="D38" s="6">
        <v>791</v>
      </c>
      <c r="E38" s="6">
        <v>11590.25</v>
      </c>
      <c r="F38" s="6">
        <f t="shared" si="2"/>
        <v>625681</v>
      </c>
      <c r="G38" s="6">
        <f t="shared" si="3"/>
        <v>134333895.0625</v>
      </c>
      <c r="H38" s="7">
        <f t="shared" si="0"/>
        <v>9167887.75</v>
      </c>
      <c r="I38" s="7">
        <f t="shared" si="1"/>
        <v>11948.786523917082</v>
      </c>
      <c r="J38" s="7">
        <f t="shared" si="4"/>
        <v>358.53652391708238</v>
      </c>
      <c r="K38" s="122">
        <f t="shared" si="5"/>
        <v>87933.138334441188</v>
      </c>
      <c r="L38" s="122">
        <f t="shared" si="6"/>
        <v>128548.43898254458</v>
      </c>
    </row>
    <row r="39" spans="3:12" x14ac:dyDescent="0.25">
      <c r="C39" s="6">
        <f t="shared" si="7"/>
        <v>29</v>
      </c>
      <c r="D39" s="6">
        <v>812</v>
      </c>
      <c r="E39" s="6">
        <v>11879.65</v>
      </c>
      <c r="F39" s="6">
        <f t="shared" si="2"/>
        <v>659344</v>
      </c>
      <c r="G39" s="6">
        <f t="shared" si="3"/>
        <v>141126084.1225</v>
      </c>
      <c r="H39" s="7">
        <f t="shared" si="0"/>
        <v>9646275.7999999989</v>
      </c>
      <c r="I39" s="7">
        <f t="shared" si="1"/>
        <v>12098.626201775021</v>
      </c>
      <c r="J39" s="7">
        <f t="shared" si="4"/>
        <v>218.97620177502176</v>
      </c>
      <c r="K39" s="122">
        <f t="shared" si="5"/>
        <v>19477.083516395734</v>
      </c>
      <c r="L39" s="122">
        <f t="shared" si="6"/>
        <v>47950.576943815046</v>
      </c>
    </row>
    <row r="40" spans="3:12" x14ac:dyDescent="0.25">
      <c r="C40" s="6">
        <f t="shared" si="7"/>
        <v>30</v>
      </c>
      <c r="D40" s="6">
        <v>830</v>
      </c>
      <c r="E40" s="6">
        <v>14600</v>
      </c>
      <c r="F40" s="6">
        <f t="shared" si="2"/>
        <v>688900</v>
      </c>
      <c r="G40" s="6">
        <f t="shared" si="3"/>
        <v>213160000</v>
      </c>
      <c r="H40" s="7">
        <f t="shared" si="0"/>
        <v>12118000</v>
      </c>
      <c r="I40" s="7">
        <f t="shared" si="1"/>
        <v>12227.060211367541</v>
      </c>
      <c r="J40" s="7">
        <f t="shared" si="4"/>
        <v>-2372.9397886324587</v>
      </c>
      <c r="K40" s="122">
        <f t="shared" si="5"/>
        <v>6718028.5013299901</v>
      </c>
      <c r="L40" s="122">
        <f t="shared" si="6"/>
        <v>5630843.2404750576</v>
      </c>
    </row>
    <row r="41" spans="3:12" x14ac:dyDescent="0.25">
      <c r="C41" s="6">
        <f t="shared" si="7"/>
        <v>31</v>
      </c>
      <c r="D41" s="6">
        <v>863</v>
      </c>
      <c r="E41" s="6">
        <v>11879.65</v>
      </c>
      <c r="F41" s="6">
        <f t="shared" si="2"/>
        <v>744769</v>
      </c>
      <c r="G41" s="6">
        <f t="shared" si="3"/>
        <v>141126084.1225</v>
      </c>
      <c r="H41" s="7">
        <f t="shared" si="0"/>
        <v>10252137.949999999</v>
      </c>
      <c r="I41" s="7">
        <f t="shared" si="1"/>
        <v>12462.522562287162</v>
      </c>
      <c r="J41" s="7">
        <f t="shared" si="4"/>
        <v>582.87256228716251</v>
      </c>
      <c r="K41" s="122">
        <f t="shared" si="5"/>
        <v>8736826.6538489778</v>
      </c>
      <c r="L41" s="122">
        <f t="shared" si="6"/>
        <v>339740.42386720213</v>
      </c>
    </row>
    <row r="42" spans="3:12" ht="16.899999999999999" customHeight="1" x14ac:dyDescent="0.25">
      <c r="C42" s="6">
        <f>+C41+1</f>
        <v>32</v>
      </c>
      <c r="D42" s="6">
        <v>888</v>
      </c>
      <c r="E42" s="6">
        <v>12350</v>
      </c>
      <c r="F42" s="6">
        <f t="shared" si="2"/>
        <v>788544</v>
      </c>
      <c r="G42" s="6">
        <f t="shared" si="3"/>
        <v>152522500</v>
      </c>
      <c r="H42" s="7">
        <f t="shared" si="0"/>
        <v>10966800</v>
      </c>
      <c r="I42" s="7">
        <f t="shared" si="1"/>
        <v>12640.903131165662</v>
      </c>
      <c r="J42" s="7">
        <f t="shared" si="4"/>
        <v>290.90313116566176</v>
      </c>
      <c r="K42" s="122">
        <f t="shared" si="5"/>
        <v>85246.148709412766</v>
      </c>
      <c r="L42" s="122">
        <f t="shared" si="6"/>
        <v>84624.63172198621</v>
      </c>
    </row>
    <row r="43" spans="3:12" ht="14.45" customHeight="1" x14ac:dyDescent="0.25">
      <c r="C43" s="6">
        <f t="shared" si="7"/>
        <v>33</v>
      </c>
      <c r="D43" s="6">
        <v>900</v>
      </c>
      <c r="E43" s="6">
        <v>12603.15</v>
      </c>
      <c r="F43" s="6">
        <f t="shared" si="2"/>
        <v>810000</v>
      </c>
      <c r="G43" s="6">
        <f t="shared" si="3"/>
        <v>158839389.92249998</v>
      </c>
      <c r="H43" s="7">
        <f t="shared" ref="H43:H60" si="8">D43*E43</f>
        <v>11342835</v>
      </c>
      <c r="I43" s="7">
        <f t="shared" ref="I43:I60" si="9">$E$107+D43*$E$106</f>
        <v>12726.525804227342</v>
      </c>
      <c r="J43" s="7">
        <f t="shared" si="4"/>
        <v>123.37580422734209</v>
      </c>
      <c r="K43" s="122">
        <f t="shared" si="5"/>
        <v>28065.405271098651</v>
      </c>
      <c r="L43" s="122">
        <f t="shared" si="6"/>
        <v>15221.589068743442</v>
      </c>
    </row>
    <row r="44" spans="3:12" ht="14.45" customHeight="1" x14ac:dyDescent="0.25">
      <c r="C44" s="6">
        <f t="shared" si="7"/>
        <v>34</v>
      </c>
      <c r="D44" s="6">
        <v>920</v>
      </c>
      <c r="E44" s="6">
        <v>12400</v>
      </c>
      <c r="F44" s="6">
        <f t="shared" ref="F44:F60" si="10">D44^2</f>
        <v>846400</v>
      </c>
      <c r="G44" s="6">
        <f t="shared" si="3"/>
        <v>153760000</v>
      </c>
      <c r="H44" s="7">
        <f t="shared" si="8"/>
        <v>11408000</v>
      </c>
      <c r="I44" s="7">
        <f t="shared" si="9"/>
        <v>12869.230259330143</v>
      </c>
      <c r="J44" s="7">
        <f t="shared" si="4"/>
        <v>469.23025933014287</v>
      </c>
      <c r="K44" s="122">
        <f t="shared" si="5"/>
        <v>119615.30411445524</v>
      </c>
      <c r="L44" s="122">
        <f t="shared" si="6"/>
        <v>220177.03627103314</v>
      </c>
    </row>
    <row r="45" spans="3:12" x14ac:dyDescent="0.25">
      <c r="C45" s="6">
        <f t="shared" si="7"/>
        <v>35</v>
      </c>
      <c r="D45" s="6">
        <v>921</v>
      </c>
      <c r="E45" s="6">
        <v>12458.45</v>
      </c>
      <c r="F45" s="6">
        <f t="shared" si="10"/>
        <v>848241</v>
      </c>
      <c r="G45" s="6">
        <f t="shared" si="3"/>
        <v>155212976.4025</v>
      </c>
      <c r="H45" s="7">
        <f t="shared" si="8"/>
        <v>11474232.450000001</v>
      </c>
      <c r="I45" s="7">
        <f t="shared" si="9"/>
        <v>12876.365482085283</v>
      </c>
      <c r="J45" s="7">
        <f t="shared" si="4"/>
        <v>417.91548208528184</v>
      </c>
      <c r="K45" s="122">
        <f t="shared" si="5"/>
        <v>2633.2063636897078</v>
      </c>
      <c r="L45" s="122">
        <f t="shared" si="6"/>
        <v>174653.35016657354</v>
      </c>
    </row>
    <row r="46" spans="3:12" x14ac:dyDescent="0.25">
      <c r="C46" s="6">
        <f t="shared" si="7"/>
        <v>36</v>
      </c>
      <c r="D46" s="6">
        <v>960</v>
      </c>
      <c r="E46" s="6">
        <v>13109.6</v>
      </c>
      <c r="F46" s="6">
        <f t="shared" si="10"/>
        <v>921600</v>
      </c>
      <c r="G46" s="6">
        <f t="shared" si="3"/>
        <v>171861612.16</v>
      </c>
      <c r="H46" s="7">
        <f t="shared" si="8"/>
        <v>12585216</v>
      </c>
      <c r="I46" s="7">
        <f t="shared" si="9"/>
        <v>13154.639169535743</v>
      </c>
      <c r="J46" s="7">
        <f t="shared" si="4"/>
        <v>45.039169535742985</v>
      </c>
      <c r="K46" s="122">
        <f t="shared" si="5"/>
        <v>139036.74446054138</v>
      </c>
      <c r="L46" s="122">
        <f t="shared" si="6"/>
        <v>2028.526792469399</v>
      </c>
    </row>
    <row r="47" spans="3:12" x14ac:dyDescent="0.25">
      <c r="C47" s="6">
        <f t="shared" si="7"/>
        <v>37</v>
      </c>
      <c r="D47" s="6">
        <v>976</v>
      </c>
      <c r="E47" s="6">
        <v>13109.6</v>
      </c>
      <c r="F47" s="6">
        <f t="shared" si="10"/>
        <v>952576</v>
      </c>
      <c r="G47" s="6">
        <f t="shared" si="3"/>
        <v>171861612.16</v>
      </c>
      <c r="H47" s="7">
        <f t="shared" si="8"/>
        <v>12794969.6</v>
      </c>
      <c r="I47" s="7">
        <f t="shared" si="9"/>
        <v>13268.802733617984</v>
      </c>
      <c r="J47" s="7">
        <f t="shared" si="4"/>
        <v>159.20273361798354</v>
      </c>
      <c r="K47" s="122">
        <f t="shared" si="5"/>
        <v>13033.319363959845</v>
      </c>
      <c r="L47" s="122">
        <f t="shared" si="6"/>
        <v>25345.510391438627</v>
      </c>
    </row>
    <row r="48" spans="3:12" x14ac:dyDescent="0.25">
      <c r="C48" s="6">
        <f t="shared" si="7"/>
        <v>38</v>
      </c>
      <c r="D48" s="6">
        <v>980</v>
      </c>
      <c r="E48" s="6">
        <v>13254.3</v>
      </c>
      <c r="F48" s="6">
        <f t="shared" si="10"/>
        <v>960400</v>
      </c>
      <c r="G48" s="6">
        <f t="shared" si="3"/>
        <v>175676468.48999998</v>
      </c>
      <c r="H48" s="7">
        <f t="shared" si="8"/>
        <v>12989214</v>
      </c>
      <c r="I48" s="7">
        <f t="shared" si="9"/>
        <v>13297.343624638543</v>
      </c>
      <c r="J48" s="7">
        <f t="shared" si="4"/>
        <v>43.043624638543406</v>
      </c>
      <c r="K48" s="122">
        <f t="shared" si="5"/>
        <v>13492.93859889745</v>
      </c>
      <c r="L48" s="122">
        <f t="shared" si="6"/>
        <v>1852.753622023821</v>
      </c>
    </row>
    <row r="49" spans="3:15" ht="16.899999999999999" customHeight="1" x14ac:dyDescent="0.25">
      <c r="C49" s="6">
        <f t="shared" si="7"/>
        <v>39</v>
      </c>
      <c r="D49" s="6">
        <v>985</v>
      </c>
      <c r="E49" s="6">
        <v>13254.3</v>
      </c>
      <c r="F49" s="6">
        <f t="shared" si="10"/>
        <v>970225</v>
      </c>
      <c r="G49" s="6">
        <f t="shared" si="3"/>
        <v>175676468.48999998</v>
      </c>
      <c r="H49" s="7">
        <f t="shared" si="8"/>
        <v>13055485.5</v>
      </c>
      <c r="I49" s="7">
        <f t="shared" si="9"/>
        <v>13333.019738414243</v>
      </c>
      <c r="J49" s="7">
        <f t="shared" si="4"/>
        <v>78.719738414243693</v>
      </c>
      <c r="K49" s="122">
        <f t="shared" si="5"/>
        <v>1272.7850941367119</v>
      </c>
      <c r="L49" s="122">
        <f t="shared" si="6"/>
        <v>6196.7972160069539</v>
      </c>
    </row>
    <row r="50" spans="3:15" x14ac:dyDescent="0.25">
      <c r="C50" s="6">
        <f t="shared" si="7"/>
        <v>40</v>
      </c>
      <c r="D50" s="6">
        <v>986</v>
      </c>
      <c r="E50" s="6">
        <v>13109.6</v>
      </c>
      <c r="F50" s="6">
        <f t="shared" si="10"/>
        <v>972196</v>
      </c>
      <c r="G50" s="6">
        <f t="shared" si="3"/>
        <v>171861612.16</v>
      </c>
      <c r="H50" s="7">
        <f t="shared" si="8"/>
        <v>12926065.6</v>
      </c>
      <c r="I50" s="7">
        <f t="shared" si="9"/>
        <v>13340.154961169384</v>
      </c>
      <c r="J50" s="7">
        <f t="shared" si="4"/>
        <v>230.55496116938411</v>
      </c>
      <c r="K50" s="122">
        <f t="shared" si="5"/>
        <v>23053.934869103112</v>
      </c>
      <c r="L50" s="122">
        <f t="shared" si="6"/>
        <v>53155.590119816217</v>
      </c>
    </row>
    <row r="51" spans="3:15" ht="16.899999999999999" customHeight="1" x14ac:dyDescent="0.25">
      <c r="C51" s="6">
        <f t="shared" si="7"/>
        <v>41</v>
      </c>
      <c r="D51" s="6">
        <v>1023</v>
      </c>
      <c r="E51" s="6">
        <v>14300</v>
      </c>
      <c r="F51" s="6">
        <f t="shared" si="10"/>
        <v>1046529</v>
      </c>
      <c r="G51" s="6">
        <f t="shared" si="3"/>
        <v>204490000</v>
      </c>
      <c r="H51" s="7">
        <f t="shared" si="8"/>
        <v>14628900</v>
      </c>
      <c r="I51" s="7">
        <f t="shared" si="9"/>
        <v>13604.158203109564</v>
      </c>
      <c r="J51" s="7">
        <f t="shared" si="4"/>
        <v>-695.84179689043594</v>
      </c>
      <c r="K51" s="122">
        <f t="shared" si="5"/>
        <v>858210.95334374474</v>
      </c>
      <c r="L51" s="122">
        <f t="shared" si="6"/>
        <v>484195.8062997107</v>
      </c>
    </row>
    <row r="52" spans="3:15" ht="15" customHeight="1" x14ac:dyDescent="0.25">
      <c r="C52" s="6">
        <f t="shared" si="7"/>
        <v>42</v>
      </c>
      <c r="D52" s="6">
        <v>1040</v>
      </c>
      <c r="E52" s="6">
        <v>14100</v>
      </c>
      <c r="F52" s="6">
        <f t="shared" si="10"/>
        <v>1081600</v>
      </c>
      <c r="G52" s="6">
        <f t="shared" si="3"/>
        <v>198810000</v>
      </c>
      <c r="H52" s="7">
        <f t="shared" si="8"/>
        <v>14664000</v>
      </c>
      <c r="I52" s="7">
        <f t="shared" si="9"/>
        <v>13725.456989946944</v>
      </c>
      <c r="J52" s="7">
        <f t="shared" si="4"/>
        <v>-374.5430100530557</v>
      </c>
      <c r="K52" s="122">
        <f t="shared" si="5"/>
        <v>103232.91042317232</v>
      </c>
      <c r="L52" s="122">
        <f t="shared" si="6"/>
        <v>140282.46637960337</v>
      </c>
    </row>
    <row r="53" spans="3:15" x14ac:dyDescent="0.25">
      <c r="C53" s="6">
        <f t="shared" si="7"/>
        <v>43</v>
      </c>
      <c r="D53" s="6">
        <v>1043</v>
      </c>
      <c r="E53" s="6">
        <v>13619.999999999998</v>
      </c>
      <c r="F53" s="6">
        <f t="shared" si="10"/>
        <v>1087849</v>
      </c>
      <c r="G53" s="6">
        <f t="shared" si="3"/>
        <v>185504399.99999994</v>
      </c>
      <c r="H53" s="7">
        <f t="shared" si="8"/>
        <v>14205659.999999998</v>
      </c>
      <c r="I53" s="7">
        <f t="shared" si="9"/>
        <v>13746.862658212365</v>
      </c>
      <c r="J53" s="7">
        <f t="shared" si="4"/>
        <v>126.86265821236702</v>
      </c>
      <c r="K53" s="122">
        <f t="shared" si="5"/>
        <v>251407.64416869514</v>
      </c>
      <c r="L53" s="122">
        <f t="shared" si="6"/>
        <v>16094.134048707854</v>
      </c>
    </row>
    <row r="54" spans="3:15" x14ac:dyDescent="0.25">
      <c r="C54" s="6">
        <f t="shared" si="7"/>
        <v>44</v>
      </c>
      <c r="D54" s="6">
        <v>1044</v>
      </c>
      <c r="E54" s="6">
        <v>14200</v>
      </c>
      <c r="F54" s="6">
        <f t="shared" si="10"/>
        <v>1089936</v>
      </c>
      <c r="G54" s="6">
        <f t="shared" si="3"/>
        <v>201640000</v>
      </c>
      <c r="H54" s="7">
        <f t="shared" si="8"/>
        <v>14824800</v>
      </c>
      <c r="I54" s="7">
        <f t="shared" si="9"/>
        <v>13753.997880967505</v>
      </c>
      <c r="J54" s="7">
        <f t="shared" si="4"/>
        <v>-446.0021190324951</v>
      </c>
      <c r="K54" s="122">
        <f t="shared" si="5"/>
        <v>328174.05300780549</v>
      </c>
      <c r="L54" s="122">
        <f t="shared" si="6"/>
        <v>198917.89018147593</v>
      </c>
    </row>
    <row r="55" spans="3:15" x14ac:dyDescent="0.25">
      <c r="C55" s="6">
        <f t="shared" si="7"/>
        <v>45</v>
      </c>
      <c r="D55" s="6">
        <v>1050</v>
      </c>
      <c r="E55" s="6">
        <v>13760.749999999998</v>
      </c>
      <c r="F55" s="6">
        <f t="shared" si="10"/>
        <v>1102500</v>
      </c>
      <c r="G55" s="6">
        <f t="shared" si="3"/>
        <v>189358240.56249994</v>
      </c>
      <c r="H55" s="7">
        <f t="shared" si="8"/>
        <v>14448787.499999998</v>
      </c>
      <c r="I55" s="7">
        <f t="shared" si="9"/>
        <v>13796.809217498343</v>
      </c>
      <c r="J55" s="7">
        <f t="shared" si="4"/>
        <v>36.059217498344879</v>
      </c>
      <c r="K55" s="122">
        <f t="shared" si="5"/>
        <v>232383.13217789977</v>
      </c>
      <c r="L55" s="122">
        <f t="shared" si="6"/>
        <v>1300.2671665929415</v>
      </c>
    </row>
    <row r="56" spans="3:15" x14ac:dyDescent="0.25">
      <c r="C56" s="6">
        <f t="shared" si="7"/>
        <v>46</v>
      </c>
      <c r="D56" s="6">
        <v>1164</v>
      </c>
      <c r="E56" s="6">
        <v>15150</v>
      </c>
      <c r="F56" s="6">
        <f t="shared" si="10"/>
        <v>1354896</v>
      </c>
      <c r="G56" s="6">
        <f t="shared" si="3"/>
        <v>229522500</v>
      </c>
      <c r="H56" s="7">
        <f t="shared" si="8"/>
        <v>17634600</v>
      </c>
      <c r="I56" s="7">
        <f t="shared" si="9"/>
        <v>14610.224611584305</v>
      </c>
      <c r="J56" s="7">
        <f t="shared" si="4"/>
        <v>-539.77538841569549</v>
      </c>
      <c r="K56" s="122">
        <f t="shared" si="5"/>
        <v>331585.4933681782</v>
      </c>
      <c r="L56" s="122">
        <f t="shared" si="6"/>
        <v>291357.46993931493</v>
      </c>
    </row>
    <row r="57" spans="3:15" x14ac:dyDescent="0.25">
      <c r="C57" s="6">
        <f t="shared" si="7"/>
        <v>47</v>
      </c>
      <c r="D57" s="6">
        <v>1236</v>
      </c>
      <c r="E57" s="6">
        <v>15300</v>
      </c>
      <c r="F57" s="6">
        <f t="shared" si="10"/>
        <v>1527696</v>
      </c>
      <c r="G57" s="6">
        <f t="shared" si="3"/>
        <v>234090000</v>
      </c>
      <c r="H57" s="7">
        <f t="shared" si="8"/>
        <v>18910800</v>
      </c>
      <c r="I57" s="7">
        <f t="shared" si="9"/>
        <v>15123.960649954384</v>
      </c>
      <c r="J57" s="7">
        <f t="shared" si="4"/>
        <v>-176.03935004561572</v>
      </c>
      <c r="K57" s="122">
        <f t="shared" si="5"/>
        <v>132303.90560916014</v>
      </c>
      <c r="L57" s="122">
        <f t="shared" si="6"/>
        <v>30989.852764482825</v>
      </c>
    </row>
    <row r="58" spans="3:15" x14ac:dyDescent="0.25">
      <c r="C58" s="6">
        <f>+C57+1</f>
        <v>48</v>
      </c>
      <c r="D58" s="6">
        <v>1296</v>
      </c>
      <c r="E58" s="6">
        <v>14550</v>
      </c>
      <c r="F58" s="6">
        <f t="shared" si="10"/>
        <v>1679616</v>
      </c>
      <c r="G58" s="6">
        <f t="shared" ref="G58:G60" si="11">E58^2</f>
        <v>211702500</v>
      </c>
      <c r="H58" s="7">
        <f t="shared" si="8"/>
        <v>18856800</v>
      </c>
      <c r="I58" s="7">
        <f t="shared" si="9"/>
        <v>15552.074015262788</v>
      </c>
      <c r="J58" s="7">
        <f t="shared" si="4"/>
        <v>1002.0740152627877</v>
      </c>
      <c r="K58" s="122">
        <f t="shared" si="5"/>
        <v>1387951.1015182917</v>
      </c>
      <c r="L58" s="122">
        <f t="shared" si="6"/>
        <v>1004152.3320648858</v>
      </c>
    </row>
    <row r="59" spans="3:15" ht="14.45" customHeight="1" x14ac:dyDescent="0.25">
      <c r="C59" s="6">
        <f>+C58+1</f>
        <v>49</v>
      </c>
      <c r="D59" s="6">
        <v>1344</v>
      </c>
      <c r="E59" s="6">
        <v>15775</v>
      </c>
      <c r="F59" s="6">
        <f t="shared" si="10"/>
        <v>1806336</v>
      </c>
      <c r="G59" s="6">
        <f t="shared" si="11"/>
        <v>248850625</v>
      </c>
      <c r="H59" s="7">
        <f t="shared" si="8"/>
        <v>21201600</v>
      </c>
      <c r="I59" s="7">
        <f t="shared" si="9"/>
        <v>15894.564707509508</v>
      </c>
      <c r="J59" s="7">
        <f t="shared" si="4"/>
        <v>119.56470750950757</v>
      </c>
      <c r="K59" s="122">
        <f t="shared" si="5"/>
        <v>778822.67827117373</v>
      </c>
      <c r="L59" s="122">
        <f t="shared" si="6"/>
        <v>14295.719281834095</v>
      </c>
    </row>
    <row r="60" spans="3:15" x14ac:dyDescent="0.25">
      <c r="C60" s="6">
        <f>+C59+1</f>
        <v>50</v>
      </c>
      <c r="D60" s="6">
        <v>1380</v>
      </c>
      <c r="E60" s="6">
        <v>16400</v>
      </c>
      <c r="F60" s="6">
        <f t="shared" si="10"/>
        <v>1904400</v>
      </c>
      <c r="G60" s="6">
        <f t="shared" si="11"/>
        <v>268960000</v>
      </c>
      <c r="H60" s="7">
        <f t="shared" si="8"/>
        <v>22632000</v>
      </c>
      <c r="I60" s="7">
        <f t="shared" si="9"/>
        <v>16151.432726694547</v>
      </c>
      <c r="J60" s="7">
        <f t="shared" si="4"/>
        <v>-248.56727330545255</v>
      </c>
      <c r="K60" s="122">
        <f t="shared" si="5"/>
        <v>135521.15529874616</v>
      </c>
      <c r="L60" s="122">
        <f t="shared" si="6"/>
        <v>61785.689358507545</v>
      </c>
    </row>
    <row r="61" spans="3:15" x14ac:dyDescent="0.25">
      <c r="C61" s="3" t="s">
        <v>10</v>
      </c>
      <c r="D61" s="3">
        <f t="shared" ref="D61:J61" si="12">SUM(D11:D60)</f>
        <v>38557</v>
      </c>
      <c r="E61" s="3">
        <f t="shared" si="12"/>
        <v>590354.05000000005</v>
      </c>
      <c r="F61" s="3">
        <f t="shared" si="12"/>
        <v>33517181</v>
      </c>
      <c r="G61" s="3">
        <f t="shared" si="12"/>
        <v>7179456354.3224993</v>
      </c>
      <c r="H61" s="3">
        <f t="shared" si="12"/>
        <v>482247702.60000002</v>
      </c>
      <c r="I61" s="3">
        <f t="shared" si="12"/>
        <v>590354.05000000016</v>
      </c>
      <c r="J61" s="36">
        <f t="shared" si="12"/>
        <v>4.0927261579781771E-11</v>
      </c>
      <c r="K61" s="36">
        <f t="shared" ref="K61:L61" si="13">SUM(K11:K60)</f>
        <v>33318777.68383985</v>
      </c>
      <c r="L61" s="36">
        <f t="shared" si="13"/>
        <v>16432408.196026308</v>
      </c>
      <c r="N61" s="123" t="s">
        <v>184</v>
      </c>
      <c r="O61">
        <f>K61/L61</f>
        <v>2.0276259746211154</v>
      </c>
    </row>
    <row r="62" spans="3:15" x14ac:dyDescent="0.25">
      <c r="C62" s="8" t="s">
        <v>11</v>
      </c>
      <c r="D62" s="8">
        <f t="shared" ref="D62:J62" si="14">AVERAGE(D11:D60)</f>
        <v>771.14</v>
      </c>
      <c r="E62" s="8">
        <f t="shared" si="14"/>
        <v>11807.081</v>
      </c>
      <c r="F62" s="8">
        <f t="shared" si="14"/>
        <v>670343.62</v>
      </c>
      <c r="G62" s="8">
        <f t="shared" si="14"/>
        <v>143589127.08644998</v>
      </c>
      <c r="H62" s="8">
        <f t="shared" si="14"/>
        <v>9644954.0520000011</v>
      </c>
      <c r="I62" s="8">
        <f t="shared" si="14"/>
        <v>11807.081000000004</v>
      </c>
      <c r="J62" s="37">
        <f t="shared" si="14"/>
        <v>8.1854523159563543E-13</v>
      </c>
      <c r="K62" s="37">
        <f t="shared" ref="K62:L62" si="15">AVERAGE(K11:K60)</f>
        <v>679975.05477224186</v>
      </c>
      <c r="L62" s="37">
        <f t="shared" si="15"/>
        <v>328648.16392052616</v>
      </c>
    </row>
    <row r="65" spans="3:11" ht="15.75" thickBot="1" x14ac:dyDescent="0.3"/>
    <row r="66" spans="3:11" ht="16.899999999999999" customHeight="1" thickBot="1" x14ac:dyDescent="0.4">
      <c r="C66" s="9" t="s">
        <v>12</v>
      </c>
      <c r="D66" s="160" t="s">
        <v>13</v>
      </c>
      <c r="E66" s="161"/>
      <c r="F66" s="161"/>
      <c r="G66" s="161"/>
      <c r="H66" s="161"/>
      <c r="I66" s="161"/>
      <c r="J66" s="161"/>
      <c r="K66" s="162"/>
    </row>
    <row r="67" spans="3:11" ht="17.25" thickBot="1" x14ac:dyDescent="0.35">
      <c r="C67" s="1"/>
      <c r="D67" s="163"/>
      <c r="E67" s="164"/>
      <c r="F67" s="164"/>
      <c r="G67" s="164"/>
      <c r="H67" s="164"/>
      <c r="I67" s="164"/>
      <c r="J67" s="164"/>
      <c r="K67" s="165"/>
    </row>
    <row r="68" spans="3:11" ht="16.5" x14ac:dyDescent="0.3">
      <c r="C68" s="1"/>
      <c r="D68" s="1"/>
      <c r="E68" s="1"/>
    </row>
    <row r="76" spans="3:11" ht="16.899999999999999" customHeight="1" x14ac:dyDescent="0.25"/>
    <row r="77" spans="3:11" ht="15" customHeight="1" x14ac:dyDescent="0.25"/>
    <row r="86" spans="3:11" ht="15.75" thickBot="1" x14ac:dyDescent="0.3"/>
    <row r="87" spans="3:11" ht="14.45" customHeight="1" x14ac:dyDescent="0.25">
      <c r="C87" t="s">
        <v>14</v>
      </c>
      <c r="D87" s="184" t="s">
        <v>26</v>
      </c>
      <c r="E87" s="185"/>
      <c r="F87" s="185"/>
      <c r="G87" s="185"/>
      <c r="H87" s="185"/>
      <c r="I87" s="185"/>
      <c r="J87" s="185"/>
      <c r="K87" s="186"/>
    </row>
    <row r="88" spans="3:11" ht="14.45" customHeight="1" x14ac:dyDescent="0.25">
      <c r="D88" s="187"/>
      <c r="E88" s="188"/>
      <c r="F88" s="188"/>
      <c r="G88" s="188"/>
      <c r="H88" s="188"/>
      <c r="I88" s="188"/>
      <c r="J88" s="188"/>
      <c r="K88" s="189"/>
    </row>
    <row r="89" spans="3:11" x14ac:dyDescent="0.25">
      <c r="D89" s="187"/>
      <c r="E89" s="188"/>
      <c r="F89" s="188"/>
      <c r="G89" s="188"/>
      <c r="H89" s="188"/>
      <c r="I89" s="188"/>
      <c r="J89" s="188"/>
      <c r="K89" s="189"/>
    </row>
    <row r="90" spans="3:11" ht="16.899999999999999" customHeight="1" x14ac:dyDescent="0.25">
      <c r="D90" s="187"/>
      <c r="E90" s="188"/>
      <c r="F90" s="188"/>
      <c r="G90" s="188"/>
      <c r="H90" s="188"/>
      <c r="I90" s="188"/>
      <c r="J90" s="188"/>
      <c r="K90" s="189"/>
    </row>
    <row r="91" spans="3:11" ht="15" customHeight="1" thickBot="1" x14ac:dyDescent="0.3">
      <c r="D91" s="190"/>
      <c r="E91" s="191"/>
      <c r="F91" s="191"/>
      <c r="G91" s="191"/>
      <c r="H91" s="191"/>
      <c r="I91" s="191"/>
      <c r="J91" s="191"/>
      <c r="K91" s="192"/>
    </row>
    <row r="96" spans="3:11" ht="15.75" thickBot="1" x14ac:dyDescent="0.3"/>
    <row r="97" spans="3:11" ht="16.899999999999999" customHeight="1" thickBot="1" x14ac:dyDescent="0.4">
      <c r="C97" s="9" t="s">
        <v>15</v>
      </c>
      <c r="D97" s="132" t="s">
        <v>114</v>
      </c>
      <c r="E97" s="133"/>
      <c r="F97" s="133"/>
      <c r="G97" s="133"/>
      <c r="H97" s="133"/>
      <c r="I97" s="133"/>
      <c r="J97" s="133"/>
      <c r="K97" s="147"/>
    </row>
    <row r="98" spans="3:11" ht="15" customHeight="1" thickBot="1" x14ac:dyDescent="0.3">
      <c r="D98" s="134"/>
      <c r="E98" s="135"/>
      <c r="F98" s="135"/>
      <c r="G98" s="135"/>
      <c r="H98" s="135"/>
      <c r="I98" s="135"/>
      <c r="J98" s="135"/>
      <c r="K98" s="151"/>
    </row>
    <row r="100" spans="3:11" x14ac:dyDescent="0.25">
      <c r="D100" s="21" t="s">
        <v>16</v>
      </c>
      <c r="E100" s="25">
        <f>C60</f>
        <v>50</v>
      </c>
    </row>
    <row r="101" spans="3:11" ht="16.899999999999999" customHeight="1" x14ac:dyDescent="0.25">
      <c r="D101" s="22" t="s">
        <v>23</v>
      </c>
      <c r="E101" s="25">
        <f>D62</f>
        <v>771.14</v>
      </c>
    </row>
    <row r="102" spans="3:11" x14ac:dyDescent="0.25">
      <c r="D102" s="22" t="s">
        <v>24</v>
      </c>
      <c r="E102" s="25">
        <f>E62</f>
        <v>11807.081</v>
      </c>
    </row>
    <row r="103" spans="3:11" ht="16.899999999999999" customHeight="1" x14ac:dyDescent="0.25">
      <c r="D103" s="22" t="s">
        <v>20</v>
      </c>
      <c r="E103" s="25">
        <f>F61-(D61^2)/E100</f>
        <v>3784336.0199999996</v>
      </c>
      <c r="F103" t="s">
        <v>82</v>
      </c>
    </row>
    <row r="104" spans="3:11" x14ac:dyDescent="0.25">
      <c r="D104" s="22" t="s">
        <v>81</v>
      </c>
      <c r="E104" s="25">
        <f>G61-(E61^2)/E100</f>
        <v>209098267.29444885</v>
      </c>
      <c r="F104" t="s">
        <v>83</v>
      </c>
    </row>
    <row r="105" spans="3:11" ht="16.899999999999999" customHeight="1" x14ac:dyDescent="0.25">
      <c r="D105" s="22" t="s">
        <v>22</v>
      </c>
      <c r="E105" s="25">
        <f>H61-(D61*E61)/E100</f>
        <v>27002080.48299998</v>
      </c>
      <c r="F105" t="s">
        <v>84</v>
      </c>
    </row>
    <row r="106" spans="3:11" x14ac:dyDescent="0.25">
      <c r="D106" s="22" t="s">
        <v>18</v>
      </c>
      <c r="E106" s="25">
        <f>E105/E103</f>
        <v>7.1352227551400107</v>
      </c>
      <c r="F106" t="s">
        <v>86</v>
      </c>
    </row>
    <row r="107" spans="3:11" x14ac:dyDescent="0.25">
      <c r="D107" s="22" t="s">
        <v>17</v>
      </c>
      <c r="E107" s="25">
        <f>E102-E101*E106</f>
        <v>6304.8253246013328</v>
      </c>
      <c r="F107" t="s">
        <v>85</v>
      </c>
    </row>
    <row r="109" spans="3:11" ht="15.75" thickBot="1" x14ac:dyDescent="0.3"/>
    <row r="110" spans="3:11" ht="15" customHeight="1" x14ac:dyDescent="0.25">
      <c r="D110" s="193" t="s">
        <v>100</v>
      </c>
      <c r="E110" s="194"/>
      <c r="F110" s="194"/>
      <c r="G110" s="194"/>
      <c r="H110" s="194"/>
      <c r="I110" s="194"/>
      <c r="J110" s="194"/>
      <c r="K110" s="195"/>
    </row>
    <row r="111" spans="3:11" ht="16.899999999999999" customHeight="1" x14ac:dyDescent="0.25">
      <c r="D111" s="196"/>
      <c r="E111" s="197"/>
      <c r="F111" s="197"/>
      <c r="G111" s="197"/>
      <c r="H111" s="197"/>
      <c r="I111" s="197"/>
      <c r="J111" s="197"/>
      <c r="K111" s="198"/>
    </row>
    <row r="112" spans="3:11" ht="16.149999999999999" customHeight="1" x14ac:dyDescent="0.25">
      <c r="D112" s="196"/>
      <c r="E112" s="197"/>
      <c r="F112" s="197"/>
      <c r="G112" s="197"/>
      <c r="H112" s="197"/>
      <c r="I112" s="197"/>
      <c r="J112" s="197"/>
      <c r="K112" s="198"/>
    </row>
    <row r="113" spans="3:11" ht="15.75" thickBot="1" x14ac:dyDescent="0.3">
      <c r="D113" s="199"/>
      <c r="E113" s="200"/>
      <c r="F113" s="200"/>
      <c r="G113" s="200"/>
      <c r="H113" s="200"/>
      <c r="I113" s="200"/>
      <c r="J113" s="200"/>
      <c r="K113" s="201"/>
    </row>
    <row r="114" spans="3:11" ht="15.6" customHeight="1" x14ac:dyDescent="0.25"/>
    <row r="115" spans="3:11" ht="15.75" thickBot="1" x14ac:dyDescent="0.3"/>
    <row r="116" spans="3:11" ht="16.899999999999999" customHeight="1" thickBot="1" x14ac:dyDescent="0.4">
      <c r="C116" s="9" t="s">
        <v>94</v>
      </c>
      <c r="D116" s="132" t="s">
        <v>87</v>
      </c>
      <c r="E116" s="133"/>
      <c r="F116" s="133"/>
      <c r="G116" s="133"/>
      <c r="H116" s="133"/>
      <c r="I116" s="133"/>
      <c r="J116" s="133"/>
      <c r="K116" s="147"/>
    </row>
    <row r="117" spans="3:11" ht="15" customHeight="1" thickBot="1" x14ac:dyDescent="0.3">
      <c r="D117" s="134"/>
      <c r="E117" s="135"/>
      <c r="F117" s="135"/>
      <c r="G117" s="135"/>
      <c r="H117" s="135"/>
      <c r="I117" s="135"/>
      <c r="J117" s="135"/>
      <c r="K117" s="151"/>
    </row>
    <row r="119" spans="3:11" x14ac:dyDescent="0.25">
      <c r="D119" s="21" t="s">
        <v>28</v>
      </c>
      <c r="E119" s="49">
        <f>E104</f>
        <v>209098267.29444885</v>
      </c>
    </row>
    <row r="120" spans="3:11" x14ac:dyDescent="0.25">
      <c r="D120" s="21" t="s">
        <v>21</v>
      </c>
      <c r="E120" s="49">
        <f>E106*E105</f>
        <v>192665859.09842342</v>
      </c>
    </row>
    <row r="121" spans="3:11" x14ac:dyDescent="0.25">
      <c r="D121" s="47" t="s">
        <v>19</v>
      </c>
      <c r="E121" s="48">
        <f>E104-E106*E105</f>
        <v>16432408.196025431</v>
      </c>
    </row>
    <row r="122" spans="3:11" x14ac:dyDescent="0.25">
      <c r="D122" s="47" t="s">
        <v>16</v>
      </c>
      <c r="E122" s="48">
        <f>E100</f>
        <v>50</v>
      </c>
    </row>
    <row r="123" spans="3:11" x14ac:dyDescent="0.25">
      <c r="D123" s="47" t="s">
        <v>70</v>
      </c>
      <c r="E123" s="48">
        <v>0.01</v>
      </c>
    </row>
    <row r="124" spans="3:11" ht="15.75" thickBot="1" x14ac:dyDescent="0.3"/>
    <row r="125" spans="3:11" ht="15.75" thickBot="1" x14ac:dyDescent="0.3">
      <c r="D125" s="152" t="s">
        <v>29</v>
      </c>
      <c r="E125" s="153"/>
      <c r="F125" s="153"/>
      <c r="G125" s="153"/>
      <c r="H125" s="153"/>
      <c r="I125" s="153"/>
      <c r="J125" s="154"/>
    </row>
    <row r="126" spans="3:11" x14ac:dyDescent="0.25">
      <c r="D126" s="55" t="s">
        <v>34</v>
      </c>
      <c r="E126" s="56" t="s">
        <v>30</v>
      </c>
      <c r="F126" s="57" t="s">
        <v>31</v>
      </c>
      <c r="G126" s="56" t="s">
        <v>32</v>
      </c>
      <c r="H126" s="58" t="s">
        <v>39</v>
      </c>
      <c r="I126" s="58" t="s">
        <v>35</v>
      </c>
      <c r="J126" s="59" t="s">
        <v>33</v>
      </c>
    </row>
    <row r="127" spans="3:11" x14ac:dyDescent="0.25">
      <c r="D127" s="60" t="s">
        <v>36</v>
      </c>
      <c r="E127" s="61">
        <f>E120</f>
        <v>192665859.09842342</v>
      </c>
      <c r="F127" s="62">
        <v>1</v>
      </c>
      <c r="G127" s="61">
        <f>E127/F127</f>
        <v>192665859.09842342</v>
      </c>
      <c r="H127" s="63">
        <f>+G127/G128</f>
        <v>562.78794479808278</v>
      </c>
      <c r="I127" s="63">
        <f>FINV(E123,1,E122-2)</f>
        <v>7.1942184421879558</v>
      </c>
      <c r="J127" s="64">
        <f>FDIST(H127,1,E122-2)</f>
        <v>3.6686932454893746E-28</v>
      </c>
    </row>
    <row r="128" spans="3:11" x14ac:dyDescent="0.25">
      <c r="D128" s="60" t="s">
        <v>37</v>
      </c>
      <c r="E128" s="61">
        <f>E121</f>
        <v>16432408.196025431</v>
      </c>
      <c r="F128" s="65">
        <f>E100-2</f>
        <v>48</v>
      </c>
      <c r="G128" s="120">
        <f>E128/F128</f>
        <v>342341.83741719648</v>
      </c>
      <c r="H128" s="63"/>
      <c r="I128" s="63"/>
      <c r="J128" s="64"/>
    </row>
    <row r="129" spans="2:11" ht="15.75" thickBot="1" x14ac:dyDescent="0.3">
      <c r="D129" s="66" t="s">
        <v>38</v>
      </c>
      <c r="E129" s="67">
        <f>+E127+E128</f>
        <v>209098267.29444885</v>
      </c>
      <c r="F129" s="68">
        <f>E100-1</f>
        <v>49</v>
      </c>
      <c r="G129" s="67"/>
      <c r="H129" s="69"/>
      <c r="I129" s="69"/>
      <c r="J129" s="70"/>
    </row>
    <row r="130" spans="2:11" ht="15.75" thickBot="1" x14ac:dyDescent="0.3"/>
    <row r="131" spans="2:11" ht="15.75" thickBot="1" x14ac:dyDescent="0.3">
      <c r="D131" s="157" t="s">
        <v>115</v>
      </c>
      <c r="E131" s="158"/>
      <c r="F131" s="158"/>
      <c r="G131" s="158"/>
      <c r="H131" s="158"/>
      <c r="I131" s="158"/>
      <c r="J131" s="159"/>
    </row>
    <row r="132" spans="2:11" ht="18" x14ac:dyDescent="0.35">
      <c r="B132" s="2"/>
      <c r="D132" s="166" t="s">
        <v>121</v>
      </c>
      <c r="E132" s="167"/>
      <c r="F132" s="167"/>
      <c r="G132" s="167"/>
      <c r="H132" s="167"/>
      <c r="I132" s="167"/>
      <c r="J132" s="168"/>
      <c r="K132" s="29"/>
    </row>
    <row r="133" spans="2:11" ht="18.75" thickBot="1" x14ac:dyDescent="0.4">
      <c r="B133" s="2"/>
      <c r="D133" s="169"/>
      <c r="E133" s="170"/>
      <c r="F133" s="170"/>
      <c r="G133" s="170"/>
      <c r="H133" s="170"/>
      <c r="I133" s="170"/>
      <c r="J133" s="171"/>
    </row>
    <row r="134" spans="2:11" ht="16.899999999999999" customHeight="1" x14ac:dyDescent="0.35">
      <c r="B134" s="2"/>
    </row>
    <row r="135" spans="2:11" ht="18.75" thickBot="1" x14ac:dyDescent="0.4">
      <c r="B135" s="2"/>
    </row>
    <row r="136" spans="2:11" ht="16.899999999999999" customHeight="1" thickBot="1" x14ac:dyDescent="0.4">
      <c r="B136" s="2"/>
      <c r="C136" s="9" t="s">
        <v>95</v>
      </c>
      <c r="D136" s="132" t="s">
        <v>88</v>
      </c>
      <c r="E136" s="133"/>
      <c r="F136" s="133"/>
      <c r="G136" s="133"/>
      <c r="H136" s="133"/>
      <c r="I136" s="133"/>
      <c r="J136" s="133"/>
      <c r="K136" s="147"/>
    </row>
    <row r="137" spans="2:11" ht="18.75" thickBot="1" x14ac:dyDescent="0.4">
      <c r="B137" s="2"/>
      <c r="D137" s="134"/>
      <c r="E137" s="135"/>
      <c r="F137" s="135"/>
      <c r="G137" s="135"/>
      <c r="H137" s="135"/>
      <c r="I137" s="135"/>
      <c r="J137" s="135"/>
      <c r="K137" s="151"/>
    </row>
    <row r="138" spans="2:11" ht="18" x14ac:dyDescent="0.35">
      <c r="B138" s="2"/>
    </row>
    <row r="139" spans="2:11" ht="18" x14ac:dyDescent="0.35">
      <c r="B139" s="2"/>
      <c r="D139" s="21" t="s">
        <v>40</v>
      </c>
      <c r="E139" s="50">
        <f>G128</f>
        <v>342341.83741719648</v>
      </c>
    </row>
    <row r="140" spans="2:11" ht="18" x14ac:dyDescent="0.35">
      <c r="B140" s="2"/>
      <c r="D140" s="21" t="s">
        <v>16</v>
      </c>
      <c r="E140" s="50">
        <f>E100</f>
        <v>50</v>
      </c>
    </row>
    <row r="141" spans="2:11" ht="18" x14ac:dyDescent="0.35">
      <c r="B141" s="2"/>
      <c r="D141" s="21" t="s">
        <v>23</v>
      </c>
      <c r="E141" s="50">
        <f>E101</f>
        <v>771.14</v>
      </c>
    </row>
    <row r="142" spans="2:11" ht="18" x14ac:dyDescent="0.35">
      <c r="B142" s="2"/>
      <c r="D142" s="21" t="s">
        <v>20</v>
      </c>
      <c r="E142" s="50">
        <f>E103</f>
        <v>3784336.0199999996</v>
      </c>
    </row>
    <row r="143" spans="2:11" ht="18" x14ac:dyDescent="0.35">
      <c r="B143" s="2"/>
      <c r="D143" s="21" t="s">
        <v>17</v>
      </c>
      <c r="E143" s="50">
        <f>E107</f>
        <v>6304.8253246013328</v>
      </c>
    </row>
    <row r="144" spans="2:11" ht="18" x14ac:dyDescent="0.35">
      <c r="B144" s="2"/>
      <c r="D144" s="21" t="s">
        <v>18</v>
      </c>
      <c r="E144" s="50">
        <f>E106</f>
        <v>7.1352227551400107</v>
      </c>
    </row>
    <row r="145" spans="2:11" ht="18" x14ac:dyDescent="0.35">
      <c r="B145" s="2"/>
      <c r="D145" s="47" t="s">
        <v>70</v>
      </c>
      <c r="E145" s="48">
        <v>0.01</v>
      </c>
    </row>
    <row r="146" spans="2:11" ht="16.149999999999999" customHeight="1" x14ac:dyDescent="0.35">
      <c r="B146" s="2"/>
      <c r="D146" s="1"/>
      <c r="E146" s="29"/>
    </row>
    <row r="147" spans="2:11" ht="18.75" thickBot="1" x14ac:dyDescent="0.4">
      <c r="B147" s="2"/>
      <c r="D147" s="51" t="s">
        <v>89</v>
      </c>
    </row>
    <row r="148" spans="2:11" ht="18.75" thickBot="1" x14ac:dyDescent="0.4">
      <c r="B148" s="2"/>
      <c r="D148" t="s">
        <v>41</v>
      </c>
      <c r="E148" s="26">
        <f>SQRT(E139*((1/E140)+(E141*E141/E142)))</f>
        <v>246.25433422347533</v>
      </c>
      <c r="F148" t="s">
        <v>42</v>
      </c>
      <c r="G148" s="157" t="s">
        <v>116</v>
      </c>
      <c r="H148" s="158"/>
      <c r="I148" s="158"/>
      <c r="J148" s="158"/>
      <c r="K148" s="159"/>
    </row>
    <row r="149" spans="2:11" ht="18" x14ac:dyDescent="0.35">
      <c r="B149" s="2"/>
      <c r="D149" t="s">
        <v>43</v>
      </c>
      <c r="E149" s="26">
        <f>E143-0</f>
        <v>6304.8253246013328</v>
      </c>
      <c r="F149" t="s">
        <v>44</v>
      </c>
      <c r="G149" s="166" t="s">
        <v>122</v>
      </c>
      <c r="H149" s="167"/>
      <c r="I149" s="167"/>
      <c r="J149" s="167"/>
      <c r="K149" s="168"/>
    </row>
    <row r="150" spans="2:11" ht="18.75" thickBot="1" x14ac:dyDescent="0.4">
      <c r="B150" s="2"/>
      <c r="D150" t="s">
        <v>90</v>
      </c>
      <c r="E150" s="52">
        <f>E149/E148</f>
        <v>25.602900937693612</v>
      </c>
      <c r="G150" s="169"/>
      <c r="H150" s="170"/>
      <c r="I150" s="170"/>
      <c r="J150" s="170"/>
      <c r="K150" s="171"/>
    </row>
    <row r="151" spans="2:11" ht="18" x14ac:dyDescent="0.35">
      <c r="B151" s="2"/>
      <c r="D151" t="s">
        <v>124</v>
      </c>
      <c r="E151" s="52">
        <f>_xlfn.T.INV.2T(E145,E140-2)</f>
        <v>2.6822040269502154</v>
      </c>
    </row>
    <row r="152" spans="2:11" ht="18" x14ac:dyDescent="0.35">
      <c r="B152" s="2"/>
      <c r="D152" t="s">
        <v>71</v>
      </c>
      <c r="E152">
        <f>TDIST(E150,E140-2,2)</f>
        <v>1.2277052768449206E-29</v>
      </c>
    </row>
    <row r="153" spans="2:11" ht="18" x14ac:dyDescent="0.35">
      <c r="B153" s="2"/>
    </row>
    <row r="154" spans="2:11" ht="18.75" thickBot="1" x14ac:dyDescent="0.4">
      <c r="B154" s="2"/>
      <c r="D154" s="51" t="s">
        <v>91</v>
      </c>
      <c r="E154" s="26"/>
    </row>
    <row r="155" spans="2:11" ht="18.75" thickBot="1" x14ac:dyDescent="0.4">
      <c r="B155" s="2"/>
      <c r="D155" t="s">
        <v>41</v>
      </c>
      <c r="E155" s="26">
        <f>SQRT(E139/E142)</f>
        <v>0.30077043429520706</v>
      </c>
      <c r="F155" t="s">
        <v>46</v>
      </c>
      <c r="G155" s="157" t="s">
        <v>115</v>
      </c>
      <c r="H155" s="158"/>
      <c r="I155" s="158"/>
      <c r="J155" s="158"/>
      <c r="K155" s="159"/>
    </row>
    <row r="156" spans="2:11" ht="18" x14ac:dyDescent="0.35">
      <c r="B156" s="2"/>
      <c r="D156" t="s">
        <v>43</v>
      </c>
      <c r="E156" s="26">
        <f>E144-0</f>
        <v>7.1352227551400107</v>
      </c>
      <c r="F156" t="s">
        <v>45</v>
      </c>
      <c r="G156" s="166" t="s">
        <v>123</v>
      </c>
      <c r="H156" s="167"/>
      <c r="I156" s="167"/>
      <c r="J156" s="167"/>
      <c r="K156" s="168"/>
    </row>
    <row r="157" spans="2:11" ht="18.75" thickBot="1" x14ac:dyDescent="0.4">
      <c r="B157" s="2"/>
      <c r="D157" t="s">
        <v>90</v>
      </c>
      <c r="E157" s="26">
        <f>E156/E155</f>
        <v>23.723152083947085</v>
      </c>
      <c r="G157" s="169"/>
      <c r="H157" s="170"/>
      <c r="I157" s="170"/>
      <c r="J157" s="170"/>
      <c r="K157" s="171"/>
    </row>
    <row r="158" spans="2:11" ht="18" x14ac:dyDescent="0.35">
      <c r="B158" s="2"/>
      <c r="D158" t="s">
        <v>124</v>
      </c>
      <c r="E158" s="52">
        <f>_xlfn.T.INV.2T(E145,E140-2)</f>
        <v>2.6822040269502154</v>
      </c>
    </row>
    <row r="159" spans="2:11" ht="18" x14ac:dyDescent="0.35">
      <c r="B159" s="2"/>
      <c r="D159" t="s">
        <v>71</v>
      </c>
      <c r="E159">
        <f>TDIST(E157,E140-2,2)</f>
        <v>3.6686932454893746E-28</v>
      </c>
    </row>
    <row r="160" spans="2:11" ht="18" x14ac:dyDescent="0.35">
      <c r="B160" s="2"/>
      <c r="D160" s="29"/>
      <c r="E160" s="29"/>
      <c r="F160" s="29"/>
      <c r="G160" s="29"/>
      <c r="H160" s="29"/>
      <c r="I160" s="29"/>
      <c r="J160" s="29"/>
      <c r="K160" s="29"/>
    </row>
    <row r="161" spans="2:11" ht="18.75" thickBot="1" x14ac:dyDescent="0.4">
      <c r="B161" s="2"/>
      <c r="D161" s="29"/>
      <c r="E161" s="29"/>
      <c r="F161" s="29"/>
      <c r="G161" s="29"/>
      <c r="H161" s="29"/>
      <c r="I161" s="29"/>
      <c r="J161" s="29"/>
      <c r="K161" s="29"/>
    </row>
    <row r="162" spans="2:11" ht="16.899999999999999" customHeight="1" thickBot="1" x14ac:dyDescent="0.4">
      <c r="B162" s="2"/>
      <c r="C162" s="9" t="s">
        <v>96</v>
      </c>
      <c r="D162" s="132" t="s">
        <v>92</v>
      </c>
      <c r="E162" s="133"/>
      <c r="F162" s="133"/>
      <c r="G162" s="133"/>
      <c r="H162" s="133"/>
      <c r="I162" s="133"/>
      <c r="J162" s="133"/>
      <c r="K162" s="133"/>
    </row>
    <row r="163" spans="2:11" ht="18.75" thickBot="1" x14ac:dyDescent="0.4">
      <c r="B163" s="2"/>
      <c r="D163" s="134"/>
      <c r="E163" s="135"/>
      <c r="F163" s="135"/>
      <c r="G163" s="135"/>
      <c r="H163" s="135"/>
      <c r="I163" s="135"/>
      <c r="J163" s="135"/>
      <c r="K163" s="135"/>
    </row>
    <row r="164" spans="2:11" ht="18.75" thickBot="1" x14ac:dyDescent="0.4">
      <c r="B164" s="2"/>
    </row>
    <row r="165" spans="2:11" ht="16.149999999999999" customHeight="1" x14ac:dyDescent="0.35">
      <c r="B165" s="2"/>
      <c r="D165" s="156" t="s">
        <v>125</v>
      </c>
      <c r="E165" s="156"/>
      <c r="G165" s="1"/>
      <c r="H165" s="136" t="s">
        <v>93</v>
      </c>
      <c r="I165" s="137"/>
      <c r="J165" s="137"/>
      <c r="K165" s="138"/>
    </row>
    <row r="166" spans="2:11" ht="18" x14ac:dyDescent="0.35">
      <c r="B166" s="2"/>
      <c r="D166" s="72">
        <f>E143-E148*E151</f>
        <v>5644.3209576931831</v>
      </c>
      <c r="E166" s="72">
        <f>E143+E148*E151</f>
        <v>6965.3296915094825</v>
      </c>
      <c r="F166" s="71"/>
      <c r="G166" s="1"/>
      <c r="H166" s="139"/>
      <c r="I166" s="140"/>
      <c r="J166" s="140"/>
      <c r="K166" s="141"/>
    </row>
    <row r="167" spans="2:11" ht="18.75" thickBot="1" x14ac:dyDescent="0.4">
      <c r="B167" s="2"/>
      <c r="D167" s="54"/>
      <c r="E167" s="54"/>
      <c r="F167" s="71"/>
      <c r="G167" s="1"/>
      <c r="H167" s="142"/>
      <c r="I167" s="143"/>
      <c r="J167" s="143"/>
      <c r="K167" s="144"/>
    </row>
    <row r="168" spans="2:11" ht="18" x14ac:dyDescent="0.35">
      <c r="B168" s="2"/>
      <c r="D168" s="156" t="s">
        <v>126</v>
      </c>
      <c r="E168" s="156"/>
      <c r="F168" s="71"/>
      <c r="G168" s="1"/>
    </row>
    <row r="169" spans="2:11" ht="18" x14ac:dyDescent="0.35">
      <c r="B169" s="2"/>
      <c r="D169" s="73">
        <f>+E144-E151*E155</f>
        <v>6.3284950850858408</v>
      </c>
      <c r="E169" s="73">
        <f>+E144+E151*E155</f>
        <v>7.9419504251941806</v>
      </c>
      <c r="F169" s="71"/>
      <c r="G169" s="1"/>
    </row>
    <row r="170" spans="2:11" ht="18" x14ac:dyDescent="0.35">
      <c r="B170" s="2"/>
      <c r="D170" s="29"/>
      <c r="E170" s="29"/>
      <c r="F170" s="1"/>
      <c r="G170" s="1"/>
    </row>
    <row r="171" spans="2:11" ht="18.75" thickBot="1" x14ac:dyDescent="0.4">
      <c r="B171" s="2"/>
      <c r="D171" s="30"/>
      <c r="E171" s="29"/>
      <c r="F171" s="1"/>
      <c r="G171" s="1"/>
    </row>
    <row r="172" spans="2:11" ht="16.899999999999999" customHeight="1" thickBot="1" x14ac:dyDescent="0.4">
      <c r="B172" s="2"/>
      <c r="C172" s="9" t="s">
        <v>47</v>
      </c>
      <c r="D172" s="132" t="s">
        <v>48</v>
      </c>
      <c r="E172" s="133"/>
      <c r="F172" s="133"/>
      <c r="G172" s="133"/>
      <c r="H172" s="133"/>
      <c r="I172" s="133"/>
      <c r="J172" s="133"/>
      <c r="K172" s="147"/>
    </row>
    <row r="173" spans="2:11" ht="18.75" thickBot="1" x14ac:dyDescent="0.4">
      <c r="B173" s="2"/>
      <c r="D173" s="134"/>
      <c r="E173" s="135"/>
      <c r="F173" s="135"/>
      <c r="G173" s="135"/>
      <c r="H173" s="135"/>
      <c r="I173" s="135"/>
      <c r="J173" s="135"/>
      <c r="K173" s="151"/>
    </row>
    <row r="174" spans="2:11" ht="18.75" thickBot="1" x14ac:dyDescent="0.4">
      <c r="B174" s="2"/>
    </row>
    <row r="175" spans="2:11" ht="20.25" thickBot="1" x14ac:dyDescent="0.4">
      <c r="B175" s="2"/>
      <c r="D175" s="176" t="s">
        <v>118</v>
      </c>
      <c r="E175" s="176"/>
      <c r="F175" s="176"/>
      <c r="G175" s="176"/>
      <c r="H175" s="176"/>
      <c r="J175" s="115" t="s">
        <v>170</v>
      </c>
    </row>
    <row r="176" spans="2:11" ht="18" x14ac:dyDescent="0.35">
      <c r="B176" s="2"/>
      <c r="D176" s="29"/>
      <c r="E176" s="29"/>
      <c r="F176" s="29"/>
      <c r="G176" s="29"/>
      <c r="H176" s="29"/>
      <c r="I176" s="29"/>
      <c r="J176" s="29"/>
      <c r="K176" s="29"/>
    </row>
    <row r="177" spans="2:11" ht="18.75" thickBot="1" x14ac:dyDescent="0.4">
      <c r="B177" s="2"/>
      <c r="D177" s="29"/>
      <c r="E177" s="29"/>
      <c r="F177" s="29"/>
      <c r="G177" s="29"/>
      <c r="H177" s="29"/>
      <c r="I177" s="29"/>
      <c r="J177" s="29"/>
      <c r="K177" s="29"/>
    </row>
    <row r="178" spans="2:11" ht="16.899999999999999" customHeight="1" thickBot="1" x14ac:dyDescent="0.4">
      <c r="B178" s="2"/>
      <c r="C178" s="9" t="s">
        <v>49</v>
      </c>
      <c r="D178" s="132" t="s">
        <v>117</v>
      </c>
      <c r="E178" s="133"/>
      <c r="F178" s="133"/>
      <c r="G178" s="133"/>
      <c r="H178" s="133"/>
      <c r="I178" s="133"/>
      <c r="J178" s="133"/>
      <c r="K178" s="147"/>
    </row>
    <row r="179" spans="2:11" ht="18.75" thickBot="1" x14ac:dyDescent="0.4">
      <c r="B179" s="2"/>
      <c r="D179" s="134"/>
      <c r="E179" s="135"/>
      <c r="F179" s="135"/>
      <c r="G179" s="135"/>
      <c r="H179" s="135"/>
      <c r="I179" s="135"/>
      <c r="J179" s="135"/>
      <c r="K179" s="151"/>
    </row>
    <row r="180" spans="2:11" ht="18.75" thickBot="1" x14ac:dyDescent="0.4">
      <c r="B180" s="2"/>
    </row>
    <row r="181" spans="2:11" ht="18" x14ac:dyDescent="0.35">
      <c r="B181" s="2"/>
      <c r="D181" s="83" t="s">
        <v>51</v>
      </c>
      <c r="E181" s="50">
        <f>COVAR(D11:D60,E11:E60)</f>
        <v>540041.60965999996</v>
      </c>
      <c r="G181" s="74" t="s">
        <v>50</v>
      </c>
      <c r="H181" s="75">
        <f>+E181/SQRT(E182*E183)</f>
        <v>0.95990259258886979</v>
      </c>
      <c r="I181" s="136" t="s">
        <v>120</v>
      </c>
      <c r="J181" s="137"/>
      <c r="K181" s="138"/>
    </row>
    <row r="182" spans="2:11" ht="18.75" thickBot="1" x14ac:dyDescent="0.4">
      <c r="B182" s="2"/>
      <c r="D182" s="83" t="s">
        <v>52</v>
      </c>
      <c r="E182" s="50">
        <f>+VARP(D11:D60)</f>
        <v>75686.720400000006</v>
      </c>
      <c r="G182" s="76" t="s">
        <v>50</v>
      </c>
      <c r="H182" s="77">
        <f>E187/SQRT(E185*E186)</f>
        <v>0.95990259258886779</v>
      </c>
      <c r="I182" s="142"/>
      <c r="J182" s="143"/>
      <c r="K182" s="144"/>
    </row>
    <row r="183" spans="2:11" ht="18.75" thickBot="1" x14ac:dyDescent="0.4">
      <c r="B183" s="2"/>
      <c r="D183" s="83" t="s">
        <v>54</v>
      </c>
      <c r="E183" s="50">
        <f>+VARP(E11:E60)</f>
        <v>4181965.3458889648</v>
      </c>
    </row>
    <row r="184" spans="2:11" ht="16.899999999999999" customHeight="1" x14ac:dyDescent="0.35">
      <c r="B184" s="2"/>
      <c r="G184" s="172" t="s">
        <v>53</v>
      </c>
      <c r="H184" s="174">
        <f>E189/E188</f>
        <v>0.92141298725882992</v>
      </c>
      <c r="I184" s="136" t="s">
        <v>119</v>
      </c>
      <c r="J184" s="137"/>
      <c r="K184" s="137"/>
    </row>
    <row r="185" spans="2:11" ht="18.75" thickBot="1" x14ac:dyDescent="0.4">
      <c r="B185" s="2"/>
      <c r="D185" s="83" t="str">
        <f t="shared" ref="D185:E187" si="16">D103</f>
        <v>SSx</v>
      </c>
      <c r="E185" s="50">
        <f t="shared" si="16"/>
        <v>3784336.0199999996</v>
      </c>
      <c r="G185" s="173"/>
      <c r="H185" s="175"/>
      <c r="I185" s="142"/>
      <c r="J185" s="143"/>
      <c r="K185" s="143"/>
    </row>
    <row r="186" spans="2:11" ht="18" x14ac:dyDescent="0.35">
      <c r="B186" s="2"/>
      <c r="D186" s="83" t="str">
        <f t="shared" si="16"/>
        <v xml:space="preserve">SSy </v>
      </c>
      <c r="E186" s="50">
        <f t="shared" si="16"/>
        <v>209098267.29444885</v>
      </c>
      <c r="F186" s="29"/>
    </row>
    <row r="187" spans="2:11" ht="18" x14ac:dyDescent="0.35">
      <c r="B187" s="2"/>
      <c r="D187" s="83" t="str">
        <f t="shared" si="16"/>
        <v>SSxy</v>
      </c>
      <c r="E187" s="50">
        <f t="shared" si="16"/>
        <v>27002080.48299998</v>
      </c>
      <c r="F187" s="29"/>
    </row>
    <row r="188" spans="2:11" ht="18" x14ac:dyDescent="0.35">
      <c r="B188" s="2"/>
      <c r="D188" s="83" t="str">
        <f t="shared" ref="D188:E190" si="17">D119</f>
        <v>SST</v>
      </c>
      <c r="E188" s="50">
        <f t="shared" si="17"/>
        <v>209098267.29444885</v>
      </c>
      <c r="F188" s="29"/>
    </row>
    <row r="189" spans="2:11" ht="18" x14ac:dyDescent="0.35">
      <c r="B189" s="2"/>
      <c r="D189" s="83" t="str">
        <f t="shared" si="17"/>
        <v>SSR</v>
      </c>
      <c r="E189" s="50">
        <f t="shared" si="17"/>
        <v>192665859.09842342</v>
      </c>
      <c r="F189" s="29"/>
    </row>
    <row r="190" spans="2:11" ht="18" x14ac:dyDescent="0.35">
      <c r="B190" s="2"/>
      <c r="D190" s="83" t="str">
        <f t="shared" si="17"/>
        <v>SSE</v>
      </c>
      <c r="E190" s="50">
        <f t="shared" si="17"/>
        <v>16432408.196025431</v>
      </c>
    </row>
    <row r="192" spans="2:11" ht="18.75" thickBot="1" x14ac:dyDescent="0.4">
      <c r="B192" s="2"/>
      <c r="D192" s="29"/>
      <c r="E192" s="29"/>
      <c r="F192" s="29"/>
    </row>
    <row r="193" spans="2:17" ht="18.75" thickBot="1" x14ac:dyDescent="0.4">
      <c r="B193" s="9" t="s">
        <v>99</v>
      </c>
      <c r="C193" s="132" t="s">
        <v>102</v>
      </c>
      <c r="D193" s="133"/>
      <c r="E193" s="133"/>
      <c r="F193" s="133"/>
      <c r="G193" s="133"/>
      <c r="H193" s="133"/>
      <c r="I193" s="133"/>
      <c r="J193" s="133"/>
      <c r="K193" s="147"/>
    </row>
    <row r="194" spans="2:17" ht="15.75" thickBot="1" x14ac:dyDescent="0.3">
      <c r="C194" s="134"/>
      <c r="D194" s="135"/>
      <c r="E194" s="135"/>
      <c r="F194" s="135"/>
      <c r="G194" s="135"/>
      <c r="H194" s="135"/>
      <c r="I194" s="135"/>
      <c r="J194" s="135"/>
      <c r="K194" s="151"/>
    </row>
    <row r="195" spans="2:17" ht="15.75" thickBot="1" x14ac:dyDescent="0.3"/>
    <row r="196" spans="2:17" ht="15.75" thickBot="1" x14ac:dyDescent="0.3">
      <c r="C196" s="86" t="s">
        <v>56</v>
      </c>
    </row>
    <row r="198" spans="2:17" x14ac:dyDescent="0.25">
      <c r="C198" s="71" t="s">
        <v>127</v>
      </c>
    </row>
    <row r="199" spans="2:17" x14ac:dyDescent="0.25">
      <c r="C199" s="71" t="s">
        <v>128</v>
      </c>
    </row>
    <row r="200" spans="2:17" ht="18" x14ac:dyDescent="0.35">
      <c r="B200" s="2"/>
      <c r="D200" s="29"/>
      <c r="E200" s="29"/>
      <c r="F200" s="29"/>
      <c r="G200" s="29"/>
      <c r="H200" s="29"/>
      <c r="I200" s="29"/>
      <c r="J200" s="29"/>
      <c r="K200" s="29"/>
    </row>
    <row r="201" spans="2:17" ht="18" x14ac:dyDescent="0.35">
      <c r="B201" s="2"/>
      <c r="C201" s="1"/>
      <c r="D201" s="29"/>
      <c r="E201" s="29"/>
      <c r="G201" s="88" t="s">
        <v>16</v>
      </c>
      <c r="H201" s="89">
        <f>COUNT(D204:D253)</f>
        <v>50</v>
      </c>
      <c r="I201" s="29"/>
      <c r="J201" s="29"/>
      <c r="K201" s="1"/>
    </row>
    <row r="202" spans="2:17" ht="18" x14ac:dyDescent="0.35">
      <c r="B202" s="2"/>
      <c r="C202" s="1"/>
      <c r="D202" s="29"/>
      <c r="E202" s="29"/>
      <c r="G202" s="88" t="s">
        <v>57</v>
      </c>
      <c r="H202" s="89">
        <f>ROUNDUP(3.33*LOG(H201)+1,0)</f>
        <v>7</v>
      </c>
      <c r="I202" s="29"/>
      <c r="J202" s="34"/>
      <c r="K202" s="1"/>
    </row>
    <row r="203" spans="2:17" ht="18" x14ac:dyDescent="0.35">
      <c r="B203" s="2"/>
      <c r="C203" s="97" t="s">
        <v>58</v>
      </c>
      <c r="D203" s="97" t="s">
        <v>59</v>
      </c>
      <c r="E203" s="97" t="s">
        <v>60</v>
      </c>
      <c r="G203" s="88" t="s">
        <v>61</v>
      </c>
      <c r="H203" s="89">
        <f>ROUNDUP((D253-D204)/H202,2)</f>
        <v>486.81</v>
      </c>
      <c r="I203" s="29"/>
      <c r="J203" s="29"/>
      <c r="K203" s="1"/>
    </row>
    <row r="204" spans="2:17" ht="18" x14ac:dyDescent="0.35">
      <c r="B204" s="2"/>
      <c r="C204" s="5">
        <f t="shared" ref="C204:C235" si="18">ROUND(J11,2)</f>
        <v>163.52000000000001</v>
      </c>
      <c r="D204" s="5">
        <v>-2372.94</v>
      </c>
      <c r="E204" s="94">
        <f t="shared" ref="E204:E235" si="19">+ROUND(D204/SQRT($H$205),4)</f>
        <v>-4.0556000000000001</v>
      </c>
      <c r="G204" s="88" t="s">
        <v>62</v>
      </c>
      <c r="H204" s="89">
        <v>0.01</v>
      </c>
      <c r="I204" s="29"/>
      <c r="J204" s="29"/>
      <c r="K204" s="1"/>
    </row>
    <row r="205" spans="2:17" ht="18" x14ac:dyDescent="0.35">
      <c r="B205" s="2"/>
      <c r="C205" s="7">
        <f t="shared" si="18"/>
        <v>-254.61</v>
      </c>
      <c r="D205" s="7">
        <v>-1799.98</v>
      </c>
      <c r="E205" s="95">
        <f t="shared" si="19"/>
        <v>-3.0764</v>
      </c>
      <c r="G205" s="88" t="s">
        <v>171</v>
      </c>
      <c r="H205" s="89">
        <f>G128</f>
        <v>342341.83741719648</v>
      </c>
      <c r="I205" s="29"/>
      <c r="J205" s="29"/>
      <c r="K205" s="2"/>
    </row>
    <row r="206" spans="2:17" ht="18" x14ac:dyDescent="0.35">
      <c r="B206" s="2"/>
      <c r="C206" s="7">
        <f t="shared" si="18"/>
        <v>-176.49</v>
      </c>
      <c r="D206" s="7">
        <v>-843.22</v>
      </c>
      <c r="E206" s="95">
        <f t="shared" si="19"/>
        <v>-1.4412</v>
      </c>
      <c r="I206" s="34"/>
      <c r="J206" s="34"/>
      <c r="K206" s="2"/>
    </row>
    <row r="207" spans="2:17" ht="18" x14ac:dyDescent="0.35">
      <c r="B207" s="2"/>
      <c r="C207" s="7">
        <f t="shared" si="18"/>
        <v>-155.25</v>
      </c>
      <c r="D207" s="7">
        <v>-695.84</v>
      </c>
      <c r="E207" s="95">
        <f t="shared" si="19"/>
        <v>-1.1893</v>
      </c>
      <c r="G207" s="79" t="s">
        <v>63</v>
      </c>
      <c r="H207" s="145" t="s">
        <v>64</v>
      </c>
      <c r="I207" s="145"/>
      <c r="J207" s="146" t="s">
        <v>65</v>
      </c>
      <c r="K207" s="146"/>
      <c r="L207" s="124" t="s">
        <v>66</v>
      </c>
      <c r="M207" s="125"/>
      <c r="N207" s="79" t="s">
        <v>67</v>
      </c>
      <c r="O207" s="79" t="s">
        <v>67</v>
      </c>
      <c r="P207" s="79" t="s">
        <v>68</v>
      </c>
      <c r="Q207" s="80" t="s">
        <v>58</v>
      </c>
    </row>
    <row r="208" spans="2:17" ht="18" x14ac:dyDescent="0.35">
      <c r="B208" s="2"/>
      <c r="C208" s="7">
        <f t="shared" si="18"/>
        <v>98.92</v>
      </c>
      <c r="D208" s="7">
        <v>-599.98</v>
      </c>
      <c r="E208" s="95">
        <f t="shared" si="19"/>
        <v>-1.0254000000000001</v>
      </c>
      <c r="G208" s="63">
        <v>1</v>
      </c>
      <c r="H208" s="78">
        <f>D204</f>
        <v>-2372.94</v>
      </c>
      <c r="I208" s="78">
        <f>H208+$H$203-$H$204</f>
        <v>-1886.14</v>
      </c>
      <c r="J208" s="90">
        <f>H208-$H$204/2</f>
        <v>-2372.9450000000002</v>
      </c>
      <c r="K208" s="90">
        <f>I208+$H$204/2</f>
        <v>-1886.135</v>
      </c>
      <c r="L208" s="91"/>
      <c r="M208" s="91">
        <f>ROUND((K208-0)/SQRT($H$205),4)</f>
        <v>-3.2235999999999998</v>
      </c>
      <c r="N208" t="s">
        <v>172</v>
      </c>
      <c r="O208" s="90">
        <f>NORMSDIST(M208)</f>
        <v>6.3295045130135031E-4</v>
      </c>
      <c r="P208" s="63">
        <f>COUNTIFS($E$204:$E$253,"&lt;" &amp; M208)</f>
        <v>1</v>
      </c>
      <c r="Q208" s="78">
        <f>O208*$H$201</f>
        <v>3.1647522565067518E-2</v>
      </c>
    </row>
    <row r="209" spans="2:17" ht="18" x14ac:dyDescent="0.35">
      <c r="B209" s="2"/>
      <c r="C209" s="7">
        <f t="shared" si="18"/>
        <v>205.95</v>
      </c>
      <c r="D209" s="7">
        <v>-539.78</v>
      </c>
      <c r="E209" s="95">
        <f t="shared" si="19"/>
        <v>-0.92249999999999999</v>
      </c>
      <c r="G209" s="63">
        <v>2</v>
      </c>
      <c r="H209" s="78">
        <f>H208+$H$203</f>
        <v>-1886.13</v>
      </c>
      <c r="I209" s="78">
        <f t="shared" ref="H209:I214" si="20">I208+$H$203</f>
        <v>-1399.3300000000002</v>
      </c>
      <c r="J209" s="90">
        <f t="shared" ref="J209:J214" si="21">H209-$H$204/2</f>
        <v>-1886.1350000000002</v>
      </c>
      <c r="K209" s="90">
        <f t="shared" ref="K209:K214" si="22">I209+$H$204/2</f>
        <v>-1399.325</v>
      </c>
      <c r="L209" s="91">
        <f>+M208</f>
        <v>-3.2235999999999998</v>
      </c>
      <c r="M209" s="91">
        <f t="shared" ref="M209:M213" si="23">ROUND(K209/SQRT($H$205),4)</f>
        <v>-2.3915999999999999</v>
      </c>
      <c r="N209" s="91" t="s">
        <v>174</v>
      </c>
      <c r="O209" s="90">
        <f>NORMSDIST(M209)-NORMSDIST(L209)</f>
        <v>7.7546062783991395E-3</v>
      </c>
      <c r="P209" s="63">
        <f>COUNTIFS($E$204:$E$253,"&lt;" &amp; M209,$E$204:$E$253,"&gt;=" &amp; L209)</f>
        <v>1</v>
      </c>
      <c r="Q209" s="78">
        <f t="shared" ref="Q209:Q214" si="24">O209*$H$201</f>
        <v>0.38773031391995699</v>
      </c>
    </row>
    <row r="210" spans="2:17" ht="18" x14ac:dyDescent="0.35">
      <c r="B210" s="2"/>
      <c r="C210" s="7">
        <f t="shared" si="18"/>
        <v>779.73</v>
      </c>
      <c r="D210" s="7">
        <v>-446</v>
      </c>
      <c r="E210" s="95">
        <f t="shared" si="19"/>
        <v>-0.76229999999999998</v>
      </c>
      <c r="G210" s="63">
        <v>3</v>
      </c>
      <c r="H210" s="78">
        <f t="shared" si="20"/>
        <v>-1399.3200000000002</v>
      </c>
      <c r="I210" s="78">
        <f t="shared" si="20"/>
        <v>-912.52000000000021</v>
      </c>
      <c r="J210" s="90">
        <f t="shared" si="21"/>
        <v>-1399.3250000000003</v>
      </c>
      <c r="K210" s="90">
        <f t="shared" si="22"/>
        <v>-912.51500000000021</v>
      </c>
      <c r="L210" s="91">
        <f t="shared" ref="L210:L214" si="25">+M209</f>
        <v>-2.3915999999999999</v>
      </c>
      <c r="M210" s="91">
        <f t="shared" si="23"/>
        <v>-1.5596000000000001</v>
      </c>
      <c r="N210" s="91"/>
      <c r="O210" s="90">
        <f>NORMSDIST(M210)-NORMSDIST(L210)</f>
        <v>5.1039661530953497E-2</v>
      </c>
      <c r="P210" s="63">
        <f t="shared" ref="P210:P213" si="26">COUNTIFS($E$204:$E$253,"&lt;" &amp; M210,$E$204:$E$253,"&gt;=" &amp; L210)</f>
        <v>0</v>
      </c>
      <c r="Q210" s="78">
        <f t="shared" si="24"/>
        <v>2.5519830765476748</v>
      </c>
    </row>
    <row r="211" spans="2:17" ht="18" x14ac:dyDescent="0.35">
      <c r="B211" s="2"/>
      <c r="C211" s="7">
        <f t="shared" si="18"/>
        <v>92.93</v>
      </c>
      <c r="D211" s="7">
        <v>-393.24</v>
      </c>
      <c r="E211" s="95">
        <f t="shared" si="19"/>
        <v>-0.67210000000000003</v>
      </c>
      <c r="G211" s="63">
        <v>4</v>
      </c>
      <c r="H211" s="78">
        <f t="shared" si="20"/>
        <v>-912.51000000000022</v>
      </c>
      <c r="I211" s="78">
        <f t="shared" si="20"/>
        <v>-425.71000000000021</v>
      </c>
      <c r="J211" s="90">
        <f t="shared" si="21"/>
        <v>-912.51500000000021</v>
      </c>
      <c r="K211" s="90">
        <f t="shared" si="22"/>
        <v>-425.70500000000021</v>
      </c>
      <c r="L211" s="91">
        <f t="shared" si="25"/>
        <v>-1.5596000000000001</v>
      </c>
      <c r="M211" s="91">
        <f t="shared" si="23"/>
        <v>-0.72760000000000002</v>
      </c>
      <c r="N211" s="91"/>
      <c r="O211" s="90">
        <f>NORMSDIST(M211)-NORMSDIST(L211)</f>
        <v>0.17400202204570614</v>
      </c>
      <c r="P211" s="63">
        <f t="shared" si="26"/>
        <v>5</v>
      </c>
      <c r="Q211" s="78">
        <f t="shared" si="24"/>
        <v>8.7001011022853074</v>
      </c>
    </row>
    <row r="212" spans="2:17" ht="18" x14ac:dyDescent="0.35">
      <c r="B212" s="2"/>
      <c r="C212" s="7">
        <f t="shared" si="18"/>
        <v>157.15</v>
      </c>
      <c r="D212" s="7">
        <v>-374.54</v>
      </c>
      <c r="E212" s="95">
        <f t="shared" si="19"/>
        <v>-0.6401</v>
      </c>
      <c r="G212" s="63">
        <v>5</v>
      </c>
      <c r="H212" s="78">
        <f t="shared" si="20"/>
        <v>-425.70000000000022</v>
      </c>
      <c r="I212" s="78">
        <f t="shared" si="20"/>
        <v>61.099999999999795</v>
      </c>
      <c r="J212" s="90">
        <f t="shared" si="21"/>
        <v>-425.70500000000021</v>
      </c>
      <c r="K212" s="90">
        <f t="shared" si="22"/>
        <v>61.104999999999798</v>
      </c>
      <c r="L212" s="91">
        <f t="shared" si="25"/>
        <v>-0.72760000000000002</v>
      </c>
      <c r="M212" s="91">
        <f t="shared" si="23"/>
        <v>0.10440000000000001</v>
      </c>
      <c r="N212" s="91"/>
      <c r="O212" s="90">
        <f>NORMSDIST(M212)-NORMSDIST(L212)</f>
        <v>0.30814479835206032</v>
      </c>
      <c r="P212" s="63">
        <f t="shared" si="26"/>
        <v>14</v>
      </c>
      <c r="Q212" s="78">
        <f t="shared" si="24"/>
        <v>15.407239917603016</v>
      </c>
    </row>
    <row r="213" spans="2:17" ht="18" x14ac:dyDescent="0.35">
      <c r="B213" s="2"/>
      <c r="C213" s="7">
        <f t="shared" si="18"/>
        <v>-109.65</v>
      </c>
      <c r="D213" s="7">
        <v>-254.61</v>
      </c>
      <c r="E213" s="95">
        <f t="shared" si="19"/>
        <v>-0.43519999999999998</v>
      </c>
      <c r="G213" s="63">
        <v>6</v>
      </c>
      <c r="H213" s="78">
        <f t="shared" si="20"/>
        <v>61.109999999999786</v>
      </c>
      <c r="I213" s="78">
        <f t="shared" si="20"/>
        <v>547.90999999999985</v>
      </c>
      <c r="J213" s="90">
        <f t="shared" si="21"/>
        <v>61.104999999999784</v>
      </c>
      <c r="K213" s="90">
        <f t="shared" si="22"/>
        <v>547.91499999999985</v>
      </c>
      <c r="L213" s="91">
        <f t="shared" si="25"/>
        <v>0.10440000000000001</v>
      </c>
      <c r="M213" s="91">
        <f t="shared" si="23"/>
        <v>0.93640000000000001</v>
      </c>
      <c r="N213" s="91"/>
      <c r="O213" s="90">
        <f>NORMSDIST(M213)-NORMSDIST(L213)</f>
        <v>0.28389232236078588</v>
      </c>
      <c r="P213" s="63">
        <f t="shared" si="26"/>
        <v>24</v>
      </c>
      <c r="Q213" s="78">
        <f t="shared" si="24"/>
        <v>14.194616118039294</v>
      </c>
    </row>
    <row r="214" spans="2:17" ht="18" x14ac:dyDescent="0.35">
      <c r="B214" s="2"/>
      <c r="C214" s="7">
        <f t="shared" si="18"/>
        <v>-109.65</v>
      </c>
      <c r="D214" s="7">
        <v>-248.57</v>
      </c>
      <c r="E214" s="95">
        <f t="shared" si="19"/>
        <v>-0.42480000000000001</v>
      </c>
      <c r="G214" s="63">
        <v>7</v>
      </c>
      <c r="H214" s="78">
        <f t="shared" si="20"/>
        <v>547.91999999999985</v>
      </c>
      <c r="I214" s="78">
        <f t="shared" si="20"/>
        <v>1034.7199999999998</v>
      </c>
      <c r="J214" s="90">
        <f t="shared" si="21"/>
        <v>547.91499999999985</v>
      </c>
      <c r="K214" s="90">
        <f t="shared" si="22"/>
        <v>1034.7249999999999</v>
      </c>
      <c r="L214" s="91">
        <f t="shared" si="25"/>
        <v>0.93640000000000001</v>
      </c>
      <c r="M214" s="91"/>
      <c r="N214" t="s">
        <v>173</v>
      </c>
      <c r="O214" s="78">
        <f>1-NORMSDIST(L214)</f>
        <v>0.17453363898079366</v>
      </c>
      <c r="P214" s="63">
        <f>COUNTIFS($E$204:$E$253,"&gt;=" &amp; L214)</f>
        <v>5</v>
      </c>
      <c r="Q214" s="78">
        <f t="shared" si="24"/>
        <v>8.7266819490396834</v>
      </c>
    </row>
    <row r="215" spans="2:17" ht="18" x14ac:dyDescent="0.35">
      <c r="B215" s="2"/>
      <c r="C215" s="7">
        <f t="shared" si="18"/>
        <v>-393.24</v>
      </c>
      <c r="D215" s="7">
        <v>-176.49</v>
      </c>
      <c r="E215" s="95">
        <f t="shared" si="19"/>
        <v>-0.30159999999999998</v>
      </c>
      <c r="G215" s="63" t="s">
        <v>10</v>
      </c>
      <c r="H215" s="63"/>
      <c r="I215" s="63"/>
      <c r="J215" s="63"/>
      <c r="K215" s="90"/>
      <c r="L215" s="63"/>
      <c r="M215" s="63"/>
      <c r="N215" s="63"/>
      <c r="O215" s="63">
        <f>SUM(O208:O214)</f>
        <v>1</v>
      </c>
      <c r="P215" s="92">
        <f>SUM(P208:P214)</f>
        <v>50</v>
      </c>
      <c r="Q215" s="92">
        <f>SUM(Q208:Q214)</f>
        <v>50</v>
      </c>
    </row>
    <row r="216" spans="2:17" ht="18" x14ac:dyDescent="0.35">
      <c r="B216" s="2"/>
      <c r="C216" s="7">
        <f t="shared" si="18"/>
        <v>618.47</v>
      </c>
      <c r="D216" s="7">
        <v>-176.04</v>
      </c>
      <c r="E216" s="95">
        <f t="shared" si="19"/>
        <v>-0.3009</v>
      </c>
      <c r="F216" s="29"/>
      <c r="G216" s="29"/>
      <c r="H216" s="29"/>
      <c r="I216" s="29"/>
      <c r="J216" s="1"/>
      <c r="K216" s="1"/>
    </row>
    <row r="217" spans="2:17" ht="18" x14ac:dyDescent="0.35">
      <c r="B217" s="2"/>
      <c r="C217" s="7">
        <f t="shared" si="18"/>
        <v>84.95</v>
      </c>
      <c r="D217" s="7">
        <v>-155.25</v>
      </c>
      <c r="E217" s="95">
        <f t="shared" si="19"/>
        <v>-0.26529999999999998</v>
      </c>
      <c r="F217" s="29"/>
      <c r="G217" s="98" t="s">
        <v>63</v>
      </c>
      <c r="H217" s="98" t="s">
        <v>68</v>
      </c>
      <c r="I217" s="99" t="s">
        <v>58</v>
      </c>
      <c r="J217" s="98" t="s">
        <v>69</v>
      </c>
      <c r="K217" s="1"/>
      <c r="M217" t="s">
        <v>173</v>
      </c>
    </row>
    <row r="218" spans="2:17" ht="18" x14ac:dyDescent="0.35">
      <c r="B218" s="2"/>
      <c r="C218" s="7">
        <f t="shared" si="18"/>
        <v>516.23</v>
      </c>
      <c r="D218" s="7">
        <v>-109.65</v>
      </c>
      <c r="E218" s="95">
        <f t="shared" si="19"/>
        <v>-0.18740000000000001</v>
      </c>
      <c r="F218" s="29">
        <v>1</v>
      </c>
      <c r="G218" s="100" t="s">
        <v>101</v>
      </c>
      <c r="H218" s="100">
        <f>P208+P209+P210+P211</f>
        <v>7</v>
      </c>
      <c r="I218" s="101">
        <f>Q208+Q209+Q210+Q211</f>
        <v>11.671462015318006</v>
      </c>
      <c r="J218" s="100">
        <f>(H218-I218)^2/I218</f>
        <v>1.8697363990833655</v>
      </c>
      <c r="K218" s="1"/>
    </row>
    <row r="219" spans="2:17" ht="18" x14ac:dyDescent="0.35">
      <c r="B219" s="2"/>
      <c r="C219" s="7">
        <f t="shared" si="18"/>
        <v>-5.34</v>
      </c>
      <c r="D219" s="7">
        <v>-109.65</v>
      </c>
      <c r="E219" s="95">
        <f t="shared" si="19"/>
        <v>-0.18740000000000001</v>
      </c>
      <c r="F219" s="29">
        <v>2</v>
      </c>
      <c r="G219" s="100">
        <v>5</v>
      </c>
      <c r="H219" s="100">
        <f t="shared" ref="H219:I221" si="27">P212</f>
        <v>14</v>
      </c>
      <c r="I219" s="101">
        <f t="shared" si="27"/>
        <v>15.407239917603016</v>
      </c>
      <c r="J219" s="100">
        <f>(H219-I219)^2/I219</f>
        <v>0.12853205352068234</v>
      </c>
      <c r="K219" s="1"/>
    </row>
    <row r="220" spans="2:17" ht="18" x14ac:dyDescent="0.35">
      <c r="B220" s="2"/>
      <c r="C220" s="7">
        <f t="shared" si="18"/>
        <v>421.74</v>
      </c>
      <c r="D220" s="7">
        <v>-75.95</v>
      </c>
      <c r="E220" s="95">
        <f t="shared" si="19"/>
        <v>-0.1298</v>
      </c>
      <c r="F220" s="29">
        <v>3</v>
      </c>
      <c r="G220" s="100">
        <v>6</v>
      </c>
      <c r="H220" s="100">
        <f t="shared" si="27"/>
        <v>24</v>
      </c>
      <c r="I220" s="101">
        <f t="shared" si="27"/>
        <v>14.194616118039294</v>
      </c>
      <c r="J220" s="100">
        <f>(H220-I220)^2/I220</f>
        <v>6.7733817014204263</v>
      </c>
      <c r="K220" s="1"/>
    </row>
    <row r="221" spans="2:17" ht="18" x14ac:dyDescent="0.35">
      <c r="B221" s="2"/>
      <c r="C221" s="7">
        <f t="shared" si="18"/>
        <v>-1799.98</v>
      </c>
      <c r="D221" s="7">
        <v>-5.34</v>
      </c>
      <c r="E221" s="95">
        <f t="shared" si="19"/>
        <v>-9.1000000000000004E-3</v>
      </c>
      <c r="F221" s="29">
        <v>4</v>
      </c>
      <c r="G221" s="100">
        <v>7</v>
      </c>
      <c r="H221" s="100">
        <f t="shared" si="27"/>
        <v>5</v>
      </c>
      <c r="I221" s="101">
        <f t="shared" si="27"/>
        <v>8.7266819490396834</v>
      </c>
      <c r="J221" s="100">
        <f>(H221-I221)^2/I221</f>
        <v>1.5914592087117967</v>
      </c>
      <c r="K221" s="1"/>
    </row>
    <row r="222" spans="2:17" ht="18" x14ac:dyDescent="0.35">
      <c r="B222" s="2"/>
      <c r="C222" s="7">
        <f t="shared" si="18"/>
        <v>-599.98</v>
      </c>
      <c r="D222" s="7">
        <v>36.06</v>
      </c>
      <c r="E222" s="95">
        <f t="shared" si="19"/>
        <v>6.1600000000000002E-2</v>
      </c>
      <c r="F222" s="29"/>
      <c r="G222" s="100" t="s">
        <v>10</v>
      </c>
      <c r="H222" s="100">
        <f>SUM(H218:H221)</f>
        <v>50</v>
      </c>
      <c r="I222" s="101">
        <f>SUM(I218:I221)</f>
        <v>50</v>
      </c>
      <c r="J222" s="100">
        <f>SUM(J218:J221)</f>
        <v>10.363109362736271</v>
      </c>
    </row>
    <row r="223" spans="2:17" ht="18" x14ac:dyDescent="0.35">
      <c r="B223" s="2"/>
      <c r="C223" s="7">
        <f t="shared" si="18"/>
        <v>-843.22</v>
      </c>
      <c r="D223" s="7">
        <v>43.04</v>
      </c>
      <c r="E223" s="95">
        <f t="shared" si="19"/>
        <v>7.3599999999999999E-2</v>
      </c>
      <c r="F223" s="29"/>
    </row>
    <row r="224" spans="2:17" ht="18" customHeight="1" x14ac:dyDescent="0.35">
      <c r="B224" s="2"/>
      <c r="C224" s="7">
        <f t="shared" si="18"/>
        <v>306.56</v>
      </c>
      <c r="D224" s="7">
        <v>45.04</v>
      </c>
      <c r="E224" s="95">
        <f t="shared" si="19"/>
        <v>7.6999999999999999E-2</v>
      </c>
      <c r="F224" s="29"/>
      <c r="G224" s="84" t="s">
        <v>175</v>
      </c>
      <c r="H224" s="85">
        <f>J222</f>
        <v>10.363109362736271</v>
      </c>
    </row>
    <row r="225" spans="2:16" ht="18" customHeight="1" x14ac:dyDescent="0.35">
      <c r="B225" s="2"/>
      <c r="C225" s="7">
        <f t="shared" si="18"/>
        <v>306.56</v>
      </c>
      <c r="D225" s="7">
        <v>62</v>
      </c>
      <c r="E225" s="95">
        <f t="shared" si="19"/>
        <v>0.106</v>
      </c>
      <c r="F225" s="29"/>
      <c r="G225" s="84" t="s">
        <v>129</v>
      </c>
      <c r="H225" s="85">
        <f>CHIINV(H226,4-1)</f>
        <v>11.344866730144371</v>
      </c>
      <c r="I225" s="1"/>
    </row>
    <row r="226" spans="2:16" ht="18" x14ac:dyDescent="0.35">
      <c r="B226" s="2"/>
      <c r="C226" s="7">
        <f t="shared" si="18"/>
        <v>87.4</v>
      </c>
      <c r="D226" s="7">
        <v>78.72</v>
      </c>
      <c r="E226" s="95">
        <f t="shared" si="19"/>
        <v>0.13450000000000001</v>
      </c>
      <c r="F226" s="29"/>
      <c r="G226" s="84" t="s">
        <v>70</v>
      </c>
      <c r="H226" s="85">
        <v>0.01</v>
      </c>
      <c r="I226" s="1"/>
    </row>
    <row r="227" spans="2:16" ht="18" x14ac:dyDescent="0.35">
      <c r="B227" s="2"/>
      <c r="C227" s="7">
        <f t="shared" si="18"/>
        <v>-75.95</v>
      </c>
      <c r="D227" s="7">
        <v>84.95</v>
      </c>
      <c r="E227" s="95">
        <f t="shared" si="19"/>
        <v>0.1452</v>
      </c>
      <c r="F227" s="29"/>
      <c r="G227" s="84" t="s">
        <v>71</v>
      </c>
      <c r="H227" s="85">
        <f>CHIDIST(J222,4-1)</f>
        <v>1.5718846944549648E-2</v>
      </c>
      <c r="I227" s="1"/>
      <c r="J227" s="1"/>
      <c r="K227" s="1"/>
    </row>
    <row r="228" spans="2:16" ht="18" x14ac:dyDescent="0.35">
      <c r="B228" s="2"/>
      <c r="C228" s="7">
        <f t="shared" si="18"/>
        <v>137.34</v>
      </c>
      <c r="D228" s="7">
        <v>87.4</v>
      </c>
      <c r="E228" s="95">
        <f t="shared" si="19"/>
        <v>0.14940000000000001</v>
      </c>
      <c r="F228" s="29"/>
    </row>
    <row r="229" spans="2:16" ht="18.75" thickBot="1" x14ac:dyDescent="0.4">
      <c r="B229" s="2"/>
      <c r="C229" s="7">
        <f t="shared" si="18"/>
        <v>1034.68</v>
      </c>
      <c r="D229" s="7">
        <v>92.93</v>
      </c>
      <c r="E229" s="95">
        <f t="shared" si="19"/>
        <v>0.1588</v>
      </c>
      <c r="F229" s="29"/>
    </row>
    <row r="230" spans="2:16" ht="18" x14ac:dyDescent="0.35">
      <c r="B230" s="2"/>
      <c r="C230" s="7">
        <f t="shared" si="18"/>
        <v>62</v>
      </c>
      <c r="D230" s="7">
        <v>98.92</v>
      </c>
      <c r="E230" s="95">
        <f t="shared" si="19"/>
        <v>0.1691</v>
      </c>
      <c r="F230" s="29"/>
      <c r="G230" s="126" t="s">
        <v>130</v>
      </c>
      <c r="H230" s="127"/>
      <c r="I230" s="127"/>
      <c r="J230" s="127"/>
      <c r="K230" s="127"/>
      <c r="L230" s="127"/>
      <c r="M230" s="127"/>
      <c r="N230" s="127"/>
      <c r="O230" s="127"/>
      <c r="P230" s="128"/>
    </row>
    <row r="231" spans="2:16" ht="18.75" thickBot="1" x14ac:dyDescent="0.4">
      <c r="B231" s="2"/>
      <c r="C231" s="7">
        <f t="shared" si="18"/>
        <v>358.54</v>
      </c>
      <c r="D231" s="7">
        <v>119.56</v>
      </c>
      <c r="E231" s="95">
        <f t="shared" si="19"/>
        <v>0.20430000000000001</v>
      </c>
      <c r="F231" s="29"/>
      <c r="G231" s="129"/>
      <c r="H231" s="130"/>
      <c r="I231" s="130"/>
      <c r="J231" s="130"/>
      <c r="K231" s="130"/>
      <c r="L231" s="130"/>
      <c r="M231" s="130"/>
      <c r="N231" s="130"/>
      <c r="O231" s="130"/>
      <c r="P231" s="131"/>
    </row>
    <row r="232" spans="2:16" ht="18" x14ac:dyDescent="0.35">
      <c r="B232" s="2"/>
      <c r="C232" s="7">
        <f t="shared" si="18"/>
        <v>218.98</v>
      </c>
      <c r="D232" s="7">
        <v>123.38</v>
      </c>
      <c r="E232" s="95">
        <f t="shared" si="19"/>
        <v>0.2109</v>
      </c>
      <c r="F232" s="29"/>
    </row>
    <row r="233" spans="2:16" ht="18" x14ac:dyDescent="0.35">
      <c r="B233" s="2"/>
      <c r="C233" s="7">
        <f t="shared" si="18"/>
        <v>-2372.94</v>
      </c>
      <c r="D233" s="7">
        <v>126.86</v>
      </c>
      <c r="E233" s="95">
        <f t="shared" si="19"/>
        <v>0.21679999999999999</v>
      </c>
      <c r="F233" s="29"/>
    </row>
    <row r="234" spans="2:16" ht="18" x14ac:dyDescent="0.35">
      <c r="B234" s="2"/>
      <c r="C234" s="7">
        <f t="shared" si="18"/>
        <v>582.87</v>
      </c>
      <c r="D234" s="7">
        <v>137.34</v>
      </c>
      <c r="E234" s="95">
        <f t="shared" si="19"/>
        <v>0.23469999999999999</v>
      </c>
      <c r="F234" s="29"/>
      <c r="G234" s="29"/>
    </row>
    <row r="235" spans="2:16" ht="18" x14ac:dyDescent="0.35">
      <c r="B235" s="2"/>
      <c r="C235" s="7">
        <f t="shared" si="18"/>
        <v>290.89999999999998</v>
      </c>
      <c r="D235" s="7">
        <v>157.15</v>
      </c>
      <c r="E235" s="95">
        <f t="shared" si="19"/>
        <v>0.26860000000000001</v>
      </c>
      <c r="F235" s="29"/>
      <c r="G235" s="29"/>
      <c r="H235" s="29"/>
      <c r="I235" s="29"/>
      <c r="J235" s="29"/>
      <c r="K235" s="29"/>
    </row>
    <row r="236" spans="2:16" ht="18" x14ac:dyDescent="0.35">
      <c r="B236" s="2"/>
      <c r="C236" s="7">
        <f t="shared" ref="C236:C253" si="28">ROUND(J43,2)</f>
        <v>123.38</v>
      </c>
      <c r="D236" s="7">
        <v>159.19999999999999</v>
      </c>
      <c r="E236" s="95">
        <f t="shared" ref="E236:E253" si="29">+ROUND(D236/SQRT($H$205),4)</f>
        <v>0.27210000000000001</v>
      </c>
      <c r="F236" s="29"/>
      <c r="G236" s="29"/>
      <c r="H236" s="29"/>
      <c r="I236" s="29"/>
      <c r="J236" s="29"/>
      <c r="K236" s="29"/>
    </row>
    <row r="237" spans="2:16" ht="18" x14ac:dyDescent="0.35">
      <c r="B237" s="2"/>
      <c r="C237" s="7">
        <f t="shared" si="28"/>
        <v>469.23</v>
      </c>
      <c r="D237" s="7">
        <v>163.52000000000001</v>
      </c>
      <c r="E237" s="95">
        <f t="shared" si="29"/>
        <v>0.27950000000000003</v>
      </c>
      <c r="F237" s="29"/>
      <c r="G237" s="29"/>
      <c r="H237" s="29"/>
      <c r="I237" s="29"/>
      <c r="J237" s="29"/>
      <c r="K237" s="29"/>
    </row>
    <row r="238" spans="2:16" ht="18" x14ac:dyDescent="0.35">
      <c r="B238" s="2"/>
      <c r="C238" s="7">
        <f t="shared" si="28"/>
        <v>417.92</v>
      </c>
      <c r="D238" s="7">
        <v>205.95</v>
      </c>
      <c r="E238" s="95">
        <f t="shared" si="29"/>
        <v>0.35199999999999998</v>
      </c>
      <c r="F238" s="29"/>
      <c r="G238" s="29"/>
      <c r="H238" s="29"/>
      <c r="I238" s="29"/>
      <c r="J238" s="29"/>
      <c r="K238" s="29"/>
    </row>
    <row r="239" spans="2:16" ht="18" x14ac:dyDescent="0.35">
      <c r="B239" s="2"/>
      <c r="C239" s="7">
        <f t="shared" si="28"/>
        <v>45.04</v>
      </c>
      <c r="D239" s="7">
        <v>218.98</v>
      </c>
      <c r="E239" s="95">
        <f t="shared" si="29"/>
        <v>0.37430000000000002</v>
      </c>
      <c r="F239" s="29"/>
      <c r="G239" s="29"/>
      <c r="H239" s="29"/>
      <c r="I239" s="29"/>
      <c r="J239" s="29"/>
      <c r="K239" s="29"/>
    </row>
    <row r="240" spans="2:16" ht="18" x14ac:dyDescent="0.35">
      <c r="B240" s="2"/>
      <c r="C240" s="7">
        <f t="shared" si="28"/>
        <v>159.19999999999999</v>
      </c>
      <c r="D240" s="7">
        <v>230.55</v>
      </c>
      <c r="E240" s="95">
        <f t="shared" si="29"/>
        <v>0.39400000000000002</v>
      </c>
      <c r="F240" s="29"/>
      <c r="G240" s="29"/>
      <c r="H240" s="29"/>
      <c r="I240" s="29"/>
      <c r="J240" s="29"/>
      <c r="K240" s="29"/>
    </row>
    <row r="241" spans="2:11" ht="18" x14ac:dyDescent="0.35">
      <c r="B241" s="2"/>
      <c r="C241" s="7">
        <f t="shared" si="28"/>
        <v>43.04</v>
      </c>
      <c r="D241" s="7">
        <v>290.89999999999998</v>
      </c>
      <c r="E241" s="95">
        <f t="shared" si="29"/>
        <v>0.49719999999999998</v>
      </c>
      <c r="F241" s="29"/>
      <c r="G241" s="29"/>
      <c r="H241" s="1"/>
      <c r="I241" s="1"/>
      <c r="J241" s="1"/>
      <c r="K241" s="1"/>
    </row>
    <row r="242" spans="2:11" ht="18" x14ac:dyDescent="0.35">
      <c r="B242" s="2"/>
      <c r="C242" s="7">
        <f t="shared" si="28"/>
        <v>78.72</v>
      </c>
      <c r="D242" s="7">
        <v>306.56</v>
      </c>
      <c r="E242" s="95">
        <f t="shared" si="29"/>
        <v>0.52390000000000003</v>
      </c>
      <c r="F242" s="29"/>
      <c r="G242" s="29"/>
      <c r="H242" s="1"/>
      <c r="I242" s="1"/>
      <c r="J242" s="1"/>
      <c r="K242" s="1"/>
    </row>
    <row r="243" spans="2:11" ht="18" x14ac:dyDescent="0.35">
      <c r="B243" s="2"/>
      <c r="C243" s="7">
        <f t="shared" si="28"/>
        <v>230.55</v>
      </c>
      <c r="D243" s="7">
        <v>306.56</v>
      </c>
      <c r="E243" s="95">
        <f t="shared" si="29"/>
        <v>0.52390000000000003</v>
      </c>
      <c r="F243" s="29"/>
      <c r="G243" s="29"/>
      <c r="H243" s="1"/>
      <c r="I243" s="1"/>
      <c r="J243" s="1"/>
      <c r="K243" s="1"/>
    </row>
    <row r="244" spans="2:11" ht="18" x14ac:dyDescent="0.35">
      <c r="B244" s="2"/>
      <c r="C244" s="7">
        <f t="shared" si="28"/>
        <v>-695.84</v>
      </c>
      <c r="D244" s="7">
        <v>358.54</v>
      </c>
      <c r="E244" s="95">
        <f t="shared" si="29"/>
        <v>0.61280000000000001</v>
      </c>
      <c r="F244" s="29"/>
      <c r="G244" s="29"/>
      <c r="H244" s="1"/>
      <c r="I244" s="1"/>
      <c r="J244" s="1"/>
      <c r="K244" s="1"/>
    </row>
    <row r="245" spans="2:11" ht="18" x14ac:dyDescent="0.35">
      <c r="B245" s="2"/>
      <c r="C245" s="7">
        <f t="shared" si="28"/>
        <v>-374.54</v>
      </c>
      <c r="D245" s="7">
        <v>417.92</v>
      </c>
      <c r="E245" s="95">
        <f t="shared" si="29"/>
        <v>0.71430000000000005</v>
      </c>
      <c r="F245" s="29"/>
      <c r="G245" s="29"/>
      <c r="H245" s="1"/>
      <c r="I245" s="1"/>
      <c r="J245" s="1"/>
      <c r="K245" s="1"/>
    </row>
    <row r="246" spans="2:11" ht="18" x14ac:dyDescent="0.35">
      <c r="B246" s="2"/>
      <c r="C246" s="7">
        <f t="shared" si="28"/>
        <v>126.86</v>
      </c>
      <c r="D246" s="7">
        <v>421.74</v>
      </c>
      <c r="E246" s="95">
        <f t="shared" si="29"/>
        <v>0.7208</v>
      </c>
      <c r="F246" s="29"/>
      <c r="G246" s="29"/>
      <c r="H246" s="1"/>
      <c r="I246" s="1"/>
      <c r="J246" s="1"/>
      <c r="K246" s="1"/>
    </row>
    <row r="247" spans="2:11" ht="18" x14ac:dyDescent="0.35">
      <c r="B247" s="2"/>
      <c r="C247" s="7">
        <f t="shared" si="28"/>
        <v>-446</v>
      </c>
      <c r="D247" s="7">
        <v>469.23</v>
      </c>
      <c r="E247" s="95">
        <f t="shared" si="29"/>
        <v>0.80200000000000005</v>
      </c>
      <c r="F247" s="29"/>
      <c r="G247" s="29"/>
      <c r="H247" s="1"/>
      <c r="I247" s="1"/>
      <c r="J247" s="1"/>
      <c r="K247" s="1"/>
    </row>
    <row r="248" spans="2:11" ht="18" x14ac:dyDescent="0.35">
      <c r="B248" s="2"/>
      <c r="C248" s="7">
        <f t="shared" si="28"/>
        <v>36.06</v>
      </c>
      <c r="D248" s="7">
        <v>516.23</v>
      </c>
      <c r="E248" s="95">
        <f t="shared" si="29"/>
        <v>0.88229999999999997</v>
      </c>
      <c r="F248" s="29"/>
      <c r="G248" s="29"/>
      <c r="H248" s="1"/>
      <c r="I248" s="1"/>
      <c r="J248" s="1"/>
      <c r="K248" s="1"/>
    </row>
    <row r="249" spans="2:11" ht="18" x14ac:dyDescent="0.35">
      <c r="B249" s="2"/>
      <c r="C249" s="7">
        <f t="shared" si="28"/>
        <v>-539.78</v>
      </c>
      <c r="D249" s="7">
        <v>582.87</v>
      </c>
      <c r="E249" s="95">
        <f t="shared" si="29"/>
        <v>0.99619999999999997</v>
      </c>
      <c r="F249" s="29"/>
      <c r="G249" s="29"/>
      <c r="H249" s="1"/>
      <c r="I249" s="1"/>
      <c r="J249" s="1"/>
      <c r="K249" s="1"/>
    </row>
    <row r="250" spans="2:11" ht="18" x14ac:dyDescent="0.35">
      <c r="B250" s="2"/>
      <c r="C250" s="7">
        <f t="shared" si="28"/>
        <v>-176.04</v>
      </c>
      <c r="D250" s="7">
        <v>618.47</v>
      </c>
      <c r="E250" s="95">
        <f t="shared" si="29"/>
        <v>1.0569999999999999</v>
      </c>
      <c r="F250" s="29"/>
      <c r="G250" s="29"/>
      <c r="H250" s="1"/>
      <c r="I250" s="1"/>
      <c r="J250" s="1"/>
      <c r="K250" s="1"/>
    </row>
    <row r="251" spans="2:11" ht="18" x14ac:dyDescent="0.35">
      <c r="B251" s="2"/>
      <c r="C251" s="7">
        <f t="shared" si="28"/>
        <v>1002.07</v>
      </c>
      <c r="D251" s="7">
        <v>779.73</v>
      </c>
      <c r="E251" s="95">
        <f t="shared" si="29"/>
        <v>1.3326</v>
      </c>
      <c r="F251" s="29"/>
      <c r="G251" s="29"/>
      <c r="H251" s="1"/>
      <c r="I251" s="1"/>
      <c r="J251" s="1"/>
      <c r="K251" s="1"/>
    </row>
    <row r="252" spans="2:11" ht="18" x14ac:dyDescent="0.35">
      <c r="B252" s="2"/>
      <c r="C252" s="7">
        <f t="shared" si="28"/>
        <v>119.56</v>
      </c>
      <c r="D252" s="7">
        <v>1002.07</v>
      </c>
      <c r="E252" s="95">
        <f t="shared" si="29"/>
        <v>1.7125999999999999</v>
      </c>
      <c r="F252" s="29"/>
      <c r="G252" s="29"/>
      <c r="H252" s="1"/>
      <c r="I252" s="1"/>
      <c r="J252" s="1"/>
      <c r="K252" s="1"/>
    </row>
    <row r="253" spans="2:11" ht="18" x14ac:dyDescent="0.35">
      <c r="B253" s="2"/>
      <c r="C253" s="7">
        <f t="shared" si="28"/>
        <v>-248.57</v>
      </c>
      <c r="D253" s="7">
        <v>1034.68</v>
      </c>
      <c r="E253" s="95">
        <f t="shared" si="29"/>
        <v>1.7684</v>
      </c>
      <c r="F253" s="29"/>
      <c r="G253" s="29"/>
      <c r="H253" s="1"/>
      <c r="I253" s="1"/>
      <c r="J253" s="1"/>
      <c r="K253" s="1"/>
    </row>
    <row r="254" spans="2:11" ht="18" x14ac:dyDescent="0.35">
      <c r="B254" s="2"/>
      <c r="C254" s="34"/>
      <c r="D254" s="34"/>
      <c r="E254" s="53"/>
      <c r="F254" s="29"/>
      <c r="G254" s="29"/>
      <c r="H254" s="1"/>
      <c r="I254" s="1"/>
      <c r="J254" s="1"/>
      <c r="K254" s="1"/>
    </row>
    <row r="255" spans="2:11" ht="18.75" thickBot="1" x14ac:dyDescent="0.4">
      <c r="B255" s="2"/>
      <c r="C255" s="34"/>
      <c r="D255" s="34"/>
      <c r="E255" s="53"/>
      <c r="F255" s="29"/>
      <c r="G255" s="29"/>
      <c r="H255" s="1"/>
      <c r="I255" s="1"/>
      <c r="J255" s="1"/>
      <c r="K255" s="1"/>
    </row>
    <row r="256" spans="2:11" ht="18.75" thickBot="1" x14ac:dyDescent="0.4">
      <c r="B256" s="9" t="s">
        <v>103</v>
      </c>
      <c r="C256" s="132" t="s">
        <v>104</v>
      </c>
      <c r="D256" s="133"/>
      <c r="E256" s="133"/>
      <c r="F256" s="133"/>
      <c r="G256" s="133"/>
      <c r="H256" s="133"/>
      <c r="I256" s="133"/>
      <c r="J256" s="133"/>
      <c r="K256" s="133"/>
    </row>
    <row r="257" spans="2:11" ht="15.75" thickBot="1" x14ac:dyDescent="0.3">
      <c r="C257" s="134"/>
      <c r="D257" s="135"/>
      <c r="E257" s="135"/>
      <c r="F257" s="135"/>
      <c r="G257" s="135"/>
      <c r="H257" s="135"/>
      <c r="I257" s="135"/>
      <c r="J257" s="135"/>
      <c r="K257" s="135"/>
    </row>
    <row r="258" spans="2:11" ht="15.75" thickBot="1" x14ac:dyDescent="0.3"/>
    <row r="259" spans="2:11" ht="15.75" thickBot="1" x14ac:dyDescent="0.3">
      <c r="C259" s="86" t="s">
        <v>72</v>
      </c>
    </row>
    <row r="260" spans="2:11" ht="18" x14ac:dyDescent="0.35">
      <c r="B260" s="2"/>
      <c r="C260" s="87"/>
      <c r="D260" s="34"/>
      <c r="E260" s="53"/>
      <c r="F260" s="29"/>
      <c r="G260" s="29"/>
      <c r="H260" s="1"/>
      <c r="I260" s="1"/>
      <c r="J260" s="1"/>
      <c r="K260" s="1"/>
    </row>
    <row r="261" spans="2:11" ht="16.5" x14ac:dyDescent="0.3">
      <c r="C261" s="102" t="s">
        <v>73</v>
      </c>
      <c r="D261" s="29"/>
      <c r="E261" s="29"/>
      <c r="F261" s="29"/>
      <c r="G261" s="29"/>
      <c r="H261" s="1"/>
      <c r="I261" s="1"/>
      <c r="J261" s="1"/>
      <c r="K261" s="1"/>
    </row>
    <row r="262" spans="2:11" ht="16.5" x14ac:dyDescent="0.3">
      <c r="C262" s="102" t="s">
        <v>74</v>
      </c>
      <c r="E262" s="29"/>
      <c r="F262" s="29"/>
      <c r="G262" s="29"/>
      <c r="H262" s="1"/>
      <c r="I262" s="1"/>
      <c r="J262" s="1"/>
      <c r="K262" s="1"/>
    </row>
    <row r="263" spans="2:11" ht="18" x14ac:dyDescent="0.35">
      <c r="B263" s="2"/>
      <c r="C263" s="1"/>
      <c r="E263" s="29"/>
      <c r="F263" s="29"/>
      <c r="G263" s="29"/>
      <c r="H263" s="1"/>
      <c r="I263" s="1"/>
      <c r="J263" s="1"/>
      <c r="K263" s="1"/>
    </row>
    <row r="264" spans="2:11" ht="18" x14ac:dyDescent="0.35">
      <c r="B264" s="2"/>
      <c r="C264" s="1"/>
      <c r="D264" s="29"/>
      <c r="E264" s="29"/>
      <c r="F264" s="29"/>
      <c r="G264" s="29"/>
      <c r="H264" s="1"/>
      <c r="I264" s="1"/>
      <c r="J264" s="1"/>
      <c r="K264" s="1"/>
    </row>
    <row r="265" spans="2:11" ht="18" x14ac:dyDescent="0.35">
      <c r="B265" s="2"/>
      <c r="C265" s="1"/>
      <c r="D265" s="93" t="s">
        <v>58</v>
      </c>
      <c r="E265" s="93" t="s">
        <v>75</v>
      </c>
      <c r="F265" s="93" t="s">
        <v>76</v>
      </c>
      <c r="G265" s="93" t="s">
        <v>60</v>
      </c>
      <c r="H265" s="1"/>
      <c r="I265" s="1"/>
      <c r="J265" s="1"/>
      <c r="K265" s="1"/>
    </row>
    <row r="266" spans="2:11" ht="18" x14ac:dyDescent="0.35">
      <c r="B266" s="2"/>
      <c r="C266" s="1"/>
      <c r="D266" s="5">
        <f t="shared" ref="D266:D297" si="30">J11</f>
        <v>163.52413195829558</v>
      </c>
      <c r="E266" s="4"/>
      <c r="F266" s="5">
        <f t="shared" ref="F266:F297" si="31">D266^2</f>
        <v>26740.141732714066</v>
      </c>
      <c r="G266" s="5">
        <f t="shared" ref="G266:G297" si="32">+D266/SQRT($G$128)</f>
        <v>0.27948072667326296</v>
      </c>
      <c r="H266" s="1"/>
      <c r="I266" s="1"/>
      <c r="J266" s="1"/>
      <c r="K266" s="1"/>
    </row>
    <row r="267" spans="2:11" ht="18" x14ac:dyDescent="0.35">
      <c r="B267" s="2"/>
      <c r="C267" s="1"/>
      <c r="D267" s="7">
        <f t="shared" si="30"/>
        <v>-254.60784885666362</v>
      </c>
      <c r="E267" s="103">
        <f>(D267-D266)^2</f>
        <v>174834.3533802414</v>
      </c>
      <c r="F267" s="7">
        <f t="shared" si="31"/>
        <v>64825.156699417668</v>
      </c>
      <c r="G267" s="7">
        <f t="shared" si="32"/>
        <v>-0.43515281667004629</v>
      </c>
      <c r="H267" s="1"/>
      <c r="I267" s="1"/>
      <c r="J267" s="1"/>
      <c r="K267" s="1"/>
    </row>
    <row r="268" spans="2:11" ht="18" x14ac:dyDescent="0.35">
      <c r="B268" s="2"/>
      <c r="C268" s="1"/>
      <c r="D268" s="7">
        <f t="shared" si="30"/>
        <v>-176.49448354826382</v>
      </c>
      <c r="E268" s="103">
        <f t="shared" ref="E268:E298" si="33">(D268-D267)^2</f>
        <v>6101.697839803518</v>
      </c>
      <c r="F268" s="7">
        <f t="shared" si="31"/>
        <v>31150.302722968365</v>
      </c>
      <c r="G268" s="7">
        <f t="shared" si="32"/>
        <v>-0.30164848408105971</v>
      </c>
      <c r="H268" s="1"/>
      <c r="I268" s="1"/>
      <c r="J268" s="1"/>
      <c r="K268" s="1"/>
    </row>
    <row r="269" spans="2:11" ht="18" x14ac:dyDescent="0.35">
      <c r="B269" s="2"/>
      <c r="C269" s="1"/>
      <c r="D269" s="7">
        <f t="shared" si="30"/>
        <v>-155.24913742490389</v>
      </c>
      <c r="E269" s="103">
        <f t="shared" si="33"/>
        <v>451.36473190136451</v>
      </c>
      <c r="F269" s="7">
        <f t="shared" si="31"/>
        <v>24102.294671176696</v>
      </c>
      <c r="G269" s="7">
        <f t="shared" si="32"/>
        <v>-0.26533785089270595</v>
      </c>
      <c r="H269" s="1"/>
      <c r="I269" s="1"/>
      <c r="J269" s="1"/>
      <c r="K269" s="1"/>
    </row>
    <row r="270" spans="2:11" ht="18" x14ac:dyDescent="0.35">
      <c r="B270" s="2"/>
      <c r="C270" s="1"/>
      <c r="D270" s="7">
        <f t="shared" si="30"/>
        <v>98.918881760137083</v>
      </c>
      <c r="E270" s="103">
        <f t="shared" si="33"/>
        <v>64601.381976447359</v>
      </c>
      <c r="F270" s="7">
        <f t="shared" si="31"/>
        <v>9784.9451686759803</v>
      </c>
      <c r="G270" s="7">
        <f t="shared" si="32"/>
        <v>0.16906324849399215</v>
      </c>
      <c r="H270" s="1"/>
      <c r="I270" s="1"/>
      <c r="J270" s="1"/>
      <c r="K270" s="1"/>
    </row>
    <row r="271" spans="2:11" ht="18" x14ac:dyDescent="0.35">
      <c r="B271" s="2"/>
      <c r="C271" s="1"/>
      <c r="D271" s="7">
        <f t="shared" si="30"/>
        <v>205.94722308723613</v>
      </c>
      <c r="E271" s="103">
        <f t="shared" si="33"/>
        <v>11455.065847230017</v>
      </c>
      <c r="F271" s="7">
        <f t="shared" si="31"/>
        <v>42414.258697343801</v>
      </c>
      <c r="G271" s="7">
        <f t="shared" si="32"/>
        <v>0.35198645530459532</v>
      </c>
      <c r="H271" s="1"/>
      <c r="I271" s="1"/>
      <c r="J271" s="1"/>
      <c r="K271" s="1"/>
    </row>
    <row r="272" spans="2:11" ht="18" x14ac:dyDescent="0.35">
      <c r="B272" s="2"/>
      <c r="C272" s="1"/>
      <c r="D272" s="7">
        <f t="shared" si="30"/>
        <v>779.73224706853762</v>
      </c>
      <c r="E272" s="103">
        <f t="shared" si="33"/>
        <v>329229.25374522276</v>
      </c>
      <c r="F272" s="7">
        <f t="shared" si="31"/>
        <v>607982.37711855094</v>
      </c>
      <c r="G272" s="7">
        <f t="shared" si="32"/>
        <v>1.3326481688761904</v>
      </c>
      <c r="H272" s="1"/>
      <c r="I272" s="1"/>
      <c r="J272" s="1"/>
      <c r="K272" s="1"/>
    </row>
    <row r="273" spans="2:11" ht="18" x14ac:dyDescent="0.35">
      <c r="B273" s="2"/>
      <c r="C273" s="1"/>
      <c r="D273" s="7">
        <f t="shared" si="30"/>
        <v>92.932247068538345</v>
      </c>
      <c r="E273" s="103">
        <f t="shared" si="33"/>
        <v>471694.239999999</v>
      </c>
      <c r="F273" s="7">
        <f t="shared" si="31"/>
        <v>8636.4025452078531</v>
      </c>
      <c r="G273" s="7">
        <f t="shared" si="32"/>
        <v>0.15883143136768513</v>
      </c>
      <c r="H273" s="1"/>
      <c r="I273" s="1"/>
      <c r="J273" s="1"/>
      <c r="K273" s="1"/>
    </row>
    <row r="274" spans="2:11" ht="18" x14ac:dyDescent="0.35">
      <c r="B274" s="2"/>
      <c r="C274" s="1"/>
      <c r="D274" s="7">
        <f t="shared" si="30"/>
        <v>157.14925186479923</v>
      </c>
      <c r="E274" s="103">
        <f t="shared" si="33"/>
        <v>4123.8237050029929</v>
      </c>
      <c r="F274" s="7">
        <f t="shared" si="31"/>
        <v>24695.887361666104</v>
      </c>
      <c r="G274" s="7">
        <f t="shared" si="32"/>
        <v>0.26858535545404949</v>
      </c>
      <c r="H274" s="1"/>
      <c r="I274" s="1"/>
      <c r="J274" s="1"/>
      <c r="K274" s="1"/>
    </row>
    <row r="275" spans="2:11" ht="18" x14ac:dyDescent="0.35">
      <c r="B275" s="2"/>
      <c r="C275" s="1"/>
      <c r="D275" s="7">
        <f t="shared" si="30"/>
        <v>-109.64507986978242</v>
      </c>
      <c r="E275" s="103">
        <f t="shared" si="33"/>
        <v>71179.215445701993</v>
      </c>
      <c r="F275" s="7">
        <f t="shared" si="31"/>
        <v>12022.043539650966</v>
      </c>
      <c r="G275" s="7">
        <f t="shared" si="32"/>
        <v>-0.1873955007813157</v>
      </c>
      <c r="H275" s="1"/>
      <c r="I275" s="1"/>
      <c r="J275" s="1"/>
      <c r="K275" s="1"/>
    </row>
    <row r="276" spans="2:11" ht="18" x14ac:dyDescent="0.35">
      <c r="B276" s="2"/>
      <c r="C276" s="1"/>
      <c r="D276" s="7">
        <f t="shared" si="30"/>
        <v>-109.64507986978242</v>
      </c>
      <c r="E276" s="103">
        <f t="shared" si="33"/>
        <v>0</v>
      </c>
      <c r="F276" s="7">
        <f t="shared" si="31"/>
        <v>12022.043539650966</v>
      </c>
      <c r="G276" s="7">
        <f t="shared" si="32"/>
        <v>-0.1873955007813157</v>
      </c>
      <c r="H276" s="1"/>
      <c r="I276" s="1"/>
      <c r="J276" s="1"/>
      <c r="K276" s="1"/>
    </row>
    <row r="277" spans="2:11" ht="18" x14ac:dyDescent="0.35">
      <c r="B277" s="2"/>
      <c r="C277" s="1"/>
      <c r="D277" s="7">
        <f t="shared" si="30"/>
        <v>-393.23941160436152</v>
      </c>
      <c r="E277" s="103">
        <f t="shared" si="33"/>
        <v>80425.744991982501</v>
      </c>
      <c r="F277" s="7">
        <f t="shared" si="31"/>
        <v>154637.23483894445</v>
      </c>
      <c r="G277" s="7">
        <f t="shared" si="32"/>
        <v>-0.67208940476004131</v>
      </c>
      <c r="H277" s="1"/>
      <c r="I277" s="1"/>
      <c r="J277" s="1"/>
      <c r="K277" s="1"/>
    </row>
    <row r="278" spans="2:11" ht="18" x14ac:dyDescent="0.35">
      <c r="B278" s="2"/>
      <c r="C278" s="1"/>
      <c r="D278" s="7">
        <f t="shared" si="30"/>
        <v>618.4682854386192</v>
      </c>
      <c r="E278" s="103">
        <f t="shared" si="33"/>
        <v>1023552.4642560116</v>
      </c>
      <c r="F278" s="7">
        <f t="shared" si="31"/>
        <v>382503.02009338536</v>
      </c>
      <c r="G278" s="7">
        <f t="shared" si="32"/>
        <v>1.0570303218783339</v>
      </c>
      <c r="H278" s="1"/>
      <c r="I278" s="1"/>
      <c r="J278" s="1"/>
      <c r="K278" s="1"/>
    </row>
    <row r="279" spans="2:11" ht="18" x14ac:dyDescent="0.35">
      <c r="B279" s="2"/>
      <c r="C279" s="1"/>
      <c r="D279" s="7">
        <f t="shared" si="30"/>
        <v>84.950067479738209</v>
      </c>
      <c r="E279" s="103">
        <f t="shared" si="33"/>
        <v>284641.68889402004</v>
      </c>
      <c r="F279" s="7">
        <f t="shared" si="31"/>
        <v>7216.5139648120748</v>
      </c>
      <c r="G279" s="7">
        <f t="shared" si="32"/>
        <v>0.14518900853260597</v>
      </c>
      <c r="H279" s="1"/>
      <c r="I279" s="1"/>
      <c r="J279" s="1"/>
      <c r="K279" s="1"/>
    </row>
    <row r="280" spans="2:11" ht="18" x14ac:dyDescent="0.35">
      <c r="B280" s="2"/>
      <c r="C280" s="1"/>
      <c r="D280" s="7">
        <f t="shared" si="30"/>
        <v>516.22618125543886</v>
      </c>
      <c r="E280" s="103">
        <f t="shared" si="33"/>
        <v>185999.08631347108</v>
      </c>
      <c r="F280" s="7">
        <f t="shared" si="31"/>
        <v>266489.47021357319</v>
      </c>
      <c r="G280" s="7">
        <f t="shared" si="32"/>
        <v>0.88228732075965954</v>
      </c>
      <c r="H280" s="1"/>
      <c r="I280" s="1"/>
      <c r="J280" s="1"/>
      <c r="K280" s="1"/>
    </row>
    <row r="281" spans="2:11" ht="18" x14ac:dyDescent="0.35">
      <c r="B281" s="2"/>
      <c r="C281" s="1"/>
      <c r="D281" s="7">
        <f t="shared" si="30"/>
        <v>-5.3398091520411981</v>
      </c>
      <c r="E281" s="103">
        <f t="shared" si="33"/>
        <v>272031.0823497356</v>
      </c>
      <c r="F281" s="7">
        <f t="shared" si="31"/>
        <v>28.51356178022294</v>
      </c>
      <c r="G281" s="7">
        <f t="shared" si="32"/>
        <v>-9.1263211382746987E-3</v>
      </c>
      <c r="H281" s="1"/>
      <c r="I281" s="1"/>
      <c r="J281" s="1"/>
      <c r="K281" s="1"/>
    </row>
    <row r="282" spans="2:11" ht="18" x14ac:dyDescent="0.35">
      <c r="B282" s="2"/>
      <c r="C282" s="1"/>
      <c r="D282" s="7">
        <f t="shared" si="30"/>
        <v>421.74197288907817</v>
      </c>
      <c r="E282" s="103">
        <f t="shared" si="33"/>
        <v>182398.8485514182</v>
      </c>
      <c r="F282" s="7">
        <f t="shared" si="31"/>
        <v>177866.29169637195</v>
      </c>
      <c r="G282" s="7">
        <f t="shared" si="32"/>
        <v>0.72080341684196081</v>
      </c>
      <c r="H282" s="1"/>
      <c r="I282" s="1"/>
      <c r="J282" s="1"/>
      <c r="K282" s="1"/>
    </row>
    <row r="283" spans="2:11" ht="18" x14ac:dyDescent="0.35">
      <c r="B283" s="2"/>
      <c r="C283" s="1"/>
      <c r="D283" s="7">
        <f t="shared" si="30"/>
        <v>-1799.9843396604592</v>
      </c>
      <c r="E283" s="103">
        <f t="shared" si="33"/>
        <v>4936067.8078749646</v>
      </c>
      <c r="F283" s="7">
        <f t="shared" si="31"/>
        <v>3239943.6230228995</v>
      </c>
      <c r="G283" s="7">
        <f t="shared" si="32"/>
        <v>-3.0763712072606926</v>
      </c>
      <c r="H283" s="1"/>
      <c r="I283" s="1"/>
      <c r="J283" s="1"/>
      <c r="K283" s="1"/>
    </row>
    <row r="284" spans="2:11" ht="18" x14ac:dyDescent="0.35">
      <c r="B284" s="2"/>
      <c r="C284" s="1"/>
      <c r="D284" s="7">
        <f t="shared" si="30"/>
        <v>-599.98433966045923</v>
      </c>
      <c r="E284" s="103">
        <f t="shared" si="33"/>
        <v>1440000</v>
      </c>
      <c r="F284" s="7">
        <f t="shared" si="31"/>
        <v>359981.20783779729</v>
      </c>
      <c r="G284" s="7">
        <f t="shared" si="32"/>
        <v>-1.0254392255917819</v>
      </c>
      <c r="H284" s="1"/>
      <c r="I284" s="1"/>
      <c r="J284" s="1"/>
      <c r="K284" s="1"/>
    </row>
    <row r="285" spans="2:11" ht="18" x14ac:dyDescent="0.35">
      <c r="B285" s="2"/>
      <c r="C285" s="1"/>
      <c r="D285" s="7">
        <f t="shared" si="30"/>
        <v>-843.22320190345999</v>
      </c>
      <c r="E285" s="103">
        <f t="shared" si="33"/>
        <v>59165.144105269501</v>
      </c>
      <c r="F285" s="7">
        <f t="shared" si="31"/>
        <v>711025.36822832329</v>
      </c>
      <c r="G285" s="7">
        <f t="shared" si="32"/>
        <v>-1.4411611937242226</v>
      </c>
      <c r="H285" s="1"/>
      <c r="I285" s="1"/>
      <c r="J285" s="1"/>
      <c r="K285" s="1"/>
    </row>
    <row r="286" spans="2:11" ht="18" x14ac:dyDescent="0.35">
      <c r="B286" s="2"/>
      <c r="C286" s="1"/>
      <c r="D286" s="7">
        <f t="shared" si="30"/>
        <v>306.56303524046052</v>
      </c>
      <c r="E286" s="103">
        <f t="shared" si="33"/>
        <v>1322008.3911255759</v>
      </c>
      <c r="F286" s="7">
        <f t="shared" si="31"/>
        <v>93980.894575843835</v>
      </c>
      <c r="G286" s="7">
        <f t="shared" si="32"/>
        <v>0.52394994447679477</v>
      </c>
      <c r="H286" s="1"/>
      <c r="I286" s="1"/>
      <c r="J286" s="1"/>
      <c r="K286" s="1"/>
    </row>
    <row r="287" spans="2:11" ht="18" x14ac:dyDescent="0.35">
      <c r="B287" s="2"/>
      <c r="C287" s="1"/>
      <c r="D287" s="7">
        <f t="shared" si="30"/>
        <v>306.56303524046052</v>
      </c>
      <c r="E287" s="103">
        <f t="shared" si="33"/>
        <v>0</v>
      </c>
      <c r="F287" s="7">
        <f t="shared" si="31"/>
        <v>93980.894575843835</v>
      </c>
      <c r="G287" s="7">
        <f t="shared" si="32"/>
        <v>0.52394994447679477</v>
      </c>
      <c r="H287" s="1"/>
      <c r="I287" s="1"/>
      <c r="J287" s="1"/>
      <c r="K287" s="1"/>
    </row>
    <row r="288" spans="2:11" ht="18" x14ac:dyDescent="0.35">
      <c r="B288" s="2"/>
      <c r="C288" s="1"/>
      <c r="D288" s="7">
        <f t="shared" si="30"/>
        <v>87.398059221761287</v>
      </c>
      <c r="E288" s="103">
        <f t="shared" si="33"/>
        <v>48033.286713277012</v>
      </c>
      <c r="F288" s="7">
        <f t="shared" si="31"/>
        <v>7638.4207557304935</v>
      </c>
      <c r="G288" s="7">
        <f t="shared" si="32"/>
        <v>0.14937289566141973</v>
      </c>
      <c r="H288" s="1"/>
      <c r="I288" s="1"/>
      <c r="J288" s="1"/>
      <c r="K288" s="1"/>
    </row>
    <row r="289" spans="2:11" ht="18" x14ac:dyDescent="0.35">
      <c r="B289" s="2"/>
      <c r="C289" s="1"/>
      <c r="D289" s="7">
        <f t="shared" si="30"/>
        <v>-75.946272512817814</v>
      </c>
      <c r="E289" s="103">
        <f t="shared" si="33"/>
        <v>26681.370709816223</v>
      </c>
      <c r="F289" s="7">
        <f t="shared" si="31"/>
        <v>5767.8363085911869</v>
      </c>
      <c r="G289" s="7">
        <f t="shared" si="32"/>
        <v>-0.12980053265423377</v>
      </c>
      <c r="H289" s="1"/>
      <c r="I289" s="1"/>
      <c r="J289" s="1"/>
      <c r="K289" s="1"/>
    </row>
    <row r="290" spans="2:11" ht="18" x14ac:dyDescent="0.35">
      <c r="B290" s="2"/>
      <c r="C290" s="1"/>
      <c r="D290" s="7">
        <f t="shared" si="30"/>
        <v>137.34461850774096</v>
      </c>
      <c r="E290" s="103">
        <f t="shared" si="33"/>
        <v>45493.004192343877</v>
      </c>
      <c r="F290" s="7">
        <f t="shared" si="31"/>
        <v>18863.544233036901</v>
      </c>
      <c r="G290" s="7">
        <f t="shared" si="32"/>
        <v>0.23473705883970142</v>
      </c>
      <c r="H290" s="1"/>
      <c r="I290" s="1"/>
      <c r="J290" s="1"/>
      <c r="K290" s="1"/>
    </row>
    <row r="291" spans="2:11" ht="18" x14ac:dyDescent="0.35">
      <c r="B291" s="2"/>
      <c r="C291" s="1"/>
      <c r="D291" s="7">
        <f t="shared" si="30"/>
        <v>1034.6764005488621</v>
      </c>
      <c r="E291" s="103">
        <f t="shared" si="33"/>
        <v>805204.32706109423</v>
      </c>
      <c r="F291" s="7">
        <f t="shared" si="31"/>
        <v>1070555.2538527495</v>
      </c>
      <c r="G291" s="7">
        <f t="shared" si="32"/>
        <v>1.7683757671364444</v>
      </c>
      <c r="H291" s="1"/>
      <c r="I291" s="1"/>
      <c r="J291" s="1"/>
      <c r="K291" s="1"/>
    </row>
    <row r="292" spans="2:11" ht="18" x14ac:dyDescent="0.35">
      <c r="B292" s="2"/>
      <c r="C292" s="1"/>
      <c r="D292" s="7">
        <f t="shared" si="30"/>
        <v>62.001301161941228</v>
      </c>
      <c r="E292" s="103">
        <f t="shared" si="33"/>
        <v>946096.84896735649</v>
      </c>
      <c r="F292" s="7">
        <f t="shared" si="31"/>
        <v>3844.1613457737349</v>
      </c>
      <c r="G292" s="7">
        <f t="shared" si="32"/>
        <v>0.1059670428817592</v>
      </c>
      <c r="H292" s="1"/>
      <c r="I292" s="1"/>
      <c r="J292" s="1"/>
      <c r="K292" s="1"/>
    </row>
    <row r="293" spans="2:11" ht="18" x14ac:dyDescent="0.35">
      <c r="B293" s="2"/>
      <c r="C293" s="1"/>
      <c r="D293" s="7">
        <f t="shared" si="30"/>
        <v>358.53652391708238</v>
      </c>
      <c r="E293" s="103">
        <f t="shared" si="33"/>
        <v>87933.138334441188</v>
      </c>
      <c r="F293" s="7">
        <f t="shared" si="31"/>
        <v>128548.43898254458</v>
      </c>
      <c r="G293" s="7">
        <f t="shared" si="32"/>
        <v>0.61277835291495375</v>
      </c>
      <c r="H293" s="1"/>
      <c r="I293" s="1"/>
      <c r="J293" s="1"/>
      <c r="K293" s="1"/>
    </row>
    <row r="294" spans="2:11" ht="18" x14ac:dyDescent="0.35">
      <c r="B294" s="2"/>
      <c r="C294" s="1"/>
      <c r="D294" s="7">
        <f t="shared" si="30"/>
        <v>218.97620177502176</v>
      </c>
      <c r="E294" s="103">
        <f t="shared" si="33"/>
        <v>19477.083516395734</v>
      </c>
      <c r="F294" s="7">
        <f t="shared" si="31"/>
        <v>47950.576943815046</v>
      </c>
      <c r="G294" s="7">
        <f t="shared" si="32"/>
        <v>0.37425441287064715</v>
      </c>
      <c r="H294" s="1"/>
      <c r="I294" s="1"/>
      <c r="J294" s="1"/>
      <c r="K294" s="1"/>
    </row>
    <row r="295" spans="2:11" ht="18" x14ac:dyDescent="0.35">
      <c r="B295" s="2"/>
      <c r="C295" s="1"/>
      <c r="D295" s="7">
        <f t="shared" si="30"/>
        <v>-2372.9397886324587</v>
      </c>
      <c r="E295" s="103">
        <f t="shared" si="33"/>
        <v>6718028.5013299901</v>
      </c>
      <c r="F295" s="7">
        <f t="shared" si="31"/>
        <v>5630843.2404750576</v>
      </c>
      <c r="G295" s="7">
        <f t="shared" si="32"/>
        <v>-4.0556150859008113</v>
      </c>
      <c r="H295" s="1"/>
      <c r="I295" s="1"/>
      <c r="J295" s="1"/>
      <c r="K295" s="1"/>
    </row>
    <row r="296" spans="2:11" ht="18" x14ac:dyDescent="0.35">
      <c r="B296" s="2"/>
      <c r="C296" s="1"/>
      <c r="D296" s="7">
        <f t="shared" si="30"/>
        <v>582.87256228716251</v>
      </c>
      <c r="E296" s="103">
        <f t="shared" si="33"/>
        <v>8736826.6538489778</v>
      </c>
      <c r="F296" s="7">
        <f t="shared" si="31"/>
        <v>339740.42386720213</v>
      </c>
      <c r="G296" s="7">
        <f t="shared" si="32"/>
        <v>0.99619331602670469</v>
      </c>
      <c r="H296" s="1"/>
      <c r="I296" s="1"/>
      <c r="J296" s="1"/>
      <c r="K296" s="1"/>
    </row>
    <row r="297" spans="2:11" ht="18" x14ac:dyDescent="0.35">
      <c r="B297" s="2"/>
      <c r="C297" s="1"/>
      <c r="D297" s="7">
        <f t="shared" si="30"/>
        <v>290.90313116566176</v>
      </c>
      <c r="E297" s="103">
        <f t="shared" si="33"/>
        <v>85246.148709412766</v>
      </c>
      <c r="F297" s="7">
        <f t="shared" si="31"/>
        <v>84624.63172198621</v>
      </c>
      <c r="G297" s="7">
        <f t="shared" si="32"/>
        <v>0.49718544606273474</v>
      </c>
      <c r="H297" s="1"/>
      <c r="I297" s="1"/>
      <c r="J297" s="1"/>
      <c r="K297" s="1"/>
    </row>
    <row r="298" spans="2:11" ht="18" x14ac:dyDescent="0.35">
      <c r="B298" s="2"/>
      <c r="C298" s="1"/>
      <c r="D298" s="7">
        <f t="shared" ref="D298:D315" si="34">J43</f>
        <v>123.37580422734209</v>
      </c>
      <c r="E298" s="103">
        <f t="shared" si="33"/>
        <v>28065.405271098651</v>
      </c>
      <c r="F298" s="7">
        <f t="shared" ref="F298:F315" si="35">D298^2</f>
        <v>15221.589068743442</v>
      </c>
      <c r="G298" s="7">
        <f t="shared" ref="G298:G315" si="36">+D298/SQRT($G$128)</f>
        <v>0.21086281887831521</v>
      </c>
      <c r="H298" s="1"/>
      <c r="I298" s="1"/>
      <c r="J298" s="1"/>
      <c r="K298" s="1"/>
    </row>
    <row r="299" spans="2:11" ht="18" x14ac:dyDescent="0.35">
      <c r="B299" s="2"/>
      <c r="C299" s="1"/>
      <c r="D299" s="7">
        <f t="shared" si="34"/>
        <v>469.23025933014287</v>
      </c>
      <c r="E299" s="103">
        <f t="shared" ref="E299:E314" si="37">(D299-D298)^2</f>
        <v>119615.30411445524</v>
      </c>
      <c r="F299" s="7">
        <f t="shared" si="35"/>
        <v>220177.03627103314</v>
      </c>
      <c r="G299" s="7">
        <f t="shared" si="36"/>
        <v>0.80196612135582224</v>
      </c>
      <c r="H299" s="1"/>
      <c r="I299" s="1"/>
      <c r="J299" s="1"/>
      <c r="K299" s="1"/>
    </row>
    <row r="300" spans="2:11" ht="18" x14ac:dyDescent="0.35">
      <c r="B300" s="2"/>
      <c r="C300" s="1"/>
      <c r="D300" s="7">
        <f t="shared" si="34"/>
        <v>417.91548208528184</v>
      </c>
      <c r="E300" s="103">
        <f t="shared" si="37"/>
        <v>2633.2063636897078</v>
      </c>
      <c r="F300" s="7">
        <f t="shared" si="35"/>
        <v>174653.35016657354</v>
      </c>
      <c r="G300" s="7">
        <f t="shared" si="36"/>
        <v>0.71426352320273767</v>
      </c>
      <c r="H300" s="1"/>
      <c r="I300" s="1"/>
      <c r="J300" s="1"/>
      <c r="K300" s="1"/>
    </row>
    <row r="301" spans="2:11" ht="18" x14ac:dyDescent="0.35">
      <c r="B301" s="2"/>
      <c r="C301" s="1"/>
      <c r="D301" s="7">
        <f t="shared" si="34"/>
        <v>45.039169535742985</v>
      </c>
      <c r="E301" s="103">
        <f t="shared" si="37"/>
        <v>139036.74446054138</v>
      </c>
      <c r="F301" s="7">
        <f t="shared" si="35"/>
        <v>2028.526792469399</v>
      </c>
      <c r="G301" s="7">
        <f t="shared" si="36"/>
        <v>7.697689435721948E-2</v>
      </c>
      <c r="H301" s="1"/>
      <c r="I301" s="1"/>
      <c r="J301" s="1"/>
      <c r="K301" s="1"/>
    </row>
    <row r="302" spans="2:11" ht="18" x14ac:dyDescent="0.35">
      <c r="B302" s="2"/>
      <c r="C302" s="1"/>
      <c r="D302" s="7">
        <f t="shared" si="34"/>
        <v>159.20273361798354</v>
      </c>
      <c r="E302" s="103">
        <f t="shared" si="37"/>
        <v>13033.319363959845</v>
      </c>
      <c r="F302" s="7">
        <f t="shared" si="35"/>
        <v>25345.510391438627</v>
      </c>
      <c r="G302" s="7">
        <f t="shared" si="36"/>
        <v>0.27209498162186557</v>
      </c>
      <c r="H302" s="1"/>
      <c r="I302" s="1"/>
      <c r="J302" s="1"/>
      <c r="K302" s="1"/>
    </row>
    <row r="303" spans="2:11" ht="18" x14ac:dyDescent="0.35">
      <c r="B303" s="2"/>
      <c r="C303" s="1"/>
      <c r="D303" s="7">
        <f t="shared" si="34"/>
        <v>43.043624638543406</v>
      </c>
      <c r="E303" s="103">
        <f t="shared" si="37"/>
        <v>13492.93859889745</v>
      </c>
      <c r="F303" s="7">
        <f t="shared" si="35"/>
        <v>1852.753622023821</v>
      </c>
      <c r="G303" s="7">
        <f t="shared" si="36"/>
        <v>7.3566288648450467E-2</v>
      </c>
      <c r="H303" s="1"/>
      <c r="I303" s="1"/>
      <c r="J303" s="1"/>
      <c r="K303" s="1"/>
    </row>
    <row r="304" spans="2:11" ht="18" x14ac:dyDescent="0.35">
      <c r="B304" s="2"/>
      <c r="C304" s="1"/>
      <c r="D304" s="7">
        <f t="shared" si="34"/>
        <v>78.719738414243693</v>
      </c>
      <c r="E304" s="103">
        <f t="shared" si="37"/>
        <v>1272.7850941367119</v>
      </c>
      <c r="F304" s="7">
        <f t="shared" si="35"/>
        <v>6196.7972160069539</v>
      </c>
      <c r="G304" s="7">
        <f t="shared" si="36"/>
        <v>0.13454069091865256</v>
      </c>
      <c r="H304" s="1"/>
      <c r="I304" s="1"/>
      <c r="J304" s="1"/>
      <c r="K304" s="1"/>
    </row>
    <row r="305" spans="2:15" ht="18" x14ac:dyDescent="0.35">
      <c r="B305" s="2"/>
      <c r="C305" s="1"/>
      <c r="D305" s="7">
        <f t="shared" si="34"/>
        <v>230.55496116938411</v>
      </c>
      <c r="E305" s="103">
        <f t="shared" si="37"/>
        <v>23053.934869103112</v>
      </c>
      <c r="F305" s="7">
        <f t="shared" si="35"/>
        <v>53155.590119816217</v>
      </c>
      <c r="G305" s="7">
        <f t="shared" si="36"/>
        <v>0.3940437861622697</v>
      </c>
      <c r="H305" s="1"/>
      <c r="I305" s="1"/>
      <c r="J305" s="1"/>
      <c r="K305" s="1"/>
    </row>
    <row r="306" spans="2:15" ht="18" x14ac:dyDescent="0.35">
      <c r="B306" s="2"/>
      <c r="C306" s="1"/>
      <c r="D306" s="7">
        <f t="shared" si="34"/>
        <v>-695.84179689043594</v>
      </c>
      <c r="E306" s="103">
        <f t="shared" si="37"/>
        <v>858210.95334374474</v>
      </c>
      <c r="F306" s="7">
        <f t="shared" si="35"/>
        <v>484195.8062997107</v>
      </c>
      <c r="G306" s="7">
        <f t="shared" si="36"/>
        <v>-1.1892701628537978</v>
      </c>
      <c r="H306" s="1"/>
      <c r="I306" s="1"/>
      <c r="J306" s="1"/>
      <c r="K306" s="1"/>
    </row>
    <row r="307" spans="2:15" ht="18" x14ac:dyDescent="0.35">
      <c r="B307" s="2"/>
      <c r="C307" s="1"/>
      <c r="D307" s="7">
        <f t="shared" si="34"/>
        <v>-374.5430100530557</v>
      </c>
      <c r="E307" s="103">
        <f t="shared" si="37"/>
        <v>103232.91042317232</v>
      </c>
      <c r="F307" s="7">
        <f t="shared" si="35"/>
        <v>140282.46637960337</v>
      </c>
      <c r="G307" s="7">
        <f t="shared" si="36"/>
        <v>-0.64013519819029352</v>
      </c>
      <c r="H307" s="1"/>
      <c r="I307" s="1"/>
      <c r="J307" s="1"/>
      <c r="K307" s="1"/>
    </row>
    <row r="308" spans="2:15" ht="18" x14ac:dyDescent="0.35">
      <c r="B308" s="2"/>
      <c r="C308" s="1"/>
      <c r="D308" s="7">
        <f t="shared" si="34"/>
        <v>126.86265821236702</v>
      </c>
      <c r="E308" s="103">
        <f t="shared" si="37"/>
        <v>251407.64416869514</v>
      </c>
      <c r="F308" s="7">
        <f t="shared" si="35"/>
        <v>16094.134048707854</v>
      </c>
      <c r="G308" s="7">
        <f t="shared" si="36"/>
        <v>0.2168222358393963</v>
      </c>
      <c r="H308" s="1"/>
      <c r="I308" s="1"/>
      <c r="J308" s="1"/>
      <c r="K308" s="1"/>
    </row>
    <row r="309" spans="2:15" ht="18" x14ac:dyDescent="0.35">
      <c r="B309" s="2"/>
      <c r="C309" s="1"/>
      <c r="D309" s="7">
        <f t="shared" si="34"/>
        <v>-446.0021190324951</v>
      </c>
      <c r="E309" s="103">
        <f t="shared" si="37"/>
        <v>328174.05300780549</v>
      </c>
      <c r="F309" s="7">
        <f t="shared" si="35"/>
        <v>198917.89018147593</v>
      </c>
      <c r="G309" s="7">
        <f t="shared" si="36"/>
        <v>-0.76226667484654043</v>
      </c>
      <c r="H309" s="1"/>
      <c r="I309" s="1"/>
      <c r="J309" s="1"/>
      <c r="K309" s="1"/>
    </row>
    <row r="310" spans="2:15" ht="18.75" thickBot="1" x14ac:dyDescent="0.4">
      <c r="B310" s="2"/>
      <c r="C310" s="1"/>
      <c r="D310" s="7">
        <f t="shared" si="34"/>
        <v>36.059217498344879</v>
      </c>
      <c r="E310" s="103">
        <f t="shared" si="37"/>
        <v>232383.13217789977</v>
      </c>
      <c r="F310" s="7">
        <f t="shared" si="35"/>
        <v>1300.2671665929415</v>
      </c>
      <c r="G310" s="7">
        <f t="shared" si="36"/>
        <v>6.162916866775893E-2</v>
      </c>
      <c r="H310" s="1"/>
      <c r="I310" s="1"/>
      <c r="J310" s="1"/>
      <c r="K310" s="1"/>
    </row>
    <row r="311" spans="2:15" ht="18.75" thickBot="1" x14ac:dyDescent="0.4">
      <c r="B311" s="2"/>
      <c r="C311" s="1"/>
      <c r="D311" s="7">
        <f t="shared" si="34"/>
        <v>-539.77538841569549</v>
      </c>
      <c r="E311" s="103">
        <f t="shared" si="37"/>
        <v>331585.4933681782</v>
      </c>
      <c r="F311" s="7">
        <f t="shared" si="35"/>
        <v>291357.46993931493</v>
      </c>
      <c r="G311" s="7">
        <f t="shared" si="36"/>
        <v>-0.92253550584959021</v>
      </c>
      <c r="H311" s="1"/>
      <c r="I311" s="81" t="s">
        <v>77</v>
      </c>
      <c r="J311" s="82">
        <f>E316/F316</f>
        <v>2.0276259746211154</v>
      </c>
      <c r="K311" s="1"/>
    </row>
    <row r="312" spans="2:15" ht="18" customHeight="1" thickBot="1" x14ac:dyDescent="0.4">
      <c r="B312" s="2"/>
      <c r="C312" s="1"/>
      <c r="D312" s="7">
        <f t="shared" si="34"/>
        <v>-176.03935004561572</v>
      </c>
      <c r="E312" s="103">
        <f t="shared" si="37"/>
        <v>132303.90560916014</v>
      </c>
      <c r="F312" s="7">
        <f t="shared" si="35"/>
        <v>30989.852764482825</v>
      </c>
      <c r="G312" s="7">
        <f t="shared" si="36"/>
        <v>-0.30087061086730138</v>
      </c>
      <c r="H312" s="1"/>
    </row>
    <row r="313" spans="2:15" ht="18" x14ac:dyDescent="0.35">
      <c r="B313" s="2"/>
      <c r="C313" s="1"/>
      <c r="D313" s="7">
        <f t="shared" si="34"/>
        <v>1002.0740152627877</v>
      </c>
      <c r="E313" s="103">
        <f t="shared" si="37"/>
        <v>1387951.1015182917</v>
      </c>
      <c r="F313" s="7">
        <f t="shared" si="35"/>
        <v>1004152.3320648858</v>
      </c>
      <c r="G313" s="7">
        <f t="shared" si="36"/>
        <v>1.7126547049181928</v>
      </c>
      <c r="H313" s="1"/>
      <c r="I313" s="136" t="s">
        <v>183</v>
      </c>
      <c r="J313" s="137"/>
      <c r="K313" s="137"/>
      <c r="L313" s="137"/>
      <c r="M313" s="137"/>
      <c r="N313" s="137"/>
      <c r="O313" s="138"/>
    </row>
    <row r="314" spans="2:15" ht="18" x14ac:dyDescent="0.35">
      <c r="B314" s="2"/>
      <c r="C314" s="1"/>
      <c r="D314" s="7">
        <f t="shared" si="34"/>
        <v>119.56470750950757</v>
      </c>
      <c r="E314" s="103">
        <f t="shared" si="37"/>
        <v>778822.67827117373</v>
      </c>
      <c r="F314" s="7">
        <f t="shared" si="35"/>
        <v>14295.719281834095</v>
      </c>
      <c r="G314" s="7">
        <f t="shared" si="36"/>
        <v>0.20434923542511502</v>
      </c>
      <c r="H314" s="1"/>
      <c r="I314" s="139"/>
      <c r="J314" s="140"/>
      <c r="K314" s="140"/>
      <c r="L314" s="140"/>
      <c r="M314" s="140"/>
      <c r="N314" s="140"/>
      <c r="O314" s="141"/>
    </row>
    <row r="315" spans="2:15" ht="18.75" thickBot="1" x14ac:dyDescent="0.4">
      <c r="B315" s="2"/>
      <c r="C315" s="1"/>
      <c r="D315" s="7">
        <f t="shared" si="34"/>
        <v>-248.56727330545255</v>
      </c>
      <c r="E315" s="103">
        <f>(D315-D314)^2</f>
        <v>135521.15529874616</v>
      </c>
      <c r="F315" s="7">
        <f t="shared" si="35"/>
        <v>61785.689358507545</v>
      </c>
      <c r="G315" s="7">
        <f t="shared" si="36"/>
        <v>-0.42482880868199124</v>
      </c>
      <c r="H315" s="1"/>
      <c r="I315" s="142"/>
      <c r="J315" s="143"/>
      <c r="K315" s="143"/>
      <c r="L315" s="143"/>
      <c r="M315" s="143"/>
      <c r="N315" s="143"/>
      <c r="O315" s="144"/>
    </row>
    <row r="316" spans="2:15" ht="18" x14ac:dyDescent="0.35">
      <c r="B316" s="2"/>
      <c r="C316" s="105" t="s">
        <v>10</v>
      </c>
      <c r="D316" s="104">
        <f>SUM(D266:D315)</f>
        <v>4.0927261579781771E-11</v>
      </c>
      <c r="E316" s="93">
        <f>SUM(E266:E315)</f>
        <v>33318777.68383985</v>
      </c>
      <c r="F316" s="93">
        <f>SUM(F266:F315)</f>
        <v>16432408.196026308</v>
      </c>
      <c r="G316" s="93">
        <f>SUM(G266:G315)</f>
        <v>7.0887740122316245E-14</v>
      </c>
      <c r="H316" s="1"/>
    </row>
    <row r="317" spans="2:15" ht="18" x14ac:dyDescent="0.35">
      <c r="B317" s="2"/>
      <c r="C317" s="1"/>
      <c r="D317" s="29"/>
      <c r="E317" s="29"/>
      <c r="F317" s="29"/>
      <c r="G317" s="29"/>
      <c r="H317" s="1"/>
      <c r="J317">
        <v>1.45</v>
      </c>
      <c r="K317">
        <f>$J$311</f>
        <v>2.0276259746211154</v>
      </c>
      <c r="L317">
        <f>4-1.45</f>
        <v>2.5499999999999998</v>
      </c>
    </row>
    <row r="318" spans="2:15" ht="18" x14ac:dyDescent="0.35">
      <c r="B318" s="2"/>
      <c r="C318" s="1"/>
      <c r="D318" s="29"/>
      <c r="E318" s="29"/>
      <c r="F318" s="29"/>
      <c r="G318" s="29"/>
      <c r="H318" s="1"/>
      <c r="I318" s="1"/>
      <c r="J318" s="1"/>
      <c r="K318" s="1"/>
    </row>
    <row r="319" spans="2:15" ht="18.75" thickBot="1" x14ac:dyDescent="0.4">
      <c r="B319" s="2"/>
      <c r="C319" s="1"/>
      <c r="D319" s="29"/>
      <c r="E319" s="29"/>
      <c r="F319" s="29"/>
      <c r="G319" s="29"/>
      <c r="H319" s="1"/>
      <c r="I319" s="1"/>
      <c r="J319" s="1"/>
      <c r="K319" s="1"/>
    </row>
    <row r="320" spans="2:15" ht="18.75" thickBot="1" x14ac:dyDescent="0.4">
      <c r="B320" s="9" t="s">
        <v>105</v>
      </c>
      <c r="C320" s="132" t="s">
        <v>106</v>
      </c>
      <c r="D320" s="133"/>
      <c r="E320" s="133"/>
      <c r="F320" s="133"/>
      <c r="G320" s="133"/>
      <c r="H320" s="133"/>
      <c r="I320" s="133"/>
      <c r="J320" s="133"/>
      <c r="K320" s="133"/>
    </row>
    <row r="321" spans="2:11" ht="15.75" thickBot="1" x14ac:dyDescent="0.3">
      <c r="C321" s="134"/>
      <c r="D321" s="135"/>
      <c r="E321" s="135"/>
      <c r="F321" s="135"/>
      <c r="G321" s="135"/>
      <c r="H321" s="135"/>
      <c r="I321" s="135"/>
      <c r="J321" s="135"/>
      <c r="K321" s="135"/>
    </row>
    <row r="322" spans="2:11" ht="15.75" thickBot="1" x14ac:dyDescent="0.3"/>
    <row r="323" spans="2:11" ht="15.75" thickBot="1" x14ac:dyDescent="0.3">
      <c r="C323" s="86" t="s">
        <v>78</v>
      </c>
    </row>
    <row r="324" spans="2:11" ht="18" x14ac:dyDescent="0.35">
      <c r="B324" s="2"/>
      <c r="C324" s="71"/>
      <c r="D324" s="29"/>
      <c r="E324" s="29"/>
      <c r="F324" s="29"/>
      <c r="G324" s="29"/>
      <c r="H324" s="1"/>
      <c r="I324" s="1"/>
      <c r="J324" s="1"/>
      <c r="K324" s="1"/>
    </row>
    <row r="325" spans="2:11" ht="18" x14ac:dyDescent="0.35">
      <c r="B325" s="2"/>
      <c r="C325" s="71" t="s">
        <v>79</v>
      </c>
      <c r="D325" s="29"/>
      <c r="E325" s="29"/>
      <c r="F325" s="29"/>
      <c r="G325" s="29"/>
      <c r="H325" s="1"/>
      <c r="I325" s="1"/>
      <c r="J325" s="1"/>
      <c r="K325" s="1"/>
    </row>
    <row r="326" spans="2:11" ht="18" x14ac:dyDescent="0.35">
      <c r="B326" s="2"/>
      <c r="C326" s="71" t="s">
        <v>80</v>
      </c>
      <c r="D326" s="29"/>
      <c r="E326" s="29"/>
      <c r="F326" s="29"/>
      <c r="G326" s="29"/>
      <c r="H326" s="1"/>
      <c r="I326" s="1"/>
      <c r="J326" s="1"/>
      <c r="K326" s="1"/>
    </row>
    <row r="327" spans="2:11" ht="18" x14ac:dyDescent="0.35">
      <c r="B327" s="2"/>
      <c r="C327" s="1"/>
      <c r="D327" s="29"/>
      <c r="E327" s="29"/>
      <c r="F327" s="29"/>
      <c r="G327" s="29"/>
      <c r="H327" s="1"/>
      <c r="I327" s="1"/>
      <c r="J327" s="1"/>
      <c r="K327" s="1"/>
    </row>
    <row r="328" spans="2:11" ht="18" x14ac:dyDescent="0.35">
      <c r="B328" s="2"/>
      <c r="C328" s="93" t="s">
        <v>6</v>
      </c>
      <c r="D328" s="93" t="s">
        <v>7</v>
      </c>
      <c r="E328" s="1"/>
      <c r="F328" s="1"/>
      <c r="G328" s="1"/>
      <c r="H328" s="1"/>
      <c r="I328" s="1"/>
      <c r="J328" s="1"/>
      <c r="K328" s="33"/>
    </row>
    <row r="329" spans="2:11" ht="18" x14ac:dyDescent="0.35">
      <c r="B329" s="2"/>
      <c r="C329" s="5">
        <v>264</v>
      </c>
      <c r="D329" s="107">
        <f>F266</f>
        <v>26740.141732714066</v>
      </c>
      <c r="E329" s="1"/>
      <c r="F329" s="1"/>
      <c r="G329" s="1"/>
      <c r="H329" s="1"/>
      <c r="I329" s="1"/>
      <c r="J329" s="1"/>
      <c r="K329" s="33"/>
    </row>
    <row r="330" spans="2:11" ht="18" x14ac:dyDescent="0.35">
      <c r="B330" s="2"/>
      <c r="C330" s="7">
        <v>300</v>
      </c>
      <c r="D330" s="108">
        <f t="shared" ref="D330:D378" si="38">F267</f>
        <v>64825.156699417668</v>
      </c>
      <c r="E330" s="1"/>
      <c r="F330" s="1"/>
      <c r="G330" s="1"/>
      <c r="H330" s="1"/>
      <c r="I330" s="1"/>
      <c r="J330" s="1"/>
      <c r="K330" s="33"/>
    </row>
    <row r="331" spans="2:11" ht="18" x14ac:dyDescent="0.35">
      <c r="B331" s="2"/>
      <c r="C331" s="7">
        <v>360</v>
      </c>
      <c r="D331" s="108">
        <f t="shared" si="38"/>
        <v>31150.302722968365</v>
      </c>
      <c r="E331" s="1"/>
      <c r="F331" s="1"/>
      <c r="G331" s="1"/>
      <c r="H331" s="1"/>
      <c r="I331" s="1"/>
      <c r="J331" s="1"/>
      <c r="K331" s="33"/>
    </row>
    <row r="332" spans="2:11" ht="18" x14ac:dyDescent="0.35">
      <c r="B332" s="2"/>
      <c r="C332" s="7">
        <v>384</v>
      </c>
      <c r="D332" s="108">
        <f t="shared" si="38"/>
        <v>24102.294671176696</v>
      </c>
      <c r="E332" s="1"/>
      <c r="F332" s="1"/>
      <c r="G332" s="1"/>
      <c r="H332" s="1"/>
      <c r="I332" s="1"/>
      <c r="J332" s="1"/>
      <c r="K332" s="33"/>
    </row>
    <row r="333" spans="2:11" ht="18" x14ac:dyDescent="0.35">
      <c r="B333" s="2"/>
      <c r="C333" s="7">
        <v>420</v>
      </c>
      <c r="D333" s="108">
        <f t="shared" si="38"/>
        <v>9784.9451686759803</v>
      </c>
      <c r="E333" s="1"/>
      <c r="F333" s="1"/>
      <c r="G333" s="1"/>
      <c r="H333" s="1"/>
      <c r="I333" s="1"/>
      <c r="J333" s="1"/>
      <c r="K333" s="33"/>
    </row>
    <row r="334" spans="2:11" ht="18" x14ac:dyDescent="0.35">
      <c r="B334" s="2"/>
      <c r="C334" s="7">
        <v>435</v>
      </c>
      <c r="D334" s="108">
        <f t="shared" si="38"/>
        <v>42414.258697343801</v>
      </c>
      <c r="E334" s="1"/>
      <c r="F334" s="1"/>
      <c r="G334" s="1"/>
      <c r="H334" s="1"/>
      <c r="I334" s="1"/>
      <c r="J334" s="1"/>
      <c r="K334" s="33"/>
    </row>
    <row r="335" spans="2:11" ht="18" x14ac:dyDescent="0.35">
      <c r="B335" s="2"/>
      <c r="C335" s="7">
        <v>480</v>
      </c>
      <c r="D335" s="108">
        <f t="shared" si="38"/>
        <v>607982.37711855094</v>
      </c>
      <c r="E335" s="1"/>
      <c r="F335" s="1"/>
      <c r="G335" s="1"/>
      <c r="H335" s="1"/>
      <c r="I335" s="1"/>
      <c r="J335" s="1"/>
      <c r="K335" s="33"/>
    </row>
    <row r="336" spans="2:11" ht="18" x14ac:dyDescent="0.35">
      <c r="B336" s="2"/>
      <c r="C336" s="7">
        <v>480</v>
      </c>
      <c r="D336" s="108">
        <f t="shared" si="38"/>
        <v>8636.4025452078531</v>
      </c>
      <c r="E336" s="1"/>
      <c r="F336" s="1"/>
      <c r="G336" s="1"/>
      <c r="H336" s="1"/>
      <c r="I336" s="1"/>
      <c r="J336" s="1"/>
      <c r="K336" s="33"/>
    </row>
    <row r="337" spans="2:11" ht="18" x14ac:dyDescent="0.35">
      <c r="B337" s="2"/>
      <c r="C337" s="7">
        <v>489</v>
      </c>
      <c r="D337" s="108">
        <f t="shared" si="38"/>
        <v>24695.887361666104</v>
      </c>
      <c r="E337" s="1"/>
      <c r="F337" s="1"/>
      <c r="G337" s="1"/>
      <c r="H337" s="1"/>
      <c r="I337" s="1"/>
      <c r="J337" s="1"/>
      <c r="K337" s="33"/>
    </row>
    <row r="338" spans="2:11" ht="18" x14ac:dyDescent="0.35">
      <c r="B338" s="2"/>
      <c r="C338" s="7">
        <v>492</v>
      </c>
      <c r="D338" s="108">
        <f t="shared" si="38"/>
        <v>12022.043539650966</v>
      </c>
      <c r="E338" s="1"/>
      <c r="F338" s="1"/>
      <c r="G338" s="1"/>
      <c r="H338" s="1"/>
      <c r="I338" s="1"/>
      <c r="J338" s="1"/>
      <c r="K338" s="33"/>
    </row>
    <row r="339" spans="2:11" ht="18" x14ac:dyDescent="0.35">
      <c r="B339" s="2"/>
      <c r="C339" s="7">
        <v>492</v>
      </c>
      <c r="D339" s="108">
        <f t="shared" si="38"/>
        <v>12022.043539650966</v>
      </c>
      <c r="E339" s="1"/>
      <c r="F339" s="1"/>
      <c r="G339" s="1"/>
      <c r="H339" s="1"/>
      <c r="I339" s="1"/>
      <c r="J339" s="1"/>
      <c r="K339" s="33"/>
    </row>
    <row r="340" spans="2:11" ht="18" x14ac:dyDescent="0.35">
      <c r="B340" s="2"/>
      <c r="C340" s="7">
        <v>495</v>
      </c>
      <c r="D340" s="108">
        <f t="shared" si="38"/>
        <v>154637.23483894445</v>
      </c>
      <c r="E340" s="1"/>
      <c r="F340" s="1"/>
      <c r="G340" s="84" t="s">
        <v>107</v>
      </c>
      <c r="H340" s="85">
        <f>H201*Homocedasticidad!H82</f>
        <v>2.840145597942308E-2</v>
      </c>
      <c r="I340" s="1"/>
      <c r="J340" s="1"/>
      <c r="K340" s="33"/>
    </row>
    <row r="341" spans="2:11" ht="18" x14ac:dyDescent="0.35">
      <c r="B341" s="2"/>
      <c r="C341" s="7">
        <v>552</v>
      </c>
      <c r="D341" s="108">
        <f t="shared" si="38"/>
        <v>382503.02009338536</v>
      </c>
      <c r="E341" s="1"/>
      <c r="F341" s="1"/>
      <c r="G341" s="84" t="s">
        <v>108</v>
      </c>
      <c r="H341" s="85">
        <f>CHIINV(0.01,1)</f>
        <v>6.6348966010212118</v>
      </c>
      <c r="I341" s="1"/>
      <c r="J341" s="1"/>
      <c r="K341" s="33"/>
    </row>
    <row r="342" spans="2:11" ht="18" x14ac:dyDescent="0.35">
      <c r="B342" s="2"/>
      <c r="C342" s="7">
        <v>560</v>
      </c>
      <c r="D342" s="108">
        <f t="shared" si="38"/>
        <v>7216.5139648120748</v>
      </c>
      <c r="E342" s="1"/>
      <c r="F342" s="1"/>
      <c r="G342" s="84" t="s">
        <v>70</v>
      </c>
      <c r="H342" s="85">
        <v>0.01</v>
      </c>
      <c r="I342" s="1"/>
      <c r="J342" s="1"/>
      <c r="K342" s="33"/>
    </row>
    <row r="343" spans="2:11" ht="18" x14ac:dyDescent="0.35">
      <c r="B343" s="2"/>
      <c r="C343" s="7">
        <v>565</v>
      </c>
      <c r="D343" s="108">
        <f t="shared" si="38"/>
        <v>266489.47021357319</v>
      </c>
      <c r="E343" s="1"/>
      <c r="F343" s="1"/>
      <c r="G343" s="84" t="s">
        <v>71</v>
      </c>
      <c r="H343" s="85">
        <f>CHIDIST(H340,1)</f>
        <v>0.86616845652800378</v>
      </c>
      <c r="I343" s="1"/>
      <c r="J343" s="1"/>
      <c r="K343" s="33"/>
    </row>
    <row r="344" spans="2:11" ht="18" x14ac:dyDescent="0.35">
      <c r="B344" s="2"/>
      <c r="C344" s="7">
        <v>583</v>
      </c>
      <c r="D344" s="108">
        <f t="shared" si="38"/>
        <v>28.51356178022294</v>
      </c>
      <c r="E344" s="1"/>
      <c r="F344" s="1"/>
    </row>
    <row r="345" spans="2:11" ht="18.75" thickBot="1" x14ac:dyDescent="0.4">
      <c r="B345" s="2"/>
      <c r="C345" s="7">
        <v>591</v>
      </c>
      <c r="D345" s="108">
        <f t="shared" si="38"/>
        <v>177866.29169637195</v>
      </c>
      <c r="E345" s="1"/>
      <c r="F345" s="1"/>
    </row>
    <row r="346" spans="2:11" ht="18" x14ac:dyDescent="0.35">
      <c r="B346" s="2"/>
      <c r="C346" s="7">
        <v>630</v>
      </c>
      <c r="D346" s="108">
        <f t="shared" si="38"/>
        <v>3239943.6230228995</v>
      </c>
      <c r="E346" s="1"/>
      <c r="F346" s="1"/>
      <c r="G346" s="166" t="s">
        <v>131</v>
      </c>
      <c r="H346" s="167"/>
      <c r="I346" s="167"/>
      <c r="J346" s="167"/>
      <c r="K346" s="167"/>
    </row>
    <row r="347" spans="2:11" ht="18.75" thickBot="1" x14ac:dyDescent="0.4">
      <c r="B347" s="2"/>
      <c r="C347" s="7">
        <v>630</v>
      </c>
      <c r="D347" s="108">
        <f t="shared" si="38"/>
        <v>359981.20783779729</v>
      </c>
      <c r="E347" s="1"/>
      <c r="F347" s="1"/>
      <c r="G347" s="169"/>
      <c r="H347" s="170"/>
      <c r="I347" s="170"/>
      <c r="J347" s="170"/>
      <c r="K347" s="170"/>
    </row>
    <row r="348" spans="2:11" ht="18" x14ac:dyDescent="0.35">
      <c r="B348" s="2"/>
      <c r="C348" s="7">
        <v>680</v>
      </c>
      <c r="D348" s="108">
        <f t="shared" si="38"/>
        <v>711025.36822832329</v>
      </c>
      <c r="E348" s="1"/>
      <c r="F348" s="1"/>
      <c r="G348" s="35"/>
      <c r="H348" s="1"/>
      <c r="I348" s="1"/>
      <c r="J348" s="1"/>
      <c r="K348" s="33"/>
    </row>
    <row r="349" spans="2:11" ht="18" x14ac:dyDescent="0.35">
      <c r="B349" s="2"/>
      <c r="C349" s="7">
        <v>708</v>
      </c>
      <c r="D349" s="108">
        <f t="shared" si="38"/>
        <v>93980.894575843835</v>
      </c>
      <c r="E349" s="1"/>
      <c r="F349" s="1"/>
      <c r="G349" s="35"/>
      <c r="H349" s="1"/>
      <c r="I349" s="1"/>
      <c r="J349" s="1"/>
      <c r="K349" s="33"/>
    </row>
    <row r="350" spans="2:11" ht="18" x14ac:dyDescent="0.35">
      <c r="B350" s="2"/>
      <c r="C350" s="7">
        <v>708</v>
      </c>
      <c r="D350" s="108">
        <f t="shared" si="38"/>
        <v>93980.894575843835</v>
      </c>
      <c r="E350" s="1"/>
      <c r="F350" s="1"/>
      <c r="G350" s="35"/>
      <c r="H350" s="1"/>
      <c r="I350" s="1"/>
      <c r="J350" s="1"/>
      <c r="K350" s="33"/>
    </row>
    <row r="351" spans="2:11" ht="18" x14ac:dyDescent="0.35">
      <c r="B351" s="2"/>
      <c r="C351" s="7">
        <v>753</v>
      </c>
      <c r="D351" s="108">
        <f t="shared" si="38"/>
        <v>7638.4207557304935</v>
      </c>
      <c r="E351" s="1"/>
      <c r="F351" s="1"/>
      <c r="G351" s="1"/>
      <c r="H351" s="1"/>
      <c r="I351" s="1"/>
      <c r="J351" s="1"/>
      <c r="K351" s="33"/>
    </row>
    <row r="352" spans="2:11" ht="18" x14ac:dyDescent="0.35">
      <c r="B352" s="2"/>
      <c r="C352" s="7">
        <v>756</v>
      </c>
      <c r="D352" s="108">
        <f t="shared" si="38"/>
        <v>5767.8363085911869</v>
      </c>
      <c r="E352" s="1"/>
      <c r="F352" s="1"/>
      <c r="G352" s="1"/>
      <c r="H352" s="1"/>
      <c r="I352" s="1"/>
      <c r="J352" s="1"/>
      <c r="K352" s="33"/>
    </row>
    <row r="353" spans="2:11" ht="18" x14ac:dyDescent="0.35">
      <c r="B353" s="2"/>
      <c r="C353" s="7">
        <v>760</v>
      </c>
      <c r="D353" s="108">
        <f t="shared" si="38"/>
        <v>18863.544233036901</v>
      </c>
      <c r="E353" s="1"/>
      <c r="F353" s="1"/>
      <c r="G353" s="1"/>
      <c r="H353" s="1"/>
      <c r="I353" s="1"/>
      <c r="J353" s="1"/>
      <c r="K353" s="33"/>
    </row>
    <row r="354" spans="2:11" ht="18" x14ac:dyDescent="0.35">
      <c r="B354" s="2"/>
      <c r="C354" s="7">
        <v>768</v>
      </c>
      <c r="D354" s="108">
        <f t="shared" si="38"/>
        <v>1070555.2538527495</v>
      </c>
      <c r="E354" s="1"/>
      <c r="F354" s="1"/>
      <c r="G354" s="1"/>
      <c r="H354" s="1"/>
      <c r="I354" s="1"/>
      <c r="J354" s="1"/>
      <c r="K354" s="33"/>
    </row>
    <row r="355" spans="2:11" ht="18" x14ac:dyDescent="0.35">
      <c r="B355" s="2"/>
      <c r="C355" s="7">
        <v>790</v>
      </c>
      <c r="D355" s="108">
        <f t="shared" si="38"/>
        <v>3844.1613457737349</v>
      </c>
      <c r="E355" s="1"/>
      <c r="F355" s="1"/>
      <c r="G355" s="1"/>
      <c r="H355" s="1"/>
      <c r="I355" s="1"/>
      <c r="J355" s="1"/>
      <c r="K355" s="33"/>
    </row>
    <row r="356" spans="2:11" ht="18" x14ac:dyDescent="0.35">
      <c r="B356" s="2"/>
      <c r="C356" s="7">
        <v>791</v>
      </c>
      <c r="D356" s="108">
        <f t="shared" si="38"/>
        <v>128548.43898254458</v>
      </c>
      <c r="E356" s="1"/>
      <c r="F356" s="1"/>
      <c r="G356" s="1"/>
      <c r="H356" s="1"/>
      <c r="I356" s="1"/>
      <c r="J356" s="1"/>
      <c r="K356" s="33"/>
    </row>
    <row r="357" spans="2:11" ht="18" x14ac:dyDescent="0.35">
      <c r="B357" s="2"/>
      <c r="C357" s="7">
        <v>812</v>
      </c>
      <c r="D357" s="108">
        <f t="shared" si="38"/>
        <v>47950.576943815046</v>
      </c>
      <c r="E357" s="1"/>
      <c r="F357" s="1"/>
      <c r="G357" s="1"/>
      <c r="H357" s="1"/>
      <c r="I357" s="1"/>
      <c r="J357" s="1"/>
      <c r="K357" s="33"/>
    </row>
    <row r="358" spans="2:11" ht="18" x14ac:dyDescent="0.35">
      <c r="B358" s="2"/>
      <c r="C358" s="7">
        <v>830</v>
      </c>
      <c r="D358" s="108">
        <f t="shared" si="38"/>
        <v>5630843.2404750576</v>
      </c>
      <c r="E358" s="1"/>
      <c r="F358" s="1"/>
      <c r="G358" s="1"/>
      <c r="H358" s="1"/>
      <c r="I358" s="1"/>
      <c r="J358" s="1"/>
      <c r="K358" s="33"/>
    </row>
    <row r="359" spans="2:11" ht="18" x14ac:dyDescent="0.35">
      <c r="B359" s="2"/>
      <c r="C359" s="7">
        <v>863</v>
      </c>
      <c r="D359" s="108">
        <f t="shared" si="38"/>
        <v>339740.42386720213</v>
      </c>
      <c r="E359" s="1"/>
      <c r="F359" s="1"/>
      <c r="G359" s="1"/>
      <c r="H359" s="1"/>
      <c r="I359" s="1"/>
      <c r="J359" s="1"/>
      <c r="K359" s="33"/>
    </row>
    <row r="360" spans="2:11" ht="18" x14ac:dyDescent="0.35">
      <c r="B360" s="2"/>
      <c r="C360" s="7">
        <v>888</v>
      </c>
      <c r="D360" s="108">
        <f t="shared" si="38"/>
        <v>84624.63172198621</v>
      </c>
      <c r="E360" s="1"/>
      <c r="F360" s="1"/>
      <c r="G360" s="1"/>
      <c r="H360" s="1"/>
      <c r="I360" s="1"/>
      <c r="J360" s="1"/>
      <c r="K360" s="33"/>
    </row>
    <row r="361" spans="2:11" ht="18" x14ac:dyDescent="0.35">
      <c r="B361" s="2"/>
      <c r="C361" s="7">
        <v>900</v>
      </c>
      <c r="D361" s="108">
        <f t="shared" si="38"/>
        <v>15221.589068743442</v>
      </c>
      <c r="E361" s="1"/>
      <c r="F361" s="1"/>
      <c r="G361" s="1"/>
      <c r="H361" s="1"/>
      <c r="I361" s="1"/>
      <c r="J361" s="1"/>
      <c r="K361" s="33"/>
    </row>
    <row r="362" spans="2:11" ht="18" x14ac:dyDescent="0.35">
      <c r="B362" s="2"/>
      <c r="C362" s="7">
        <v>920</v>
      </c>
      <c r="D362" s="108">
        <f t="shared" si="38"/>
        <v>220177.03627103314</v>
      </c>
      <c r="E362" s="1"/>
      <c r="F362" s="1"/>
      <c r="G362" s="1"/>
      <c r="H362" s="1"/>
      <c r="I362" s="1"/>
      <c r="J362" s="1"/>
      <c r="K362" s="33"/>
    </row>
    <row r="363" spans="2:11" ht="18" x14ac:dyDescent="0.35">
      <c r="B363" s="2"/>
      <c r="C363" s="7">
        <v>921</v>
      </c>
      <c r="D363" s="108">
        <f t="shared" si="38"/>
        <v>174653.35016657354</v>
      </c>
      <c r="E363" s="1"/>
      <c r="F363" s="1"/>
      <c r="G363" s="1"/>
      <c r="H363" s="1"/>
      <c r="I363" s="1"/>
      <c r="J363" s="1"/>
      <c r="K363" s="33"/>
    </row>
    <row r="364" spans="2:11" ht="18" x14ac:dyDescent="0.35">
      <c r="B364" s="2"/>
      <c r="C364" s="7">
        <v>960</v>
      </c>
      <c r="D364" s="108">
        <f t="shared" si="38"/>
        <v>2028.526792469399</v>
      </c>
      <c r="E364" s="1"/>
      <c r="F364" s="1"/>
      <c r="G364" s="1"/>
      <c r="H364" s="1"/>
      <c r="I364" s="1"/>
      <c r="J364" s="1"/>
      <c r="K364" s="33"/>
    </row>
    <row r="365" spans="2:11" ht="18" x14ac:dyDescent="0.35">
      <c r="B365" s="2"/>
      <c r="C365" s="7">
        <v>976</v>
      </c>
      <c r="D365" s="108">
        <f t="shared" si="38"/>
        <v>25345.510391438627</v>
      </c>
      <c r="E365" s="1"/>
      <c r="F365" s="1"/>
      <c r="G365" s="1"/>
      <c r="H365" s="1"/>
      <c r="I365" s="1"/>
      <c r="J365" s="1"/>
      <c r="K365" s="33"/>
    </row>
    <row r="366" spans="2:11" ht="18" x14ac:dyDescent="0.35">
      <c r="B366" s="2"/>
      <c r="C366" s="7">
        <v>980</v>
      </c>
      <c r="D366" s="108">
        <f t="shared" si="38"/>
        <v>1852.753622023821</v>
      </c>
      <c r="E366" s="1"/>
      <c r="F366" s="1"/>
      <c r="G366" s="1"/>
      <c r="H366" s="1"/>
      <c r="I366" s="1"/>
      <c r="J366" s="1"/>
      <c r="K366" s="33"/>
    </row>
    <row r="367" spans="2:11" ht="18" x14ac:dyDescent="0.35">
      <c r="B367" s="2"/>
      <c r="C367" s="7">
        <v>985</v>
      </c>
      <c r="D367" s="108">
        <f t="shared" si="38"/>
        <v>6196.7972160069539</v>
      </c>
      <c r="E367" s="1"/>
      <c r="F367" s="1"/>
      <c r="G367" s="1"/>
      <c r="H367" s="1"/>
      <c r="I367" s="1"/>
      <c r="J367" s="1"/>
      <c r="K367" s="33"/>
    </row>
    <row r="368" spans="2:11" ht="18" x14ac:dyDescent="0.35">
      <c r="B368" s="2"/>
      <c r="C368" s="7">
        <v>986</v>
      </c>
      <c r="D368" s="108">
        <f t="shared" si="38"/>
        <v>53155.590119816217</v>
      </c>
      <c r="E368" s="1"/>
      <c r="F368" s="1"/>
      <c r="G368" s="1"/>
      <c r="H368" s="1"/>
      <c r="I368" s="1"/>
      <c r="J368" s="1"/>
      <c r="K368" s="33"/>
    </row>
    <row r="369" spans="2:11" ht="18" x14ac:dyDescent="0.35">
      <c r="B369" s="2"/>
      <c r="C369" s="7">
        <v>1023</v>
      </c>
      <c r="D369" s="108">
        <f t="shared" si="38"/>
        <v>484195.8062997107</v>
      </c>
      <c r="E369" s="1"/>
      <c r="F369" s="1"/>
      <c r="G369" s="1"/>
      <c r="H369" s="1"/>
      <c r="I369" s="1"/>
      <c r="J369" s="1"/>
      <c r="K369" s="33"/>
    </row>
    <row r="370" spans="2:11" ht="18" x14ac:dyDescent="0.35">
      <c r="B370" s="2"/>
      <c r="C370" s="7">
        <v>1040</v>
      </c>
      <c r="D370" s="108">
        <f t="shared" si="38"/>
        <v>140282.46637960337</v>
      </c>
      <c r="E370" s="1"/>
      <c r="F370" s="1"/>
      <c r="G370" s="1"/>
      <c r="H370" s="1"/>
      <c r="I370" s="1"/>
      <c r="J370" s="1"/>
      <c r="K370" s="33"/>
    </row>
    <row r="371" spans="2:11" ht="18" x14ac:dyDescent="0.35">
      <c r="B371" s="2"/>
      <c r="C371" s="7">
        <v>1043</v>
      </c>
      <c r="D371" s="108">
        <f t="shared" si="38"/>
        <v>16094.134048707854</v>
      </c>
      <c r="E371" s="1"/>
      <c r="F371" s="1"/>
      <c r="G371" s="1"/>
      <c r="H371" s="1"/>
      <c r="I371" s="1"/>
      <c r="J371" s="1"/>
      <c r="K371" s="33"/>
    </row>
    <row r="372" spans="2:11" ht="18" x14ac:dyDescent="0.35">
      <c r="B372" s="2"/>
      <c r="C372" s="7">
        <v>1044</v>
      </c>
      <c r="D372" s="108">
        <f t="shared" si="38"/>
        <v>198917.89018147593</v>
      </c>
      <c r="E372" s="1"/>
      <c r="F372" s="1"/>
      <c r="G372" s="1"/>
      <c r="H372" s="1"/>
      <c r="I372" s="1"/>
      <c r="J372" s="1"/>
      <c r="K372" s="33"/>
    </row>
    <row r="373" spans="2:11" ht="18" x14ac:dyDescent="0.35">
      <c r="B373" s="2"/>
      <c r="C373" s="7">
        <v>1050</v>
      </c>
      <c r="D373" s="108">
        <f t="shared" si="38"/>
        <v>1300.2671665929415</v>
      </c>
      <c r="E373" s="1"/>
      <c r="F373" s="1"/>
      <c r="G373" s="1"/>
      <c r="H373" s="1"/>
      <c r="I373" s="1"/>
      <c r="J373" s="1"/>
      <c r="K373" s="33"/>
    </row>
    <row r="374" spans="2:11" ht="18" x14ac:dyDescent="0.35">
      <c r="B374" s="2"/>
      <c r="C374" s="7">
        <v>1164</v>
      </c>
      <c r="D374" s="108">
        <f t="shared" si="38"/>
        <v>291357.46993931493</v>
      </c>
      <c r="E374" s="1"/>
      <c r="F374" s="1"/>
      <c r="G374" s="1"/>
      <c r="H374" s="1"/>
      <c r="I374" s="1"/>
      <c r="J374" s="1"/>
      <c r="K374" s="33"/>
    </row>
    <row r="375" spans="2:11" ht="18" x14ac:dyDescent="0.35">
      <c r="B375" s="2"/>
      <c r="C375" s="7">
        <v>1236</v>
      </c>
      <c r="D375" s="108">
        <f t="shared" si="38"/>
        <v>30989.852764482825</v>
      </c>
      <c r="E375" s="1"/>
      <c r="F375" s="1"/>
      <c r="G375" s="1"/>
      <c r="H375" s="1"/>
      <c r="I375" s="1"/>
      <c r="J375" s="1"/>
      <c r="K375" s="33"/>
    </row>
    <row r="376" spans="2:11" ht="18" x14ac:dyDescent="0.35">
      <c r="B376" s="2"/>
      <c r="C376" s="7">
        <v>1296</v>
      </c>
      <c r="D376" s="108">
        <f t="shared" si="38"/>
        <v>1004152.3320648858</v>
      </c>
      <c r="E376" s="1"/>
      <c r="F376" s="1"/>
      <c r="G376" s="1"/>
      <c r="H376" s="1"/>
      <c r="I376" s="1"/>
      <c r="J376" s="1"/>
      <c r="K376" s="33"/>
    </row>
    <row r="377" spans="2:11" ht="18" x14ac:dyDescent="0.35">
      <c r="B377" s="2"/>
      <c r="C377" s="7">
        <v>1344</v>
      </c>
      <c r="D377" s="108">
        <f t="shared" si="38"/>
        <v>14295.719281834095</v>
      </c>
      <c r="E377" s="1"/>
      <c r="F377" s="1"/>
      <c r="G377" s="1"/>
      <c r="H377" s="1"/>
      <c r="I377" s="1"/>
      <c r="J377" s="1"/>
      <c r="K377" s="33"/>
    </row>
    <row r="378" spans="2:11" ht="18" x14ac:dyDescent="0.35">
      <c r="B378" s="2"/>
      <c r="C378" s="96">
        <v>1380</v>
      </c>
      <c r="D378" s="109">
        <f t="shared" si="38"/>
        <v>61785.689358507545</v>
      </c>
      <c r="E378" s="1"/>
      <c r="F378" s="1"/>
      <c r="G378" s="1"/>
      <c r="H378" s="1"/>
      <c r="I378" s="1"/>
      <c r="J378" s="1"/>
      <c r="K378" s="33"/>
    </row>
    <row r="383" spans="2:11" ht="18.75" thickBot="1" x14ac:dyDescent="0.4">
      <c r="B383" s="2"/>
    </row>
    <row r="384" spans="2:11" ht="18.75" thickBot="1" x14ac:dyDescent="0.4">
      <c r="B384" s="9" t="s">
        <v>109</v>
      </c>
      <c r="C384" s="132" t="s">
        <v>113</v>
      </c>
      <c r="D384" s="133"/>
      <c r="E384" s="133"/>
      <c r="F384" s="133"/>
      <c r="G384" s="133"/>
      <c r="H384" s="133"/>
      <c r="I384" s="133"/>
      <c r="J384" s="133"/>
      <c r="K384" s="133"/>
    </row>
    <row r="385" spans="1:11" ht="15.75" thickBot="1" x14ac:dyDescent="0.3">
      <c r="C385" s="134"/>
      <c r="D385" s="135"/>
      <c r="E385" s="135"/>
      <c r="F385" s="135"/>
      <c r="G385" s="135"/>
      <c r="H385" s="135"/>
      <c r="I385" s="135"/>
      <c r="J385" s="135"/>
      <c r="K385" s="135"/>
    </row>
    <row r="386" spans="1:11" ht="15.75" thickBot="1" x14ac:dyDescent="0.3"/>
    <row r="387" spans="1:11" ht="18.75" thickBot="1" x14ac:dyDescent="0.4">
      <c r="A387" s="2"/>
      <c r="B387" s="110" t="s">
        <v>136</v>
      </c>
      <c r="C387" s="111">
        <v>500</v>
      </c>
      <c r="D387" s="54"/>
      <c r="E387" s="177" t="s">
        <v>110</v>
      </c>
      <c r="F387" s="177"/>
      <c r="G387" s="106"/>
      <c r="H387" s="71"/>
      <c r="I387" s="71"/>
      <c r="J387" s="71"/>
      <c r="K387" s="71"/>
    </row>
    <row r="388" spans="1:11" ht="18" x14ac:dyDescent="0.35">
      <c r="A388" s="2"/>
      <c r="D388" s="54"/>
      <c r="E388" s="89" t="s">
        <v>133</v>
      </c>
      <c r="F388" s="89">
        <f>+C404+C405*C387</f>
        <v>9872.4367021713388</v>
      </c>
      <c r="G388" s="71"/>
      <c r="H388" s="71"/>
      <c r="I388" s="71"/>
      <c r="J388" s="71"/>
      <c r="K388" s="71"/>
    </row>
    <row r="389" spans="1:11" ht="17.25" thickBot="1" x14ac:dyDescent="0.35">
      <c r="A389" s="29"/>
      <c r="B389" s="88" t="s">
        <v>137</v>
      </c>
      <c r="C389" s="89">
        <f>SQRT(+C400*(1+(1/C401)+((C387-C402)^2/C403)))</f>
        <v>596.52260873443072</v>
      </c>
      <c r="D389" s="54"/>
      <c r="E389" s="54"/>
      <c r="F389" s="54"/>
      <c r="G389" s="71"/>
      <c r="H389" s="71"/>
      <c r="I389" s="71"/>
      <c r="J389" s="71"/>
      <c r="K389" s="71"/>
    </row>
    <row r="390" spans="1:11" ht="18" x14ac:dyDescent="0.35">
      <c r="A390" s="2"/>
      <c r="B390" s="88" t="s">
        <v>111</v>
      </c>
      <c r="C390" s="89">
        <f>SQRT(+C400*((1/C401)+((C387-C402)^2/C403)))</f>
        <v>116.17824802489589</v>
      </c>
      <c r="D390" s="54"/>
      <c r="E390" s="156" t="s">
        <v>135</v>
      </c>
      <c r="F390" s="156"/>
      <c r="G390" s="126" t="s">
        <v>112</v>
      </c>
      <c r="H390" s="127"/>
      <c r="I390" s="128"/>
      <c r="J390" s="71"/>
      <c r="K390" s="71"/>
    </row>
    <row r="391" spans="1:11" ht="18.75" thickBot="1" x14ac:dyDescent="0.4">
      <c r="A391" s="2"/>
      <c r="B391" s="88" t="s">
        <v>70</v>
      </c>
      <c r="C391" s="89">
        <v>0.01</v>
      </c>
      <c r="D391" s="54"/>
      <c r="E391" s="54">
        <f>+F388-C393*C390</f>
        <v>9560.8229374749426</v>
      </c>
      <c r="F391" s="54">
        <f>+F388+C393*(C390)</f>
        <v>10184.050466867735</v>
      </c>
      <c r="G391" s="129"/>
      <c r="H391" s="130"/>
      <c r="I391" s="131"/>
      <c r="J391" s="71"/>
      <c r="K391" s="71"/>
    </row>
    <row r="392" spans="1:11" ht="18.75" thickBot="1" x14ac:dyDescent="0.4">
      <c r="A392" s="2"/>
      <c r="B392" s="88" t="s">
        <v>16</v>
      </c>
      <c r="C392" s="89">
        <v>50</v>
      </c>
      <c r="D392" s="54"/>
      <c r="E392" s="54"/>
      <c r="F392" s="54"/>
      <c r="G392" s="71"/>
      <c r="H392" s="71"/>
      <c r="I392" s="71"/>
      <c r="J392" s="71"/>
      <c r="K392" s="71"/>
    </row>
    <row r="393" spans="1:11" ht="18" x14ac:dyDescent="0.35">
      <c r="A393" s="2"/>
      <c r="B393" s="88" t="s">
        <v>132</v>
      </c>
      <c r="C393" s="89">
        <f>_xlfn.T.INV.2T(C391,C392-2)</f>
        <v>2.6822040269502154</v>
      </c>
      <c r="D393" s="54"/>
      <c r="E393" s="156" t="s">
        <v>134</v>
      </c>
      <c r="F393" s="156"/>
      <c r="G393" s="178" t="s">
        <v>138</v>
      </c>
      <c r="H393" s="179"/>
      <c r="I393" s="180"/>
      <c r="J393" s="71"/>
      <c r="K393" s="71"/>
    </row>
    <row r="394" spans="1:11" ht="18.75" thickBot="1" x14ac:dyDescent="0.4">
      <c r="A394" s="2"/>
      <c r="B394" s="71"/>
      <c r="C394" s="54"/>
      <c r="D394" s="54"/>
      <c r="E394" s="54">
        <f>+F388-C393*(C389)</f>
        <v>8272.4413588570005</v>
      </c>
      <c r="F394" s="54">
        <f>F388+C393*(C389)</f>
        <v>11472.432045485677</v>
      </c>
      <c r="G394" s="181"/>
      <c r="H394" s="182"/>
      <c r="I394" s="183"/>
      <c r="J394" s="71"/>
      <c r="K394" s="71"/>
    </row>
    <row r="395" spans="1:11" ht="18.75" thickBot="1" x14ac:dyDescent="0.4">
      <c r="A395" s="2"/>
      <c r="B395" s="71"/>
      <c r="C395" s="54"/>
      <c r="D395" s="54"/>
      <c r="E395" s="54"/>
      <c r="F395" s="54"/>
      <c r="G395" s="71"/>
      <c r="H395" s="71"/>
      <c r="I395" s="71"/>
      <c r="J395" s="71"/>
      <c r="K395" s="71"/>
    </row>
    <row r="396" spans="1:11" ht="18" x14ac:dyDescent="0.35">
      <c r="A396" s="2"/>
      <c r="B396" s="136" t="s">
        <v>169</v>
      </c>
      <c r="C396" s="137"/>
      <c r="D396" s="137"/>
      <c r="E396" s="137"/>
      <c r="F396" s="138"/>
      <c r="G396" s="71"/>
      <c r="H396" s="71"/>
      <c r="I396" s="71"/>
      <c r="J396" s="71"/>
      <c r="K396" s="71"/>
    </row>
    <row r="397" spans="1:11" ht="18" x14ac:dyDescent="0.35">
      <c r="A397" s="2"/>
      <c r="B397" s="139"/>
      <c r="C397" s="140"/>
      <c r="D397" s="140"/>
      <c r="E397" s="140"/>
      <c r="F397" s="141"/>
      <c r="G397" s="71"/>
      <c r="H397" s="71"/>
      <c r="I397" s="71"/>
      <c r="J397" s="71"/>
      <c r="K397" s="71"/>
    </row>
    <row r="398" spans="1:11" ht="15.75" thickBot="1" x14ac:dyDescent="0.3">
      <c r="B398" s="142"/>
      <c r="C398" s="143"/>
      <c r="D398" s="143"/>
      <c r="E398" s="143"/>
      <c r="F398" s="144"/>
    </row>
    <row r="400" spans="1:11" x14ac:dyDescent="0.25">
      <c r="B400" s="88" t="str">
        <f t="shared" ref="B400:C405" si="39">D139</f>
        <v>s_e^2</v>
      </c>
      <c r="C400" s="89">
        <f t="shared" si="39"/>
        <v>342341.83741719648</v>
      </c>
    </row>
    <row r="401" spans="2:3" x14ac:dyDescent="0.25">
      <c r="B401" s="88" t="str">
        <f t="shared" si="39"/>
        <v>n</v>
      </c>
      <c r="C401" s="89">
        <f t="shared" si="39"/>
        <v>50</v>
      </c>
    </row>
    <row r="402" spans="2:3" x14ac:dyDescent="0.25">
      <c r="B402" s="88" t="str">
        <f t="shared" si="39"/>
        <v>avg_X</v>
      </c>
      <c r="C402" s="89">
        <f t="shared" si="39"/>
        <v>771.14</v>
      </c>
    </row>
    <row r="403" spans="2:3" x14ac:dyDescent="0.25">
      <c r="B403" s="88" t="str">
        <f t="shared" si="39"/>
        <v>SSx</v>
      </c>
      <c r="C403" s="89">
        <f t="shared" si="39"/>
        <v>3784336.0199999996</v>
      </c>
    </row>
    <row r="404" spans="2:3" x14ac:dyDescent="0.25">
      <c r="B404" s="88" t="str">
        <f t="shared" si="39"/>
        <v>b0</v>
      </c>
      <c r="C404" s="89">
        <f t="shared" si="39"/>
        <v>6304.8253246013328</v>
      </c>
    </row>
    <row r="405" spans="2:3" x14ac:dyDescent="0.25">
      <c r="B405" s="88" t="str">
        <f t="shared" si="39"/>
        <v>b1</v>
      </c>
      <c r="C405" s="89">
        <f t="shared" si="39"/>
        <v>7.1352227551400107</v>
      </c>
    </row>
    <row r="407" spans="2:3" ht="18" x14ac:dyDescent="0.35">
      <c r="B407" s="2"/>
    </row>
  </sheetData>
  <sortState ref="C201:Q253">
    <sortCondition ref="D204:D253"/>
  </sortState>
  <mergeCells count="42">
    <mergeCell ref="G149:K150"/>
    <mergeCell ref="G155:K155"/>
    <mergeCell ref="D87:K91"/>
    <mergeCell ref="I184:K185"/>
    <mergeCell ref="C193:K194"/>
    <mergeCell ref="D110:K113"/>
    <mergeCell ref="B396:F398"/>
    <mergeCell ref="G184:G185"/>
    <mergeCell ref="H184:H185"/>
    <mergeCell ref="G156:K157"/>
    <mergeCell ref="D175:H175"/>
    <mergeCell ref="I181:K182"/>
    <mergeCell ref="G346:K347"/>
    <mergeCell ref="C384:K385"/>
    <mergeCell ref="E390:F390"/>
    <mergeCell ref="E393:F393"/>
    <mergeCell ref="E387:F387"/>
    <mergeCell ref="G390:I391"/>
    <mergeCell ref="G393:I394"/>
    <mergeCell ref="C2:J6"/>
    <mergeCell ref="D116:K117"/>
    <mergeCell ref="D125:J125"/>
    <mergeCell ref="D178:K179"/>
    <mergeCell ref="D9:E9"/>
    <mergeCell ref="D165:E165"/>
    <mergeCell ref="D168:E168"/>
    <mergeCell ref="D136:K137"/>
    <mergeCell ref="D162:K163"/>
    <mergeCell ref="D172:K173"/>
    <mergeCell ref="H165:K167"/>
    <mergeCell ref="G148:K148"/>
    <mergeCell ref="D66:K67"/>
    <mergeCell ref="D97:K98"/>
    <mergeCell ref="D132:J133"/>
    <mergeCell ref="D131:J131"/>
    <mergeCell ref="L207:M207"/>
    <mergeCell ref="G230:P231"/>
    <mergeCell ref="C256:K257"/>
    <mergeCell ref="C320:K321"/>
    <mergeCell ref="I313:O315"/>
    <mergeCell ref="H207:I207"/>
    <mergeCell ref="J207:K20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5C34-B638-4C64-99B5-EB7154FD06CE}">
  <dimension ref="G6:G55"/>
  <sheetViews>
    <sheetView workbookViewId="0">
      <selection activeCell="G6" sqref="G6:G55"/>
    </sheetView>
  </sheetViews>
  <sheetFormatPr baseColWidth="10" defaultRowHeight="15" x14ac:dyDescent="0.25"/>
  <sheetData>
    <row r="6" spans="7:7" x14ac:dyDescent="0.25">
      <c r="G6" s="5">
        <v>-2372.94</v>
      </c>
    </row>
    <row r="7" spans="7:7" x14ac:dyDescent="0.25">
      <c r="G7" s="7">
        <v>-1799.98</v>
      </c>
    </row>
    <row r="8" spans="7:7" x14ac:dyDescent="0.25">
      <c r="G8" s="7">
        <v>-843.22</v>
      </c>
    </row>
    <row r="9" spans="7:7" x14ac:dyDescent="0.25">
      <c r="G9" s="7">
        <v>-695.84</v>
      </c>
    </row>
    <row r="10" spans="7:7" x14ac:dyDescent="0.25">
      <c r="G10" s="7">
        <v>-599.98</v>
      </c>
    </row>
    <row r="11" spans="7:7" x14ac:dyDescent="0.25">
      <c r="G11" s="7">
        <v>-539.78</v>
      </c>
    </row>
    <row r="12" spans="7:7" x14ac:dyDescent="0.25">
      <c r="G12" s="7">
        <v>-446</v>
      </c>
    </row>
    <row r="13" spans="7:7" x14ac:dyDescent="0.25">
      <c r="G13" s="7">
        <v>-393.24</v>
      </c>
    </row>
    <row r="14" spans="7:7" x14ac:dyDescent="0.25">
      <c r="G14" s="7">
        <v>-374.54</v>
      </c>
    </row>
    <row r="15" spans="7:7" x14ac:dyDescent="0.25">
      <c r="G15" s="7">
        <v>-254.61</v>
      </c>
    </row>
    <row r="16" spans="7:7" x14ac:dyDescent="0.25">
      <c r="G16" s="7">
        <v>-248.57</v>
      </c>
    </row>
    <row r="17" spans="7:7" x14ac:dyDescent="0.25">
      <c r="G17" s="7">
        <v>-176.49</v>
      </c>
    </row>
    <row r="18" spans="7:7" x14ac:dyDescent="0.25">
      <c r="G18" s="7">
        <v>-176.04</v>
      </c>
    </row>
    <row r="19" spans="7:7" x14ac:dyDescent="0.25">
      <c r="G19" s="7">
        <v>-155.25</v>
      </c>
    </row>
    <row r="20" spans="7:7" x14ac:dyDescent="0.25">
      <c r="G20" s="7">
        <v>-109.65</v>
      </c>
    </row>
    <row r="21" spans="7:7" x14ac:dyDescent="0.25">
      <c r="G21" s="7">
        <v>-109.65</v>
      </c>
    </row>
    <row r="22" spans="7:7" x14ac:dyDescent="0.25">
      <c r="G22" s="7">
        <v>-75.95</v>
      </c>
    </row>
    <row r="23" spans="7:7" x14ac:dyDescent="0.25">
      <c r="G23" s="7">
        <v>-5.34</v>
      </c>
    </row>
    <row r="24" spans="7:7" x14ac:dyDescent="0.25">
      <c r="G24" s="7">
        <v>36.06</v>
      </c>
    </row>
    <row r="25" spans="7:7" x14ac:dyDescent="0.25">
      <c r="G25" s="7">
        <v>43.04</v>
      </c>
    </row>
    <row r="26" spans="7:7" x14ac:dyDescent="0.25">
      <c r="G26" s="7">
        <v>45.04</v>
      </c>
    </row>
    <row r="27" spans="7:7" x14ac:dyDescent="0.25">
      <c r="G27" s="7">
        <v>62</v>
      </c>
    </row>
    <row r="28" spans="7:7" x14ac:dyDescent="0.25">
      <c r="G28" s="7">
        <v>78.72</v>
      </c>
    </row>
    <row r="29" spans="7:7" x14ac:dyDescent="0.25">
      <c r="G29" s="7">
        <v>84.95</v>
      </c>
    </row>
    <row r="30" spans="7:7" x14ac:dyDescent="0.25">
      <c r="G30" s="7">
        <v>87.4</v>
      </c>
    </row>
    <row r="31" spans="7:7" x14ac:dyDescent="0.25">
      <c r="G31" s="7">
        <v>92.93</v>
      </c>
    </row>
    <row r="32" spans="7:7" x14ac:dyDescent="0.25">
      <c r="G32" s="7">
        <v>98.92</v>
      </c>
    </row>
    <row r="33" spans="7:7" x14ac:dyDescent="0.25">
      <c r="G33" s="7">
        <v>119.56</v>
      </c>
    </row>
    <row r="34" spans="7:7" x14ac:dyDescent="0.25">
      <c r="G34" s="7">
        <v>123.38</v>
      </c>
    </row>
    <row r="35" spans="7:7" x14ac:dyDescent="0.25">
      <c r="G35" s="7">
        <v>126.86</v>
      </c>
    </row>
    <row r="36" spans="7:7" x14ac:dyDescent="0.25">
      <c r="G36" s="7">
        <v>137.34</v>
      </c>
    </row>
    <row r="37" spans="7:7" x14ac:dyDescent="0.25">
      <c r="G37" s="7">
        <v>157.15</v>
      </c>
    </row>
    <row r="38" spans="7:7" x14ac:dyDescent="0.25">
      <c r="G38" s="7">
        <v>159.19999999999999</v>
      </c>
    </row>
    <row r="39" spans="7:7" x14ac:dyDescent="0.25">
      <c r="G39" s="121">
        <v>163.52000000000001</v>
      </c>
    </row>
    <row r="40" spans="7:7" x14ac:dyDescent="0.25">
      <c r="G40" s="7">
        <v>205.95</v>
      </c>
    </row>
    <row r="41" spans="7:7" x14ac:dyDescent="0.25">
      <c r="G41" s="7">
        <v>218.98</v>
      </c>
    </row>
    <row r="42" spans="7:7" x14ac:dyDescent="0.25">
      <c r="G42" s="7">
        <v>230.55</v>
      </c>
    </row>
    <row r="43" spans="7:7" x14ac:dyDescent="0.25">
      <c r="G43" s="7">
        <v>290.89999999999998</v>
      </c>
    </row>
    <row r="44" spans="7:7" x14ac:dyDescent="0.25">
      <c r="G44" s="7">
        <v>306.56</v>
      </c>
    </row>
    <row r="45" spans="7:7" x14ac:dyDescent="0.25">
      <c r="G45" s="7">
        <v>306.56</v>
      </c>
    </row>
    <row r="46" spans="7:7" x14ac:dyDescent="0.25">
      <c r="G46" s="7">
        <v>358.54</v>
      </c>
    </row>
    <row r="47" spans="7:7" x14ac:dyDescent="0.25">
      <c r="G47" s="7">
        <v>417.92</v>
      </c>
    </row>
    <row r="48" spans="7:7" x14ac:dyDescent="0.25">
      <c r="G48" s="7">
        <v>421.74</v>
      </c>
    </row>
    <row r="49" spans="7:7" x14ac:dyDescent="0.25">
      <c r="G49" s="7">
        <v>469.23</v>
      </c>
    </row>
    <row r="50" spans="7:7" x14ac:dyDescent="0.25">
      <c r="G50" s="7">
        <v>516.23</v>
      </c>
    </row>
    <row r="51" spans="7:7" x14ac:dyDescent="0.25">
      <c r="G51" s="7">
        <v>582.87</v>
      </c>
    </row>
    <row r="52" spans="7:7" x14ac:dyDescent="0.25">
      <c r="G52" s="7">
        <v>618.47</v>
      </c>
    </row>
    <row r="53" spans="7:7" x14ac:dyDescent="0.25">
      <c r="G53" s="7">
        <v>779.73</v>
      </c>
    </row>
    <row r="54" spans="7:7" x14ac:dyDescent="0.25">
      <c r="G54" s="7">
        <v>1002.07</v>
      </c>
    </row>
    <row r="55" spans="7:7" x14ac:dyDescent="0.25">
      <c r="G55" s="7">
        <v>1034.68</v>
      </c>
    </row>
  </sheetData>
  <sortState ref="G6:G55">
    <sortCondition ref="G6:G5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31E9E-423E-47D6-9A52-E2F8F7F2B8E3}">
  <dimension ref="E3:I105"/>
  <sheetViews>
    <sheetView topLeftCell="A92" workbookViewId="0">
      <selection activeCell="F106" sqref="F106"/>
    </sheetView>
  </sheetViews>
  <sheetFormatPr baseColWidth="10" defaultColWidth="9.140625" defaultRowHeight="15" x14ac:dyDescent="0.25"/>
  <sheetData>
    <row r="3" spans="5:9" ht="15.75" thickBot="1" x14ac:dyDescent="0.3"/>
    <row r="4" spans="5:9" ht="15.75" thickBot="1" x14ac:dyDescent="0.3">
      <c r="E4" s="117" t="s">
        <v>182</v>
      </c>
      <c r="F4" s="116" t="s">
        <v>178</v>
      </c>
      <c r="G4" s="117" t="s">
        <v>179</v>
      </c>
      <c r="H4" s="117" t="s">
        <v>180</v>
      </c>
      <c r="I4" s="117" t="s">
        <v>181</v>
      </c>
    </row>
    <row r="5" spans="5:9" ht="15.75" thickBot="1" x14ac:dyDescent="0.3">
      <c r="E5" s="119">
        <v>4776</v>
      </c>
      <c r="F5" s="118">
        <v>930</v>
      </c>
      <c r="G5" s="119">
        <v>1623740</v>
      </c>
      <c r="H5" s="119">
        <v>1934</v>
      </c>
      <c r="I5" s="119">
        <v>3432929</v>
      </c>
    </row>
    <row r="6" spans="5:9" ht="15.75" thickBot="1" x14ac:dyDescent="0.3">
      <c r="E6" s="119">
        <v>6904</v>
      </c>
      <c r="F6" s="118">
        <v>760</v>
      </c>
      <c r="G6" s="119">
        <v>1290978</v>
      </c>
      <c r="H6" s="119">
        <v>2775</v>
      </c>
      <c r="I6" s="119">
        <v>4159026</v>
      </c>
    </row>
    <row r="7" spans="5:9" ht="15.75" thickBot="1" x14ac:dyDescent="0.3">
      <c r="E7" s="119">
        <v>7449</v>
      </c>
      <c r="F7" s="118">
        <v>820</v>
      </c>
      <c r="G7" s="119">
        <v>1702638</v>
      </c>
      <c r="H7" s="119">
        <v>2486</v>
      </c>
      <c r="I7" s="119">
        <v>4286899</v>
      </c>
    </row>
    <row r="8" spans="5:9" ht="15.75" thickBot="1" x14ac:dyDescent="0.3">
      <c r="E8" s="119">
        <v>3099</v>
      </c>
      <c r="F8" s="118">
        <v>1110</v>
      </c>
      <c r="G8" s="119">
        <v>967230</v>
      </c>
      <c r="H8" s="119">
        <v>1093</v>
      </c>
      <c r="I8" s="119">
        <v>2751363</v>
      </c>
    </row>
    <row r="9" spans="5:9" ht="15.75" thickBot="1" x14ac:dyDescent="0.3">
      <c r="E9" s="119">
        <v>1721</v>
      </c>
      <c r="F9" s="118">
        <v>1310</v>
      </c>
      <c r="G9" s="119">
        <v>726165</v>
      </c>
      <c r="H9" s="119">
        <v>759</v>
      </c>
      <c r="I9" s="119">
        <v>2028546</v>
      </c>
    </row>
    <row r="10" spans="5:9" ht="15.75" thickBot="1" x14ac:dyDescent="0.3">
      <c r="E10" s="119">
        <v>8731</v>
      </c>
      <c r="F10" s="118">
        <v>560</v>
      </c>
      <c r="G10" s="119">
        <v>30114</v>
      </c>
      <c r="H10" s="119">
        <v>3158</v>
      </c>
      <c r="I10" s="119">
        <v>4645697</v>
      </c>
    </row>
    <row r="11" spans="5:9" ht="15.75" thickBot="1" x14ac:dyDescent="0.3">
      <c r="E11" s="119">
        <v>7647</v>
      </c>
      <c r="F11" s="118">
        <v>710</v>
      </c>
      <c r="G11" s="119">
        <v>1038976</v>
      </c>
      <c r="H11" s="119">
        <v>2575</v>
      </c>
      <c r="I11" s="119">
        <v>4343386</v>
      </c>
    </row>
    <row r="12" spans="5:9" ht="15.75" thickBot="1" x14ac:dyDescent="0.3">
      <c r="E12" s="119">
        <v>4094</v>
      </c>
      <c r="F12" s="118">
        <v>1070</v>
      </c>
      <c r="G12" s="119">
        <v>1352295</v>
      </c>
      <c r="H12" s="119">
        <v>1386</v>
      </c>
      <c r="I12" s="119">
        <v>3179229</v>
      </c>
    </row>
    <row r="13" spans="5:9" ht="15.75" thickBot="1" x14ac:dyDescent="0.3">
      <c r="E13" s="119">
        <v>3291</v>
      </c>
      <c r="F13" s="118">
        <v>1070</v>
      </c>
      <c r="G13" s="119">
        <v>1437426</v>
      </c>
      <c r="H13" s="119">
        <v>1282</v>
      </c>
      <c r="I13" s="119">
        <v>2804461</v>
      </c>
    </row>
    <row r="14" spans="5:9" ht="15.75" thickBot="1" x14ac:dyDescent="0.3">
      <c r="E14" s="119">
        <v>3048</v>
      </c>
      <c r="F14" s="118">
        <v>1220</v>
      </c>
      <c r="G14" s="119">
        <v>1508563</v>
      </c>
      <c r="H14" s="119">
        <v>1207</v>
      </c>
      <c r="I14" s="119">
        <v>2736786</v>
      </c>
    </row>
    <row r="15" spans="5:9" ht="15.75" thickBot="1" x14ac:dyDescent="0.3">
      <c r="E15" s="119">
        <v>6680</v>
      </c>
      <c r="F15" s="118">
        <v>910</v>
      </c>
      <c r="G15" s="119">
        <v>1804533</v>
      </c>
      <c r="H15" s="119">
        <v>2156</v>
      </c>
      <c r="I15" s="119">
        <v>3975550</v>
      </c>
    </row>
    <row r="16" spans="5:9" ht="15.75" thickBot="1" x14ac:dyDescent="0.3">
      <c r="E16" s="119">
        <v>1045</v>
      </c>
      <c r="F16" s="118">
        <v>1220</v>
      </c>
      <c r="G16" s="119">
        <v>551565</v>
      </c>
      <c r="H16" s="119">
        <v>409</v>
      </c>
      <c r="I16" s="119">
        <v>1775528</v>
      </c>
    </row>
    <row r="17" spans="5:9" ht="15.75" thickBot="1" x14ac:dyDescent="0.3">
      <c r="E17" s="119">
        <v>6778</v>
      </c>
      <c r="F17" s="118">
        <v>850</v>
      </c>
      <c r="G17" s="119">
        <v>1348720</v>
      </c>
      <c r="H17" s="119">
        <v>2535</v>
      </c>
      <c r="I17" s="119">
        <v>4021816</v>
      </c>
    </row>
    <row r="18" spans="5:9" ht="15.75" thickBot="1" x14ac:dyDescent="0.3">
      <c r="E18" s="119">
        <v>5865</v>
      </c>
      <c r="F18" s="118">
        <v>850</v>
      </c>
      <c r="G18" s="119">
        <v>1312935</v>
      </c>
      <c r="H18" s="119">
        <v>2198</v>
      </c>
      <c r="I18" s="119">
        <v>3855516</v>
      </c>
    </row>
    <row r="19" spans="5:9" ht="15.75" thickBot="1" x14ac:dyDescent="0.3">
      <c r="E19" s="119">
        <v>1113</v>
      </c>
      <c r="F19" s="118">
        <v>1300</v>
      </c>
      <c r="G19" s="119">
        <v>614336</v>
      </c>
      <c r="H19" s="119">
        <v>562</v>
      </c>
      <c r="I19" s="119">
        <v>1868823</v>
      </c>
    </row>
    <row r="20" spans="5:9" ht="15.75" thickBot="1" x14ac:dyDescent="0.3">
      <c r="E20" s="119">
        <v>4248</v>
      </c>
      <c r="F20" s="118">
        <v>1020</v>
      </c>
      <c r="G20" s="119">
        <v>1743250</v>
      </c>
      <c r="H20" s="119">
        <v>1659</v>
      </c>
      <c r="I20" s="119">
        <v>3288617</v>
      </c>
    </row>
    <row r="21" spans="5:9" ht="15.75" thickBot="1" x14ac:dyDescent="0.3">
      <c r="E21" s="119">
        <v>3974</v>
      </c>
      <c r="F21" s="118">
        <v>1110</v>
      </c>
      <c r="G21" s="119">
        <v>1515735</v>
      </c>
      <c r="H21" s="119">
        <v>1381</v>
      </c>
      <c r="I21" s="119">
        <v>3221801</v>
      </c>
    </row>
    <row r="22" spans="5:9" ht="15.75" thickBot="1" x14ac:dyDescent="0.3">
      <c r="E22" s="119">
        <v>1749</v>
      </c>
      <c r="F22" s="118">
        <v>1200</v>
      </c>
      <c r="G22" s="119">
        <v>786505</v>
      </c>
      <c r="H22" s="119">
        <v>791</v>
      </c>
      <c r="I22" s="119">
        <v>2107724</v>
      </c>
    </row>
    <row r="23" spans="5:9" ht="15.75" thickBot="1" x14ac:dyDescent="0.3">
      <c r="E23" s="119">
        <v>4391</v>
      </c>
      <c r="F23" s="118">
        <v>1010</v>
      </c>
      <c r="G23" s="119">
        <v>1657503</v>
      </c>
      <c r="H23" s="119">
        <v>1771</v>
      </c>
      <c r="I23" s="119">
        <v>3379719</v>
      </c>
    </row>
    <row r="24" spans="5:9" ht="15.75" thickBot="1" x14ac:dyDescent="0.3">
      <c r="E24" s="119">
        <v>6681</v>
      </c>
      <c r="F24" s="118">
        <v>850</v>
      </c>
      <c r="G24" s="119">
        <v>1410675</v>
      </c>
      <c r="H24" s="119">
        <v>2435</v>
      </c>
      <c r="I24" s="119">
        <v>3976179</v>
      </c>
    </row>
    <row r="25" spans="5:9" ht="15.75" thickBot="1" x14ac:dyDescent="0.3">
      <c r="E25" s="119">
        <v>1395</v>
      </c>
      <c r="F25" s="118">
        <v>1260</v>
      </c>
      <c r="G25" s="119">
        <v>875792</v>
      </c>
      <c r="H25" s="119">
        <v>646</v>
      </c>
      <c r="I25" s="119">
        <v>2064582</v>
      </c>
    </row>
    <row r="26" spans="5:9" ht="15.75" thickBot="1" x14ac:dyDescent="0.3">
      <c r="E26" s="119">
        <v>1254</v>
      </c>
      <c r="F26" s="118">
        <v>1240</v>
      </c>
      <c r="G26" s="119">
        <v>405630</v>
      </c>
      <c r="H26" s="119">
        <v>441</v>
      </c>
      <c r="I26" s="119">
        <v>1683746</v>
      </c>
    </row>
    <row r="27" spans="5:9" ht="15.75" thickBot="1" x14ac:dyDescent="0.3">
      <c r="E27" s="119">
        <v>4353</v>
      </c>
      <c r="F27" s="118">
        <v>1070</v>
      </c>
      <c r="G27" s="119">
        <v>1685440</v>
      </c>
      <c r="H27" s="119">
        <v>1585</v>
      </c>
      <c r="I27" s="119">
        <v>3285955</v>
      </c>
    </row>
    <row r="28" spans="5:9" ht="15.75" thickBot="1" x14ac:dyDescent="0.3">
      <c r="E28" s="119">
        <v>3408</v>
      </c>
      <c r="F28" s="118">
        <v>1180</v>
      </c>
      <c r="G28" s="119">
        <v>1875319</v>
      </c>
      <c r="H28" s="119">
        <v>1169</v>
      </c>
      <c r="I28" s="119">
        <v>2932576</v>
      </c>
    </row>
    <row r="29" spans="5:9" ht="15.75" thickBot="1" x14ac:dyDescent="0.3">
      <c r="E29" s="119">
        <v>4633</v>
      </c>
      <c r="F29" s="118">
        <v>1040</v>
      </c>
      <c r="G29" s="119">
        <v>1588192</v>
      </c>
      <c r="H29" s="119">
        <v>1728</v>
      </c>
      <c r="I29" s="119">
        <v>3393008</v>
      </c>
    </row>
    <row r="30" spans="5:9" ht="15.75" thickBot="1" x14ac:dyDescent="0.3">
      <c r="E30" s="119">
        <v>6117</v>
      </c>
      <c r="F30" s="118">
        <v>800</v>
      </c>
      <c r="G30" s="119">
        <v>1247217</v>
      </c>
      <c r="H30" s="119">
        <v>2272</v>
      </c>
      <c r="I30" s="119">
        <v>3871692</v>
      </c>
    </row>
    <row r="31" spans="5:9" ht="15.75" thickBot="1" x14ac:dyDescent="0.3">
      <c r="E31" s="119">
        <v>4618</v>
      </c>
      <c r="F31" s="118">
        <v>1010</v>
      </c>
      <c r="G31" s="119">
        <v>1835524</v>
      </c>
      <c r="H31" s="119">
        <v>1967</v>
      </c>
      <c r="I31" s="119">
        <v>3468069</v>
      </c>
    </row>
    <row r="32" spans="5:9" ht="15.75" thickBot="1" x14ac:dyDescent="0.3">
      <c r="E32" s="119">
        <v>2157</v>
      </c>
      <c r="F32" s="118">
        <v>1280</v>
      </c>
      <c r="G32" s="119">
        <v>1034272</v>
      </c>
      <c r="H32" s="119">
        <v>944</v>
      </c>
      <c r="I32" s="119">
        <v>2382226</v>
      </c>
    </row>
    <row r="33" spans="5:9" ht="15.75" thickBot="1" x14ac:dyDescent="0.3">
      <c r="E33" s="119">
        <v>6769</v>
      </c>
      <c r="F33" s="118">
        <v>780</v>
      </c>
      <c r="G33" s="119">
        <v>1135065</v>
      </c>
      <c r="H33" s="119">
        <v>2509</v>
      </c>
      <c r="I33" s="119">
        <v>4089621</v>
      </c>
    </row>
    <row r="34" spans="5:9" ht="15.75" thickBot="1" x14ac:dyDescent="0.3">
      <c r="E34" s="119">
        <v>2300</v>
      </c>
      <c r="F34" s="118">
        <v>1140</v>
      </c>
      <c r="G34" s="119">
        <v>733380</v>
      </c>
      <c r="H34" s="119">
        <v>1131</v>
      </c>
      <c r="I34" s="119">
        <v>2447958</v>
      </c>
    </row>
    <row r="35" spans="5:9" ht="15.75" thickBot="1" x14ac:dyDescent="0.3">
      <c r="E35" s="119">
        <v>1404</v>
      </c>
      <c r="F35" s="118">
        <v>1190</v>
      </c>
      <c r="G35" s="119">
        <v>603440</v>
      </c>
      <c r="H35" s="119">
        <v>661</v>
      </c>
      <c r="I35" s="119">
        <v>2040833</v>
      </c>
    </row>
    <row r="36" spans="5:9" ht="15.75" thickBot="1" x14ac:dyDescent="0.3">
      <c r="E36" s="119">
        <v>8799</v>
      </c>
      <c r="F36" s="118">
        <v>640</v>
      </c>
      <c r="G36" s="119">
        <v>627750</v>
      </c>
      <c r="H36" s="119">
        <v>3085</v>
      </c>
      <c r="I36" s="119">
        <v>4641390</v>
      </c>
    </row>
    <row r="37" spans="5:9" ht="15.75" thickBot="1" x14ac:dyDescent="0.3">
      <c r="E37" s="119">
        <v>9185</v>
      </c>
      <c r="F37" s="118">
        <v>530</v>
      </c>
      <c r="G37" s="119">
        <v>21581</v>
      </c>
      <c r="H37" s="119">
        <v>3226</v>
      </c>
      <c r="I37" s="119">
        <v>4735240</v>
      </c>
    </row>
    <row r="38" spans="5:9" ht="15.75" thickBot="1" x14ac:dyDescent="0.3">
      <c r="E38" s="119">
        <v>1635</v>
      </c>
      <c r="F38" s="118">
        <v>1180</v>
      </c>
      <c r="G38" s="119">
        <v>495210</v>
      </c>
      <c r="H38" s="119">
        <v>427</v>
      </c>
      <c r="I38" s="119">
        <v>2056696</v>
      </c>
    </row>
    <row r="39" spans="5:9" ht="15.75" thickBot="1" x14ac:dyDescent="0.3">
      <c r="E39" s="119">
        <v>1026</v>
      </c>
      <c r="F39" s="118">
        <v>1220</v>
      </c>
      <c r="G39" s="119">
        <v>355120</v>
      </c>
      <c r="H39" s="119">
        <v>690</v>
      </c>
      <c r="I39" s="119">
        <v>1724094</v>
      </c>
    </row>
    <row r="40" spans="5:9" ht="15.75" thickBot="1" x14ac:dyDescent="0.3">
      <c r="E40" s="119">
        <v>6705</v>
      </c>
      <c r="F40" s="118">
        <v>880</v>
      </c>
      <c r="G40" s="119">
        <v>1620144</v>
      </c>
      <c r="H40" s="119">
        <v>2229</v>
      </c>
      <c r="I40" s="119">
        <v>4015595</v>
      </c>
    </row>
    <row r="41" spans="5:9" ht="15.75" thickBot="1" x14ac:dyDescent="0.3">
      <c r="E41" s="119">
        <v>2106</v>
      </c>
      <c r="F41" s="118">
        <v>1230</v>
      </c>
      <c r="G41" s="119">
        <v>975681</v>
      </c>
      <c r="H41" s="119">
        <v>745</v>
      </c>
      <c r="I41" s="119">
        <v>2331309</v>
      </c>
    </row>
    <row r="42" spans="5:9" ht="15.75" thickBot="1" x14ac:dyDescent="0.3">
      <c r="E42" s="119">
        <v>8750</v>
      </c>
      <c r="F42" s="118">
        <v>610</v>
      </c>
      <c r="G42" s="119">
        <v>345591</v>
      </c>
      <c r="H42" s="119">
        <v>3088</v>
      </c>
      <c r="I42" s="119">
        <v>4542576</v>
      </c>
    </row>
    <row r="43" spans="5:9" ht="15.75" thickBot="1" x14ac:dyDescent="0.3">
      <c r="E43" s="119">
        <v>5690</v>
      </c>
      <c r="F43" s="118">
        <v>870</v>
      </c>
      <c r="G43" s="119">
        <v>1280142</v>
      </c>
      <c r="H43" s="119">
        <v>2046</v>
      </c>
      <c r="I43" s="119">
        <v>3675255</v>
      </c>
    </row>
    <row r="44" spans="5:9" ht="15.75" thickBot="1" x14ac:dyDescent="0.3">
      <c r="E44" s="119">
        <v>3190</v>
      </c>
      <c r="F44" s="118">
        <v>1040</v>
      </c>
      <c r="G44" s="119">
        <v>1055984</v>
      </c>
      <c r="H44" s="119">
        <v>1153</v>
      </c>
      <c r="I44" s="119">
        <v>2810694</v>
      </c>
    </row>
    <row r="45" spans="5:9" ht="15.75" thickBot="1" x14ac:dyDescent="0.3">
      <c r="E45" s="119">
        <v>1271</v>
      </c>
      <c r="F45" s="118">
        <v>1340</v>
      </c>
      <c r="G45" s="119">
        <v>520576</v>
      </c>
      <c r="H45" s="119">
        <v>754</v>
      </c>
      <c r="I45" s="119">
        <v>1642407</v>
      </c>
    </row>
    <row r="46" spans="5:9" ht="15.75" thickBot="1" x14ac:dyDescent="0.3">
      <c r="E46" s="119">
        <v>6082</v>
      </c>
      <c r="F46" s="118">
        <v>790</v>
      </c>
      <c r="G46" s="119">
        <v>1493343</v>
      </c>
      <c r="H46" s="119">
        <v>2221</v>
      </c>
      <c r="I46" s="119">
        <v>3923646</v>
      </c>
    </row>
    <row r="47" spans="5:9" ht="15.75" thickBot="1" x14ac:dyDescent="0.3">
      <c r="E47" s="119">
        <v>6887</v>
      </c>
      <c r="F47" s="118">
        <v>870</v>
      </c>
      <c r="G47" s="119">
        <v>1568464</v>
      </c>
      <c r="H47" s="119">
        <v>2388</v>
      </c>
      <c r="I47" s="119">
        <v>4057093</v>
      </c>
    </row>
    <row r="48" spans="5:9" ht="15.75" thickBot="1" x14ac:dyDescent="0.3">
      <c r="E48" s="119">
        <v>5917</v>
      </c>
      <c r="F48" s="118">
        <v>820</v>
      </c>
      <c r="G48" s="119">
        <v>1153168</v>
      </c>
      <c r="H48" s="119">
        <v>2084</v>
      </c>
      <c r="I48" s="119">
        <v>3780873</v>
      </c>
    </row>
    <row r="49" spans="5:9" ht="15.75" thickBot="1" x14ac:dyDescent="0.3">
      <c r="E49" s="119">
        <v>1092</v>
      </c>
      <c r="F49" s="118">
        <v>1220</v>
      </c>
      <c r="G49" s="119">
        <v>594738</v>
      </c>
      <c r="H49" s="119">
        <v>618</v>
      </c>
      <c r="I49" s="119">
        <v>1950000</v>
      </c>
    </row>
    <row r="50" spans="5:9" ht="15.75" thickBot="1" x14ac:dyDescent="0.3">
      <c r="E50" s="119">
        <v>1420</v>
      </c>
      <c r="F50" s="118">
        <v>1300</v>
      </c>
      <c r="G50" s="119">
        <v>544692</v>
      </c>
      <c r="H50" s="119">
        <v>409</v>
      </c>
      <c r="I50" s="119">
        <v>1895389</v>
      </c>
    </row>
    <row r="51" spans="5:9" ht="15.75" thickBot="1" x14ac:dyDescent="0.3">
      <c r="E51" s="119">
        <v>5595</v>
      </c>
      <c r="F51" s="118">
        <v>850</v>
      </c>
      <c r="G51" s="119">
        <v>1150140</v>
      </c>
      <c r="H51" s="119">
        <v>1970</v>
      </c>
      <c r="I51" s="119">
        <v>3726594</v>
      </c>
    </row>
    <row r="52" spans="5:9" ht="15.75" thickBot="1" x14ac:dyDescent="0.3">
      <c r="E52" s="119">
        <v>8502</v>
      </c>
      <c r="F52" s="118">
        <v>680</v>
      </c>
      <c r="G52" s="119">
        <v>1086762</v>
      </c>
      <c r="H52" s="119">
        <v>2860</v>
      </c>
      <c r="I52" s="119">
        <v>4588845</v>
      </c>
    </row>
    <row r="53" spans="5:9" ht="15.75" thickBot="1" x14ac:dyDescent="0.3">
      <c r="E53" s="119">
        <v>8757</v>
      </c>
      <c r="F53" s="118">
        <v>570</v>
      </c>
      <c r="G53" s="119">
        <v>164016</v>
      </c>
      <c r="H53" s="119">
        <v>3211</v>
      </c>
      <c r="I53" s="119">
        <v>4568643</v>
      </c>
    </row>
    <row r="54" spans="5:9" ht="15.75" thickBot="1" x14ac:dyDescent="0.3">
      <c r="E54" s="119">
        <v>1922</v>
      </c>
      <c r="F54" s="118">
        <v>1260</v>
      </c>
      <c r="G54" s="119">
        <v>1041624</v>
      </c>
      <c r="H54" s="119">
        <v>779</v>
      </c>
      <c r="I54" s="119">
        <v>2247221</v>
      </c>
    </row>
    <row r="55" spans="5:9" ht="15.75" thickBot="1" x14ac:dyDescent="0.3">
      <c r="E55" s="119">
        <v>974</v>
      </c>
      <c r="F55" s="118">
        <v>1380</v>
      </c>
      <c r="G55" s="119">
        <v>457317</v>
      </c>
      <c r="H55" s="119">
        <v>301</v>
      </c>
      <c r="I55" s="119">
        <v>1637071</v>
      </c>
    </row>
    <row r="56" spans="5:9" ht="15.75" thickBot="1" x14ac:dyDescent="0.3">
      <c r="E56" s="119">
        <v>7922</v>
      </c>
      <c r="F56" s="118">
        <v>680</v>
      </c>
      <c r="G56" s="119">
        <v>907003</v>
      </c>
      <c r="H56" s="119">
        <v>2614</v>
      </c>
      <c r="I56" s="119">
        <v>4392892</v>
      </c>
    </row>
    <row r="57" spans="5:9" ht="15.75" thickBot="1" x14ac:dyDescent="0.3">
      <c r="E57" s="119">
        <v>6070</v>
      </c>
      <c r="F57" s="118">
        <v>810</v>
      </c>
      <c r="G57" s="119">
        <v>1236726</v>
      </c>
      <c r="H57" s="119">
        <v>2276</v>
      </c>
      <c r="I57" s="119">
        <v>3928740</v>
      </c>
    </row>
    <row r="58" spans="5:9" ht="15.75" thickBot="1" x14ac:dyDescent="0.3">
      <c r="E58" s="119">
        <v>9181</v>
      </c>
      <c r="F58" s="118">
        <v>640</v>
      </c>
      <c r="G58" s="119">
        <v>765075</v>
      </c>
      <c r="H58" s="119">
        <v>3412</v>
      </c>
      <c r="I58" s="119">
        <v>4729165</v>
      </c>
    </row>
    <row r="59" spans="5:9" ht="15.75" thickBot="1" x14ac:dyDescent="0.3">
      <c r="E59" s="119">
        <v>7147</v>
      </c>
      <c r="F59" s="118">
        <v>750</v>
      </c>
      <c r="G59" s="119">
        <v>1141121</v>
      </c>
      <c r="H59" s="119">
        <v>2446</v>
      </c>
      <c r="I59" s="119">
        <v>4232021</v>
      </c>
    </row>
    <row r="60" spans="5:9" ht="15.75" thickBot="1" x14ac:dyDescent="0.3">
      <c r="E60" s="119">
        <v>2573</v>
      </c>
      <c r="F60" s="118">
        <v>1150</v>
      </c>
      <c r="G60" s="119">
        <v>1336061</v>
      </c>
      <c r="H60" s="119">
        <v>732</v>
      </c>
      <c r="I60" s="119">
        <v>2495496</v>
      </c>
    </row>
    <row r="61" spans="5:9" ht="15.75" thickBot="1" x14ac:dyDescent="0.3">
      <c r="E61" s="119">
        <v>1255</v>
      </c>
      <c r="F61" s="118">
        <v>1280</v>
      </c>
      <c r="G61" s="119">
        <v>575264</v>
      </c>
      <c r="H61" s="119">
        <v>478</v>
      </c>
      <c r="I61" s="119">
        <v>1895389</v>
      </c>
    </row>
    <row r="62" spans="5:9" ht="15.75" thickBot="1" x14ac:dyDescent="0.3">
      <c r="E62" s="119">
        <v>6664</v>
      </c>
      <c r="F62" s="118">
        <v>830</v>
      </c>
      <c r="G62" s="119">
        <v>1417830</v>
      </c>
      <c r="H62" s="119">
        <v>2556</v>
      </c>
      <c r="I62" s="119">
        <v>3984972</v>
      </c>
    </row>
    <row r="63" spans="5:9" ht="15.75" thickBot="1" x14ac:dyDescent="0.3">
      <c r="E63" s="119">
        <v>1681</v>
      </c>
      <c r="F63" s="118">
        <v>1220</v>
      </c>
      <c r="G63" s="119">
        <v>767618</v>
      </c>
      <c r="H63" s="119">
        <v>583</v>
      </c>
      <c r="I63" s="119">
        <v>2060946</v>
      </c>
    </row>
    <row r="64" spans="5:9" ht="15.75" thickBot="1" x14ac:dyDescent="0.3">
      <c r="E64" s="119">
        <v>8752</v>
      </c>
      <c r="F64" s="118">
        <v>630</v>
      </c>
      <c r="G64" s="119">
        <v>734863</v>
      </c>
      <c r="H64" s="119">
        <v>3051</v>
      </c>
      <c r="I64" s="119">
        <v>4553845</v>
      </c>
    </row>
    <row r="65" spans="5:9" ht="15.75" thickBot="1" x14ac:dyDescent="0.3">
      <c r="E65" s="119">
        <v>6213</v>
      </c>
      <c r="F65" s="118">
        <v>900</v>
      </c>
      <c r="G65" s="119">
        <v>1625610</v>
      </c>
      <c r="H65" s="119">
        <v>2566</v>
      </c>
      <c r="I65" s="119">
        <v>3910882</v>
      </c>
    </row>
    <row r="66" spans="5:9" ht="15.75" thickBot="1" x14ac:dyDescent="0.3">
      <c r="E66" s="119">
        <v>3662</v>
      </c>
      <c r="F66" s="118">
        <v>1080</v>
      </c>
      <c r="G66" s="119">
        <v>1285392</v>
      </c>
      <c r="H66" s="119">
        <v>1419</v>
      </c>
      <c r="I66" s="119">
        <v>2956772</v>
      </c>
    </row>
    <row r="67" spans="5:9" ht="15.75" thickBot="1" x14ac:dyDescent="0.3">
      <c r="E67" s="119">
        <v>8307</v>
      </c>
      <c r="F67" s="118">
        <v>610</v>
      </c>
      <c r="G67" s="119">
        <v>392112</v>
      </c>
      <c r="H67" s="119">
        <v>3230</v>
      </c>
      <c r="I67" s="119">
        <v>4487483</v>
      </c>
    </row>
    <row r="68" spans="5:9" ht="15.75" thickBot="1" x14ac:dyDescent="0.3">
      <c r="E68" s="119">
        <v>6322</v>
      </c>
      <c r="F68" s="118">
        <v>820</v>
      </c>
      <c r="G68" s="119">
        <v>1194816</v>
      </c>
      <c r="H68" s="119">
        <v>2422</v>
      </c>
      <c r="I68" s="119">
        <v>3996874</v>
      </c>
    </row>
    <row r="69" spans="5:9" ht="15.75" thickBot="1" x14ac:dyDescent="0.3">
      <c r="E69" s="119">
        <v>7277</v>
      </c>
      <c r="F69" s="118">
        <v>830</v>
      </c>
      <c r="G69" s="119">
        <v>1656702</v>
      </c>
      <c r="H69" s="119">
        <v>2535</v>
      </c>
      <c r="I69" s="119">
        <v>4237334</v>
      </c>
    </row>
    <row r="70" spans="5:9" ht="15.75" thickBot="1" x14ac:dyDescent="0.3">
      <c r="E70" s="119">
        <v>5117</v>
      </c>
      <c r="F70" s="118">
        <v>940</v>
      </c>
      <c r="G70" s="119">
        <v>1449607</v>
      </c>
      <c r="H70" s="119">
        <v>1849</v>
      </c>
      <c r="I70" s="119">
        <v>3545772</v>
      </c>
    </row>
    <row r="71" spans="5:9" ht="15.75" thickBot="1" x14ac:dyDescent="0.3">
      <c r="E71" s="119">
        <v>7863</v>
      </c>
      <c r="F71" s="118">
        <v>680</v>
      </c>
      <c r="G71" s="119">
        <v>675427</v>
      </c>
      <c r="H71" s="119">
        <v>2523</v>
      </c>
      <c r="I71" s="119">
        <v>4340507</v>
      </c>
    </row>
    <row r="72" spans="5:9" ht="15.75" thickBot="1" x14ac:dyDescent="0.3">
      <c r="E72" s="119">
        <v>5004</v>
      </c>
      <c r="F72" s="118">
        <v>1010</v>
      </c>
      <c r="G72" s="119">
        <v>2122642</v>
      </c>
      <c r="H72" s="119">
        <v>1923</v>
      </c>
      <c r="I72" s="119">
        <v>3569314</v>
      </c>
    </row>
    <row r="73" spans="5:9" ht="15.75" thickBot="1" x14ac:dyDescent="0.3">
      <c r="E73" s="119">
        <v>6484</v>
      </c>
      <c r="F73" s="118">
        <v>800</v>
      </c>
      <c r="G73" s="119">
        <v>1224017</v>
      </c>
      <c r="H73" s="119">
        <v>2176</v>
      </c>
      <c r="I73" s="119">
        <v>3910563</v>
      </c>
    </row>
    <row r="74" spans="5:9" ht="15.75" thickBot="1" x14ac:dyDescent="0.3">
      <c r="E74" s="119">
        <v>7594</v>
      </c>
      <c r="F74" s="118">
        <v>680</v>
      </c>
      <c r="G74" s="119">
        <v>575280</v>
      </c>
      <c r="H74" s="119">
        <v>2451</v>
      </c>
      <c r="I74" s="119">
        <v>4303196</v>
      </c>
    </row>
    <row r="75" spans="5:9" ht="15.75" thickBot="1" x14ac:dyDescent="0.3">
      <c r="E75" s="119">
        <v>2520</v>
      </c>
      <c r="F75" s="118">
        <v>1100</v>
      </c>
      <c r="G75" s="119">
        <v>984232</v>
      </c>
      <c r="H75" s="119">
        <v>1136</v>
      </c>
      <c r="I75" s="119">
        <v>2470830</v>
      </c>
    </row>
    <row r="76" spans="5:9" ht="15.75" thickBot="1" x14ac:dyDescent="0.3">
      <c r="E76" s="119">
        <v>2248</v>
      </c>
      <c r="F76" s="118">
        <v>1240</v>
      </c>
      <c r="G76" s="119">
        <v>943080</v>
      </c>
      <c r="H76" s="119">
        <v>928</v>
      </c>
      <c r="I76" s="119">
        <v>2413504</v>
      </c>
    </row>
    <row r="77" spans="5:9" ht="15.75" thickBot="1" x14ac:dyDescent="0.3">
      <c r="E77" s="119">
        <v>7679</v>
      </c>
      <c r="F77" s="118">
        <v>710</v>
      </c>
      <c r="G77" s="119">
        <v>1147518</v>
      </c>
      <c r="H77" s="119">
        <v>2900</v>
      </c>
      <c r="I77" s="119">
        <v>4398011</v>
      </c>
    </row>
    <row r="78" spans="5:9" ht="15.75" thickBot="1" x14ac:dyDescent="0.3">
      <c r="E78" s="119">
        <v>3698</v>
      </c>
      <c r="F78" s="118">
        <v>1060</v>
      </c>
      <c r="G78" s="119">
        <v>1704528</v>
      </c>
      <c r="H78" s="119">
        <v>1435</v>
      </c>
      <c r="I78" s="119">
        <v>3047130</v>
      </c>
    </row>
    <row r="79" spans="5:9" ht="15.75" thickBot="1" x14ac:dyDescent="0.3">
      <c r="E79" s="119">
        <v>6061</v>
      </c>
      <c r="F79" s="118">
        <v>800</v>
      </c>
      <c r="G79" s="119">
        <v>1221229</v>
      </c>
      <c r="H79" s="119">
        <v>1882</v>
      </c>
      <c r="I79" s="119">
        <v>3846102</v>
      </c>
    </row>
    <row r="80" spans="5:9" ht="15.75" thickBot="1" x14ac:dyDescent="0.3">
      <c r="E80" s="119">
        <v>4358</v>
      </c>
      <c r="F80" s="118">
        <v>1030</v>
      </c>
      <c r="G80" s="119">
        <v>1883185</v>
      </c>
      <c r="H80" s="119">
        <v>1505</v>
      </c>
      <c r="I80" s="119">
        <v>3312854</v>
      </c>
    </row>
    <row r="81" spans="5:9" ht="15.75" thickBot="1" x14ac:dyDescent="0.3">
      <c r="E81" s="119">
        <v>5182</v>
      </c>
      <c r="F81" s="118">
        <v>950</v>
      </c>
      <c r="G81" s="119">
        <v>1677849</v>
      </c>
      <c r="H81" s="119">
        <v>1955</v>
      </c>
      <c r="I81" s="119">
        <v>3553871</v>
      </c>
    </row>
    <row r="82" spans="5:9" ht="15.75" thickBot="1" x14ac:dyDescent="0.3">
      <c r="E82" s="119">
        <v>6685</v>
      </c>
      <c r="F82" s="118">
        <v>760</v>
      </c>
      <c r="G82" s="119">
        <v>901456</v>
      </c>
      <c r="H82" s="119">
        <v>2663</v>
      </c>
      <c r="I82" s="119">
        <v>4009052</v>
      </c>
    </row>
    <row r="83" spans="5:9" ht="15.75" thickBot="1" x14ac:dyDescent="0.3">
      <c r="E83" s="119">
        <v>5342</v>
      </c>
      <c r="F83" s="118">
        <v>880</v>
      </c>
      <c r="G83" s="119">
        <v>1398046</v>
      </c>
      <c r="H83" s="119">
        <v>2137</v>
      </c>
      <c r="I83" s="119">
        <v>3650685</v>
      </c>
    </row>
    <row r="84" spans="5:9" ht="15.75" thickBot="1" x14ac:dyDescent="0.3">
      <c r="E84" s="119">
        <v>6026</v>
      </c>
      <c r="F84" s="118">
        <v>970</v>
      </c>
      <c r="G84" s="119">
        <v>2121464</v>
      </c>
      <c r="H84" s="119">
        <v>2141</v>
      </c>
      <c r="I84" s="119">
        <v>3815102</v>
      </c>
    </row>
    <row r="85" spans="5:9" ht="15.75" thickBot="1" x14ac:dyDescent="0.3">
      <c r="E85" s="119">
        <v>4720</v>
      </c>
      <c r="F85" s="118">
        <v>1050</v>
      </c>
      <c r="G85" s="119">
        <v>1980288</v>
      </c>
      <c r="H85" s="119">
        <v>1560</v>
      </c>
      <c r="I85" s="119">
        <v>3359315</v>
      </c>
    </row>
    <row r="86" spans="5:9" ht="15.75" thickBot="1" x14ac:dyDescent="0.3">
      <c r="E86" s="119">
        <v>9276</v>
      </c>
      <c r="F86" s="118">
        <v>550</v>
      </c>
      <c r="G86" s="119">
        <v>156655</v>
      </c>
      <c r="H86" s="119">
        <v>3126</v>
      </c>
      <c r="I86" s="119">
        <v>4699734</v>
      </c>
    </row>
    <row r="87" spans="5:9" ht="15.75" thickBot="1" x14ac:dyDescent="0.3">
      <c r="E87" s="119">
        <v>5618</v>
      </c>
      <c r="F87" s="118">
        <v>900</v>
      </c>
      <c r="G87" s="119">
        <v>1341623</v>
      </c>
      <c r="H87" s="119">
        <v>1822</v>
      </c>
      <c r="I87" s="119">
        <v>3657526</v>
      </c>
    </row>
    <row r="88" spans="5:9" ht="15.75" thickBot="1" x14ac:dyDescent="0.3">
      <c r="E88" s="119">
        <v>5808</v>
      </c>
      <c r="F88" s="118">
        <v>830</v>
      </c>
      <c r="G88" s="119">
        <v>1246153</v>
      </c>
      <c r="H88" s="119">
        <v>2356</v>
      </c>
      <c r="I88" s="119">
        <v>3787809</v>
      </c>
    </row>
    <row r="89" spans="5:9" ht="15.75" thickBot="1" x14ac:dyDescent="0.3">
      <c r="E89" s="119">
        <v>3697</v>
      </c>
      <c r="F89" s="118">
        <v>1120</v>
      </c>
      <c r="G89" s="119">
        <v>1890842</v>
      </c>
      <c r="H89" s="119">
        <v>1202</v>
      </c>
      <c r="I89" s="119">
        <v>3087475</v>
      </c>
    </row>
    <row r="90" spans="5:9" ht="15.75" thickBot="1" x14ac:dyDescent="0.3">
      <c r="E90" s="119">
        <v>7635</v>
      </c>
      <c r="F90" s="118">
        <v>820</v>
      </c>
      <c r="G90" s="119">
        <v>1629576</v>
      </c>
      <c r="H90" s="119">
        <v>2668</v>
      </c>
      <c r="I90" s="119">
        <v>4259108</v>
      </c>
    </row>
    <row r="91" spans="5:9" ht="15.75" thickBot="1" x14ac:dyDescent="0.3">
      <c r="E91" s="119">
        <v>2156</v>
      </c>
      <c r="F91" s="118">
        <v>1180</v>
      </c>
      <c r="G91" s="119">
        <v>1305547</v>
      </c>
      <c r="H91" s="119">
        <v>654</v>
      </c>
      <c r="I91" s="119">
        <v>2424356</v>
      </c>
    </row>
    <row r="92" spans="5:9" ht="15.75" thickBot="1" x14ac:dyDescent="0.3">
      <c r="E92" s="119">
        <v>7096</v>
      </c>
      <c r="F92" s="118">
        <v>800</v>
      </c>
      <c r="G92" s="119">
        <v>1270935</v>
      </c>
      <c r="H92" s="119">
        <v>2537</v>
      </c>
      <c r="I92" s="119">
        <v>4125227</v>
      </c>
    </row>
    <row r="93" spans="5:9" ht="15.75" thickBot="1" x14ac:dyDescent="0.3">
      <c r="E93" s="119">
        <v>5887</v>
      </c>
      <c r="F93" s="118">
        <v>810</v>
      </c>
      <c r="G93" s="119">
        <v>1153093</v>
      </c>
      <c r="H93" s="119">
        <v>2050</v>
      </c>
      <c r="I93" s="119">
        <v>3846102</v>
      </c>
    </row>
    <row r="94" spans="5:9" ht="15.75" thickBot="1" x14ac:dyDescent="0.3">
      <c r="E94" s="119">
        <v>3383</v>
      </c>
      <c r="F94" s="118">
        <v>1130</v>
      </c>
      <c r="G94" s="119">
        <v>1598185</v>
      </c>
      <c r="H94" s="119">
        <v>1216</v>
      </c>
      <c r="I94" s="119">
        <v>2802231</v>
      </c>
    </row>
    <row r="95" spans="5:9" ht="15.75" thickBot="1" x14ac:dyDescent="0.3">
      <c r="E95" s="119">
        <v>8539</v>
      </c>
      <c r="F95" s="118">
        <v>600</v>
      </c>
      <c r="G95" s="119">
        <v>446448</v>
      </c>
      <c r="H95" s="119">
        <v>3107</v>
      </c>
      <c r="I95" s="119">
        <v>4483860</v>
      </c>
    </row>
    <row r="96" spans="5:9" ht="15.75" thickBot="1" x14ac:dyDescent="0.3">
      <c r="E96" s="119">
        <v>8860</v>
      </c>
      <c r="F96" s="118">
        <v>640</v>
      </c>
      <c r="G96" s="119">
        <v>738216</v>
      </c>
      <c r="H96" s="119">
        <v>3284</v>
      </c>
      <c r="I96" s="119">
        <v>4597826</v>
      </c>
    </row>
    <row r="97" spans="5:9" ht="15.75" thickBot="1" x14ac:dyDescent="0.3">
      <c r="E97" s="119">
        <v>5415</v>
      </c>
      <c r="F97" s="118">
        <v>890</v>
      </c>
      <c r="G97" s="119">
        <v>1511010</v>
      </c>
      <c r="H97" s="119">
        <v>1749</v>
      </c>
      <c r="I97" s="119">
        <v>3655475</v>
      </c>
    </row>
    <row r="98" spans="5:9" ht="15.75" thickBot="1" x14ac:dyDescent="0.3">
      <c r="E98" s="119">
        <v>5217</v>
      </c>
      <c r="F98" s="118">
        <v>840</v>
      </c>
      <c r="G98" s="119">
        <v>1059525</v>
      </c>
      <c r="H98" s="119">
        <v>2057</v>
      </c>
      <c r="I98" s="119">
        <v>3681372</v>
      </c>
    </row>
    <row r="99" spans="5:9" ht="15.75" thickBot="1" x14ac:dyDescent="0.3">
      <c r="E99" s="119">
        <v>5865</v>
      </c>
      <c r="F99" s="118">
        <v>850</v>
      </c>
      <c r="G99" s="119">
        <v>1156032</v>
      </c>
      <c r="H99" s="119">
        <v>2046</v>
      </c>
      <c r="I99" s="119">
        <v>3775910</v>
      </c>
    </row>
    <row r="100" spans="5:9" ht="15.75" thickBot="1" x14ac:dyDescent="0.3">
      <c r="E100" s="119">
        <v>8191</v>
      </c>
      <c r="F100" s="118">
        <v>670</v>
      </c>
      <c r="G100" s="119">
        <v>614355</v>
      </c>
      <c r="H100" s="119">
        <v>2760</v>
      </c>
      <c r="I100" s="119">
        <v>4488875</v>
      </c>
    </row>
    <row r="101" spans="5:9" ht="15.75" thickBot="1" x14ac:dyDescent="0.3">
      <c r="E101" s="119">
        <v>4442</v>
      </c>
      <c r="F101" s="118">
        <v>1010</v>
      </c>
      <c r="G101" s="119">
        <v>1312890</v>
      </c>
      <c r="H101" s="119">
        <v>1601</v>
      </c>
      <c r="I101" s="119">
        <v>3385262</v>
      </c>
    </row>
    <row r="102" spans="5:9" ht="15.75" thickBot="1" x14ac:dyDescent="0.3">
      <c r="E102" s="119">
        <v>5396</v>
      </c>
      <c r="F102" s="118">
        <v>980</v>
      </c>
      <c r="G102" s="119">
        <v>1974157</v>
      </c>
      <c r="H102" s="119">
        <v>1963</v>
      </c>
      <c r="I102" s="119">
        <v>3692222</v>
      </c>
    </row>
    <row r="103" spans="5:9" ht="15.75" thickBot="1" x14ac:dyDescent="0.3">
      <c r="E103" s="119">
        <v>9369</v>
      </c>
      <c r="F103" s="118">
        <v>580</v>
      </c>
      <c r="G103" s="119">
        <v>120795</v>
      </c>
      <c r="H103" s="119">
        <v>3411</v>
      </c>
      <c r="I103" s="119">
        <v>4734184</v>
      </c>
    </row>
    <row r="104" spans="5:9" ht="15.75" thickBot="1" x14ac:dyDescent="0.3">
      <c r="E104" s="119">
        <v>4730</v>
      </c>
      <c r="F104" s="118">
        <v>920</v>
      </c>
      <c r="G104" s="119">
        <v>1536473</v>
      </c>
      <c r="H104" s="119">
        <v>1604</v>
      </c>
      <c r="I104" s="119">
        <v>3487836</v>
      </c>
    </row>
    <row r="105" spans="5:9" x14ac:dyDescent="0.25">
      <c r="F105">
        <f>AVERAGE(F5:F104)</f>
        <v>941.6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81016-2FC9-4C6C-BFF7-C48226D86B02}">
  <dimension ref="A1:I18"/>
  <sheetViews>
    <sheetView workbookViewId="0">
      <selection activeCell="B4" sqref="B4"/>
    </sheetView>
  </sheetViews>
  <sheetFormatPr baseColWidth="10" defaultColWidth="9.140625" defaultRowHeight="15" x14ac:dyDescent="0.25"/>
  <cols>
    <col min="2" max="2" width="12" bestFit="1" customWidth="1"/>
    <col min="3" max="3" width="14.5703125" bestFit="1" customWidth="1"/>
    <col min="4" max="5" width="12" bestFit="1" customWidth="1"/>
  </cols>
  <sheetData>
    <row r="1" spans="1:9" x14ac:dyDescent="0.25">
      <c r="A1" t="s">
        <v>139</v>
      </c>
    </row>
    <row r="2" spans="1:9" ht="15.75" thickBot="1" x14ac:dyDescent="0.3"/>
    <row r="3" spans="1:9" x14ac:dyDescent="0.25">
      <c r="A3" s="114" t="s">
        <v>140</v>
      </c>
      <c r="B3" s="114"/>
    </row>
    <row r="4" spans="1:9" x14ac:dyDescent="0.25">
      <c r="A4" t="s">
        <v>141</v>
      </c>
      <c r="B4">
        <v>0.9599025925888659</v>
      </c>
    </row>
    <row r="5" spans="1:9" x14ac:dyDescent="0.25">
      <c r="A5" t="s">
        <v>142</v>
      </c>
      <c r="B5">
        <v>0.92141298725882625</v>
      </c>
    </row>
    <row r="6" spans="1:9" x14ac:dyDescent="0.25">
      <c r="A6" t="s">
        <v>143</v>
      </c>
      <c r="B6">
        <v>0.91977575782671839</v>
      </c>
    </row>
    <row r="7" spans="1:9" x14ac:dyDescent="0.25">
      <c r="A7" t="s">
        <v>144</v>
      </c>
      <c r="B7">
        <v>585.09985251853777</v>
      </c>
    </row>
    <row r="8" spans="1:9" ht="15.75" thickBot="1" x14ac:dyDescent="0.3">
      <c r="A8" s="112" t="s">
        <v>145</v>
      </c>
      <c r="B8" s="112">
        <v>50</v>
      </c>
    </row>
    <row r="10" spans="1:9" ht="15.75" thickBot="1" x14ac:dyDescent="0.3">
      <c r="A10" t="s">
        <v>146</v>
      </c>
    </row>
    <row r="11" spans="1:9" x14ac:dyDescent="0.25">
      <c r="A11" s="113"/>
      <c r="B11" s="113" t="s">
        <v>150</v>
      </c>
      <c r="C11" s="113" t="s">
        <v>151</v>
      </c>
      <c r="D11" s="113" t="s">
        <v>152</v>
      </c>
      <c r="E11" s="113" t="s">
        <v>153</v>
      </c>
      <c r="F11" s="113" t="s">
        <v>154</v>
      </c>
    </row>
    <row r="12" spans="1:9" x14ac:dyDescent="0.25">
      <c r="A12" t="s">
        <v>147</v>
      </c>
      <c r="B12">
        <v>1</v>
      </c>
      <c r="C12">
        <v>192665859.09842369</v>
      </c>
      <c r="D12">
        <v>192665859.09842369</v>
      </c>
      <c r="E12">
        <v>562.78794479805367</v>
      </c>
      <c r="F12">
        <v>3.668693245493579E-28</v>
      </c>
    </row>
    <row r="13" spans="1:9" x14ac:dyDescent="0.25">
      <c r="A13" t="s">
        <v>148</v>
      </c>
      <c r="B13">
        <v>48</v>
      </c>
      <c r="C13">
        <v>16432408.196026307</v>
      </c>
      <c r="D13">
        <v>342341.8374172147</v>
      </c>
    </row>
    <row r="14" spans="1:9" ht="15.75" thickBot="1" x14ac:dyDescent="0.3">
      <c r="A14" s="112" t="s">
        <v>10</v>
      </c>
      <c r="B14" s="112">
        <v>49</v>
      </c>
      <c r="C14" s="112">
        <v>209098267.29444999</v>
      </c>
      <c r="D14" s="112"/>
      <c r="E14" s="112"/>
      <c r="F14" s="112"/>
    </row>
    <row r="15" spans="1:9" ht="15.75" thickBot="1" x14ac:dyDescent="0.3"/>
    <row r="16" spans="1:9" x14ac:dyDescent="0.25">
      <c r="A16" s="113"/>
      <c r="B16" s="113" t="s">
        <v>155</v>
      </c>
      <c r="C16" s="113" t="s">
        <v>144</v>
      </c>
      <c r="D16" s="113" t="s">
        <v>156</v>
      </c>
      <c r="E16" s="113" t="s">
        <v>157</v>
      </c>
      <c r="F16" s="113" t="s">
        <v>158</v>
      </c>
      <c r="G16" s="113" t="s">
        <v>159</v>
      </c>
      <c r="H16" s="113" t="s">
        <v>160</v>
      </c>
      <c r="I16" s="113" t="s">
        <v>161</v>
      </c>
    </row>
    <row r="17" spans="1:9" x14ac:dyDescent="0.25">
      <c r="A17" t="s">
        <v>149</v>
      </c>
      <c r="B17">
        <v>6304.8253246013301</v>
      </c>
      <c r="C17">
        <v>246.25433422348195</v>
      </c>
      <c r="D17">
        <v>25.602900937692912</v>
      </c>
      <c r="E17">
        <v>1.2277052768464232E-29</v>
      </c>
      <c r="F17">
        <v>5809.697800995983</v>
      </c>
      <c r="G17">
        <v>6799.9528482066771</v>
      </c>
      <c r="H17">
        <v>5644.3209576931622</v>
      </c>
      <c r="I17">
        <v>6965.3296915094979</v>
      </c>
    </row>
    <row r="18" spans="1:9" ht="15.75" thickBot="1" x14ac:dyDescent="0.3">
      <c r="A18" s="112" t="s">
        <v>8</v>
      </c>
      <c r="B18" s="112">
        <v>7.1352227551400134</v>
      </c>
      <c r="C18" s="112">
        <v>0.30077043429521511</v>
      </c>
      <c r="D18" s="112">
        <v>23.723152083946459</v>
      </c>
      <c r="E18" s="112">
        <v>3.6686932454936566E-28</v>
      </c>
      <c r="F18" s="112">
        <v>6.5304832658803189</v>
      </c>
      <c r="G18" s="112">
        <v>7.7399622443997078</v>
      </c>
      <c r="H18" s="112">
        <v>6.3284950850858221</v>
      </c>
      <c r="I18" s="112">
        <v>7.9419504251942046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FB41D-218F-4744-A251-278848B40412}">
  <dimension ref="A1:I18"/>
  <sheetViews>
    <sheetView workbookViewId="0">
      <selection activeCell="B4" sqref="B4:B6"/>
    </sheetView>
  </sheetViews>
  <sheetFormatPr baseColWidth="10" defaultColWidth="9.140625" defaultRowHeight="15" x14ac:dyDescent="0.25"/>
  <sheetData>
    <row r="1" spans="1:9" x14ac:dyDescent="0.25">
      <c r="A1" t="s">
        <v>139</v>
      </c>
    </row>
    <row r="2" spans="1:9" ht="15.75" thickBot="1" x14ac:dyDescent="0.3"/>
    <row r="3" spans="1:9" x14ac:dyDescent="0.25">
      <c r="A3" s="114" t="s">
        <v>140</v>
      </c>
      <c r="B3" s="114"/>
    </row>
    <row r="4" spans="1:9" x14ac:dyDescent="0.25">
      <c r="A4" t="s">
        <v>141</v>
      </c>
      <c r="B4">
        <v>0.86771424804121344</v>
      </c>
    </row>
    <row r="5" spans="1:9" x14ac:dyDescent="0.25">
      <c r="A5" t="s">
        <v>142</v>
      </c>
      <c r="B5">
        <v>0.75292801625372852</v>
      </c>
    </row>
    <row r="6" spans="1:9" x14ac:dyDescent="0.25">
      <c r="A6" t="s">
        <v>143</v>
      </c>
      <c r="B6">
        <v>0.74778068325901448</v>
      </c>
    </row>
    <row r="7" spans="1:9" x14ac:dyDescent="0.25">
      <c r="A7" t="s">
        <v>144</v>
      </c>
      <c r="B7">
        <v>1037.4480277981386</v>
      </c>
    </row>
    <row r="8" spans="1:9" ht="15.75" thickBot="1" x14ac:dyDescent="0.3">
      <c r="A8" s="112" t="s">
        <v>145</v>
      </c>
      <c r="B8" s="112">
        <v>50</v>
      </c>
    </row>
    <row r="10" spans="1:9" ht="15.75" thickBot="1" x14ac:dyDescent="0.3">
      <c r="A10" t="s">
        <v>146</v>
      </c>
    </row>
    <row r="11" spans="1:9" x14ac:dyDescent="0.25">
      <c r="A11" s="113"/>
      <c r="B11" s="113" t="s">
        <v>150</v>
      </c>
      <c r="C11" s="113" t="s">
        <v>151</v>
      </c>
      <c r="D11" s="113" t="s">
        <v>152</v>
      </c>
      <c r="E11" s="113" t="s">
        <v>153</v>
      </c>
      <c r="F11" s="113" t="s">
        <v>154</v>
      </c>
    </row>
    <row r="12" spans="1:9" x14ac:dyDescent="0.25">
      <c r="A12" t="s">
        <v>147</v>
      </c>
      <c r="B12">
        <v>1</v>
      </c>
      <c r="C12">
        <v>157435943.59610212</v>
      </c>
      <c r="D12">
        <v>157435943.59610212</v>
      </c>
      <c r="E12">
        <v>146.27536571403903</v>
      </c>
      <c r="F12">
        <v>3.5126756819225244E-16</v>
      </c>
    </row>
    <row r="13" spans="1:9" x14ac:dyDescent="0.25">
      <c r="A13" t="s">
        <v>148</v>
      </c>
      <c r="B13">
        <v>48</v>
      </c>
      <c r="C13">
        <v>51662323.698347881</v>
      </c>
      <c r="D13">
        <v>1076298.4103822475</v>
      </c>
    </row>
    <row r="14" spans="1:9" ht="15.75" thickBot="1" x14ac:dyDescent="0.3">
      <c r="A14" s="112" t="s">
        <v>10</v>
      </c>
      <c r="B14" s="112">
        <v>49</v>
      </c>
      <c r="C14" s="112">
        <v>209098267.29444999</v>
      </c>
      <c r="D14" s="112"/>
      <c r="E14" s="112"/>
      <c r="F14" s="112"/>
    </row>
    <row r="15" spans="1:9" ht="15.75" thickBot="1" x14ac:dyDescent="0.3"/>
    <row r="16" spans="1:9" x14ac:dyDescent="0.25">
      <c r="A16" s="113"/>
      <c r="B16" s="113" t="s">
        <v>155</v>
      </c>
      <c r="C16" s="113" t="s">
        <v>144</v>
      </c>
      <c r="D16" s="113" t="s">
        <v>156</v>
      </c>
      <c r="E16" s="113" t="s">
        <v>157</v>
      </c>
      <c r="F16" s="113" t="s">
        <v>158</v>
      </c>
      <c r="G16" s="113" t="s">
        <v>159</v>
      </c>
      <c r="H16" s="113" t="s">
        <v>160</v>
      </c>
      <c r="I16" s="113" t="s">
        <v>161</v>
      </c>
    </row>
    <row r="17" spans="1:9" x14ac:dyDescent="0.25">
      <c r="A17" t="s">
        <v>149</v>
      </c>
      <c r="B17">
        <v>15897.83817584616</v>
      </c>
      <c r="C17">
        <v>368.68502960125636</v>
      </c>
      <c r="D17">
        <v>43.12037891269992</v>
      </c>
      <c r="E17">
        <v>4.8276436014445503E-40</v>
      </c>
      <c r="F17">
        <v>15156.547240714155</v>
      </c>
      <c r="G17">
        <v>16639.129110978163</v>
      </c>
      <c r="H17">
        <v>14908.949704773411</v>
      </c>
      <c r="I17">
        <v>16886.726646918909</v>
      </c>
    </row>
    <row r="18" spans="1:9" ht="15.75" thickBot="1" x14ac:dyDescent="0.3">
      <c r="A18" s="112" t="s">
        <v>8</v>
      </c>
      <c r="B18" s="112">
        <v>-2714114.321654981</v>
      </c>
      <c r="C18" s="112">
        <v>224410.17292689841</v>
      </c>
      <c r="D18" s="112">
        <v>-12.094435320180889</v>
      </c>
      <c r="E18" s="112">
        <v>3.5126756819225244E-16</v>
      </c>
      <c r="F18" s="112">
        <v>-3165321.2153062671</v>
      </c>
      <c r="G18" s="112">
        <v>-2262907.4280036949</v>
      </c>
      <c r="H18" s="112">
        <v>-3316028.191168102</v>
      </c>
      <c r="I18" s="112">
        <v>-2112200.45214186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F8727-DA83-4D91-B706-2DE4D3A2686E}">
  <dimension ref="G9:I59"/>
  <sheetViews>
    <sheetView workbookViewId="0">
      <selection activeCell="H10" sqref="H10:H59"/>
    </sheetView>
  </sheetViews>
  <sheetFormatPr baseColWidth="10" defaultColWidth="9.140625" defaultRowHeight="15" x14ac:dyDescent="0.25"/>
  <sheetData>
    <row r="9" spans="7:9" x14ac:dyDescent="0.25">
      <c r="G9" t="s">
        <v>8</v>
      </c>
      <c r="H9" t="s">
        <v>8</v>
      </c>
      <c r="I9" t="s">
        <v>9</v>
      </c>
    </row>
    <row r="10" spans="7:9" x14ac:dyDescent="0.25">
      <c r="G10">
        <v>264</v>
      </c>
      <c r="H10">
        <f>1/G10</f>
        <v>3.787878787878788E-3</v>
      </c>
      <c r="I10">
        <v>8025</v>
      </c>
    </row>
    <row r="11" spans="7:9" x14ac:dyDescent="0.25">
      <c r="G11">
        <v>300</v>
      </c>
      <c r="H11">
        <f t="shared" ref="H11:H59" si="0">1/G11</f>
        <v>3.3333333333333335E-3</v>
      </c>
      <c r="I11">
        <v>8700</v>
      </c>
    </row>
    <row r="12" spans="7:9" x14ac:dyDescent="0.25">
      <c r="G12">
        <v>360</v>
      </c>
      <c r="H12">
        <f t="shared" si="0"/>
        <v>2.7777777777777779E-3</v>
      </c>
      <c r="I12">
        <v>9050</v>
      </c>
    </row>
    <row r="13" spans="7:9" x14ac:dyDescent="0.25">
      <c r="G13">
        <v>384</v>
      </c>
      <c r="H13">
        <f t="shared" si="0"/>
        <v>2.6041666666666665E-3</v>
      </c>
      <c r="I13">
        <v>9200</v>
      </c>
    </row>
    <row r="14" spans="7:9" x14ac:dyDescent="0.25">
      <c r="G14">
        <v>420</v>
      </c>
      <c r="H14">
        <f t="shared" si="0"/>
        <v>2.3809523809523812E-3</v>
      </c>
      <c r="I14">
        <v>9202.7000000000007</v>
      </c>
    </row>
    <row r="15" spans="7:9" x14ac:dyDescent="0.25">
      <c r="G15">
        <v>435</v>
      </c>
      <c r="H15">
        <f t="shared" si="0"/>
        <v>2.2988505747126436E-3</v>
      </c>
      <c r="I15">
        <v>9202.7000000000007</v>
      </c>
    </row>
    <row r="16" spans="7:9" x14ac:dyDescent="0.25">
      <c r="G16">
        <v>480</v>
      </c>
      <c r="H16">
        <f t="shared" si="0"/>
        <v>2.0833333333333333E-3</v>
      </c>
      <c r="I16">
        <v>8950</v>
      </c>
    </row>
    <row r="17" spans="7:9" x14ac:dyDescent="0.25">
      <c r="G17">
        <v>480</v>
      </c>
      <c r="H17">
        <f t="shared" si="0"/>
        <v>2.0833333333333333E-3</v>
      </c>
      <c r="I17">
        <v>9636.7999999999993</v>
      </c>
    </row>
    <row r="18" spans="7:9" x14ac:dyDescent="0.25">
      <c r="G18">
        <v>489</v>
      </c>
      <c r="H18">
        <f t="shared" si="0"/>
        <v>2.0449897750511249E-3</v>
      </c>
      <c r="I18">
        <v>9636.7999999999993</v>
      </c>
    </row>
    <row r="19" spans="7:9" x14ac:dyDescent="0.25">
      <c r="G19">
        <v>492</v>
      </c>
      <c r="H19">
        <f t="shared" si="0"/>
        <v>2.0325203252032522E-3</v>
      </c>
      <c r="I19">
        <v>9925</v>
      </c>
    </row>
    <row r="20" spans="7:9" x14ac:dyDescent="0.25">
      <c r="G20">
        <v>492</v>
      </c>
      <c r="H20">
        <f t="shared" si="0"/>
        <v>2.0325203252032522E-3</v>
      </c>
      <c r="I20">
        <v>9925</v>
      </c>
    </row>
    <row r="21" spans="7:9" x14ac:dyDescent="0.25">
      <c r="G21">
        <v>495</v>
      </c>
      <c r="H21">
        <f t="shared" si="0"/>
        <v>2.0202020202020202E-3</v>
      </c>
      <c r="I21">
        <v>10230</v>
      </c>
    </row>
    <row r="22" spans="7:9" x14ac:dyDescent="0.25">
      <c r="G22">
        <v>552</v>
      </c>
      <c r="H22">
        <f t="shared" si="0"/>
        <v>1.8115942028985507E-3</v>
      </c>
      <c r="I22">
        <v>9625</v>
      </c>
    </row>
    <row r="23" spans="7:9" x14ac:dyDescent="0.25">
      <c r="G23">
        <v>560</v>
      </c>
      <c r="H23">
        <f t="shared" si="0"/>
        <v>1.7857142857142857E-3</v>
      </c>
      <c r="I23">
        <v>10215.6</v>
      </c>
    </row>
    <row r="24" spans="7:9" x14ac:dyDescent="0.25">
      <c r="G24">
        <v>565</v>
      </c>
      <c r="H24">
        <f t="shared" si="0"/>
        <v>1.7699115044247787E-3</v>
      </c>
      <c r="I24">
        <v>9820</v>
      </c>
    </row>
    <row r="25" spans="7:9" x14ac:dyDescent="0.25">
      <c r="G25">
        <v>583</v>
      </c>
      <c r="H25">
        <f t="shared" si="0"/>
        <v>1.7152658662092624E-3</v>
      </c>
      <c r="I25">
        <v>10470</v>
      </c>
    </row>
    <row r="26" spans="7:9" x14ac:dyDescent="0.25">
      <c r="G26">
        <v>591</v>
      </c>
      <c r="H26">
        <f t="shared" si="0"/>
        <v>1.6920473773265651E-3</v>
      </c>
      <c r="I26">
        <v>10100</v>
      </c>
    </row>
    <row r="27" spans="7:9" x14ac:dyDescent="0.25">
      <c r="G27">
        <v>630</v>
      </c>
      <c r="H27">
        <f t="shared" si="0"/>
        <v>1.5873015873015873E-3</v>
      </c>
      <c r="I27">
        <v>12600</v>
      </c>
    </row>
    <row r="28" spans="7:9" x14ac:dyDescent="0.25">
      <c r="G28">
        <v>630</v>
      </c>
      <c r="H28">
        <f t="shared" si="0"/>
        <v>1.5873015873015873E-3</v>
      </c>
      <c r="I28">
        <v>11400</v>
      </c>
    </row>
    <row r="29" spans="7:9" x14ac:dyDescent="0.25">
      <c r="G29">
        <v>680</v>
      </c>
      <c r="H29">
        <f t="shared" si="0"/>
        <v>1.4705882352941176E-3</v>
      </c>
      <c r="I29">
        <v>12000</v>
      </c>
    </row>
    <row r="30" spans="7:9" x14ac:dyDescent="0.25">
      <c r="G30">
        <v>708</v>
      </c>
      <c r="H30">
        <f t="shared" si="0"/>
        <v>1.4124293785310734E-3</v>
      </c>
      <c r="I30">
        <v>11050</v>
      </c>
    </row>
    <row r="31" spans="7:9" x14ac:dyDescent="0.25">
      <c r="G31">
        <v>708</v>
      </c>
      <c r="H31">
        <f t="shared" si="0"/>
        <v>1.4124293785310734E-3</v>
      </c>
      <c r="I31">
        <v>11050</v>
      </c>
    </row>
    <row r="32" spans="7:9" x14ac:dyDescent="0.25">
      <c r="G32">
        <v>753</v>
      </c>
      <c r="H32">
        <f t="shared" si="0"/>
        <v>1.3280212483399733E-3</v>
      </c>
      <c r="I32">
        <v>11590.25</v>
      </c>
    </row>
    <row r="33" spans="7:9" x14ac:dyDescent="0.25">
      <c r="G33">
        <v>756</v>
      </c>
      <c r="H33">
        <f t="shared" si="0"/>
        <v>1.3227513227513227E-3</v>
      </c>
      <c r="I33">
        <v>11775</v>
      </c>
    </row>
    <row r="34" spans="7:9" x14ac:dyDescent="0.25">
      <c r="G34">
        <v>760</v>
      </c>
      <c r="H34">
        <f t="shared" si="0"/>
        <v>1.3157894736842105E-3</v>
      </c>
      <c r="I34">
        <v>11590.25</v>
      </c>
    </row>
    <row r="35" spans="7:9" x14ac:dyDescent="0.25">
      <c r="G35">
        <v>768</v>
      </c>
      <c r="H35">
        <f t="shared" si="0"/>
        <v>1.3020833333333333E-3</v>
      </c>
      <c r="I35">
        <v>10750</v>
      </c>
    </row>
    <row r="36" spans="7:9" x14ac:dyDescent="0.25">
      <c r="G36">
        <v>790</v>
      </c>
      <c r="H36">
        <f t="shared" si="0"/>
        <v>1.2658227848101266E-3</v>
      </c>
      <c r="I36">
        <v>11879.65</v>
      </c>
    </row>
    <row r="37" spans="7:9" x14ac:dyDescent="0.25">
      <c r="G37">
        <v>791</v>
      </c>
      <c r="H37">
        <f t="shared" si="0"/>
        <v>1.2642225031605564E-3</v>
      </c>
      <c r="I37">
        <v>11590.25</v>
      </c>
    </row>
    <row r="38" spans="7:9" x14ac:dyDescent="0.25">
      <c r="G38">
        <v>812</v>
      </c>
      <c r="H38">
        <f t="shared" si="0"/>
        <v>1.2315270935960591E-3</v>
      </c>
      <c r="I38">
        <v>11879.65</v>
      </c>
    </row>
    <row r="39" spans="7:9" x14ac:dyDescent="0.25">
      <c r="G39">
        <v>830</v>
      </c>
      <c r="H39">
        <f t="shared" si="0"/>
        <v>1.2048192771084338E-3</v>
      </c>
      <c r="I39">
        <v>14600</v>
      </c>
    </row>
    <row r="40" spans="7:9" x14ac:dyDescent="0.25">
      <c r="G40">
        <v>863</v>
      </c>
      <c r="H40">
        <f t="shared" si="0"/>
        <v>1.1587485515643105E-3</v>
      </c>
      <c r="I40">
        <v>11879.65</v>
      </c>
    </row>
    <row r="41" spans="7:9" x14ac:dyDescent="0.25">
      <c r="G41">
        <v>888</v>
      </c>
      <c r="H41">
        <f t="shared" si="0"/>
        <v>1.1261261261261261E-3</v>
      </c>
      <c r="I41">
        <v>12350</v>
      </c>
    </row>
    <row r="42" spans="7:9" x14ac:dyDescent="0.25">
      <c r="G42">
        <v>900</v>
      </c>
      <c r="H42">
        <f t="shared" si="0"/>
        <v>1.1111111111111111E-3</v>
      </c>
      <c r="I42">
        <v>12603.15</v>
      </c>
    </row>
    <row r="43" spans="7:9" x14ac:dyDescent="0.25">
      <c r="G43">
        <v>920</v>
      </c>
      <c r="H43">
        <f t="shared" si="0"/>
        <v>1.0869565217391304E-3</v>
      </c>
      <c r="I43">
        <v>12400</v>
      </c>
    </row>
    <row r="44" spans="7:9" x14ac:dyDescent="0.25">
      <c r="G44">
        <v>921</v>
      </c>
      <c r="H44">
        <f t="shared" si="0"/>
        <v>1.0857763300760044E-3</v>
      </c>
      <c r="I44">
        <v>12458.45</v>
      </c>
    </row>
    <row r="45" spans="7:9" x14ac:dyDescent="0.25">
      <c r="G45">
        <v>960</v>
      </c>
      <c r="H45">
        <f t="shared" si="0"/>
        <v>1.0416666666666667E-3</v>
      </c>
      <c r="I45">
        <v>13109.6</v>
      </c>
    </row>
    <row r="46" spans="7:9" x14ac:dyDescent="0.25">
      <c r="G46">
        <v>976</v>
      </c>
      <c r="H46">
        <f t="shared" si="0"/>
        <v>1.0245901639344263E-3</v>
      </c>
      <c r="I46">
        <v>13109.6</v>
      </c>
    </row>
    <row r="47" spans="7:9" x14ac:dyDescent="0.25">
      <c r="G47">
        <v>980</v>
      </c>
      <c r="H47">
        <f t="shared" si="0"/>
        <v>1.0204081632653062E-3</v>
      </c>
      <c r="I47">
        <v>13254.3</v>
      </c>
    </row>
    <row r="48" spans="7:9" x14ac:dyDescent="0.25">
      <c r="G48">
        <v>985</v>
      </c>
      <c r="H48">
        <f t="shared" si="0"/>
        <v>1.0152284263959391E-3</v>
      </c>
      <c r="I48">
        <v>13254.3</v>
      </c>
    </row>
    <row r="49" spans="7:9" x14ac:dyDescent="0.25">
      <c r="G49">
        <v>986</v>
      </c>
      <c r="H49">
        <f t="shared" si="0"/>
        <v>1.0141987829614604E-3</v>
      </c>
      <c r="I49">
        <v>13109.6</v>
      </c>
    </row>
    <row r="50" spans="7:9" x14ac:dyDescent="0.25">
      <c r="G50">
        <v>1023</v>
      </c>
      <c r="H50">
        <f t="shared" si="0"/>
        <v>9.7751710654936461E-4</v>
      </c>
      <c r="I50">
        <v>14300</v>
      </c>
    </row>
    <row r="51" spans="7:9" x14ac:dyDescent="0.25">
      <c r="G51">
        <v>1040</v>
      </c>
      <c r="H51">
        <f t="shared" si="0"/>
        <v>9.6153846153846159E-4</v>
      </c>
      <c r="I51">
        <v>14100</v>
      </c>
    </row>
    <row r="52" spans="7:9" x14ac:dyDescent="0.25">
      <c r="G52">
        <v>1043</v>
      </c>
      <c r="H52">
        <f t="shared" si="0"/>
        <v>9.5877277085330771E-4</v>
      </c>
      <c r="I52">
        <v>13619.999999999998</v>
      </c>
    </row>
    <row r="53" spans="7:9" x14ac:dyDescent="0.25">
      <c r="G53">
        <v>1044</v>
      </c>
      <c r="H53">
        <f t="shared" si="0"/>
        <v>9.5785440613026815E-4</v>
      </c>
      <c r="I53">
        <v>14200</v>
      </c>
    </row>
    <row r="54" spans="7:9" x14ac:dyDescent="0.25">
      <c r="G54">
        <v>1050</v>
      </c>
      <c r="H54">
        <f t="shared" si="0"/>
        <v>9.5238095238095238E-4</v>
      </c>
      <c r="I54">
        <v>13760.749999999998</v>
      </c>
    </row>
    <row r="55" spans="7:9" x14ac:dyDescent="0.25">
      <c r="G55">
        <v>1164</v>
      </c>
      <c r="H55">
        <f t="shared" si="0"/>
        <v>8.5910652920962198E-4</v>
      </c>
      <c r="I55">
        <v>15150</v>
      </c>
    </row>
    <row r="56" spans="7:9" x14ac:dyDescent="0.25">
      <c r="G56">
        <v>1236</v>
      </c>
      <c r="H56">
        <f t="shared" si="0"/>
        <v>8.090614886731392E-4</v>
      </c>
      <c r="I56">
        <v>15300</v>
      </c>
    </row>
    <row r="57" spans="7:9" x14ac:dyDescent="0.25">
      <c r="G57">
        <v>1296</v>
      </c>
      <c r="H57">
        <f t="shared" si="0"/>
        <v>7.716049382716049E-4</v>
      </c>
      <c r="I57">
        <v>14550</v>
      </c>
    </row>
    <row r="58" spans="7:9" x14ac:dyDescent="0.25">
      <c r="G58">
        <v>1344</v>
      </c>
      <c r="H58">
        <f t="shared" si="0"/>
        <v>7.4404761904761901E-4</v>
      </c>
      <c r="I58">
        <v>15775</v>
      </c>
    </row>
    <row r="59" spans="7:9" x14ac:dyDescent="0.25">
      <c r="G59">
        <v>1380</v>
      </c>
      <c r="H59">
        <f t="shared" si="0"/>
        <v>7.246376811594203E-4</v>
      </c>
      <c r="I59">
        <v>16400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EC52A-9DC2-4D8C-9C1D-C1C50C3413AD}">
  <dimension ref="B1:AF89"/>
  <sheetViews>
    <sheetView topLeftCell="A48" workbookViewId="0">
      <selection activeCell="H79" sqref="H79:H83"/>
    </sheetView>
  </sheetViews>
  <sheetFormatPr baseColWidth="10" defaultColWidth="9.140625" defaultRowHeight="15" x14ac:dyDescent="0.25"/>
  <cols>
    <col min="2" max="2" width="11.5703125" bestFit="1" customWidth="1"/>
    <col min="3" max="3" width="27.28515625" customWidth="1"/>
    <col min="4" max="4" width="45.140625" bestFit="1" customWidth="1"/>
    <col min="5" max="5" width="24.42578125" customWidth="1"/>
    <col min="6" max="6" width="18.140625" bestFit="1" customWidth="1"/>
    <col min="7" max="7" width="23" customWidth="1"/>
    <col min="8" max="8" width="19.140625" customWidth="1"/>
    <col min="9" max="9" width="13.42578125" customWidth="1"/>
    <col min="10" max="10" width="13.28515625" bestFit="1" customWidth="1"/>
    <col min="11" max="11" width="10.7109375" bestFit="1" customWidth="1"/>
    <col min="12" max="12" width="10.28515625" bestFit="1" customWidth="1"/>
    <col min="13" max="13" width="14.140625" customWidth="1"/>
    <col min="14" max="14" width="19.7109375" customWidth="1"/>
    <col min="15" max="15" width="16.5703125" bestFit="1" customWidth="1"/>
    <col min="16" max="16" width="14.7109375" bestFit="1" customWidth="1"/>
    <col min="17" max="17" width="26.7109375" bestFit="1" customWidth="1"/>
    <col min="18" max="18" width="13.140625" bestFit="1" customWidth="1"/>
    <col min="19" max="19" width="11.7109375" bestFit="1" customWidth="1"/>
    <col min="20" max="20" width="14.5703125" bestFit="1" customWidth="1"/>
    <col min="21" max="21" width="9.28515625" bestFit="1" customWidth="1"/>
    <col min="22" max="22" width="19.140625" bestFit="1" customWidth="1"/>
  </cols>
  <sheetData>
    <row r="1" spans="2:32" ht="15.75" thickBot="1" x14ac:dyDescent="0.3"/>
    <row r="2" spans="2:32" ht="16.899999999999999" customHeight="1" thickBot="1" x14ac:dyDescent="0.4">
      <c r="B2" s="20" t="s">
        <v>0</v>
      </c>
      <c r="C2" s="132" t="s">
        <v>25</v>
      </c>
      <c r="D2" s="133"/>
      <c r="E2" s="133"/>
      <c r="F2" s="133"/>
      <c r="G2" s="133"/>
      <c r="H2" s="133"/>
      <c r="I2" s="133"/>
      <c r="J2" s="147"/>
      <c r="K2" s="1"/>
      <c r="L2" s="1"/>
      <c r="M2" s="1"/>
      <c r="N2" s="1"/>
      <c r="O2" s="1"/>
      <c r="P2" s="1"/>
    </row>
    <row r="3" spans="2:32" ht="18" x14ac:dyDescent="0.35">
      <c r="B3" s="2"/>
      <c r="C3" s="148"/>
      <c r="D3" s="149"/>
      <c r="E3" s="149"/>
      <c r="F3" s="149"/>
      <c r="G3" s="149"/>
      <c r="H3" s="149"/>
      <c r="I3" s="149"/>
      <c r="J3" s="150"/>
      <c r="K3" s="1"/>
      <c r="L3" s="1"/>
      <c r="M3" s="1"/>
      <c r="W3" s="10"/>
      <c r="X3" s="10"/>
      <c r="Y3" s="10"/>
      <c r="Z3" s="10"/>
      <c r="AA3" s="10"/>
      <c r="AB3" s="10"/>
      <c r="AC3" s="10"/>
      <c r="AD3" s="10"/>
      <c r="AE3" s="10"/>
      <c r="AF3" s="23"/>
    </row>
    <row r="4" spans="2:32" ht="17.25" thickBot="1" x14ac:dyDescent="0.35">
      <c r="C4" s="148"/>
      <c r="D4" s="149"/>
      <c r="E4" s="149"/>
      <c r="F4" s="149"/>
      <c r="G4" s="149"/>
      <c r="H4" s="149"/>
      <c r="I4" s="149"/>
      <c r="J4" s="150"/>
      <c r="K4" s="1"/>
      <c r="L4" s="1"/>
      <c r="M4" s="1"/>
      <c r="W4" s="11"/>
      <c r="X4" s="11"/>
      <c r="Y4" s="11"/>
      <c r="Z4" s="11"/>
      <c r="AA4" s="11"/>
      <c r="AB4" s="11"/>
      <c r="AC4" s="11"/>
      <c r="AD4" s="11"/>
      <c r="AE4" s="11"/>
      <c r="AF4" s="24"/>
    </row>
    <row r="5" spans="2:32" ht="16.5" x14ac:dyDescent="0.3">
      <c r="C5" s="148"/>
      <c r="D5" s="149"/>
      <c r="E5" s="149"/>
      <c r="F5" s="149"/>
      <c r="G5" s="149"/>
      <c r="H5" s="149"/>
      <c r="I5" s="149"/>
      <c r="J5" s="150"/>
      <c r="K5" s="1"/>
      <c r="L5" s="1"/>
      <c r="M5" s="1"/>
    </row>
    <row r="6" spans="2:32" ht="14.45" customHeight="1" thickBot="1" x14ac:dyDescent="0.3">
      <c r="C6" s="134"/>
      <c r="D6" s="135"/>
      <c r="E6" s="135"/>
      <c r="F6" s="135"/>
      <c r="G6" s="135"/>
      <c r="H6" s="135"/>
      <c r="I6" s="135"/>
      <c r="J6" s="151"/>
    </row>
    <row r="8" spans="2:32" ht="18" x14ac:dyDescent="0.35">
      <c r="C8" s="1"/>
      <c r="D8" s="2" t="s">
        <v>6</v>
      </c>
      <c r="E8" s="2" t="s">
        <v>7</v>
      </c>
      <c r="F8" s="1"/>
      <c r="G8" s="1"/>
      <c r="H8" s="1"/>
      <c r="I8" s="1"/>
      <c r="J8" s="1"/>
    </row>
    <row r="9" spans="2:32" ht="16.5" x14ac:dyDescent="0.3">
      <c r="C9" s="1"/>
      <c r="D9" s="155" t="s">
        <v>27</v>
      </c>
      <c r="E9" s="155"/>
      <c r="F9" s="1"/>
      <c r="G9" s="1"/>
      <c r="H9" s="1"/>
      <c r="I9" s="1"/>
      <c r="J9" s="1"/>
    </row>
    <row r="10" spans="2:32" ht="14.45" customHeight="1" x14ac:dyDescent="0.25">
      <c r="C10" s="3" t="s">
        <v>5</v>
      </c>
      <c r="D10" s="93" t="s">
        <v>6</v>
      </c>
      <c r="E10" s="93" t="s">
        <v>7</v>
      </c>
      <c r="F10" s="3" t="s">
        <v>1</v>
      </c>
      <c r="G10" s="3" t="s">
        <v>2</v>
      </c>
      <c r="H10" s="3" t="s">
        <v>3</v>
      </c>
    </row>
    <row r="11" spans="2:32" ht="14.45" customHeight="1" x14ac:dyDescent="0.25">
      <c r="C11" s="4">
        <v>1</v>
      </c>
      <c r="D11" s="5">
        <v>264</v>
      </c>
      <c r="E11" s="107">
        <v>26740.141732714066</v>
      </c>
      <c r="F11" s="4">
        <f>D11^2</f>
        <v>69696</v>
      </c>
      <c r="G11" s="4">
        <f>E11^2</f>
        <v>715035179.88563645</v>
      </c>
      <c r="H11" s="5">
        <f>D11*E11</f>
        <v>7059397.4174365131</v>
      </c>
    </row>
    <row r="12" spans="2:32" ht="14.45" customHeight="1" x14ac:dyDescent="0.25">
      <c r="C12" s="6">
        <v>2</v>
      </c>
      <c r="D12" s="7">
        <v>300</v>
      </c>
      <c r="E12" s="108">
        <v>64825.156699417668</v>
      </c>
      <c r="F12" s="6">
        <f t="shared" ref="F12:G57" si="0">D12^2</f>
        <v>90000</v>
      </c>
      <c r="G12" s="6">
        <f t="shared" si="0"/>
        <v>4202300941.1040554</v>
      </c>
      <c r="H12" s="7">
        <f t="shared" ref="H12:H57" si="1">D12*E12</f>
        <v>19447547.0098253</v>
      </c>
    </row>
    <row r="13" spans="2:32" ht="14.45" customHeight="1" x14ac:dyDescent="0.25">
      <c r="C13" s="6">
        <v>3</v>
      </c>
      <c r="D13" s="7">
        <v>360</v>
      </c>
      <c r="E13" s="108">
        <v>31150.302722968365</v>
      </c>
      <c r="F13" s="6">
        <f t="shared" si="0"/>
        <v>129600</v>
      </c>
      <c r="G13" s="6">
        <f t="shared" si="0"/>
        <v>970341359.73257029</v>
      </c>
      <c r="H13" s="7">
        <f t="shared" si="1"/>
        <v>11214108.980268611</v>
      </c>
    </row>
    <row r="14" spans="2:32" ht="14.45" customHeight="1" x14ac:dyDescent="0.25">
      <c r="C14" s="6">
        <f>+C13+1</f>
        <v>4</v>
      </c>
      <c r="D14" s="7">
        <v>384</v>
      </c>
      <c r="E14" s="108">
        <v>24102.294671176696</v>
      </c>
      <c r="F14" s="6">
        <f t="shared" si="0"/>
        <v>147456</v>
      </c>
      <c r="G14" s="6">
        <f t="shared" si="0"/>
        <v>580920608.41623259</v>
      </c>
      <c r="H14" s="7">
        <f t="shared" si="1"/>
        <v>9255281.1537318509</v>
      </c>
    </row>
    <row r="15" spans="2:32" ht="15" customHeight="1" x14ac:dyDescent="0.25">
      <c r="C15" s="6">
        <f t="shared" ref="C15:C57" si="2">+C14+1</f>
        <v>5</v>
      </c>
      <c r="D15" s="7">
        <v>420</v>
      </c>
      <c r="E15" s="108">
        <v>9784.9451686759803</v>
      </c>
      <c r="F15" s="6">
        <f t="shared" si="0"/>
        <v>176400</v>
      </c>
      <c r="G15" s="6">
        <f t="shared" si="0"/>
        <v>95745151.953995407</v>
      </c>
      <c r="H15" s="7">
        <f t="shared" si="1"/>
        <v>4109676.9708439116</v>
      </c>
    </row>
    <row r="16" spans="2:32" x14ac:dyDescent="0.25">
      <c r="C16" s="6">
        <f t="shared" si="2"/>
        <v>6</v>
      </c>
      <c r="D16" s="7">
        <v>435</v>
      </c>
      <c r="E16" s="108">
        <v>42414.258697343801</v>
      </c>
      <c r="F16" s="6">
        <f t="shared" si="0"/>
        <v>189225</v>
      </c>
      <c r="G16" s="6">
        <f t="shared" si="0"/>
        <v>1798969340.8452044</v>
      </c>
      <c r="H16" s="7">
        <f t="shared" si="1"/>
        <v>18450202.533344552</v>
      </c>
    </row>
    <row r="17" spans="3:22" ht="15.75" thickBot="1" x14ac:dyDescent="0.3">
      <c r="C17" s="6">
        <f t="shared" si="2"/>
        <v>7</v>
      </c>
      <c r="D17" s="7">
        <v>480</v>
      </c>
      <c r="E17" s="108">
        <v>607982.37711855094</v>
      </c>
      <c r="F17" s="6">
        <f t="shared" si="0"/>
        <v>230400</v>
      </c>
      <c r="G17" s="6">
        <f t="shared" si="0"/>
        <v>369642570886.72388</v>
      </c>
      <c r="H17" s="7">
        <f t="shared" si="1"/>
        <v>291831541.01690447</v>
      </c>
    </row>
    <row r="18" spans="3:22" ht="14.45" customHeight="1" x14ac:dyDescent="0.25">
      <c r="C18" s="6">
        <f t="shared" si="2"/>
        <v>8</v>
      </c>
      <c r="D18" s="7">
        <v>480</v>
      </c>
      <c r="E18" s="108">
        <v>8636.4025452078531</v>
      </c>
      <c r="F18" s="6">
        <f t="shared" si="0"/>
        <v>230400</v>
      </c>
      <c r="G18" s="6">
        <f t="shared" si="0"/>
        <v>74587448.922872677</v>
      </c>
      <c r="H18" s="7">
        <f t="shared" si="1"/>
        <v>4145473.2216997696</v>
      </c>
      <c r="U18" s="41"/>
      <c r="V18" s="42"/>
    </row>
    <row r="19" spans="3:22" ht="16.899999999999999" customHeight="1" x14ac:dyDescent="0.25">
      <c r="C19" s="6">
        <f t="shared" si="2"/>
        <v>9</v>
      </c>
      <c r="D19" s="7">
        <v>489</v>
      </c>
      <c r="E19" s="108">
        <v>24695.887361666104</v>
      </c>
      <c r="F19" s="6">
        <f t="shared" si="0"/>
        <v>239121</v>
      </c>
      <c r="G19" s="6">
        <f t="shared" si="0"/>
        <v>609886852.58009958</v>
      </c>
      <c r="H19" s="7">
        <f t="shared" si="1"/>
        <v>12076288.919854725</v>
      </c>
      <c r="U19" s="43"/>
      <c r="V19" s="44"/>
    </row>
    <row r="20" spans="3:22" ht="15" customHeight="1" x14ac:dyDescent="0.25">
      <c r="C20" s="6">
        <f t="shared" si="2"/>
        <v>10</v>
      </c>
      <c r="D20" s="7">
        <v>492</v>
      </c>
      <c r="E20" s="108">
        <v>12022.043539650966</v>
      </c>
      <c r="F20" s="6">
        <f t="shared" si="0"/>
        <v>242064</v>
      </c>
      <c r="G20" s="6">
        <f t="shared" si="0"/>
        <v>144529530.86926353</v>
      </c>
      <c r="H20" s="7">
        <f t="shared" si="1"/>
        <v>5914845.421508275</v>
      </c>
      <c r="U20" s="43"/>
      <c r="V20" s="44"/>
    </row>
    <row r="21" spans="3:22" x14ac:dyDescent="0.25">
      <c r="C21" s="6">
        <f t="shared" si="2"/>
        <v>11</v>
      </c>
      <c r="D21" s="7">
        <v>492</v>
      </c>
      <c r="E21" s="108">
        <v>12022.043539650966</v>
      </c>
      <c r="F21" s="6">
        <f t="shared" si="0"/>
        <v>242064</v>
      </c>
      <c r="G21" s="6">
        <f t="shared" si="0"/>
        <v>144529530.86926353</v>
      </c>
      <c r="H21" s="7">
        <f t="shared" si="1"/>
        <v>5914845.421508275</v>
      </c>
      <c r="U21" s="43"/>
      <c r="V21" s="44"/>
    </row>
    <row r="22" spans="3:22" ht="15.75" thickBot="1" x14ac:dyDescent="0.3">
      <c r="C22" s="6">
        <f t="shared" si="2"/>
        <v>12</v>
      </c>
      <c r="D22" s="7">
        <v>495</v>
      </c>
      <c r="E22" s="108">
        <v>154637.23483894445</v>
      </c>
      <c r="F22" s="6">
        <f t="shared" si="0"/>
        <v>245025</v>
      </c>
      <c r="G22" s="6">
        <f t="shared" si="0"/>
        <v>23912674398.634857</v>
      </c>
      <c r="H22" s="7">
        <f t="shared" si="1"/>
        <v>76545431.245277509</v>
      </c>
      <c r="U22" s="45"/>
      <c r="V22" s="46"/>
    </row>
    <row r="23" spans="3:22" x14ac:dyDescent="0.25">
      <c r="C23" s="6">
        <f t="shared" si="2"/>
        <v>13</v>
      </c>
      <c r="D23" s="7">
        <v>552</v>
      </c>
      <c r="E23" s="108">
        <v>382503.02009338536</v>
      </c>
      <c r="F23" s="6">
        <f t="shared" si="0"/>
        <v>304704</v>
      </c>
      <c r="G23" s="6">
        <f t="shared" si="0"/>
        <v>146308560380.56076</v>
      </c>
      <c r="H23" s="7">
        <f t="shared" si="1"/>
        <v>211141667.09154871</v>
      </c>
    </row>
    <row r="24" spans="3:22" x14ac:dyDescent="0.25">
      <c r="C24" s="6">
        <f t="shared" si="2"/>
        <v>14</v>
      </c>
      <c r="D24" s="7">
        <v>560</v>
      </c>
      <c r="E24" s="108">
        <v>7216.5139648120748</v>
      </c>
      <c r="F24" s="6">
        <f t="shared" si="0"/>
        <v>313600</v>
      </c>
      <c r="G24" s="6">
        <f t="shared" si="0"/>
        <v>52078073.804327689</v>
      </c>
      <c r="H24" s="7">
        <f t="shared" si="1"/>
        <v>4041247.820294762</v>
      </c>
    </row>
    <row r="25" spans="3:22" x14ac:dyDescent="0.25">
      <c r="C25" s="6">
        <f t="shared" si="2"/>
        <v>15</v>
      </c>
      <c r="D25" s="7">
        <v>565</v>
      </c>
      <c r="E25" s="108">
        <v>266489.47021357319</v>
      </c>
      <c r="F25" s="6">
        <f t="shared" si="0"/>
        <v>319225</v>
      </c>
      <c r="G25" s="6">
        <f t="shared" si="0"/>
        <v>71016637734.710907</v>
      </c>
      <c r="H25" s="7">
        <f t="shared" si="1"/>
        <v>150566550.67066884</v>
      </c>
    </row>
    <row r="26" spans="3:22" x14ac:dyDescent="0.25">
      <c r="C26" s="6">
        <f t="shared" si="2"/>
        <v>16</v>
      </c>
      <c r="D26" s="7">
        <v>583</v>
      </c>
      <c r="E26" s="108">
        <v>28.51356178022294</v>
      </c>
      <c r="F26" s="6">
        <f t="shared" si="0"/>
        <v>339889</v>
      </c>
      <c r="G26" s="6">
        <f t="shared" si="0"/>
        <v>813.02320539459038</v>
      </c>
      <c r="H26" s="7">
        <f t="shared" si="1"/>
        <v>16623.406517869975</v>
      </c>
    </row>
    <row r="27" spans="3:22" x14ac:dyDescent="0.25">
      <c r="C27" s="6">
        <f t="shared" si="2"/>
        <v>17</v>
      </c>
      <c r="D27" s="7">
        <v>591</v>
      </c>
      <c r="E27" s="108">
        <v>177866.29169637195</v>
      </c>
      <c r="F27" s="6">
        <f t="shared" si="0"/>
        <v>349281</v>
      </c>
      <c r="G27" s="6">
        <f t="shared" si="0"/>
        <v>31636417721.818871</v>
      </c>
      <c r="H27" s="7">
        <f t="shared" si="1"/>
        <v>105118978.39255582</v>
      </c>
    </row>
    <row r="28" spans="3:22" x14ac:dyDescent="0.25">
      <c r="C28" s="6">
        <f t="shared" si="2"/>
        <v>18</v>
      </c>
      <c r="D28" s="7">
        <v>630</v>
      </c>
      <c r="E28" s="108">
        <v>3239943.6230228995</v>
      </c>
      <c r="F28" s="6">
        <f t="shared" si="0"/>
        <v>396900</v>
      </c>
      <c r="G28" s="6">
        <f t="shared" si="0"/>
        <v>10497234680366.752</v>
      </c>
      <c r="H28" s="7">
        <f t="shared" si="1"/>
        <v>2041164482.5044267</v>
      </c>
    </row>
    <row r="29" spans="3:22" x14ac:dyDescent="0.25">
      <c r="C29" s="6">
        <f t="shared" si="2"/>
        <v>19</v>
      </c>
      <c r="D29" s="7">
        <v>630</v>
      </c>
      <c r="E29" s="108">
        <v>359981.20783779729</v>
      </c>
      <c r="F29" s="6">
        <f t="shared" si="0"/>
        <v>396900</v>
      </c>
      <c r="G29" s="6">
        <f t="shared" si="0"/>
        <v>129586469996.35941</v>
      </c>
      <c r="H29" s="7">
        <f t="shared" si="1"/>
        <v>226788160.9378123</v>
      </c>
    </row>
    <row r="30" spans="3:22" x14ac:dyDescent="0.25">
      <c r="C30" s="6">
        <f t="shared" si="2"/>
        <v>20</v>
      </c>
      <c r="D30" s="7">
        <v>680</v>
      </c>
      <c r="E30" s="108">
        <v>711025.36822832329</v>
      </c>
      <c r="F30" s="6">
        <f t="shared" si="0"/>
        <v>462400</v>
      </c>
      <c r="G30" s="6">
        <f t="shared" si="0"/>
        <v>505557074264.22272</v>
      </c>
      <c r="H30" s="7">
        <f t="shared" si="1"/>
        <v>483497250.39525986</v>
      </c>
    </row>
    <row r="31" spans="3:22" x14ac:dyDescent="0.25">
      <c r="C31" s="6">
        <f t="shared" si="2"/>
        <v>21</v>
      </c>
      <c r="D31" s="7">
        <v>708</v>
      </c>
      <c r="E31" s="108">
        <v>93980.894575843835</v>
      </c>
      <c r="F31" s="6">
        <f t="shared" si="0"/>
        <v>501264</v>
      </c>
      <c r="G31" s="6">
        <f t="shared" si="0"/>
        <v>8832408545.2758732</v>
      </c>
      <c r="H31" s="7">
        <f t="shared" si="1"/>
        <v>66538473.359697439</v>
      </c>
    </row>
    <row r="32" spans="3:22" x14ac:dyDescent="0.25">
      <c r="C32" s="6">
        <f t="shared" si="2"/>
        <v>22</v>
      </c>
      <c r="D32" s="7">
        <v>708</v>
      </c>
      <c r="E32" s="108">
        <v>93980.894575843835</v>
      </c>
      <c r="F32" s="6">
        <f t="shared" si="0"/>
        <v>501264</v>
      </c>
      <c r="G32" s="6">
        <f t="shared" si="0"/>
        <v>8832408545.2758732</v>
      </c>
      <c r="H32" s="7">
        <f t="shared" si="1"/>
        <v>66538473.359697439</v>
      </c>
    </row>
    <row r="33" spans="3:30" ht="15.75" thickBot="1" x14ac:dyDescent="0.3">
      <c r="C33" s="6">
        <f t="shared" si="2"/>
        <v>23</v>
      </c>
      <c r="D33" s="7">
        <v>753</v>
      </c>
      <c r="E33" s="108">
        <v>7638.4207557304935</v>
      </c>
      <c r="F33" s="6">
        <f t="shared" si="0"/>
        <v>567009</v>
      </c>
      <c r="G33" s="6">
        <f t="shared" si="0"/>
        <v>58345471.641574405</v>
      </c>
      <c r="H33" s="7">
        <f t="shared" si="1"/>
        <v>5751730.8290650612</v>
      </c>
    </row>
    <row r="34" spans="3:30" ht="16.899999999999999" customHeight="1" x14ac:dyDescent="0.25">
      <c r="C34" s="6">
        <f t="shared" si="2"/>
        <v>24</v>
      </c>
      <c r="D34" s="7">
        <v>756</v>
      </c>
      <c r="E34" s="108">
        <v>5767.8363085911869</v>
      </c>
      <c r="F34" s="6">
        <f t="shared" si="0"/>
        <v>571536</v>
      </c>
      <c r="G34" s="6">
        <f t="shared" si="0"/>
        <v>33267935.68270281</v>
      </c>
      <c r="H34" s="7">
        <f t="shared" si="1"/>
        <v>4360484.2492949376</v>
      </c>
      <c r="W34" s="16"/>
      <c r="X34" s="16"/>
      <c r="Y34" s="16"/>
      <c r="Z34" s="16"/>
      <c r="AA34" s="16"/>
      <c r="AB34" s="16"/>
      <c r="AC34" s="16"/>
      <c r="AD34" s="17"/>
    </row>
    <row r="35" spans="3:30" ht="15" customHeight="1" thickBot="1" x14ac:dyDescent="0.3">
      <c r="C35" s="6">
        <f t="shared" si="2"/>
        <v>25</v>
      </c>
      <c r="D35" s="7">
        <v>760</v>
      </c>
      <c r="E35" s="108">
        <v>18863.544233036901</v>
      </c>
      <c r="F35" s="6">
        <f t="shared" si="0"/>
        <v>577600</v>
      </c>
      <c r="G35" s="6">
        <f t="shared" si="0"/>
        <v>355833301.03173971</v>
      </c>
      <c r="H35" s="7">
        <f t="shared" si="1"/>
        <v>14336293.617108045</v>
      </c>
      <c r="W35" s="18"/>
      <c r="X35" s="18"/>
      <c r="Y35" s="18"/>
      <c r="Z35" s="18"/>
      <c r="AA35" s="18"/>
      <c r="AB35" s="18"/>
      <c r="AC35" s="18"/>
      <c r="AD35" s="19"/>
    </row>
    <row r="36" spans="3:30" x14ac:dyDescent="0.25">
      <c r="C36" s="6">
        <f t="shared" si="2"/>
        <v>26</v>
      </c>
      <c r="D36" s="7">
        <v>768</v>
      </c>
      <c r="E36" s="108">
        <v>1070555.2538527495</v>
      </c>
      <c r="F36" s="6">
        <f t="shared" si="0"/>
        <v>589824</v>
      </c>
      <c r="G36" s="6">
        <f t="shared" si="0"/>
        <v>1146088551551.7249</v>
      </c>
      <c r="H36" s="7">
        <f t="shared" si="1"/>
        <v>822186434.95891166</v>
      </c>
    </row>
    <row r="37" spans="3:30" x14ac:dyDescent="0.25">
      <c r="C37" s="6">
        <f t="shared" si="2"/>
        <v>27</v>
      </c>
      <c r="D37" s="7">
        <v>790</v>
      </c>
      <c r="E37" s="108">
        <v>3844.1613457737349</v>
      </c>
      <c r="F37" s="6">
        <f t="shared" si="0"/>
        <v>624100</v>
      </c>
      <c r="G37" s="6">
        <f t="shared" si="0"/>
        <v>14777576.452340933</v>
      </c>
      <c r="H37" s="7">
        <f t="shared" si="1"/>
        <v>3036887.4631612506</v>
      </c>
    </row>
    <row r="38" spans="3:30" x14ac:dyDescent="0.25">
      <c r="C38" s="6">
        <f t="shared" si="2"/>
        <v>28</v>
      </c>
      <c r="D38" s="7">
        <v>791</v>
      </c>
      <c r="E38" s="108">
        <v>128548.43898254458</v>
      </c>
      <c r="F38" s="6">
        <f t="shared" si="0"/>
        <v>625681</v>
      </c>
      <c r="G38" s="6">
        <f t="shared" si="0"/>
        <v>16524701164.848988</v>
      </c>
      <c r="H38" s="7">
        <f t="shared" si="1"/>
        <v>101681815.23519276</v>
      </c>
    </row>
    <row r="39" spans="3:30" x14ac:dyDescent="0.25">
      <c r="C39" s="6">
        <f t="shared" si="2"/>
        <v>29</v>
      </c>
      <c r="D39" s="7">
        <v>812</v>
      </c>
      <c r="E39" s="108">
        <v>47950.576943815046</v>
      </c>
      <c r="F39" s="6">
        <f t="shared" si="0"/>
        <v>659344</v>
      </c>
      <c r="G39" s="6">
        <f t="shared" si="0"/>
        <v>2299257829.2447271</v>
      </c>
      <c r="H39" s="7">
        <f t="shared" si="1"/>
        <v>38935868.478377819</v>
      </c>
    </row>
    <row r="40" spans="3:30" x14ac:dyDescent="0.25">
      <c r="C40" s="6">
        <f t="shared" si="2"/>
        <v>30</v>
      </c>
      <c r="D40" s="7">
        <v>830</v>
      </c>
      <c r="E40" s="108">
        <v>5630843.2404750576</v>
      </c>
      <c r="F40" s="6">
        <f t="shared" si="0"/>
        <v>688900</v>
      </c>
      <c r="G40" s="6">
        <f t="shared" si="0"/>
        <v>31706395598803.648</v>
      </c>
      <c r="H40" s="7">
        <f t="shared" si="1"/>
        <v>4673599889.5942974</v>
      </c>
    </row>
    <row r="41" spans="3:30" x14ac:dyDescent="0.25">
      <c r="C41" s="6">
        <f t="shared" si="2"/>
        <v>31</v>
      </c>
      <c r="D41" s="7">
        <v>863</v>
      </c>
      <c r="E41" s="108">
        <v>339740.42386720213</v>
      </c>
      <c r="F41" s="6">
        <f t="shared" si="0"/>
        <v>744769</v>
      </c>
      <c r="G41" s="6">
        <f t="shared" si="0"/>
        <v>115423555609.46617</v>
      </c>
      <c r="H41" s="7">
        <f t="shared" si="1"/>
        <v>293195985.79739547</v>
      </c>
    </row>
    <row r="42" spans="3:30" ht="16.899999999999999" customHeight="1" x14ac:dyDescent="0.25">
      <c r="C42" s="6">
        <f t="shared" si="2"/>
        <v>32</v>
      </c>
      <c r="D42" s="7">
        <v>888</v>
      </c>
      <c r="E42" s="108">
        <v>84624.63172198621</v>
      </c>
      <c r="F42" s="6">
        <f t="shared" si="0"/>
        <v>788544</v>
      </c>
      <c r="G42" s="6">
        <f t="shared" si="0"/>
        <v>7161328294.0817947</v>
      </c>
      <c r="H42" s="7">
        <f t="shared" si="1"/>
        <v>75146672.969123751</v>
      </c>
    </row>
    <row r="43" spans="3:30" ht="14.45" customHeight="1" x14ac:dyDescent="0.25">
      <c r="C43" s="6">
        <f t="shared" si="2"/>
        <v>33</v>
      </c>
      <c r="D43" s="7">
        <v>900</v>
      </c>
      <c r="E43" s="108">
        <v>15221.589068743442</v>
      </c>
      <c r="F43" s="6">
        <f t="shared" si="0"/>
        <v>810000</v>
      </c>
      <c r="G43" s="6">
        <f t="shared" si="0"/>
        <v>231696773.77768984</v>
      </c>
      <c r="H43" s="7">
        <f t="shared" si="1"/>
        <v>13699430.161869098</v>
      </c>
    </row>
    <row r="44" spans="3:30" ht="14.45" customHeight="1" x14ac:dyDescent="0.25">
      <c r="C44" s="6">
        <f t="shared" si="2"/>
        <v>34</v>
      </c>
      <c r="D44" s="7">
        <v>920</v>
      </c>
      <c r="E44" s="108">
        <v>220177.03627103314</v>
      </c>
      <c r="F44" s="6">
        <f t="shared" si="0"/>
        <v>846400</v>
      </c>
      <c r="G44" s="6">
        <f t="shared" si="0"/>
        <v>48477927301.09584</v>
      </c>
      <c r="H44" s="7">
        <f t="shared" si="1"/>
        <v>202562873.36935049</v>
      </c>
      <c r="M44" s="43"/>
      <c r="N44" s="43"/>
      <c r="O44" s="43"/>
      <c r="P44" s="43"/>
      <c r="Q44" s="43"/>
      <c r="R44" s="43"/>
      <c r="S44" s="43"/>
      <c r="T44" s="43"/>
      <c r="U44" s="43"/>
      <c r="V44" s="43"/>
    </row>
    <row r="45" spans="3:30" x14ac:dyDescent="0.25">
      <c r="C45" s="6">
        <f t="shared" si="2"/>
        <v>35</v>
      </c>
      <c r="D45" s="7">
        <v>921</v>
      </c>
      <c r="E45" s="108">
        <v>174653.35016657354</v>
      </c>
      <c r="F45" s="6">
        <f t="shared" si="0"/>
        <v>848241</v>
      </c>
      <c r="G45" s="6">
        <f t="shared" si="0"/>
        <v>30503792724.407753</v>
      </c>
      <c r="H45" s="7">
        <f t="shared" si="1"/>
        <v>160855735.50341424</v>
      </c>
      <c r="M45" s="43"/>
      <c r="N45" s="43"/>
      <c r="O45" s="43"/>
      <c r="P45" s="43"/>
      <c r="Q45" s="43"/>
      <c r="R45" s="43"/>
      <c r="S45" s="43"/>
      <c r="T45" s="43"/>
      <c r="U45" s="43"/>
      <c r="V45" s="43"/>
    </row>
    <row r="46" spans="3:30" x14ac:dyDescent="0.25">
      <c r="C46" s="6">
        <f t="shared" si="2"/>
        <v>36</v>
      </c>
      <c r="D46" s="7">
        <v>960</v>
      </c>
      <c r="E46" s="108">
        <v>2028.526792469399</v>
      </c>
      <c r="F46" s="6">
        <f t="shared" si="0"/>
        <v>921600</v>
      </c>
      <c r="G46" s="6">
        <f t="shared" si="0"/>
        <v>4114920.9477661881</v>
      </c>
      <c r="H46" s="7">
        <f t="shared" si="1"/>
        <v>1947385.7207706231</v>
      </c>
    </row>
    <row r="47" spans="3:30" x14ac:dyDescent="0.25">
      <c r="C47" s="6">
        <f t="shared" si="2"/>
        <v>37</v>
      </c>
      <c r="D47" s="7">
        <v>976</v>
      </c>
      <c r="E47" s="108">
        <v>25345.510391438627</v>
      </c>
      <c r="F47" s="6">
        <f t="shared" si="0"/>
        <v>952576</v>
      </c>
      <c r="G47" s="6">
        <f t="shared" si="0"/>
        <v>642394897.00252342</v>
      </c>
      <c r="H47" s="7">
        <f t="shared" si="1"/>
        <v>24737218.142044101</v>
      </c>
    </row>
    <row r="48" spans="3:30" ht="15.75" thickBot="1" x14ac:dyDescent="0.3">
      <c r="C48" s="6">
        <f t="shared" si="2"/>
        <v>38</v>
      </c>
      <c r="D48" s="7">
        <v>980</v>
      </c>
      <c r="E48" s="108">
        <v>1852.753622023821</v>
      </c>
      <c r="F48" s="6">
        <f t="shared" si="0"/>
        <v>960400</v>
      </c>
      <c r="G48" s="6">
        <f t="shared" si="0"/>
        <v>3432695.9839223875</v>
      </c>
      <c r="H48" s="7">
        <f t="shared" si="1"/>
        <v>1815698.5495833445</v>
      </c>
    </row>
    <row r="49" spans="3:30" ht="16.899999999999999" customHeight="1" x14ac:dyDescent="0.25">
      <c r="C49" s="6">
        <f t="shared" si="2"/>
        <v>39</v>
      </c>
      <c r="D49" s="7">
        <v>985</v>
      </c>
      <c r="E49" s="108">
        <v>6196.7972160069539</v>
      </c>
      <c r="F49" s="6">
        <f t="shared" si="0"/>
        <v>970225</v>
      </c>
      <c r="G49" s="6">
        <f t="shared" si="0"/>
        <v>38400295.736311533</v>
      </c>
      <c r="H49" s="7">
        <f t="shared" si="1"/>
        <v>6103845.2577668494</v>
      </c>
      <c r="W49" s="12"/>
      <c r="X49" s="12"/>
      <c r="Y49" s="12"/>
      <c r="Z49" s="12"/>
      <c r="AA49" s="12"/>
      <c r="AB49" s="12"/>
      <c r="AC49" s="12"/>
      <c r="AD49" s="13"/>
    </row>
    <row r="50" spans="3:30" ht="17.25" thickBot="1" x14ac:dyDescent="0.3">
      <c r="C50" s="6">
        <f t="shared" si="2"/>
        <v>40</v>
      </c>
      <c r="D50" s="7">
        <v>986</v>
      </c>
      <c r="E50" s="108">
        <v>53155.590119816217</v>
      </c>
      <c r="F50" s="6">
        <f t="shared" si="0"/>
        <v>972196</v>
      </c>
      <c r="G50" s="6">
        <f t="shared" si="0"/>
        <v>2825516760.9859033</v>
      </c>
      <c r="H50" s="7">
        <f t="shared" si="1"/>
        <v>52411411.858138792</v>
      </c>
      <c r="W50" s="14"/>
      <c r="X50" s="14"/>
      <c r="Y50" s="14"/>
      <c r="Z50" s="14"/>
      <c r="AA50" s="14"/>
      <c r="AB50" s="14"/>
      <c r="AC50" s="14"/>
      <c r="AD50" s="15"/>
    </row>
    <row r="51" spans="3:30" ht="16.899999999999999" customHeight="1" x14ac:dyDescent="0.25">
      <c r="C51" s="6">
        <f t="shared" si="2"/>
        <v>41</v>
      </c>
      <c r="D51" s="7">
        <v>1023</v>
      </c>
      <c r="E51" s="108">
        <v>484195.8062997107</v>
      </c>
      <c r="F51" s="6">
        <f t="shared" si="0"/>
        <v>1046529</v>
      </c>
      <c r="G51" s="6">
        <f t="shared" si="0"/>
        <v>234445578838.22696</v>
      </c>
      <c r="H51" s="7">
        <f t="shared" si="1"/>
        <v>495332309.84460407</v>
      </c>
    </row>
    <row r="52" spans="3:30" ht="15" customHeight="1" x14ac:dyDescent="0.25">
      <c r="C52" s="6">
        <f t="shared" si="2"/>
        <v>42</v>
      </c>
      <c r="D52" s="7">
        <v>1040</v>
      </c>
      <c r="E52" s="108">
        <v>140282.46637960337</v>
      </c>
      <c r="F52" s="6">
        <f t="shared" si="0"/>
        <v>1081600</v>
      </c>
      <c r="G52" s="6">
        <f t="shared" si="0"/>
        <v>19679170373.544552</v>
      </c>
      <c r="H52" s="7">
        <f t="shared" si="1"/>
        <v>145893765.03478751</v>
      </c>
    </row>
    <row r="53" spans="3:30" x14ac:dyDescent="0.25">
      <c r="C53" s="6">
        <f t="shared" si="2"/>
        <v>43</v>
      </c>
      <c r="D53" s="7">
        <v>1043</v>
      </c>
      <c r="E53" s="108">
        <v>16094.134048707854</v>
      </c>
      <c r="F53" s="6">
        <f t="shared" si="0"/>
        <v>1087849</v>
      </c>
      <c r="G53" s="6">
        <f t="shared" si="0"/>
        <v>259021150.77777746</v>
      </c>
      <c r="H53" s="7">
        <f t="shared" si="1"/>
        <v>16786181.812802292</v>
      </c>
    </row>
    <row r="54" spans="3:30" x14ac:dyDescent="0.25">
      <c r="C54" s="6">
        <f t="shared" si="2"/>
        <v>44</v>
      </c>
      <c r="D54" s="7">
        <v>1044</v>
      </c>
      <c r="E54" s="108">
        <v>198917.89018147593</v>
      </c>
      <c r="F54" s="6">
        <f t="shared" si="0"/>
        <v>1089936</v>
      </c>
      <c r="G54" s="6">
        <f t="shared" si="0"/>
        <v>39568327034.249718</v>
      </c>
      <c r="H54" s="7">
        <f t="shared" si="1"/>
        <v>207670277.34946087</v>
      </c>
    </row>
    <row r="55" spans="3:30" x14ac:dyDescent="0.25">
      <c r="C55" s="6">
        <f t="shared" si="2"/>
        <v>45</v>
      </c>
      <c r="D55" s="7">
        <v>1050</v>
      </c>
      <c r="E55" s="108">
        <v>1300.2671665929415</v>
      </c>
      <c r="F55" s="6">
        <f t="shared" si="0"/>
        <v>1102500</v>
      </c>
      <c r="G55" s="6">
        <f t="shared" si="0"/>
        <v>1690694.7045196362</v>
      </c>
      <c r="H55" s="7">
        <f t="shared" si="1"/>
        <v>1365280.5249225886</v>
      </c>
    </row>
    <row r="56" spans="3:30" x14ac:dyDescent="0.25">
      <c r="C56" s="6">
        <f t="shared" si="2"/>
        <v>46</v>
      </c>
      <c r="D56" s="7">
        <v>1164</v>
      </c>
      <c r="E56" s="108">
        <v>291357.46993931493</v>
      </c>
      <c r="F56" s="6">
        <f t="shared" si="0"/>
        <v>1354896</v>
      </c>
      <c r="G56" s="6">
        <f t="shared" si="0"/>
        <v>84889175289.438812</v>
      </c>
      <c r="H56" s="7">
        <f t="shared" si="1"/>
        <v>339140095.00936258</v>
      </c>
    </row>
    <row r="57" spans="3:30" x14ac:dyDescent="0.25">
      <c r="C57" s="6">
        <f t="shared" si="2"/>
        <v>47</v>
      </c>
      <c r="D57" s="7">
        <v>1236</v>
      </c>
      <c r="E57" s="108">
        <v>30989.852764482825</v>
      </c>
      <c r="F57" s="6">
        <f t="shared" si="0"/>
        <v>1527696</v>
      </c>
      <c r="G57" s="6">
        <f t="shared" si="0"/>
        <v>960370974.36432374</v>
      </c>
      <c r="H57" s="7">
        <f t="shared" si="1"/>
        <v>38303458.01690077</v>
      </c>
    </row>
    <row r="58" spans="3:30" x14ac:dyDescent="0.25">
      <c r="C58" s="6">
        <f>+C57+1</f>
        <v>48</v>
      </c>
      <c r="D58" s="7">
        <v>1296</v>
      </c>
      <c r="E58" s="108">
        <v>1004152.3320648858</v>
      </c>
      <c r="F58" s="6">
        <f t="shared" ref="F58:G60" si="3">D58^2</f>
        <v>1679616</v>
      </c>
      <c r="G58" s="6">
        <f t="shared" si="3"/>
        <v>1008321905991.3486</v>
      </c>
      <c r="H58" s="7">
        <f>D58*E58</f>
        <v>1301381422.356092</v>
      </c>
      <c r="W58" s="38"/>
      <c r="X58" s="38"/>
      <c r="Y58" s="38"/>
      <c r="Z58" s="38"/>
      <c r="AA58" s="38"/>
      <c r="AB58" s="38"/>
      <c r="AC58" s="38"/>
      <c r="AD58" s="39"/>
    </row>
    <row r="59" spans="3:30" ht="14.45" customHeight="1" x14ac:dyDescent="0.25">
      <c r="C59" s="6">
        <f>+C58+1</f>
        <v>49</v>
      </c>
      <c r="D59" s="7">
        <v>1344</v>
      </c>
      <c r="E59" s="108">
        <v>14295.719281834095</v>
      </c>
      <c r="F59" s="6">
        <f t="shared" si="3"/>
        <v>1806336</v>
      </c>
      <c r="G59" s="6">
        <f t="shared" si="3"/>
        <v>204367589.78500316</v>
      </c>
      <c r="H59" s="7">
        <f>D59*E59</f>
        <v>19213446.714785025</v>
      </c>
      <c r="W59" s="38"/>
      <c r="X59" s="38"/>
      <c r="Y59" s="38"/>
      <c r="Z59" s="38"/>
      <c r="AA59" s="38"/>
      <c r="AB59" s="38"/>
      <c r="AC59" s="38"/>
      <c r="AD59" s="39"/>
    </row>
    <row r="60" spans="3:30" x14ac:dyDescent="0.25">
      <c r="C60" s="6">
        <f>+C59+1</f>
        <v>50</v>
      </c>
      <c r="D60" s="96">
        <v>1380</v>
      </c>
      <c r="E60" s="109">
        <v>61785.689358507545</v>
      </c>
      <c r="F60" s="6">
        <f t="shared" si="3"/>
        <v>1904400</v>
      </c>
      <c r="G60" s="6">
        <f t="shared" si="3"/>
        <v>3817471409.5059924</v>
      </c>
      <c r="H60" s="7">
        <f>D60*E60</f>
        <v>85264251.314740419</v>
      </c>
      <c r="W60" s="38"/>
      <c r="X60" s="38"/>
      <c r="Y60" s="38"/>
      <c r="Z60" s="38"/>
      <c r="AA60" s="38"/>
      <c r="AB60" s="38"/>
      <c r="AC60" s="38"/>
      <c r="AD60" s="39"/>
    </row>
    <row r="61" spans="3:30" ht="15.75" thickBot="1" x14ac:dyDescent="0.3">
      <c r="C61" s="3" t="s">
        <v>10</v>
      </c>
      <c r="D61" s="3">
        <f>SUM(D11:D60)</f>
        <v>38557</v>
      </c>
      <c r="E61" s="3">
        <f>SUM(E11:E60)</f>
        <v>16432408.196026308</v>
      </c>
      <c r="F61" s="3">
        <f>SUM(F11:F60)</f>
        <v>33517181</v>
      </c>
      <c r="G61" s="3">
        <f>SUM(G11:G60)</f>
        <v>46271178400926.047</v>
      </c>
      <c r="H61" s="3">
        <f>SUM(H11:H60)</f>
        <v>12968092696.984009</v>
      </c>
      <c r="W61" s="27"/>
      <c r="X61" s="27"/>
      <c r="Y61" s="27"/>
      <c r="Z61" s="27"/>
      <c r="AA61" s="27"/>
      <c r="AB61" s="27"/>
      <c r="AC61" s="27"/>
      <c r="AD61" s="28"/>
    </row>
    <row r="62" spans="3:30" x14ac:dyDescent="0.25">
      <c r="C62" s="8" t="s">
        <v>11</v>
      </c>
      <c r="D62" s="8">
        <f>AVERAGE(D11:D60)</f>
        <v>771.14</v>
      </c>
      <c r="E62" s="8">
        <f>AVERAGE(E11:E60)</f>
        <v>328648.16392052616</v>
      </c>
      <c r="F62" s="8">
        <f>AVERAGE(F11:F60)</f>
        <v>670343.62</v>
      </c>
      <c r="G62" s="8">
        <f>AVERAGE(G11:G60)</f>
        <v>925423568018.521</v>
      </c>
      <c r="H62" s="8">
        <f>AVERAGE(H11:H60)</f>
        <v>259361853.93968019</v>
      </c>
    </row>
    <row r="66" spans="2:31" x14ac:dyDescent="0.25">
      <c r="D66" s="21" t="s">
        <v>16</v>
      </c>
      <c r="E66" s="25">
        <f>C60</f>
        <v>50</v>
      </c>
    </row>
    <row r="67" spans="2:31" ht="16.899999999999999" customHeight="1" x14ac:dyDescent="0.25">
      <c r="D67" s="22" t="s">
        <v>23</v>
      </c>
      <c r="E67" s="25">
        <f>D62</f>
        <v>771.14</v>
      </c>
    </row>
    <row r="68" spans="2:31" x14ac:dyDescent="0.25">
      <c r="D68" s="22" t="s">
        <v>24</v>
      </c>
      <c r="E68" s="25">
        <f>E62</f>
        <v>328648.16392052616</v>
      </c>
    </row>
    <row r="69" spans="2:31" ht="16.899999999999999" customHeight="1" x14ac:dyDescent="0.25">
      <c r="D69" s="22" t="s">
        <v>20</v>
      </c>
      <c r="E69" s="25">
        <f>F61-(D61^2)/E66</f>
        <v>3784336.0199999996</v>
      </c>
    </row>
    <row r="70" spans="2:31" ht="15.75" thickBot="1" x14ac:dyDescent="0.3">
      <c r="D70" s="22" t="s">
        <v>81</v>
      </c>
      <c r="E70" s="25">
        <f>G61-(E61^2)/E66</f>
        <v>40870697618509.391</v>
      </c>
    </row>
    <row r="71" spans="2:31" ht="16.899999999999999" customHeight="1" x14ac:dyDescent="0.25">
      <c r="D71" s="22" t="s">
        <v>22</v>
      </c>
      <c r="E71" s="25">
        <f>H61-(D61*E61)/E66</f>
        <v>296405440.70028114</v>
      </c>
      <c r="Y71" s="12"/>
      <c r="Z71" s="12"/>
      <c r="AA71" s="12"/>
      <c r="AB71" s="12"/>
      <c r="AC71" s="12"/>
      <c r="AD71" s="12"/>
      <c r="AE71" s="13"/>
    </row>
    <row r="72" spans="2:31" ht="17.25" thickBot="1" x14ac:dyDescent="0.3">
      <c r="D72" s="22" t="s">
        <v>18</v>
      </c>
      <c r="E72" s="25">
        <f>E71/E69</f>
        <v>78.324292328639771</v>
      </c>
      <c r="Y72" s="14"/>
      <c r="Z72" s="14"/>
      <c r="AA72" s="14"/>
      <c r="AB72" s="14"/>
      <c r="AC72" s="14"/>
      <c r="AD72" s="14"/>
      <c r="AE72" s="15"/>
    </row>
    <row r="73" spans="2:31" x14ac:dyDescent="0.25">
      <c r="D73" s="22" t="s">
        <v>17</v>
      </c>
      <c r="E73" s="25">
        <f>E68-E67*E72</f>
        <v>268249.16913421889</v>
      </c>
    </row>
    <row r="75" spans="2:31" ht="16.5" x14ac:dyDescent="0.3">
      <c r="D75" s="21" t="s">
        <v>28</v>
      </c>
      <c r="E75" s="49">
        <f>E70</f>
        <v>40870697618509.391</v>
      </c>
      <c r="Y75" s="40"/>
      <c r="Z75" s="40"/>
      <c r="AA75" s="40"/>
    </row>
    <row r="76" spans="2:31" x14ac:dyDescent="0.25">
      <c r="D76" s="21" t="s">
        <v>21</v>
      </c>
      <c r="E76" s="49">
        <f>E72*E71</f>
        <v>23215746385.208122</v>
      </c>
    </row>
    <row r="77" spans="2:31" x14ac:dyDescent="0.25">
      <c r="D77" s="47" t="s">
        <v>19</v>
      </c>
      <c r="E77" s="48">
        <f>E70-E72*E71</f>
        <v>40847481872124.18</v>
      </c>
    </row>
    <row r="78" spans="2:31" ht="18.75" thickBot="1" x14ac:dyDescent="0.4">
      <c r="B78" s="2"/>
      <c r="O78" s="33"/>
      <c r="P78" s="33"/>
      <c r="Q78" s="33"/>
    </row>
    <row r="79" spans="2:31" ht="18.75" thickBot="1" x14ac:dyDescent="0.4">
      <c r="B79" s="2"/>
      <c r="D79" s="21" t="s">
        <v>51</v>
      </c>
      <c r="E79" s="50">
        <f>COVAR(D11:D60,E11:E60)</f>
        <v>5928108.8140056208</v>
      </c>
      <c r="G79" s="31" t="s">
        <v>50</v>
      </c>
      <c r="H79" s="32">
        <f>+E79/SQRT(E80*E81)</f>
        <v>2.3833361483191179E-2</v>
      </c>
      <c r="I79" s="136" t="s">
        <v>98</v>
      </c>
      <c r="J79" s="137"/>
      <c r="K79" s="137"/>
      <c r="L79" s="137"/>
      <c r="M79" s="138"/>
      <c r="O79" s="33"/>
      <c r="P79" s="33"/>
      <c r="Q79" s="33"/>
    </row>
    <row r="80" spans="2:31" ht="18.75" thickBot="1" x14ac:dyDescent="0.4">
      <c r="B80" s="2"/>
      <c r="D80" s="21" t="s">
        <v>52</v>
      </c>
      <c r="E80" s="50">
        <f>+VARP(D11:D60)</f>
        <v>75686.720400000006</v>
      </c>
      <c r="G80" s="31" t="s">
        <v>50</v>
      </c>
      <c r="H80" s="32">
        <f>E71/SQRT(E69*E70)</f>
        <v>2.3833361483191193E-2</v>
      </c>
      <c r="I80" s="142"/>
      <c r="J80" s="143"/>
      <c r="K80" s="143"/>
      <c r="L80" s="143"/>
      <c r="M80" s="144"/>
      <c r="O80" s="33"/>
      <c r="P80" s="33"/>
      <c r="Q80" s="33"/>
    </row>
    <row r="81" spans="2:17" ht="18.75" thickBot="1" x14ac:dyDescent="0.4">
      <c r="B81" s="2"/>
      <c r="D81" s="21" t="s">
        <v>54</v>
      </c>
      <c r="E81" s="50">
        <f>+VARP(E11:E60)</f>
        <v>817413952370.18799</v>
      </c>
      <c r="O81" s="33"/>
      <c r="P81" s="33"/>
      <c r="Q81" s="33"/>
    </row>
    <row r="82" spans="2:17" ht="16.899999999999999" customHeight="1" x14ac:dyDescent="0.35">
      <c r="B82" s="2"/>
      <c r="G82" s="202" t="s">
        <v>53</v>
      </c>
      <c r="H82" s="204">
        <f>E76/E75</f>
        <v>5.6802911958846159E-4</v>
      </c>
      <c r="I82" s="136" t="s">
        <v>97</v>
      </c>
      <c r="J82" s="137"/>
      <c r="K82" s="137"/>
      <c r="L82" s="137"/>
      <c r="M82" s="138"/>
      <c r="O82" s="33"/>
      <c r="P82" s="33"/>
      <c r="Q82" s="33"/>
    </row>
    <row r="83" spans="2:17" ht="18.75" thickBot="1" x14ac:dyDescent="0.4">
      <c r="B83" s="2"/>
      <c r="G83" s="203"/>
      <c r="H83" s="205"/>
      <c r="I83" s="142"/>
      <c r="J83" s="143"/>
      <c r="K83" s="143"/>
      <c r="L83" s="143"/>
      <c r="M83" s="144"/>
      <c r="O83" s="33"/>
      <c r="P83" s="33"/>
      <c r="Q83" s="33"/>
    </row>
    <row r="84" spans="2:17" ht="18" x14ac:dyDescent="0.35">
      <c r="B84" s="2"/>
      <c r="F84" s="29"/>
      <c r="O84" s="33"/>
      <c r="P84" s="33"/>
      <c r="Q84" s="33"/>
    </row>
    <row r="85" spans="2:17" ht="18" x14ac:dyDescent="0.35">
      <c r="B85" s="2"/>
      <c r="F85" s="29"/>
      <c r="L85" s="40"/>
      <c r="M85" s="40"/>
      <c r="N85" s="40"/>
      <c r="O85" s="33"/>
      <c r="P85" s="33"/>
      <c r="Q85" s="33"/>
    </row>
    <row r="86" spans="2:17" ht="18" x14ac:dyDescent="0.35">
      <c r="B86" s="2"/>
      <c r="F86" s="29"/>
      <c r="O86" s="33"/>
      <c r="P86" s="33"/>
      <c r="Q86" s="33"/>
    </row>
    <row r="87" spans="2:17" ht="18" x14ac:dyDescent="0.35">
      <c r="B87" s="2"/>
      <c r="F87" s="29"/>
      <c r="L87" s="40"/>
      <c r="M87" s="40"/>
      <c r="N87" s="40"/>
      <c r="O87" s="33"/>
      <c r="P87" s="33"/>
      <c r="Q87" s="33"/>
    </row>
    <row r="88" spans="2:17" ht="18" x14ac:dyDescent="0.35">
      <c r="B88" s="2"/>
      <c r="O88" s="33"/>
      <c r="P88" s="33"/>
      <c r="Q88" s="33"/>
    </row>
    <row r="89" spans="2:17" ht="18" x14ac:dyDescent="0.35">
      <c r="B89" s="2"/>
      <c r="O89" s="33"/>
      <c r="P89" s="33"/>
      <c r="Q89" s="33"/>
    </row>
  </sheetData>
  <mergeCells count="6">
    <mergeCell ref="I79:M80"/>
    <mergeCell ref="G82:G83"/>
    <mergeCell ref="H82:H83"/>
    <mergeCell ref="I82:M83"/>
    <mergeCell ref="C2:J6"/>
    <mergeCell ref="D9:E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vt:lpstr>
      <vt:lpstr>Hoja2</vt:lpstr>
      <vt:lpstr>Ejemplo</vt:lpstr>
      <vt:lpstr>Hoja1</vt:lpstr>
      <vt:lpstr>Sheet1</vt:lpstr>
      <vt:lpstr>Sheet3</vt:lpstr>
      <vt:lpstr>Sheet4</vt:lpstr>
      <vt:lpstr>Sheet2</vt:lpstr>
      <vt:lpstr>Homocedasticidad</vt:lpstr>
      <vt:lpstr>result_regression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Alfredo Daniel Moreno Arteaga</dc:creator>
  <cp:lastModifiedBy>ALFREDO DANIEL MORENO ARTEAGA</cp:lastModifiedBy>
  <dcterms:created xsi:type="dcterms:W3CDTF">2023-11-05T19:11:19Z</dcterms:created>
  <dcterms:modified xsi:type="dcterms:W3CDTF">2024-11-22T16:18:15Z</dcterms:modified>
</cp:coreProperties>
</file>