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desk\my-electron-app\"/>
    </mc:Choice>
  </mc:AlternateContent>
  <xr:revisionPtr revIDLastSave="0" documentId="13_ncr:1_{F447C9D2-B179-473F-96D4-42F026094436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manutencoes" sheetId="1" r:id="rId1"/>
    <sheet name="listageralhidran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49" i="2" l="1"/>
  <c r="A5049" i="2"/>
  <c r="B5048" i="2"/>
  <c r="A5048" i="2"/>
  <c r="B5047" i="2"/>
  <c r="A5047" i="2"/>
  <c r="B5046" i="2"/>
  <c r="A5046" i="2"/>
  <c r="B5045" i="2"/>
  <c r="A5045" i="2"/>
  <c r="B5044" i="2"/>
  <c r="A5044" i="2"/>
  <c r="B5043" i="2"/>
  <c r="A5043" i="2"/>
  <c r="B5042" i="2"/>
  <c r="A5042" i="2"/>
  <c r="B5041" i="2"/>
  <c r="A5041" i="2"/>
  <c r="B5040" i="2"/>
  <c r="A5040" i="2"/>
  <c r="B5039" i="2"/>
  <c r="A5039" i="2"/>
  <c r="B5038" i="2"/>
  <c r="A5038" i="2"/>
  <c r="B5037" i="2"/>
  <c r="A5037" i="2"/>
  <c r="B5036" i="2"/>
  <c r="A5036" i="2"/>
  <c r="B5035" i="2"/>
  <c r="A5035" i="2"/>
  <c r="B5034" i="2"/>
  <c r="A5034" i="2"/>
  <c r="B5033" i="2"/>
  <c r="A5033" i="2"/>
  <c r="B5032" i="2"/>
  <c r="A5032" i="2"/>
  <c r="B5031" i="2"/>
  <c r="A5031" i="2"/>
  <c r="B5030" i="2"/>
  <c r="A5030" i="2"/>
  <c r="B5029" i="2"/>
  <c r="A5029" i="2"/>
  <c r="B5028" i="2"/>
  <c r="A5028" i="2"/>
  <c r="B5027" i="2"/>
  <c r="A5027" i="2"/>
  <c r="B5026" i="2"/>
  <c r="A5026" i="2"/>
  <c r="B5025" i="2"/>
  <c r="A5025" i="2"/>
  <c r="B5024" i="2"/>
  <c r="A5024" i="2"/>
  <c r="B5023" i="2"/>
  <c r="A5023" i="2"/>
  <c r="B5022" i="2"/>
  <c r="A5022" i="2"/>
  <c r="B5021" i="2"/>
  <c r="A5021" i="2"/>
  <c r="B5020" i="2"/>
  <c r="A5020" i="2"/>
  <c r="B5019" i="2"/>
  <c r="A5019" i="2"/>
  <c r="B5018" i="2"/>
  <c r="A5018" i="2"/>
  <c r="B5017" i="2"/>
  <c r="A5017" i="2"/>
  <c r="B5016" i="2"/>
  <c r="A5016" i="2"/>
  <c r="B5015" i="2"/>
  <c r="A5015" i="2"/>
  <c r="B5014" i="2"/>
  <c r="A5014" i="2"/>
  <c r="B5013" i="2"/>
  <c r="A5013" i="2"/>
  <c r="B5012" i="2"/>
  <c r="A5012" i="2"/>
  <c r="B5011" i="2"/>
  <c r="A5011" i="2"/>
  <c r="B5010" i="2"/>
  <c r="A5010" i="2"/>
  <c r="B5009" i="2"/>
  <c r="A5009" i="2"/>
  <c r="B5008" i="2"/>
  <c r="A5008" i="2"/>
  <c r="B5007" i="2"/>
  <c r="A5007" i="2"/>
  <c r="B5006" i="2"/>
  <c r="A5006" i="2"/>
  <c r="B5005" i="2"/>
  <c r="A5005" i="2"/>
  <c r="B5004" i="2"/>
  <c r="A5004" i="2"/>
  <c r="B5003" i="2"/>
  <c r="A5003" i="2"/>
  <c r="B5002" i="2"/>
  <c r="A5002" i="2"/>
  <c r="B5001" i="2"/>
  <c r="A5001" i="2"/>
  <c r="B5000" i="2"/>
  <c r="A5000" i="2"/>
  <c r="B4999" i="2"/>
  <c r="A4999" i="2"/>
  <c r="B4998" i="2"/>
  <c r="A4998" i="2"/>
  <c r="B4997" i="2"/>
  <c r="A4997" i="2"/>
  <c r="B4996" i="2"/>
  <c r="A4996" i="2"/>
  <c r="B4995" i="2"/>
  <c r="A4995" i="2"/>
  <c r="B4994" i="2"/>
  <c r="A4994" i="2"/>
  <c r="B4993" i="2"/>
  <c r="A4993" i="2"/>
  <c r="B4992" i="2"/>
  <c r="A4992" i="2"/>
  <c r="B4991" i="2"/>
  <c r="A4991" i="2"/>
  <c r="B4990" i="2"/>
  <c r="A4990" i="2"/>
  <c r="B4989" i="2"/>
  <c r="A4989" i="2"/>
  <c r="B4988" i="2"/>
  <c r="A4988" i="2"/>
  <c r="B4987" i="2"/>
  <c r="A4987" i="2"/>
  <c r="B4986" i="2"/>
  <c r="A4986" i="2"/>
  <c r="B4985" i="2"/>
  <c r="A4985" i="2"/>
  <c r="B4984" i="2"/>
  <c r="A4984" i="2"/>
  <c r="B4983" i="2"/>
  <c r="A4983" i="2"/>
  <c r="B4982" i="2"/>
  <c r="A4982" i="2"/>
  <c r="B4981" i="2"/>
  <c r="A4981" i="2"/>
  <c r="B4980" i="2"/>
  <c r="A4980" i="2"/>
  <c r="B4979" i="2"/>
  <c r="A4979" i="2"/>
  <c r="B4978" i="2"/>
  <c r="A4978" i="2"/>
  <c r="B4977" i="2"/>
  <c r="A4977" i="2"/>
  <c r="B4976" i="2"/>
  <c r="A4976" i="2"/>
  <c r="B4975" i="2"/>
  <c r="A4975" i="2"/>
  <c r="B4974" i="2"/>
  <c r="A4974" i="2"/>
  <c r="B4973" i="2"/>
  <c r="A4973" i="2"/>
  <c r="B4972" i="2"/>
  <c r="A4972" i="2"/>
  <c r="B4971" i="2"/>
  <c r="A4971" i="2"/>
  <c r="B4970" i="2"/>
  <c r="A4970" i="2"/>
  <c r="B4969" i="2"/>
  <c r="A4969" i="2"/>
  <c r="B4968" i="2"/>
  <c r="A4968" i="2"/>
  <c r="B4967" i="2"/>
  <c r="A4967" i="2"/>
  <c r="B4966" i="2"/>
  <c r="A4966" i="2"/>
  <c r="B4965" i="2"/>
  <c r="A4965" i="2"/>
  <c r="B4964" i="2"/>
  <c r="A4964" i="2"/>
  <c r="B4963" i="2"/>
  <c r="A4963" i="2"/>
  <c r="B4962" i="2"/>
  <c r="A4962" i="2"/>
  <c r="B4961" i="2"/>
  <c r="A4961" i="2"/>
  <c r="B4960" i="2"/>
  <c r="A4960" i="2"/>
  <c r="B4959" i="2"/>
  <c r="A4959" i="2"/>
  <c r="B4958" i="2"/>
  <c r="A4958" i="2"/>
  <c r="B4957" i="2"/>
  <c r="A4957" i="2"/>
  <c r="B4956" i="2"/>
  <c r="A4956" i="2"/>
  <c r="B4955" i="2"/>
  <c r="A4955" i="2"/>
  <c r="B4954" i="2"/>
  <c r="A4954" i="2"/>
  <c r="B4953" i="2"/>
  <c r="A4953" i="2"/>
  <c r="B4952" i="2"/>
  <c r="A4952" i="2"/>
  <c r="B4951" i="2"/>
  <c r="A4951" i="2"/>
  <c r="B4950" i="2"/>
  <c r="A4950" i="2"/>
  <c r="B4949" i="2"/>
  <c r="A4949" i="2"/>
  <c r="B4948" i="2"/>
  <c r="A4948" i="2"/>
  <c r="B4947" i="2"/>
  <c r="A4947" i="2"/>
  <c r="B4946" i="2"/>
  <c r="A4946" i="2"/>
  <c r="B4945" i="2"/>
  <c r="A4945" i="2"/>
  <c r="B4944" i="2"/>
  <c r="A4944" i="2"/>
  <c r="B4943" i="2"/>
  <c r="A4943" i="2"/>
  <c r="B4942" i="2"/>
  <c r="A4942" i="2"/>
  <c r="B4941" i="2"/>
  <c r="A4941" i="2"/>
  <c r="B4940" i="2"/>
  <c r="A4940" i="2"/>
  <c r="B4939" i="2"/>
  <c r="A4939" i="2"/>
  <c r="B4938" i="2"/>
  <c r="A4938" i="2"/>
  <c r="B4937" i="2"/>
  <c r="A4937" i="2"/>
  <c r="B4936" i="2"/>
  <c r="A4936" i="2"/>
  <c r="B4935" i="2"/>
  <c r="A4935" i="2"/>
  <c r="B4934" i="2"/>
  <c r="A4934" i="2"/>
  <c r="B4933" i="2"/>
  <c r="A4933" i="2"/>
  <c r="B4932" i="2"/>
  <c r="A4932" i="2"/>
  <c r="B4931" i="2"/>
  <c r="A4931" i="2"/>
  <c r="B4930" i="2"/>
  <c r="A4930" i="2"/>
  <c r="B4929" i="2"/>
  <c r="A4929" i="2"/>
  <c r="B4928" i="2"/>
  <c r="A4928" i="2"/>
  <c r="B4927" i="2"/>
  <c r="A4927" i="2"/>
  <c r="B4926" i="2"/>
  <c r="A4926" i="2"/>
  <c r="B4925" i="2"/>
  <c r="A4925" i="2"/>
  <c r="B4924" i="2"/>
  <c r="A4924" i="2"/>
  <c r="B4923" i="2"/>
  <c r="A4923" i="2"/>
  <c r="B4922" i="2"/>
  <c r="A4922" i="2"/>
  <c r="B4921" i="2"/>
  <c r="A4921" i="2"/>
  <c r="B4920" i="2"/>
  <c r="A4920" i="2"/>
  <c r="B4919" i="2"/>
  <c r="A4919" i="2"/>
  <c r="B4918" i="2"/>
  <c r="A4918" i="2"/>
  <c r="B4917" i="2"/>
  <c r="A4917" i="2"/>
  <c r="B4916" i="2"/>
  <c r="A4916" i="2"/>
  <c r="B4915" i="2"/>
  <c r="A4915" i="2"/>
  <c r="B4914" i="2"/>
  <c r="A4914" i="2"/>
  <c r="B4913" i="2"/>
  <c r="A4913" i="2"/>
  <c r="B4912" i="2"/>
  <c r="A4912" i="2"/>
  <c r="B4911" i="2"/>
  <c r="A4911" i="2"/>
  <c r="B4910" i="2"/>
  <c r="A4910" i="2"/>
  <c r="B4909" i="2"/>
  <c r="A4909" i="2"/>
  <c r="B4908" i="2"/>
  <c r="A4908" i="2"/>
  <c r="B4907" i="2"/>
  <c r="A4907" i="2"/>
  <c r="B4906" i="2"/>
  <c r="A4906" i="2"/>
  <c r="B4905" i="2"/>
  <c r="A4905" i="2"/>
  <c r="B4904" i="2"/>
  <c r="A4904" i="2"/>
  <c r="B4903" i="2"/>
  <c r="A4903" i="2"/>
  <c r="B4902" i="2"/>
  <c r="A4902" i="2"/>
  <c r="B4901" i="2"/>
  <c r="A4901" i="2"/>
  <c r="B4900" i="2"/>
  <c r="A4900" i="2"/>
  <c r="B4899" i="2"/>
  <c r="A4899" i="2"/>
  <c r="B4898" i="2"/>
  <c r="A4898" i="2"/>
  <c r="B4897" i="2"/>
  <c r="A4897" i="2"/>
  <c r="B4896" i="2"/>
  <c r="A4896" i="2"/>
  <c r="B4895" i="2"/>
  <c r="A4895" i="2"/>
  <c r="B4894" i="2"/>
  <c r="A4894" i="2"/>
  <c r="B4893" i="2"/>
  <c r="A4893" i="2"/>
  <c r="B4892" i="2"/>
  <c r="A4892" i="2"/>
  <c r="B4891" i="2"/>
  <c r="A4891" i="2"/>
  <c r="B4890" i="2"/>
  <c r="A4890" i="2"/>
  <c r="B4889" i="2"/>
  <c r="A4889" i="2"/>
  <c r="B4888" i="2"/>
  <c r="A4888" i="2"/>
  <c r="B4887" i="2"/>
  <c r="A4887" i="2"/>
  <c r="B4886" i="2"/>
  <c r="A4886" i="2"/>
  <c r="B4885" i="2"/>
  <c r="A4885" i="2"/>
  <c r="B4884" i="2"/>
  <c r="A4884" i="2"/>
  <c r="B4883" i="2"/>
  <c r="A4883" i="2"/>
  <c r="B4882" i="2"/>
  <c r="A4882" i="2"/>
  <c r="B4881" i="2"/>
  <c r="A4881" i="2"/>
  <c r="B4880" i="2"/>
  <c r="A4880" i="2"/>
  <c r="B4879" i="2"/>
  <c r="A4879" i="2"/>
  <c r="B4878" i="2"/>
  <c r="A4878" i="2"/>
  <c r="B4877" i="2"/>
  <c r="A4877" i="2"/>
  <c r="B4876" i="2"/>
  <c r="A4876" i="2"/>
  <c r="B4875" i="2"/>
  <c r="A4875" i="2"/>
  <c r="B4874" i="2"/>
  <c r="A4874" i="2"/>
  <c r="B4873" i="2"/>
  <c r="A4873" i="2"/>
  <c r="B4872" i="2"/>
  <c r="A4872" i="2"/>
  <c r="B4871" i="2"/>
  <c r="A4871" i="2"/>
  <c r="B4870" i="2"/>
  <c r="A4870" i="2"/>
  <c r="B4869" i="2"/>
  <c r="A4869" i="2"/>
  <c r="B4868" i="2"/>
  <c r="A4868" i="2"/>
  <c r="B4867" i="2"/>
  <c r="A4867" i="2"/>
  <c r="B4866" i="2"/>
  <c r="A4866" i="2"/>
  <c r="B4865" i="2"/>
  <c r="A4865" i="2"/>
  <c r="B4864" i="2"/>
  <c r="A4864" i="2"/>
  <c r="B4863" i="2"/>
  <c r="A4863" i="2"/>
  <c r="B4862" i="2"/>
  <c r="A4862" i="2"/>
  <c r="B4861" i="2"/>
  <c r="A4861" i="2"/>
  <c r="B4860" i="2"/>
  <c r="A4860" i="2"/>
  <c r="B4859" i="2"/>
  <c r="A4859" i="2"/>
  <c r="B4858" i="2"/>
  <c r="A4858" i="2"/>
  <c r="B4857" i="2"/>
  <c r="A4857" i="2"/>
  <c r="B4856" i="2"/>
  <c r="A4856" i="2"/>
  <c r="B4855" i="2"/>
  <c r="A4855" i="2"/>
  <c r="B4854" i="2"/>
  <c r="A4854" i="2"/>
  <c r="B4853" i="2"/>
  <c r="A4853" i="2"/>
  <c r="B4852" i="2"/>
  <c r="A4852" i="2"/>
  <c r="B4851" i="2"/>
  <c r="A4851" i="2"/>
  <c r="B4850" i="2"/>
  <c r="A4850" i="2"/>
  <c r="B4849" i="2"/>
  <c r="A4849" i="2"/>
  <c r="B4848" i="2"/>
  <c r="A4848" i="2"/>
  <c r="B4847" i="2"/>
  <c r="A4847" i="2"/>
  <c r="B4846" i="2"/>
  <c r="A4846" i="2"/>
  <c r="B4845" i="2"/>
  <c r="A4845" i="2"/>
  <c r="B4844" i="2"/>
  <c r="A4844" i="2"/>
  <c r="B4843" i="2"/>
  <c r="A4843" i="2"/>
  <c r="B4842" i="2"/>
  <c r="A4842" i="2"/>
  <c r="B4841" i="2"/>
  <c r="A4841" i="2"/>
  <c r="B4840" i="2"/>
  <c r="A4840" i="2"/>
  <c r="B4839" i="2"/>
  <c r="A4839" i="2"/>
  <c r="B4838" i="2"/>
  <c r="A4838" i="2"/>
  <c r="B4837" i="2"/>
  <c r="A4837" i="2"/>
  <c r="B4836" i="2"/>
  <c r="A4836" i="2"/>
  <c r="B4835" i="2"/>
  <c r="A4835" i="2"/>
  <c r="B4834" i="2"/>
  <c r="A4834" i="2"/>
  <c r="B4833" i="2"/>
  <c r="A4833" i="2"/>
  <c r="B4832" i="2"/>
  <c r="A4832" i="2"/>
  <c r="B4831" i="2"/>
  <c r="A4831" i="2"/>
  <c r="B4830" i="2"/>
  <c r="A4830" i="2"/>
  <c r="B4829" i="2"/>
  <c r="A4829" i="2"/>
  <c r="B4828" i="2"/>
  <c r="A4828" i="2"/>
  <c r="B4827" i="2"/>
  <c r="A4827" i="2"/>
  <c r="B4826" i="2"/>
  <c r="A4826" i="2"/>
  <c r="B4825" i="2"/>
  <c r="A4825" i="2"/>
  <c r="B4824" i="2"/>
  <c r="A4824" i="2"/>
  <c r="B4823" i="2"/>
  <c r="A4823" i="2"/>
  <c r="B4822" i="2"/>
  <c r="A4822" i="2"/>
  <c r="B4821" i="2"/>
  <c r="A4821" i="2"/>
  <c r="B4820" i="2"/>
  <c r="A4820" i="2"/>
  <c r="B4819" i="2"/>
  <c r="A4819" i="2"/>
  <c r="B4818" i="2"/>
  <c r="A4818" i="2"/>
  <c r="B4817" i="2"/>
  <c r="A4817" i="2"/>
  <c r="B4816" i="2"/>
  <c r="A4816" i="2"/>
  <c r="B4815" i="2"/>
  <c r="A4815" i="2"/>
  <c r="B4814" i="2"/>
  <c r="A4814" i="2"/>
  <c r="B4813" i="2"/>
  <c r="A4813" i="2"/>
  <c r="B4812" i="2"/>
  <c r="A4812" i="2"/>
  <c r="B4811" i="2"/>
  <c r="A4811" i="2"/>
  <c r="B4810" i="2"/>
  <c r="A4810" i="2"/>
  <c r="B4809" i="2"/>
  <c r="A4809" i="2"/>
  <c r="B4808" i="2"/>
  <c r="A4808" i="2"/>
  <c r="B4807" i="2"/>
  <c r="A4807" i="2"/>
  <c r="B4806" i="2"/>
  <c r="A4806" i="2"/>
  <c r="B4805" i="2"/>
  <c r="A4805" i="2"/>
  <c r="B4804" i="2"/>
  <c r="A4804" i="2"/>
  <c r="B4803" i="2"/>
  <c r="A4803" i="2"/>
  <c r="B4802" i="2"/>
  <c r="A4802" i="2"/>
  <c r="B4801" i="2"/>
  <c r="A4801" i="2"/>
  <c r="B4800" i="2"/>
  <c r="A4800" i="2"/>
  <c r="B4799" i="2"/>
  <c r="A4799" i="2"/>
  <c r="B4798" i="2"/>
  <c r="A4798" i="2"/>
  <c r="B4797" i="2"/>
  <c r="A4797" i="2"/>
  <c r="B4796" i="2"/>
  <c r="A4796" i="2"/>
  <c r="B4795" i="2"/>
  <c r="A4795" i="2"/>
  <c r="B4794" i="2"/>
  <c r="A4794" i="2"/>
  <c r="B4793" i="2"/>
  <c r="A4793" i="2"/>
  <c r="B4792" i="2"/>
  <c r="A4792" i="2"/>
  <c r="B4791" i="2"/>
  <c r="A4791" i="2"/>
  <c r="B4790" i="2"/>
  <c r="A4790" i="2"/>
  <c r="B4789" i="2"/>
  <c r="A4789" i="2"/>
  <c r="B4788" i="2"/>
  <c r="A4788" i="2"/>
  <c r="B4787" i="2"/>
  <c r="A4787" i="2"/>
  <c r="B4786" i="2"/>
  <c r="A4786" i="2"/>
  <c r="B4785" i="2"/>
  <c r="A4785" i="2"/>
  <c r="B4784" i="2"/>
  <c r="A4784" i="2"/>
  <c r="B4783" i="2"/>
  <c r="A4783" i="2"/>
  <c r="B4782" i="2"/>
  <c r="A4782" i="2"/>
  <c r="B4781" i="2"/>
  <c r="A4781" i="2"/>
  <c r="B4780" i="2"/>
  <c r="A4780" i="2"/>
  <c r="B4779" i="2"/>
  <c r="A4779" i="2"/>
  <c r="B4778" i="2"/>
  <c r="A4778" i="2"/>
  <c r="B4777" i="2"/>
  <c r="A4777" i="2"/>
  <c r="B4776" i="2"/>
  <c r="A4776" i="2"/>
  <c r="B4775" i="2"/>
  <c r="A4775" i="2"/>
  <c r="B4774" i="2"/>
  <c r="A4774" i="2"/>
  <c r="B4773" i="2"/>
  <c r="A4773" i="2"/>
  <c r="B4772" i="2"/>
  <c r="A4772" i="2"/>
  <c r="B4771" i="2"/>
  <c r="A4771" i="2"/>
  <c r="B4770" i="2"/>
  <c r="A4770" i="2"/>
  <c r="B4769" i="2"/>
  <c r="A4769" i="2"/>
  <c r="B4768" i="2"/>
  <c r="A4768" i="2"/>
  <c r="B4767" i="2"/>
  <c r="A4767" i="2"/>
  <c r="B4766" i="2"/>
  <c r="A4766" i="2"/>
  <c r="B4765" i="2"/>
  <c r="A4765" i="2"/>
  <c r="B4764" i="2"/>
  <c r="A4764" i="2"/>
  <c r="B4763" i="2"/>
  <c r="A4763" i="2"/>
  <c r="B4762" i="2"/>
  <c r="A4762" i="2"/>
  <c r="B4761" i="2"/>
  <c r="A4761" i="2"/>
  <c r="B4760" i="2"/>
  <c r="A4760" i="2"/>
  <c r="B4759" i="2"/>
  <c r="A4759" i="2"/>
  <c r="B4758" i="2"/>
  <c r="A4758" i="2"/>
  <c r="B4757" i="2"/>
  <c r="A4757" i="2"/>
  <c r="B4756" i="2"/>
  <c r="A4756" i="2"/>
  <c r="B4755" i="2"/>
  <c r="A4755" i="2"/>
  <c r="B4754" i="2"/>
  <c r="A4754" i="2"/>
  <c r="B4753" i="2"/>
  <c r="A4753" i="2"/>
  <c r="B4752" i="2"/>
  <c r="A4752" i="2"/>
  <c r="B4751" i="2"/>
  <c r="A4751" i="2"/>
  <c r="B4750" i="2"/>
  <c r="A4750" i="2"/>
  <c r="B4749" i="2"/>
  <c r="A4749" i="2"/>
  <c r="B4748" i="2"/>
  <c r="A4748" i="2"/>
  <c r="B4747" i="2"/>
  <c r="A4747" i="2"/>
  <c r="B4746" i="2"/>
  <c r="A4746" i="2"/>
  <c r="B4745" i="2"/>
  <c r="A4745" i="2"/>
  <c r="B4744" i="2"/>
  <c r="A4744" i="2"/>
  <c r="B4743" i="2"/>
  <c r="A4743" i="2"/>
  <c r="B4742" i="2"/>
  <c r="A4742" i="2"/>
  <c r="B4741" i="2"/>
  <c r="A4741" i="2"/>
  <c r="B4740" i="2"/>
  <c r="A4740" i="2"/>
  <c r="B4739" i="2"/>
  <c r="A4739" i="2"/>
  <c r="B4738" i="2"/>
  <c r="A4738" i="2"/>
  <c r="B4737" i="2"/>
  <c r="A4737" i="2"/>
  <c r="B4736" i="2"/>
  <c r="A4736" i="2"/>
  <c r="B4735" i="2"/>
  <c r="A4735" i="2"/>
  <c r="B4734" i="2"/>
  <c r="A4734" i="2"/>
  <c r="B4733" i="2"/>
  <c r="A4733" i="2"/>
  <c r="B4732" i="2"/>
  <c r="A4732" i="2"/>
  <c r="B4731" i="2"/>
  <c r="A4731" i="2"/>
  <c r="B4730" i="2"/>
  <c r="A4730" i="2"/>
  <c r="B4729" i="2"/>
  <c r="A4729" i="2"/>
  <c r="B4728" i="2"/>
  <c r="A4728" i="2"/>
  <c r="B4727" i="2"/>
  <c r="A4727" i="2"/>
  <c r="B4726" i="2"/>
  <c r="A4726" i="2"/>
  <c r="B4725" i="2"/>
  <c r="A4725" i="2"/>
  <c r="B4724" i="2"/>
  <c r="A4724" i="2"/>
  <c r="B4723" i="2"/>
  <c r="A4723" i="2"/>
  <c r="B4722" i="2"/>
  <c r="A4722" i="2"/>
  <c r="B4721" i="2"/>
  <c r="A4721" i="2"/>
  <c r="B4720" i="2"/>
  <c r="A4720" i="2"/>
  <c r="B4719" i="2"/>
  <c r="A4719" i="2"/>
  <c r="B4718" i="2"/>
  <c r="A4718" i="2"/>
  <c r="B4717" i="2"/>
  <c r="A4717" i="2"/>
  <c r="B4716" i="2"/>
  <c r="A4716" i="2"/>
  <c r="B4715" i="2"/>
  <c r="A4715" i="2"/>
  <c r="B4714" i="2"/>
  <c r="A4714" i="2"/>
  <c r="B4713" i="2"/>
  <c r="A4713" i="2"/>
  <c r="B4712" i="2"/>
  <c r="A4712" i="2"/>
  <c r="B4711" i="2"/>
  <c r="A4711" i="2"/>
  <c r="B4710" i="2"/>
  <c r="A4710" i="2"/>
  <c r="B4709" i="2"/>
  <c r="A4709" i="2"/>
  <c r="B4708" i="2"/>
  <c r="A4708" i="2"/>
  <c r="B4707" i="2"/>
  <c r="A4707" i="2"/>
  <c r="B4706" i="2"/>
  <c r="A4706" i="2"/>
  <c r="B4705" i="2"/>
  <c r="A4705" i="2"/>
  <c r="B4704" i="2"/>
  <c r="A4704" i="2"/>
  <c r="B4703" i="2"/>
  <c r="A4703" i="2"/>
  <c r="B4702" i="2"/>
  <c r="A4702" i="2"/>
  <c r="B4701" i="2"/>
  <c r="A4701" i="2"/>
  <c r="B4700" i="2"/>
  <c r="A4700" i="2"/>
  <c r="B4699" i="2"/>
  <c r="A4699" i="2"/>
  <c r="B4698" i="2"/>
  <c r="A4698" i="2"/>
  <c r="B4697" i="2"/>
  <c r="A4697" i="2"/>
  <c r="B4696" i="2"/>
  <c r="A4696" i="2"/>
  <c r="B4695" i="2"/>
  <c r="A4695" i="2"/>
  <c r="B4694" i="2"/>
  <c r="A4694" i="2"/>
  <c r="B4693" i="2"/>
  <c r="A4693" i="2"/>
  <c r="B4692" i="2"/>
  <c r="A4692" i="2"/>
  <c r="B4691" i="2"/>
  <c r="A4691" i="2"/>
  <c r="B4690" i="2"/>
  <c r="A4690" i="2"/>
  <c r="B4689" i="2"/>
  <c r="A4689" i="2"/>
  <c r="B4688" i="2"/>
  <c r="A4688" i="2"/>
  <c r="B4687" i="2"/>
  <c r="A4687" i="2"/>
  <c r="B4686" i="2"/>
  <c r="A4686" i="2"/>
  <c r="B4685" i="2"/>
  <c r="A4685" i="2"/>
  <c r="B4684" i="2"/>
  <c r="A4684" i="2"/>
  <c r="B4683" i="2"/>
  <c r="A4683" i="2"/>
  <c r="B4682" i="2"/>
  <c r="A4682" i="2"/>
  <c r="B4681" i="2"/>
  <c r="A4681" i="2"/>
  <c r="B4680" i="2"/>
  <c r="A4680" i="2"/>
  <c r="B4679" i="2"/>
  <c r="A4679" i="2"/>
  <c r="B4678" i="2"/>
  <c r="A4678" i="2"/>
  <c r="B4677" i="2"/>
  <c r="A4677" i="2"/>
  <c r="B4676" i="2"/>
  <c r="A4676" i="2"/>
  <c r="B4675" i="2"/>
  <c r="A4675" i="2"/>
  <c r="B4674" i="2"/>
  <c r="A4674" i="2"/>
  <c r="B4673" i="2"/>
  <c r="A4673" i="2"/>
  <c r="B4672" i="2"/>
  <c r="A4672" i="2"/>
  <c r="B4671" i="2"/>
  <c r="A4671" i="2"/>
  <c r="B4670" i="2"/>
  <c r="A4670" i="2"/>
  <c r="B4669" i="2"/>
  <c r="A4669" i="2"/>
  <c r="B4668" i="2"/>
  <c r="A4668" i="2"/>
  <c r="B4667" i="2"/>
  <c r="A4667" i="2"/>
  <c r="B4666" i="2"/>
  <c r="A4666" i="2"/>
  <c r="B4665" i="2"/>
  <c r="A4665" i="2"/>
  <c r="B4664" i="2"/>
  <c r="A4664" i="2"/>
  <c r="B4663" i="2"/>
  <c r="A4663" i="2"/>
  <c r="B4662" i="2"/>
  <c r="A4662" i="2"/>
  <c r="B4661" i="2"/>
  <c r="A4661" i="2"/>
  <c r="B4660" i="2"/>
  <c r="A4660" i="2"/>
  <c r="B4659" i="2"/>
  <c r="A4659" i="2"/>
  <c r="B4658" i="2"/>
  <c r="A4658" i="2"/>
  <c r="B4657" i="2"/>
  <c r="A4657" i="2"/>
  <c r="B4656" i="2"/>
  <c r="A4656" i="2"/>
  <c r="B4655" i="2"/>
  <c r="A4655" i="2"/>
  <c r="B4654" i="2"/>
  <c r="A4654" i="2"/>
  <c r="B4653" i="2"/>
  <c r="A4653" i="2"/>
  <c r="B4652" i="2"/>
  <c r="A4652" i="2"/>
  <c r="B4651" i="2"/>
  <c r="A4651" i="2"/>
  <c r="B4650" i="2"/>
  <c r="A4650" i="2"/>
  <c r="B4649" i="2"/>
  <c r="A4649" i="2"/>
  <c r="B4648" i="2"/>
  <c r="A4648" i="2"/>
  <c r="B4647" i="2"/>
  <c r="A4647" i="2"/>
  <c r="B4646" i="2"/>
  <c r="A4646" i="2"/>
  <c r="B4645" i="2"/>
  <c r="A4645" i="2"/>
  <c r="B4644" i="2"/>
  <c r="A4644" i="2"/>
  <c r="B4643" i="2"/>
  <c r="A4643" i="2"/>
  <c r="B4642" i="2"/>
  <c r="A4642" i="2"/>
  <c r="B4641" i="2"/>
  <c r="A4641" i="2"/>
  <c r="B4640" i="2"/>
  <c r="A4640" i="2"/>
  <c r="B4639" i="2"/>
  <c r="A4639" i="2"/>
  <c r="B4638" i="2"/>
  <c r="A4638" i="2"/>
  <c r="B4637" i="2"/>
  <c r="A4637" i="2"/>
  <c r="B4636" i="2"/>
  <c r="A4636" i="2"/>
  <c r="B4635" i="2"/>
  <c r="A4635" i="2"/>
  <c r="B4634" i="2"/>
  <c r="A4634" i="2"/>
  <c r="B4633" i="2"/>
  <c r="A4633" i="2"/>
  <c r="B4632" i="2"/>
  <c r="A4632" i="2"/>
  <c r="B4631" i="2"/>
  <c r="A4631" i="2"/>
  <c r="B4630" i="2"/>
  <c r="A4630" i="2"/>
  <c r="B4629" i="2"/>
  <c r="A4629" i="2"/>
  <c r="B4628" i="2"/>
  <c r="A4628" i="2"/>
  <c r="B4627" i="2"/>
  <c r="A4627" i="2"/>
  <c r="B4626" i="2"/>
  <c r="A4626" i="2"/>
  <c r="B4625" i="2"/>
  <c r="A4625" i="2"/>
  <c r="B4624" i="2"/>
  <c r="A4624" i="2"/>
  <c r="B4623" i="2"/>
  <c r="A4623" i="2"/>
  <c r="B4622" i="2"/>
  <c r="A4622" i="2"/>
  <c r="B4621" i="2"/>
  <c r="A4621" i="2"/>
  <c r="B4620" i="2"/>
  <c r="A4620" i="2"/>
  <c r="B4619" i="2"/>
  <c r="A4619" i="2"/>
  <c r="B4618" i="2"/>
  <c r="A4618" i="2"/>
  <c r="B4617" i="2"/>
  <c r="A4617" i="2"/>
  <c r="B4616" i="2"/>
  <c r="A4616" i="2"/>
  <c r="B4615" i="2"/>
  <c r="A4615" i="2"/>
  <c r="B4614" i="2"/>
  <c r="A4614" i="2"/>
  <c r="B4613" i="2"/>
  <c r="A4613" i="2"/>
  <c r="B4612" i="2"/>
  <c r="A4612" i="2"/>
  <c r="B4611" i="2"/>
  <c r="A4611" i="2"/>
  <c r="B4610" i="2"/>
  <c r="A4610" i="2"/>
  <c r="B4609" i="2"/>
  <c r="A4609" i="2"/>
  <c r="B4608" i="2"/>
  <c r="A4608" i="2"/>
  <c r="B4607" i="2"/>
  <c r="A4607" i="2"/>
  <c r="B4606" i="2"/>
  <c r="A4606" i="2"/>
  <c r="B4605" i="2"/>
  <c r="A4605" i="2"/>
  <c r="B4604" i="2"/>
  <c r="A4604" i="2"/>
  <c r="B4603" i="2"/>
  <c r="A4603" i="2"/>
  <c r="B4602" i="2"/>
  <c r="A4602" i="2"/>
  <c r="B4601" i="2"/>
  <c r="A4601" i="2"/>
  <c r="B4600" i="2"/>
  <c r="A4600" i="2"/>
  <c r="B4599" i="2"/>
  <c r="A4599" i="2"/>
  <c r="B4598" i="2"/>
  <c r="A4598" i="2"/>
  <c r="B4597" i="2"/>
  <c r="A4597" i="2"/>
  <c r="B4596" i="2"/>
  <c r="A4596" i="2"/>
  <c r="B4595" i="2"/>
  <c r="A4595" i="2"/>
  <c r="B4594" i="2"/>
  <c r="A4594" i="2"/>
  <c r="B4593" i="2"/>
  <c r="A4593" i="2"/>
  <c r="B4592" i="2"/>
  <c r="A4592" i="2"/>
  <c r="B4591" i="2"/>
  <c r="A4591" i="2"/>
  <c r="B4590" i="2"/>
  <c r="A4590" i="2"/>
  <c r="B4589" i="2"/>
  <c r="A4589" i="2"/>
  <c r="B4588" i="2"/>
  <c r="A4588" i="2"/>
  <c r="B4587" i="2"/>
  <c r="A4587" i="2"/>
  <c r="B4586" i="2"/>
  <c r="A4586" i="2"/>
  <c r="B4585" i="2"/>
  <c r="A4585" i="2"/>
  <c r="B4584" i="2"/>
  <c r="A4584" i="2"/>
  <c r="B4583" i="2"/>
  <c r="A4583" i="2"/>
  <c r="B4582" i="2"/>
  <c r="A4582" i="2"/>
  <c r="B4581" i="2"/>
  <c r="A4581" i="2"/>
  <c r="B4580" i="2"/>
  <c r="A4580" i="2"/>
  <c r="B4579" i="2"/>
  <c r="A4579" i="2"/>
  <c r="B4578" i="2"/>
  <c r="A4578" i="2"/>
  <c r="B4577" i="2"/>
  <c r="A4577" i="2"/>
  <c r="B4576" i="2"/>
  <c r="A4576" i="2"/>
  <c r="B4575" i="2"/>
  <c r="A4575" i="2"/>
  <c r="B4574" i="2"/>
  <c r="A4574" i="2"/>
  <c r="B4573" i="2"/>
  <c r="A4573" i="2"/>
  <c r="B4572" i="2"/>
  <c r="A4572" i="2"/>
  <c r="B4571" i="2"/>
  <c r="A4571" i="2"/>
  <c r="B4570" i="2"/>
  <c r="A4570" i="2"/>
  <c r="B4569" i="2"/>
  <c r="A4569" i="2"/>
  <c r="B4568" i="2"/>
  <c r="A4568" i="2"/>
  <c r="B4567" i="2"/>
  <c r="A4567" i="2"/>
  <c r="B4566" i="2"/>
  <c r="A4566" i="2"/>
  <c r="B4565" i="2"/>
  <c r="A4565" i="2"/>
  <c r="B4564" i="2"/>
  <c r="A4564" i="2"/>
  <c r="B4563" i="2"/>
  <c r="A4563" i="2"/>
  <c r="B4562" i="2"/>
  <c r="A4562" i="2"/>
  <c r="B4561" i="2"/>
  <c r="A4561" i="2"/>
  <c r="B4560" i="2"/>
  <c r="A4560" i="2"/>
  <c r="B4559" i="2"/>
  <c r="A4559" i="2"/>
  <c r="B4558" i="2"/>
  <c r="A4558" i="2"/>
  <c r="B4557" i="2"/>
  <c r="A4557" i="2"/>
  <c r="B4556" i="2"/>
  <c r="A4556" i="2"/>
  <c r="B4555" i="2"/>
  <c r="A4555" i="2"/>
  <c r="B4554" i="2"/>
  <c r="A4554" i="2"/>
  <c r="B4553" i="2"/>
  <c r="A4553" i="2"/>
  <c r="B4552" i="2"/>
  <c r="A4552" i="2"/>
  <c r="B4551" i="2"/>
  <c r="A4551" i="2"/>
  <c r="B4550" i="2"/>
  <c r="A4550" i="2"/>
  <c r="B4549" i="2"/>
  <c r="A4549" i="2"/>
  <c r="B4548" i="2"/>
  <c r="A4548" i="2"/>
  <c r="B4547" i="2"/>
  <c r="A4547" i="2"/>
  <c r="B4546" i="2"/>
  <c r="A4546" i="2"/>
  <c r="B4545" i="2"/>
  <c r="A4545" i="2"/>
  <c r="B4544" i="2"/>
  <c r="A4544" i="2"/>
  <c r="B4543" i="2"/>
  <c r="A4543" i="2"/>
  <c r="B4542" i="2"/>
  <c r="A4542" i="2"/>
  <c r="B4541" i="2"/>
  <c r="A4541" i="2"/>
  <c r="B4540" i="2"/>
  <c r="A4540" i="2"/>
  <c r="B4539" i="2"/>
  <c r="A4539" i="2"/>
  <c r="B4538" i="2"/>
  <c r="A4538" i="2"/>
  <c r="B4537" i="2"/>
  <c r="A4537" i="2"/>
  <c r="B4536" i="2"/>
  <c r="A4536" i="2"/>
  <c r="B4535" i="2"/>
  <c r="A4535" i="2"/>
  <c r="B4534" i="2"/>
  <c r="A4534" i="2"/>
  <c r="B4533" i="2"/>
  <c r="A4533" i="2"/>
  <c r="B4532" i="2"/>
  <c r="A4532" i="2"/>
  <c r="B4531" i="2"/>
  <c r="A4531" i="2"/>
  <c r="B4530" i="2"/>
  <c r="A4530" i="2"/>
  <c r="B4529" i="2"/>
  <c r="A4529" i="2"/>
  <c r="B4528" i="2"/>
  <c r="A4528" i="2"/>
  <c r="B4527" i="2"/>
  <c r="A4527" i="2"/>
  <c r="B4526" i="2"/>
  <c r="A4526" i="2"/>
  <c r="B4525" i="2"/>
  <c r="A4525" i="2"/>
  <c r="B4524" i="2"/>
  <c r="A4524" i="2"/>
  <c r="B4523" i="2"/>
  <c r="A4523" i="2"/>
  <c r="B4522" i="2"/>
  <c r="A4522" i="2"/>
  <c r="B4521" i="2"/>
  <c r="A4521" i="2"/>
  <c r="B4520" i="2"/>
  <c r="A4520" i="2"/>
  <c r="B4519" i="2"/>
  <c r="A4519" i="2"/>
  <c r="B4518" i="2"/>
  <c r="A4518" i="2"/>
  <c r="B4517" i="2"/>
  <c r="A4517" i="2"/>
  <c r="B4516" i="2"/>
  <c r="A4516" i="2"/>
  <c r="B4515" i="2"/>
  <c r="A4515" i="2"/>
  <c r="B4514" i="2"/>
  <c r="A4514" i="2"/>
  <c r="B4513" i="2"/>
  <c r="A4513" i="2"/>
  <c r="B4512" i="2"/>
  <c r="A4512" i="2"/>
  <c r="B4511" i="2"/>
  <c r="A4511" i="2"/>
  <c r="B4510" i="2"/>
  <c r="A4510" i="2"/>
  <c r="B4509" i="2"/>
  <c r="A4509" i="2"/>
  <c r="B4508" i="2"/>
  <c r="A4508" i="2"/>
  <c r="B4507" i="2"/>
  <c r="A4507" i="2"/>
  <c r="B4506" i="2"/>
  <c r="A4506" i="2"/>
  <c r="B4505" i="2"/>
  <c r="A4505" i="2"/>
  <c r="B4504" i="2"/>
  <c r="A4504" i="2"/>
  <c r="B4503" i="2"/>
  <c r="A4503" i="2"/>
  <c r="B4502" i="2"/>
  <c r="A4502" i="2"/>
  <c r="B4501" i="2"/>
  <c r="A4501" i="2"/>
  <c r="B4500" i="2"/>
  <c r="A4500" i="2"/>
  <c r="B4499" i="2"/>
  <c r="A4499" i="2"/>
  <c r="B4498" i="2"/>
  <c r="A4498" i="2"/>
  <c r="B4497" i="2"/>
  <c r="A4497" i="2"/>
  <c r="B4496" i="2"/>
  <c r="A4496" i="2"/>
  <c r="B4495" i="2"/>
  <c r="A4495" i="2"/>
  <c r="B4494" i="2"/>
  <c r="A4494" i="2"/>
  <c r="B4493" i="2"/>
  <c r="A4493" i="2"/>
  <c r="B4492" i="2"/>
  <c r="A4492" i="2"/>
  <c r="B4491" i="2"/>
  <c r="A4491" i="2"/>
  <c r="B4490" i="2"/>
  <c r="A4490" i="2"/>
  <c r="B4489" i="2"/>
  <c r="A4489" i="2"/>
  <c r="B4488" i="2"/>
  <c r="A4488" i="2"/>
  <c r="B4487" i="2"/>
  <c r="A4487" i="2"/>
  <c r="B4486" i="2"/>
  <c r="A4486" i="2"/>
  <c r="B4485" i="2"/>
  <c r="A4485" i="2"/>
  <c r="B4484" i="2"/>
  <c r="A4484" i="2"/>
  <c r="B4483" i="2"/>
  <c r="A4483" i="2"/>
  <c r="B4482" i="2"/>
  <c r="A4482" i="2"/>
  <c r="B4481" i="2"/>
  <c r="A4481" i="2"/>
  <c r="B4480" i="2"/>
  <c r="A4480" i="2"/>
  <c r="B4479" i="2"/>
  <c r="A4479" i="2"/>
  <c r="B4478" i="2"/>
  <c r="A4478" i="2"/>
  <c r="B4477" i="2"/>
  <c r="A4477" i="2"/>
  <c r="B4476" i="2"/>
  <c r="A4476" i="2"/>
  <c r="B4475" i="2"/>
  <c r="A4475" i="2"/>
  <c r="B4474" i="2"/>
  <c r="A4474" i="2"/>
  <c r="B4473" i="2"/>
  <c r="A4473" i="2"/>
  <c r="B4472" i="2"/>
  <c r="A4472" i="2"/>
  <c r="B4471" i="2"/>
  <c r="A4471" i="2"/>
  <c r="B4470" i="2"/>
  <c r="A4470" i="2"/>
  <c r="B4469" i="2"/>
  <c r="A4469" i="2"/>
  <c r="B4468" i="2"/>
  <c r="A4468" i="2"/>
  <c r="B4467" i="2"/>
  <c r="A4467" i="2"/>
  <c r="B4466" i="2"/>
  <c r="A4466" i="2"/>
  <c r="B4465" i="2"/>
  <c r="A4465" i="2"/>
  <c r="B4464" i="2"/>
  <c r="A4464" i="2"/>
  <c r="B4463" i="2"/>
  <c r="A4463" i="2"/>
  <c r="B4462" i="2"/>
  <c r="A4462" i="2"/>
  <c r="B4461" i="2"/>
  <c r="A4461" i="2"/>
  <c r="B4460" i="2"/>
  <c r="A4460" i="2"/>
  <c r="B4459" i="2"/>
  <c r="A4459" i="2"/>
  <c r="B4458" i="2"/>
  <c r="A4458" i="2"/>
  <c r="B4457" i="2"/>
  <c r="A4457" i="2"/>
  <c r="B4456" i="2"/>
  <c r="A4456" i="2"/>
  <c r="B4455" i="2"/>
  <c r="A4455" i="2"/>
  <c r="B4454" i="2"/>
  <c r="A4454" i="2"/>
  <c r="B4453" i="2"/>
  <c r="A4453" i="2"/>
  <c r="B4452" i="2"/>
  <c r="A4452" i="2"/>
  <c r="B4451" i="2"/>
  <c r="A4451" i="2"/>
  <c r="B4450" i="2"/>
  <c r="A4450" i="2"/>
  <c r="B4449" i="2"/>
  <c r="A4449" i="2"/>
  <c r="B4448" i="2"/>
  <c r="A4448" i="2"/>
  <c r="B4447" i="2"/>
  <c r="A4447" i="2"/>
  <c r="B4446" i="2"/>
  <c r="A4446" i="2"/>
  <c r="B4445" i="2"/>
  <c r="A4445" i="2"/>
  <c r="B4444" i="2"/>
  <c r="A4444" i="2"/>
  <c r="B4443" i="2"/>
  <c r="A4443" i="2"/>
  <c r="B4442" i="2"/>
  <c r="A4442" i="2"/>
  <c r="B4441" i="2"/>
  <c r="A4441" i="2"/>
  <c r="B4440" i="2"/>
  <c r="A4440" i="2"/>
  <c r="B4439" i="2"/>
  <c r="A4439" i="2"/>
  <c r="B4438" i="2"/>
  <c r="A4438" i="2"/>
  <c r="B4437" i="2"/>
  <c r="A4437" i="2"/>
  <c r="B4436" i="2"/>
  <c r="A4436" i="2"/>
  <c r="B4435" i="2"/>
  <c r="A4435" i="2"/>
  <c r="B4434" i="2"/>
  <c r="A4434" i="2"/>
  <c r="B4433" i="2"/>
  <c r="A4433" i="2"/>
  <c r="B4432" i="2"/>
  <c r="A4432" i="2"/>
  <c r="B4431" i="2"/>
  <c r="A4431" i="2"/>
  <c r="B4430" i="2"/>
  <c r="A4430" i="2"/>
  <c r="B4429" i="2"/>
  <c r="A4429" i="2"/>
  <c r="B4428" i="2"/>
  <c r="A4428" i="2"/>
  <c r="B4427" i="2"/>
  <c r="A4427" i="2"/>
  <c r="B4426" i="2"/>
  <c r="A4426" i="2"/>
  <c r="B4425" i="2"/>
  <c r="A4425" i="2"/>
  <c r="B4424" i="2"/>
  <c r="A4424" i="2"/>
  <c r="B4423" i="2"/>
  <c r="A4423" i="2"/>
  <c r="B4422" i="2"/>
  <c r="A4422" i="2"/>
  <c r="B4421" i="2"/>
  <c r="A4421" i="2"/>
  <c r="B4420" i="2"/>
  <c r="A4420" i="2"/>
  <c r="B4419" i="2"/>
  <c r="A4419" i="2"/>
  <c r="B4418" i="2"/>
  <c r="A4418" i="2"/>
  <c r="B4417" i="2"/>
  <c r="A4417" i="2"/>
  <c r="B4416" i="2"/>
  <c r="A4416" i="2"/>
  <c r="B4415" i="2"/>
  <c r="A4415" i="2"/>
  <c r="B4414" i="2"/>
  <c r="A4414" i="2"/>
  <c r="B4413" i="2"/>
  <c r="A4413" i="2"/>
  <c r="B4412" i="2"/>
  <c r="A4412" i="2"/>
  <c r="B4411" i="2"/>
  <c r="A4411" i="2"/>
  <c r="B4410" i="2"/>
  <c r="A4410" i="2"/>
  <c r="B4409" i="2"/>
  <c r="A4409" i="2"/>
  <c r="B4408" i="2"/>
  <c r="A4408" i="2"/>
  <c r="B4407" i="2"/>
  <c r="A4407" i="2"/>
  <c r="B4406" i="2"/>
  <c r="A4406" i="2"/>
  <c r="B4405" i="2"/>
  <c r="A4405" i="2"/>
  <c r="B4404" i="2"/>
  <c r="A4404" i="2"/>
  <c r="B4403" i="2"/>
  <c r="A4403" i="2"/>
  <c r="B4402" i="2"/>
  <c r="A4402" i="2"/>
  <c r="B4401" i="2"/>
  <c r="A4401" i="2"/>
  <c r="B4400" i="2"/>
  <c r="A4400" i="2"/>
  <c r="B4399" i="2"/>
  <c r="A4399" i="2"/>
  <c r="B4398" i="2"/>
  <c r="A4398" i="2"/>
  <c r="B4397" i="2"/>
  <c r="A4397" i="2"/>
  <c r="B4396" i="2"/>
  <c r="A4396" i="2"/>
  <c r="B4395" i="2"/>
  <c r="A4395" i="2"/>
  <c r="B4394" i="2"/>
  <c r="A4394" i="2"/>
  <c r="B4393" i="2"/>
  <c r="A4393" i="2"/>
  <c r="B4392" i="2"/>
  <c r="A4392" i="2"/>
  <c r="B4391" i="2"/>
  <c r="A4391" i="2"/>
  <c r="B4390" i="2"/>
  <c r="A4390" i="2"/>
  <c r="B4389" i="2"/>
  <c r="A4389" i="2"/>
  <c r="B4388" i="2"/>
  <c r="A4388" i="2"/>
  <c r="B4387" i="2"/>
  <c r="A4387" i="2"/>
  <c r="B4386" i="2"/>
  <c r="A4386" i="2"/>
  <c r="B4385" i="2"/>
  <c r="A4385" i="2"/>
  <c r="B4384" i="2"/>
  <c r="A4384" i="2"/>
  <c r="B4383" i="2"/>
  <c r="A4383" i="2"/>
  <c r="B4382" i="2"/>
  <c r="A4382" i="2"/>
  <c r="B4381" i="2"/>
  <c r="A4381" i="2"/>
  <c r="B4380" i="2"/>
  <c r="A4380" i="2"/>
  <c r="B4379" i="2"/>
  <c r="A4379" i="2"/>
  <c r="B4378" i="2"/>
  <c r="A4378" i="2"/>
  <c r="B4377" i="2"/>
  <c r="A4377" i="2"/>
  <c r="B4376" i="2"/>
  <c r="A4376" i="2"/>
  <c r="B4375" i="2"/>
  <c r="A4375" i="2"/>
  <c r="B4374" i="2"/>
  <c r="A4374" i="2"/>
  <c r="B4373" i="2"/>
  <c r="A4373" i="2"/>
  <c r="B4372" i="2"/>
  <c r="A4372" i="2"/>
  <c r="B4371" i="2"/>
  <c r="A4371" i="2"/>
  <c r="B4370" i="2"/>
  <c r="A4370" i="2"/>
  <c r="B4369" i="2"/>
  <c r="A4369" i="2"/>
  <c r="B4368" i="2"/>
  <c r="A4368" i="2"/>
  <c r="B4367" i="2"/>
  <c r="A4367" i="2"/>
  <c r="B4366" i="2"/>
  <c r="A4366" i="2"/>
  <c r="B4365" i="2"/>
  <c r="A4365" i="2"/>
  <c r="B4364" i="2"/>
  <c r="A4364" i="2"/>
  <c r="B4363" i="2"/>
  <c r="A4363" i="2"/>
  <c r="B4362" i="2"/>
  <c r="A4362" i="2"/>
  <c r="B4361" i="2"/>
  <c r="A4361" i="2"/>
  <c r="B4360" i="2"/>
  <c r="A4360" i="2"/>
  <c r="B4359" i="2"/>
  <c r="A4359" i="2"/>
  <c r="B4358" i="2"/>
  <c r="A4358" i="2"/>
  <c r="B4357" i="2"/>
  <c r="A4357" i="2"/>
  <c r="B4356" i="2"/>
  <c r="A4356" i="2"/>
  <c r="B4355" i="2"/>
  <c r="A4355" i="2"/>
  <c r="B4354" i="2"/>
  <c r="A4354" i="2"/>
  <c r="B4353" i="2"/>
  <c r="A4353" i="2"/>
  <c r="B4352" i="2"/>
  <c r="A4352" i="2"/>
  <c r="B4351" i="2"/>
  <c r="A4351" i="2"/>
  <c r="B4350" i="2"/>
  <c r="A4350" i="2"/>
  <c r="B4349" i="2"/>
  <c r="A4349" i="2"/>
  <c r="B4348" i="2"/>
  <c r="A4348" i="2"/>
  <c r="B4347" i="2"/>
  <c r="A4347" i="2"/>
  <c r="B4346" i="2"/>
  <c r="A4346" i="2"/>
  <c r="B4345" i="2"/>
  <c r="A4345" i="2"/>
  <c r="B4344" i="2"/>
  <c r="A4344" i="2"/>
  <c r="B4343" i="2"/>
  <c r="A4343" i="2"/>
  <c r="B4342" i="2"/>
  <c r="A4342" i="2"/>
  <c r="B4341" i="2"/>
  <c r="A4341" i="2"/>
  <c r="B4340" i="2"/>
  <c r="A4340" i="2"/>
  <c r="B4339" i="2"/>
  <c r="A4339" i="2"/>
  <c r="B4338" i="2"/>
  <c r="A4338" i="2"/>
  <c r="B4337" i="2"/>
  <c r="A4337" i="2"/>
  <c r="B4336" i="2"/>
  <c r="A4336" i="2"/>
  <c r="B4335" i="2"/>
  <c r="A4335" i="2"/>
  <c r="B4334" i="2"/>
  <c r="A4334" i="2"/>
  <c r="B4333" i="2"/>
  <c r="A4333" i="2"/>
  <c r="B4332" i="2"/>
  <c r="A4332" i="2"/>
  <c r="B4331" i="2"/>
  <c r="A4331" i="2"/>
  <c r="B4330" i="2"/>
  <c r="A4330" i="2"/>
  <c r="B4329" i="2"/>
  <c r="A4329" i="2"/>
  <c r="B4328" i="2"/>
  <c r="A4328" i="2"/>
  <c r="B4327" i="2"/>
  <c r="A4327" i="2"/>
  <c r="B4326" i="2"/>
  <c r="A4326" i="2"/>
  <c r="B4325" i="2"/>
  <c r="A4325" i="2"/>
  <c r="B4324" i="2"/>
  <c r="A4324" i="2"/>
  <c r="B4323" i="2"/>
  <c r="A4323" i="2"/>
  <c r="B4322" i="2"/>
  <c r="A4322" i="2"/>
  <c r="B4321" i="2"/>
  <c r="A4321" i="2"/>
  <c r="B4320" i="2"/>
  <c r="A4320" i="2"/>
  <c r="B4319" i="2"/>
  <c r="A4319" i="2"/>
  <c r="B4318" i="2"/>
  <c r="A4318" i="2"/>
  <c r="B4317" i="2"/>
  <c r="A4317" i="2"/>
  <c r="B4316" i="2"/>
  <c r="A4316" i="2"/>
  <c r="B4315" i="2"/>
  <c r="A4315" i="2"/>
  <c r="B4314" i="2"/>
  <c r="A4314" i="2"/>
  <c r="B4313" i="2"/>
  <c r="A4313" i="2"/>
  <c r="B4312" i="2"/>
  <c r="A4312" i="2"/>
  <c r="B4311" i="2"/>
  <c r="A4311" i="2"/>
  <c r="B4310" i="2"/>
  <c r="A4310" i="2"/>
  <c r="B4309" i="2"/>
  <c r="A4309" i="2"/>
  <c r="B4308" i="2"/>
  <c r="A4308" i="2"/>
  <c r="B4307" i="2"/>
  <c r="A4307" i="2"/>
  <c r="B4306" i="2"/>
  <c r="A4306" i="2"/>
  <c r="B4305" i="2"/>
  <c r="A4305" i="2"/>
  <c r="B4304" i="2"/>
  <c r="A4304" i="2"/>
  <c r="B4303" i="2"/>
  <c r="A4303" i="2"/>
  <c r="B4302" i="2"/>
  <c r="A4302" i="2"/>
  <c r="B4301" i="2"/>
  <c r="A4301" i="2"/>
  <c r="B4300" i="2"/>
  <c r="A4300" i="2"/>
  <c r="B4299" i="2"/>
  <c r="A4299" i="2"/>
  <c r="B4298" i="2"/>
  <c r="A4298" i="2"/>
  <c r="B4297" i="2"/>
  <c r="A4297" i="2"/>
  <c r="B4296" i="2"/>
  <c r="A4296" i="2"/>
  <c r="B4295" i="2"/>
  <c r="A4295" i="2"/>
  <c r="B4294" i="2"/>
  <c r="A4294" i="2"/>
  <c r="B4293" i="2"/>
  <c r="A4293" i="2"/>
  <c r="B4292" i="2"/>
  <c r="A4292" i="2"/>
  <c r="B4291" i="2"/>
  <c r="A4291" i="2"/>
  <c r="B4290" i="2"/>
  <c r="A4290" i="2"/>
  <c r="B4289" i="2"/>
  <c r="A4289" i="2"/>
  <c r="B4288" i="2"/>
  <c r="A4288" i="2"/>
  <c r="B4287" i="2"/>
  <c r="A4287" i="2"/>
  <c r="B4286" i="2"/>
  <c r="A4286" i="2"/>
  <c r="B4285" i="2"/>
  <c r="A4285" i="2"/>
  <c r="B4284" i="2"/>
  <c r="A4284" i="2"/>
  <c r="B4283" i="2"/>
  <c r="A4283" i="2"/>
  <c r="B4282" i="2"/>
  <c r="A4282" i="2"/>
  <c r="B4281" i="2"/>
  <c r="A4281" i="2"/>
  <c r="B4280" i="2"/>
  <c r="A4280" i="2"/>
  <c r="B4279" i="2"/>
  <c r="A4279" i="2"/>
  <c r="B4278" i="2"/>
  <c r="A4278" i="2"/>
  <c r="B4277" i="2"/>
  <c r="A4277" i="2"/>
  <c r="B4276" i="2"/>
  <c r="A4276" i="2"/>
  <c r="B4275" i="2"/>
  <c r="A4275" i="2"/>
  <c r="B4274" i="2"/>
  <c r="A4274" i="2"/>
  <c r="B4273" i="2"/>
  <c r="A4273" i="2"/>
  <c r="B4272" i="2"/>
  <c r="A4272" i="2"/>
  <c r="B4271" i="2"/>
  <c r="A4271" i="2"/>
  <c r="B4270" i="2"/>
  <c r="A4270" i="2"/>
  <c r="B4269" i="2"/>
  <c r="A4269" i="2"/>
  <c r="B4268" i="2"/>
  <c r="A4268" i="2"/>
  <c r="B4267" i="2"/>
  <c r="A4267" i="2"/>
  <c r="B4266" i="2"/>
  <c r="A4266" i="2"/>
  <c r="B4265" i="2"/>
  <c r="A4265" i="2"/>
  <c r="B4264" i="2"/>
  <c r="A4264" i="2"/>
  <c r="B4263" i="2"/>
  <c r="A4263" i="2"/>
  <c r="B4262" i="2"/>
  <c r="A4262" i="2"/>
  <c r="B4261" i="2"/>
  <c r="A4261" i="2"/>
  <c r="B4260" i="2"/>
  <c r="A4260" i="2"/>
  <c r="B4259" i="2"/>
  <c r="A4259" i="2"/>
  <c r="B4258" i="2"/>
  <c r="A4258" i="2"/>
  <c r="B4257" i="2"/>
  <c r="A4257" i="2"/>
  <c r="B4256" i="2"/>
  <c r="A4256" i="2"/>
  <c r="B4255" i="2"/>
  <c r="A4255" i="2"/>
  <c r="B4254" i="2"/>
  <c r="A4254" i="2"/>
  <c r="B4253" i="2"/>
  <c r="A4253" i="2"/>
  <c r="B4252" i="2"/>
  <c r="A4252" i="2"/>
  <c r="B4251" i="2"/>
  <c r="A4251" i="2"/>
  <c r="B4250" i="2"/>
  <c r="A4250" i="2"/>
  <c r="B4249" i="2"/>
  <c r="A4249" i="2"/>
  <c r="B4248" i="2"/>
  <c r="A4248" i="2"/>
  <c r="B4247" i="2"/>
  <c r="A4247" i="2"/>
  <c r="B4246" i="2"/>
  <c r="A4246" i="2"/>
  <c r="B4245" i="2"/>
  <c r="A4245" i="2"/>
  <c r="B4244" i="2"/>
  <c r="A4244" i="2"/>
  <c r="B4243" i="2"/>
  <c r="A4243" i="2"/>
  <c r="B4242" i="2"/>
  <c r="A4242" i="2"/>
  <c r="B4241" i="2"/>
  <c r="A4241" i="2"/>
  <c r="B4240" i="2"/>
  <c r="A4240" i="2"/>
  <c r="B4239" i="2"/>
  <c r="A4239" i="2"/>
  <c r="B4238" i="2"/>
  <c r="A4238" i="2"/>
  <c r="B4237" i="2"/>
  <c r="A4237" i="2"/>
  <c r="B4236" i="2"/>
  <c r="A4236" i="2"/>
  <c r="B4235" i="2"/>
  <c r="A4235" i="2"/>
  <c r="B4234" i="2"/>
  <c r="A4234" i="2"/>
  <c r="B4233" i="2"/>
  <c r="A4233" i="2"/>
  <c r="B4232" i="2"/>
  <c r="A4232" i="2"/>
  <c r="B4231" i="2"/>
  <c r="A4231" i="2"/>
  <c r="B4230" i="2"/>
  <c r="A4230" i="2"/>
  <c r="B4229" i="2"/>
  <c r="A4229" i="2"/>
  <c r="B4228" i="2"/>
  <c r="A4228" i="2"/>
  <c r="B4227" i="2"/>
  <c r="A4227" i="2"/>
  <c r="B4226" i="2"/>
  <c r="A4226" i="2"/>
  <c r="B4225" i="2"/>
  <c r="A4225" i="2"/>
  <c r="B4224" i="2"/>
  <c r="A4224" i="2"/>
  <c r="B4223" i="2"/>
  <c r="A4223" i="2"/>
  <c r="B4222" i="2"/>
  <c r="A4222" i="2"/>
  <c r="B4221" i="2"/>
  <c r="A4221" i="2"/>
  <c r="B4220" i="2"/>
  <c r="A4220" i="2"/>
  <c r="B4219" i="2"/>
  <c r="A4219" i="2"/>
  <c r="B4218" i="2"/>
  <c r="A4218" i="2"/>
  <c r="B4217" i="2"/>
  <c r="A4217" i="2"/>
  <c r="B4216" i="2"/>
  <c r="A4216" i="2"/>
  <c r="B4215" i="2"/>
  <c r="A4215" i="2"/>
  <c r="B4214" i="2"/>
  <c r="A4214" i="2"/>
  <c r="B4213" i="2"/>
  <c r="A4213" i="2"/>
  <c r="B4212" i="2"/>
  <c r="A4212" i="2"/>
  <c r="B4211" i="2"/>
  <c r="A4211" i="2"/>
  <c r="B4210" i="2"/>
  <c r="A4210" i="2"/>
  <c r="B4209" i="2"/>
  <c r="A4209" i="2"/>
  <c r="B4208" i="2"/>
  <c r="A4208" i="2"/>
  <c r="B4207" i="2"/>
  <c r="A4207" i="2"/>
  <c r="B4206" i="2"/>
  <c r="A4206" i="2"/>
  <c r="B4205" i="2"/>
  <c r="A4205" i="2"/>
  <c r="B4204" i="2"/>
  <c r="A4204" i="2"/>
  <c r="B4203" i="2"/>
  <c r="A4203" i="2"/>
  <c r="B4202" i="2"/>
  <c r="A4202" i="2"/>
  <c r="B4201" i="2"/>
  <c r="A4201" i="2"/>
  <c r="B4200" i="2"/>
  <c r="A4200" i="2"/>
  <c r="B4199" i="2"/>
  <c r="A4199" i="2"/>
  <c r="B4198" i="2"/>
  <c r="A4198" i="2"/>
  <c r="B4197" i="2"/>
  <c r="A4197" i="2"/>
  <c r="B4196" i="2"/>
  <c r="A4196" i="2"/>
  <c r="B4195" i="2"/>
  <c r="A4195" i="2"/>
  <c r="B4194" i="2"/>
  <c r="A4194" i="2"/>
  <c r="B4193" i="2"/>
  <c r="A4193" i="2"/>
  <c r="B4192" i="2"/>
  <c r="A4192" i="2"/>
  <c r="B4191" i="2"/>
  <c r="A4191" i="2"/>
  <c r="B4190" i="2"/>
  <c r="A4190" i="2"/>
  <c r="B4189" i="2"/>
  <c r="A4189" i="2"/>
  <c r="B4188" i="2"/>
  <c r="A4188" i="2"/>
  <c r="B4187" i="2"/>
  <c r="A4187" i="2"/>
  <c r="B4186" i="2"/>
  <c r="A4186" i="2"/>
  <c r="B4185" i="2"/>
  <c r="A4185" i="2"/>
  <c r="B4184" i="2"/>
  <c r="A4184" i="2"/>
  <c r="B4183" i="2"/>
  <c r="A4183" i="2"/>
  <c r="B4182" i="2"/>
  <c r="A4182" i="2"/>
  <c r="B4181" i="2"/>
  <c r="A4181" i="2"/>
  <c r="B4180" i="2"/>
  <c r="A4180" i="2"/>
  <c r="B4179" i="2"/>
  <c r="A4179" i="2"/>
  <c r="B4178" i="2"/>
  <c r="A4178" i="2"/>
  <c r="B4177" i="2"/>
  <c r="A4177" i="2"/>
  <c r="B4176" i="2"/>
  <c r="A4176" i="2"/>
  <c r="B4175" i="2"/>
  <c r="A4175" i="2"/>
  <c r="B4174" i="2"/>
  <c r="A4174" i="2"/>
  <c r="B4173" i="2"/>
  <c r="A4173" i="2"/>
  <c r="B4172" i="2"/>
  <c r="A4172" i="2"/>
  <c r="B4171" i="2"/>
  <c r="A4171" i="2"/>
  <c r="B4170" i="2"/>
  <c r="A4170" i="2"/>
  <c r="B4169" i="2"/>
  <c r="A4169" i="2"/>
  <c r="B4168" i="2"/>
  <c r="A4168" i="2"/>
  <c r="B4167" i="2"/>
  <c r="A4167" i="2"/>
  <c r="B4166" i="2"/>
  <c r="A4166" i="2"/>
  <c r="B4165" i="2"/>
  <c r="A4165" i="2"/>
  <c r="B4164" i="2"/>
  <c r="A4164" i="2"/>
  <c r="B4163" i="2"/>
  <c r="A4163" i="2"/>
  <c r="B4162" i="2"/>
  <c r="A4162" i="2"/>
  <c r="B4161" i="2"/>
  <c r="A4161" i="2"/>
  <c r="B4160" i="2"/>
  <c r="A4160" i="2"/>
  <c r="B4159" i="2"/>
  <c r="A4159" i="2"/>
  <c r="B4158" i="2"/>
  <c r="A4158" i="2"/>
  <c r="B4157" i="2"/>
  <c r="A4157" i="2"/>
  <c r="B4156" i="2"/>
  <c r="A4156" i="2"/>
  <c r="B4155" i="2"/>
  <c r="A4155" i="2"/>
  <c r="B4154" i="2"/>
  <c r="A4154" i="2"/>
  <c r="B4153" i="2"/>
  <c r="A4153" i="2"/>
  <c r="B4152" i="2"/>
  <c r="A4152" i="2"/>
  <c r="B4151" i="2"/>
  <c r="A4151" i="2"/>
  <c r="B4150" i="2"/>
  <c r="A4150" i="2"/>
  <c r="B4149" i="2"/>
  <c r="A4149" i="2"/>
  <c r="B4148" i="2"/>
  <c r="A4148" i="2"/>
  <c r="B4147" i="2"/>
  <c r="A4147" i="2"/>
  <c r="B4146" i="2"/>
  <c r="A4146" i="2"/>
  <c r="B4145" i="2"/>
  <c r="A4145" i="2"/>
  <c r="B4144" i="2"/>
  <c r="A4144" i="2"/>
  <c r="B4143" i="2"/>
  <c r="A4143" i="2"/>
  <c r="B4142" i="2"/>
  <c r="A4142" i="2"/>
  <c r="B4141" i="2"/>
  <c r="A4141" i="2"/>
  <c r="B4140" i="2"/>
  <c r="A4140" i="2"/>
  <c r="B4139" i="2"/>
  <c r="A4139" i="2"/>
  <c r="B4138" i="2"/>
  <c r="A4138" i="2"/>
  <c r="B4137" i="2"/>
  <c r="A4137" i="2"/>
  <c r="B4136" i="2"/>
  <c r="A4136" i="2"/>
  <c r="B4135" i="2"/>
  <c r="A4135" i="2"/>
  <c r="B4134" i="2"/>
  <c r="A4134" i="2"/>
  <c r="B4133" i="2"/>
  <c r="A4133" i="2"/>
  <c r="B4132" i="2"/>
  <c r="A4132" i="2"/>
  <c r="B4131" i="2"/>
  <c r="A4131" i="2"/>
  <c r="B4130" i="2"/>
  <c r="A4130" i="2"/>
  <c r="B4129" i="2"/>
  <c r="A4129" i="2"/>
  <c r="B4128" i="2"/>
  <c r="A4128" i="2"/>
  <c r="B4127" i="2"/>
  <c r="A4127" i="2"/>
  <c r="B4126" i="2"/>
  <c r="A4126" i="2"/>
  <c r="B4125" i="2"/>
  <c r="A4125" i="2"/>
  <c r="B4124" i="2"/>
  <c r="A4124" i="2"/>
  <c r="B4123" i="2"/>
  <c r="A4123" i="2"/>
  <c r="B4122" i="2"/>
  <c r="A4122" i="2"/>
  <c r="B4121" i="2"/>
  <c r="A4121" i="2"/>
  <c r="B4120" i="2"/>
  <c r="A4120" i="2"/>
  <c r="B4119" i="2"/>
  <c r="A4119" i="2"/>
  <c r="B4118" i="2"/>
  <c r="A4118" i="2"/>
  <c r="B4117" i="2"/>
  <c r="A4117" i="2"/>
  <c r="B4116" i="2"/>
  <c r="A4116" i="2"/>
  <c r="B4115" i="2"/>
  <c r="A4115" i="2"/>
  <c r="B4114" i="2"/>
  <c r="A4114" i="2"/>
  <c r="B4113" i="2"/>
  <c r="A4113" i="2"/>
  <c r="B4112" i="2"/>
  <c r="A4112" i="2"/>
  <c r="B4111" i="2"/>
  <c r="A4111" i="2"/>
  <c r="B4110" i="2"/>
  <c r="A4110" i="2"/>
  <c r="B4109" i="2"/>
  <c r="A4109" i="2"/>
  <c r="B4108" i="2"/>
  <c r="A4108" i="2"/>
  <c r="B4107" i="2"/>
  <c r="A4107" i="2"/>
  <c r="B4106" i="2"/>
  <c r="A4106" i="2"/>
  <c r="B4105" i="2"/>
  <c r="A4105" i="2"/>
  <c r="B4104" i="2"/>
  <c r="A4104" i="2"/>
  <c r="B4103" i="2"/>
  <c r="A4103" i="2"/>
  <c r="B4102" i="2"/>
  <c r="A4102" i="2"/>
  <c r="B4101" i="2"/>
  <c r="A4101" i="2"/>
  <c r="B4100" i="2"/>
  <c r="A4100" i="2"/>
  <c r="B4099" i="2"/>
  <c r="A4099" i="2"/>
  <c r="B4098" i="2"/>
  <c r="A4098" i="2"/>
  <c r="B4097" i="2"/>
  <c r="A4097" i="2"/>
  <c r="B4096" i="2"/>
  <c r="A4096" i="2"/>
  <c r="B4095" i="2"/>
  <c r="A4095" i="2"/>
  <c r="B4094" i="2"/>
  <c r="A4094" i="2"/>
  <c r="B4093" i="2"/>
  <c r="A4093" i="2"/>
  <c r="B4092" i="2"/>
  <c r="A4092" i="2"/>
  <c r="B4091" i="2"/>
  <c r="A4091" i="2"/>
  <c r="B4090" i="2"/>
  <c r="A4090" i="2"/>
  <c r="B4089" i="2"/>
  <c r="A4089" i="2"/>
  <c r="B4088" i="2"/>
  <c r="A4088" i="2"/>
  <c r="B4087" i="2"/>
  <c r="A4087" i="2"/>
  <c r="B4086" i="2"/>
  <c r="A4086" i="2"/>
  <c r="B4085" i="2"/>
  <c r="A4085" i="2"/>
  <c r="B4084" i="2"/>
  <c r="A4084" i="2"/>
  <c r="B4083" i="2"/>
  <c r="A4083" i="2"/>
  <c r="B4082" i="2"/>
  <c r="A4082" i="2"/>
  <c r="B4081" i="2"/>
  <c r="A4081" i="2"/>
  <c r="B4080" i="2"/>
  <c r="A4080" i="2"/>
  <c r="B4079" i="2"/>
  <c r="A4079" i="2"/>
  <c r="B4078" i="2"/>
  <c r="A4078" i="2"/>
  <c r="B4077" i="2"/>
  <c r="A4077" i="2"/>
  <c r="B4076" i="2"/>
  <c r="A4076" i="2"/>
  <c r="B4075" i="2"/>
  <c r="A4075" i="2"/>
  <c r="B4074" i="2"/>
  <c r="A4074" i="2"/>
  <c r="B4073" i="2"/>
  <c r="A4073" i="2"/>
  <c r="B4072" i="2"/>
  <c r="A4072" i="2"/>
  <c r="B4071" i="2"/>
  <c r="A4071" i="2"/>
  <c r="B4070" i="2"/>
  <c r="A4070" i="2"/>
  <c r="B4069" i="2"/>
  <c r="A4069" i="2"/>
  <c r="B4068" i="2"/>
  <c r="A4068" i="2"/>
  <c r="B4067" i="2"/>
  <c r="A4067" i="2"/>
  <c r="B4066" i="2"/>
  <c r="A4066" i="2"/>
  <c r="B4065" i="2"/>
  <c r="A4065" i="2"/>
  <c r="B4064" i="2"/>
  <c r="A4064" i="2"/>
  <c r="B4063" i="2"/>
  <c r="A4063" i="2"/>
  <c r="B4062" i="2"/>
  <c r="A4062" i="2"/>
  <c r="B4061" i="2"/>
  <c r="A4061" i="2"/>
  <c r="B4060" i="2"/>
  <c r="A4060" i="2"/>
  <c r="B4059" i="2"/>
  <c r="A4059" i="2"/>
  <c r="B4058" i="2"/>
  <c r="A4058" i="2"/>
  <c r="B4057" i="2"/>
  <c r="A4057" i="2"/>
  <c r="B4056" i="2"/>
  <c r="A4056" i="2"/>
  <c r="B4055" i="2"/>
  <c r="A4055" i="2"/>
  <c r="B4054" i="2"/>
  <c r="A4054" i="2"/>
  <c r="B4053" i="2"/>
  <c r="A4053" i="2"/>
  <c r="B4052" i="2"/>
  <c r="A4052" i="2"/>
  <c r="B4051" i="2"/>
  <c r="A4051" i="2"/>
  <c r="B4050" i="2"/>
  <c r="A4050" i="2"/>
  <c r="B4049" i="2"/>
  <c r="A4049" i="2"/>
  <c r="B4048" i="2"/>
  <c r="A4048" i="2"/>
  <c r="B4047" i="2"/>
  <c r="A4047" i="2"/>
  <c r="B4046" i="2"/>
  <c r="A4046" i="2"/>
  <c r="B4045" i="2"/>
  <c r="A4045" i="2"/>
  <c r="B4044" i="2"/>
  <c r="A4044" i="2"/>
  <c r="B4043" i="2"/>
  <c r="A4043" i="2"/>
  <c r="B4042" i="2"/>
  <c r="A4042" i="2"/>
  <c r="B4041" i="2"/>
  <c r="A4041" i="2"/>
  <c r="B4040" i="2"/>
  <c r="A4040" i="2"/>
  <c r="B4039" i="2"/>
  <c r="A4039" i="2"/>
  <c r="B4038" i="2"/>
  <c r="A4038" i="2"/>
  <c r="B4037" i="2"/>
  <c r="A4037" i="2"/>
  <c r="B4036" i="2"/>
  <c r="A4036" i="2"/>
  <c r="B4035" i="2"/>
  <c r="A4035" i="2"/>
  <c r="B4034" i="2"/>
  <c r="A4034" i="2"/>
  <c r="B4033" i="2"/>
  <c r="A4033" i="2"/>
  <c r="B4032" i="2"/>
  <c r="A4032" i="2"/>
  <c r="B4031" i="2"/>
  <c r="A4031" i="2"/>
  <c r="B4030" i="2"/>
  <c r="A4030" i="2"/>
  <c r="B4029" i="2"/>
  <c r="A4029" i="2"/>
  <c r="B4028" i="2"/>
  <c r="A4028" i="2"/>
  <c r="B4027" i="2"/>
  <c r="A4027" i="2"/>
  <c r="B4026" i="2"/>
  <c r="A4026" i="2"/>
  <c r="B4025" i="2"/>
  <c r="A4025" i="2"/>
  <c r="B4024" i="2"/>
  <c r="A4024" i="2"/>
  <c r="B4023" i="2"/>
  <c r="A4023" i="2"/>
  <c r="B4022" i="2"/>
  <c r="A4022" i="2"/>
  <c r="B4021" i="2"/>
  <c r="A4021" i="2"/>
  <c r="B4020" i="2"/>
  <c r="A4020" i="2"/>
  <c r="B4019" i="2"/>
  <c r="A4019" i="2"/>
  <c r="B4018" i="2"/>
  <c r="A4018" i="2"/>
  <c r="B4017" i="2"/>
  <c r="A4017" i="2"/>
  <c r="B4016" i="2"/>
  <c r="A4016" i="2"/>
  <c r="B4015" i="2"/>
  <c r="A4015" i="2"/>
  <c r="B4014" i="2"/>
  <c r="A4014" i="2"/>
  <c r="B4013" i="2"/>
  <c r="A4013" i="2"/>
  <c r="B4012" i="2"/>
  <c r="A4012" i="2"/>
  <c r="B4011" i="2"/>
  <c r="A4011" i="2"/>
  <c r="B4010" i="2"/>
  <c r="A4010" i="2"/>
  <c r="B4009" i="2"/>
  <c r="A4009" i="2"/>
  <c r="B4008" i="2"/>
  <c r="A4008" i="2"/>
  <c r="B4007" i="2"/>
  <c r="A4007" i="2"/>
  <c r="B4006" i="2"/>
  <c r="A4006" i="2"/>
  <c r="B4005" i="2"/>
  <c r="A4005" i="2"/>
  <c r="B4004" i="2"/>
  <c r="A4004" i="2"/>
  <c r="B4003" i="2"/>
  <c r="A4003" i="2"/>
  <c r="B4002" i="2"/>
  <c r="A4002" i="2"/>
  <c r="B4001" i="2"/>
  <c r="A4001" i="2"/>
  <c r="B4000" i="2"/>
  <c r="A4000" i="2"/>
  <c r="B3999" i="2"/>
  <c r="A3999" i="2"/>
  <c r="B3998" i="2"/>
  <c r="A3998" i="2"/>
  <c r="B3997" i="2"/>
  <c r="A3997" i="2"/>
  <c r="B3996" i="2"/>
  <c r="A3996" i="2"/>
  <c r="B3995" i="2"/>
  <c r="A3995" i="2"/>
  <c r="B3994" i="2"/>
  <c r="A3994" i="2"/>
  <c r="B3993" i="2"/>
  <c r="A3993" i="2"/>
  <c r="B3992" i="2"/>
  <c r="A3992" i="2"/>
  <c r="B3991" i="2"/>
  <c r="A3991" i="2"/>
  <c r="B3990" i="2"/>
  <c r="A3990" i="2"/>
  <c r="B3989" i="2"/>
  <c r="A3989" i="2"/>
  <c r="B3988" i="2"/>
  <c r="A3988" i="2"/>
  <c r="B3987" i="2"/>
  <c r="A3987" i="2"/>
  <c r="B3986" i="2"/>
  <c r="A3986" i="2"/>
  <c r="B3985" i="2"/>
  <c r="A3985" i="2"/>
  <c r="B3984" i="2"/>
  <c r="A3984" i="2"/>
  <c r="B3983" i="2"/>
  <c r="A3983" i="2"/>
  <c r="B3982" i="2"/>
  <c r="A3982" i="2"/>
  <c r="B3981" i="2"/>
  <c r="A3981" i="2"/>
  <c r="B3980" i="2"/>
  <c r="A3980" i="2"/>
  <c r="B3979" i="2"/>
  <c r="A3979" i="2"/>
  <c r="B3978" i="2"/>
  <c r="A3978" i="2"/>
  <c r="B3977" i="2"/>
  <c r="A3977" i="2"/>
  <c r="B3976" i="2"/>
  <c r="A3976" i="2"/>
  <c r="B3975" i="2"/>
  <c r="A3975" i="2"/>
  <c r="B3974" i="2"/>
  <c r="A3974" i="2"/>
  <c r="B3973" i="2"/>
  <c r="A3973" i="2"/>
  <c r="B3972" i="2"/>
  <c r="A3972" i="2"/>
  <c r="B3971" i="2"/>
  <c r="A3971" i="2"/>
  <c r="B3970" i="2"/>
  <c r="A3970" i="2"/>
  <c r="B3969" i="2"/>
  <c r="A3969" i="2"/>
  <c r="B3968" i="2"/>
  <c r="A3968" i="2"/>
  <c r="B3967" i="2"/>
  <c r="A3967" i="2"/>
  <c r="B3966" i="2"/>
  <c r="A3966" i="2"/>
  <c r="B3965" i="2"/>
  <c r="A3965" i="2"/>
  <c r="B3964" i="2"/>
  <c r="A3964" i="2"/>
  <c r="B3963" i="2"/>
  <c r="A3963" i="2"/>
  <c r="B3962" i="2"/>
  <c r="A3962" i="2"/>
  <c r="B3961" i="2"/>
  <c r="A3961" i="2"/>
  <c r="B3960" i="2"/>
  <c r="A3960" i="2"/>
  <c r="B3959" i="2"/>
  <c r="A3959" i="2"/>
  <c r="B3958" i="2"/>
  <c r="A3958" i="2"/>
  <c r="B3957" i="2"/>
  <c r="A3957" i="2"/>
  <c r="B3956" i="2"/>
  <c r="A3956" i="2"/>
  <c r="B3955" i="2"/>
  <c r="A3955" i="2"/>
  <c r="B3954" i="2"/>
  <c r="A3954" i="2"/>
  <c r="B3953" i="2"/>
  <c r="A3953" i="2"/>
  <c r="B3952" i="2"/>
  <c r="A3952" i="2"/>
  <c r="B3951" i="2"/>
  <c r="A3951" i="2"/>
  <c r="B3950" i="2"/>
  <c r="A3950" i="2"/>
  <c r="B3949" i="2"/>
  <c r="A3949" i="2"/>
  <c r="B3948" i="2"/>
  <c r="A3948" i="2"/>
  <c r="B3947" i="2"/>
  <c r="A3947" i="2"/>
  <c r="B3946" i="2"/>
  <c r="A3946" i="2"/>
  <c r="B3945" i="2"/>
  <c r="A3945" i="2"/>
  <c r="B3944" i="2"/>
  <c r="A3944" i="2"/>
  <c r="B3943" i="2"/>
  <c r="A3943" i="2"/>
  <c r="B3942" i="2"/>
  <c r="A3942" i="2"/>
  <c r="B3941" i="2"/>
  <c r="A3941" i="2"/>
  <c r="B3940" i="2"/>
  <c r="A3940" i="2"/>
  <c r="B3939" i="2"/>
  <c r="A3939" i="2"/>
  <c r="B3938" i="2"/>
  <c r="A3938" i="2"/>
  <c r="B3937" i="2"/>
  <c r="A3937" i="2"/>
  <c r="B3936" i="2"/>
  <c r="A3936" i="2"/>
  <c r="B3935" i="2"/>
  <c r="A3935" i="2"/>
  <c r="B3934" i="2"/>
  <c r="A3934" i="2"/>
  <c r="B3933" i="2"/>
  <c r="A3933" i="2"/>
  <c r="B3932" i="2"/>
  <c r="A3932" i="2"/>
  <c r="B3931" i="2"/>
  <c r="A3931" i="2"/>
  <c r="B3930" i="2"/>
  <c r="A3930" i="2"/>
  <c r="B3929" i="2"/>
  <c r="A3929" i="2"/>
  <c r="B3928" i="2"/>
  <c r="A3928" i="2"/>
  <c r="B3927" i="2"/>
  <c r="A3927" i="2"/>
  <c r="B3926" i="2"/>
  <c r="A3926" i="2"/>
  <c r="B3925" i="2"/>
  <c r="A3925" i="2"/>
  <c r="B3924" i="2"/>
  <c r="A3924" i="2"/>
  <c r="B3923" i="2"/>
  <c r="A3923" i="2"/>
  <c r="B3922" i="2"/>
  <c r="A3922" i="2"/>
  <c r="B3921" i="2"/>
  <c r="A3921" i="2"/>
  <c r="B3920" i="2"/>
  <c r="A3920" i="2"/>
  <c r="B3919" i="2"/>
  <c r="A3919" i="2"/>
  <c r="B3918" i="2"/>
  <c r="A3918" i="2"/>
  <c r="B3917" i="2"/>
  <c r="A3917" i="2"/>
  <c r="B3916" i="2"/>
  <c r="A3916" i="2"/>
  <c r="B3915" i="2"/>
  <c r="A3915" i="2"/>
  <c r="B3914" i="2"/>
  <c r="A3914" i="2"/>
  <c r="B3913" i="2"/>
  <c r="A3913" i="2"/>
  <c r="B3912" i="2"/>
  <c r="A3912" i="2"/>
  <c r="B3911" i="2"/>
  <c r="A3911" i="2"/>
  <c r="B3910" i="2"/>
  <c r="A3910" i="2"/>
  <c r="B3909" i="2"/>
  <c r="A3909" i="2"/>
  <c r="B3908" i="2"/>
  <c r="A3908" i="2"/>
  <c r="B3907" i="2"/>
  <c r="A3907" i="2"/>
  <c r="B3906" i="2"/>
  <c r="A3906" i="2"/>
  <c r="B3905" i="2"/>
  <c r="A3905" i="2"/>
  <c r="B3904" i="2"/>
  <c r="A3904" i="2"/>
  <c r="B3903" i="2"/>
  <c r="A3903" i="2"/>
  <c r="B3902" i="2"/>
  <c r="A3902" i="2"/>
  <c r="B3901" i="2"/>
  <c r="A3901" i="2"/>
  <c r="B3900" i="2"/>
  <c r="A3900" i="2"/>
  <c r="B3899" i="2"/>
  <c r="A3899" i="2"/>
  <c r="B3898" i="2"/>
  <c r="A3898" i="2"/>
  <c r="B3897" i="2"/>
  <c r="A3897" i="2"/>
  <c r="B3896" i="2"/>
  <c r="A3896" i="2"/>
  <c r="B3895" i="2"/>
  <c r="A3895" i="2"/>
  <c r="B3894" i="2"/>
  <c r="A3894" i="2"/>
  <c r="B3893" i="2"/>
  <c r="A3893" i="2"/>
  <c r="B3892" i="2"/>
  <c r="A3892" i="2"/>
  <c r="B3891" i="2"/>
  <c r="A3891" i="2"/>
  <c r="B3890" i="2"/>
  <c r="A3890" i="2"/>
  <c r="B3889" i="2"/>
  <c r="A3889" i="2"/>
  <c r="B3888" i="2"/>
  <c r="A3888" i="2"/>
  <c r="B3887" i="2"/>
  <c r="A3887" i="2"/>
  <c r="B3886" i="2"/>
  <c r="A3886" i="2"/>
  <c r="B3885" i="2"/>
  <c r="A3885" i="2"/>
  <c r="B3884" i="2"/>
  <c r="A3884" i="2"/>
  <c r="B3883" i="2"/>
  <c r="A3883" i="2"/>
  <c r="B3882" i="2"/>
  <c r="A3882" i="2"/>
  <c r="B3881" i="2"/>
  <c r="A3881" i="2"/>
  <c r="B3880" i="2"/>
  <c r="A3880" i="2"/>
  <c r="B3879" i="2"/>
  <c r="A3879" i="2"/>
  <c r="B3878" i="2"/>
  <c r="A3878" i="2"/>
  <c r="B3877" i="2"/>
  <c r="A3877" i="2"/>
  <c r="B3876" i="2"/>
  <c r="A3876" i="2"/>
  <c r="B3875" i="2"/>
  <c r="A3875" i="2"/>
  <c r="B3874" i="2"/>
  <c r="A3874" i="2"/>
  <c r="B3873" i="2"/>
  <c r="A3873" i="2"/>
  <c r="B3872" i="2"/>
  <c r="A3872" i="2"/>
  <c r="B3871" i="2"/>
  <c r="A3871" i="2"/>
  <c r="B3870" i="2"/>
  <c r="A3870" i="2"/>
  <c r="B3869" i="2"/>
  <c r="A3869" i="2"/>
  <c r="B3868" i="2"/>
  <c r="A3868" i="2"/>
  <c r="B3867" i="2"/>
  <c r="A3867" i="2"/>
  <c r="B3866" i="2"/>
  <c r="A3866" i="2"/>
  <c r="B3865" i="2"/>
  <c r="A3865" i="2"/>
  <c r="B3864" i="2"/>
  <c r="A3864" i="2"/>
  <c r="B3863" i="2"/>
  <c r="A3863" i="2"/>
  <c r="B3862" i="2"/>
  <c r="A3862" i="2"/>
  <c r="B3861" i="2"/>
  <c r="A3861" i="2"/>
  <c r="B3860" i="2"/>
  <c r="A3860" i="2"/>
  <c r="B3859" i="2"/>
  <c r="A3859" i="2"/>
  <c r="B3858" i="2"/>
  <c r="A3858" i="2"/>
  <c r="B3857" i="2"/>
  <c r="A3857" i="2"/>
  <c r="B3856" i="2"/>
  <c r="A3856" i="2"/>
  <c r="B3855" i="2"/>
  <c r="A3855" i="2"/>
  <c r="B3854" i="2"/>
  <c r="A3854" i="2"/>
  <c r="B3853" i="2"/>
  <c r="A3853" i="2"/>
  <c r="B3852" i="2"/>
  <c r="A3852" i="2"/>
  <c r="B3851" i="2"/>
  <c r="A3851" i="2"/>
  <c r="B3850" i="2"/>
  <c r="A3850" i="2"/>
  <c r="B3849" i="2"/>
  <c r="A3849" i="2"/>
  <c r="B3848" i="2"/>
  <c r="A3848" i="2"/>
  <c r="B3847" i="2"/>
  <c r="A3847" i="2"/>
  <c r="B3846" i="2"/>
  <c r="A3846" i="2"/>
  <c r="B3845" i="2"/>
  <c r="A3845" i="2"/>
  <c r="B3844" i="2"/>
  <c r="A3844" i="2"/>
  <c r="B3843" i="2"/>
  <c r="A3843" i="2"/>
  <c r="B3842" i="2"/>
  <c r="A3842" i="2"/>
  <c r="B3841" i="2"/>
  <c r="A3841" i="2"/>
  <c r="B3840" i="2"/>
  <c r="A3840" i="2"/>
  <c r="B3839" i="2"/>
  <c r="A3839" i="2"/>
  <c r="B3838" i="2"/>
  <c r="A3838" i="2"/>
  <c r="B3837" i="2"/>
  <c r="A3837" i="2"/>
  <c r="B3836" i="2"/>
  <c r="A3836" i="2"/>
  <c r="B3835" i="2"/>
  <c r="A3835" i="2"/>
  <c r="B3834" i="2"/>
  <c r="A3834" i="2"/>
  <c r="B3833" i="2"/>
  <c r="A3833" i="2"/>
  <c r="B3832" i="2"/>
  <c r="A3832" i="2"/>
  <c r="B3831" i="2"/>
  <c r="A3831" i="2"/>
  <c r="B3830" i="2"/>
  <c r="A3830" i="2"/>
  <c r="B3829" i="2"/>
  <c r="A3829" i="2"/>
  <c r="B3828" i="2"/>
  <c r="A3828" i="2"/>
  <c r="B3827" i="2"/>
  <c r="A3827" i="2"/>
  <c r="B3826" i="2"/>
  <c r="A3826" i="2"/>
  <c r="B3825" i="2"/>
  <c r="A3825" i="2"/>
  <c r="B3824" i="2"/>
  <c r="A3824" i="2"/>
  <c r="B3823" i="2"/>
  <c r="A3823" i="2"/>
  <c r="B3822" i="2"/>
  <c r="A3822" i="2"/>
  <c r="B3821" i="2"/>
  <c r="A3821" i="2"/>
  <c r="B3820" i="2"/>
  <c r="A3820" i="2"/>
  <c r="B3819" i="2"/>
  <c r="A3819" i="2"/>
  <c r="B3818" i="2"/>
  <c r="A3818" i="2"/>
  <c r="B3817" i="2"/>
  <c r="A3817" i="2"/>
  <c r="B3816" i="2"/>
  <c r="A3816" i="2"/>
  <c r="B3815" i="2"/>
  <c r="A3815" i="2"/>
  <c r="B3814" i="2"/>
  <c r="A3814" i="2"/>
  <c r="B3813" i="2"/>
  <c r="A3813" i="2"/>
  <c r="B3812" i="2"/>
  <c r="A3812" i="2"/>
  <c r="B3811" i="2"/>
  <c r="A3811" i="2"/>
  <c r="B3810" i="2"/>
  <c r="A3810" i="2"/>
  <c r="B3809" i="2"/>
  <c r="A3809" i="2"/>
  <c r="B3808" i="2"/>
  <c r="A3808" i="2"/>
  <c r="B3807" i="2"/>
  <c r="A3807" i="2"/>
  <c r="B3806" i="2"/>
  <c r="A3806" i="2"/>
  <c r="B3805" i="2"/>
  <c r="A3805" i="2"/>
  <c r="B3804" i="2"/>
  <c r="A3804" i="2"/>
  <c r="B3803" i="2"/>
  <c r="A3803" i="2"/>
  <c r="B3802" i="2"/>
  <c r="A3802" i="2"/>
  <c r="B3801" i="2"/>
  <c r="A3801" i="2"/>
  <c r="B3800" i="2"/>
  <c r="A3800" i="2"/>
  <c r="B3799" i="2"/>
  <c r="A3799" i="2"/>
  <c r="B3798" i="2"/>
  <c r="A3798" i="2"/>
  <c r="B3797" i="2"/>
  <c r="A3797" i="2"/>
  <c r="B3796" i="2"/>
  <c r="A3796" i="2"/>
  <c r="B3795" i="2"/>
  <c r="A3795" i="2"/>
  <c r="B3794" i="2"/>
  <c r="A3794" i="2"/>
  <c r="B3793" i="2"/>
  <c r="A3793" i="2"/>
  <c r="B3792" i="2"/>
  <c r="A3792" i="2"/>
  <c r="B3791" i="2"/>
  <c r="A3791" i="2"/>
  <c r="B3790" i="2"/>
  <c r="A3790" i="2"/>
  <c r="B3789" i="2"/>
  <c r="A3789" i="2"/>
  <c r="B3788" i="2"/>
  <c r="A3788" i="2"/>
  <c r="B3787" i="2"/>
  <c r="A3787" i="2"/>
  <c r="B3786" i="2"/>
  <c r="A3786" i="2"/>
  <c r="B3785" i="2"/>
  <c r="A3785" i="2"/>
  <c r="B3784" i="2"/>
  <c r="A3784" i="2"/>
  <c r="B3783" i="2"/>
  <c r="A3783" i="2"/>
  <c r="B3782" i="2"/>
  <c r="A3782" i="2"/>
  <c r="B3781" i="2"/>
  <c r="A3781" i="2"/>
  <c r="B3780" i="2"/>
  <c r="A3780" i="2"/>
  <c r="B3779" i="2"/>
  <c r="A3779" i="2"/>
  <c r="B3778" i="2"/>
  <c r="A3778" i="2"/>
  <c r="B3777" i="2"/>
  <c r="A3777" i="2"/>
  <c r="B3776" i="2"/>
  <c r="A3776" i="2"/>
  <c r="B3775" i="2"/>
  <c r="A3775" i="2"/>
  <c r="B3774" i="2"/>
  <c r="A3774" i="2"/>
  <c r="B3773" i="2"/>
  <c r="A3773" i="2"/>
  <c r="B3772" i="2"/>
  <c r="A3772" i="2"/>
  <c r="B3771" i="2"/>
  <c r="A3771" i="2"/>
  <c r="B3770" i="2"/>
  <c r="A3770" i="2"/>
  <c r="B3769" i="2"/>
  <c r="A3769" i="2"/>
  <c r="B3768" i="2"/>
  <c r="A3768" i="2"/>
  <c r="B3767" i="2"/>
  <c r="A3767" i="2"/>
  <c r="B3766" i="2"/>
  <c r="A3766" i="2"/>
  <c r="B3765" i="2"/>
  <c r="A3765" i="2"/>
  <c r="B3764" i="2"/>
  <c r="A3764" i="2"/>
  <c r="B3763" i="2"/>
  <c r="A3763" i="2"/>
  <c r="B3762" i="2"/>
  <c r="A3762" i="2"/>
  <c r="B3761" i="2"/>
  <c r="A3761" i="2"/>
  <c r="B3760" i="2"/>
  <c r="A3760" i="2"/>
  <c r="B3759" i="2"/>
  <c r="A3759" i="2"/>
  <c r="B3758" i="2"/>
  <c r="A3758" i="2"/>
  <c r="B3757" i="2"/>
  <c r="A3757" i="2"/>
  <c r="B3756" i="2"/>
  <c r="A3756" i="2"/>
  <c r="B3755" i="2"/>
  <c r="A3755" i="2"/>
  <c r="B3754" i="2"/>
  <c r="A3754" i="2"/>
  <c r="B3753" i="2"/>
  <c r="A3753" i="2"/>
  <c r="B3752" i="2"/>
  <c r="A3752" i="2"/>
  <c r="B3751" i="2"/>
  <c r="A3751" i="2"/>
  <c r="B3750" i="2"/>
  <c r="A3750" i="2"/>
  <c r="B3749" i="2"/>
  <c r="A3749" i="2"/>
  <c r="B3748" i="2"/>
  <c r="A3748" i="2"/>
  <c r="B3747" i="2"/>
  <c r="A3747" i="2"/>
  <c r="B3746" i="2"/>
  <c r="A3746" i="2"/>
  <c r="B3745" i="2"/>
  <c r="A3745" i="2"/>
  <c r="B3744" i="2"/>
  <c r="A3744" i="2"/>
  <c r="B3743" i="2"/>
  <c r="A3743" i="2"/>
  <c r="B3742" i="2"/>
  <c r="A3742" i="2"/>
  <c r="B3741" i="2"/>
  <c r="A3741" i="2"/>
  <c r="B3740" i="2"/>
  <c r="A3740" i="2"/>
  <c r="B3739" i="2"/>
  <c r="A3739" i="2"/>
  <c r="B3738" i="2"/>
  <c r="A3738" i="2"/>
  <c r="B3737" i="2"/>
  <c r="A3737" i="2"/>
  <c r="B3736" i="2"/>
  <c r="A3736" i="2"/>
  <c r="B3735" i="2"/>
  <c r="A3735" i="2"/>
  <c r="B3734" i="2"/>
  <c r="A3734" i="2"/>
  <c r="B3733" i="2"/>
  <c r="A3733" i="2"/>
  <c r="B3732" i="2"/>
  <c r="A3732" i="2"/>
  <c r="B3731" i="2"/>
  <c r="A3731" i="2"/>
  <c r="B3730" i="2"/>
  <c r="A3730" i="2"/>
  <c r="B3729" i="2"/>
  <c r="A3729" i="2"/>
  <c r="B3728" i="2"/>
  <c r="A3728" i="2"/>
  <c r="B3727" i="2"/>
  <c r="A3727" i="2"/>
  <c r="B3726" i="2"/>
  <c r="A3726" i="2"/>
  <c r="B3725" i="2"/>
  <c r="A3725" i="2"/>
  <c r="B3724" i="2"/>
  <c r="A3724" i="2"/>
  <c r="B3723" i="2"/>
  <c r="A3723" i="2"/>
  <c r="B3722" i="2"/>
  <c r="A3722" i="2"/>
  <c r="B3721" i="2"/>
  <c r="A3721" i="2"/>
  <c r="B3720" i="2"/>
  <c r="A3720" i="2"/>
  <c r="B3719" i="2"/>
  <c r="A3719" i="2"/>
  <c r="B3718" i="2"/>
  <c r="A3718" i="2"/>
  <c r="B3717" i="2"/>
  <c r="A3717" i="2"/>
  <c r="B3716" i="2"/>
  <c r="A3716" i="2"/>
  <c r="B3715" i="2"/>
  <c r="A3715" i="2"/>
  <c r="B3714" i="2"/>
  <c r="A3714" i="2"/>
  <c r="B3713" i="2"/>
  <c r="A3713" i="2"/>
  <c r="B3712" i="2"/>
  <c r="A3712" i="2"/>
  <c r="B3711" i="2"/>
  <c r="A3711" i="2"/>
  <c r="B3710" i="2"/>
  <c r="A3710" i="2"/>
  <c r="B3709" i="2"/>
  <c r="A3709" i="2"/>
  <c r="B3708" i="2"/>
  <c r="A3708" i="2"/>
  <c r="B3707" i="2"/>
  <c r="A3707" i="2"/>
  <c r="B3706" i="2"/>
  <c r="A3706" i="2"/>
  <c r="B3705" i="2"/>
  <c r="A3705" i="2"/>
  <c r="B3704" i="2"/>
  <c r="A3704" i="2"/>
  <c r="B3703" i="2"/>
  <c r="A3703" i="2"/>
  <c r="B3702" i="2"/>
  <c r="A3702" i="2"/>
  <c r="B3701" i="2"/>
  <c r="A3701" i="2"/>
  <c r="B3700" i="2"/>
  <c r="A3700" i="2"/>
  <c r="B3699" i="2"/>
  <c r="A3699" i="2"/>
  <c r="B3698" i="2"/>
  <c r="A3698" i="2"/>
  <c r="B3697" i="2"/>
  <c r="A3697" i="2"/>
  <c r="B3696" i="2"/>
  <c r="A3696" i="2"/>
  <c r="B3695" i="2"/>
  <c r="A3695" i="2"/>
  <c r="B3694" i="2"/>
  <c r="A3694" i="2"/>
  <c r="B3693" i="2"/>
  <c r="A3693" i="2"/>
  <c r="B3692" i="2"/>
  <c r="A3692" i="2"/>
  <c r="B3691" i="2"/>
  <c r="A3691" i="2"/>
  <c r="B3690" i="2"/>
  <c r="A3690" i="2"/>
  <c r="B3689" i="2"/>
  <c r="A3689" i="2"/>
  <c r="B3688" i="2"/>
  <c r="A3688" i="2"/>
  <c r="B3687" i="2"/>
  <c r="A3687" i="2"/>
  <c r="B3686" i="2"/>
  <c r="A3686" i="2"/>
  <c r="B3685" i="2"/>
  <c r="A3685" i="2"/>
  <c r="B3684" i="2"/>
  <c r="A3684" i="2"/>
  <c r="B3683" i="2"/>
  <c r="A3683" i="2"/>
  <c r="B3682" i="2"/>
  <c r="A3682" i="2"/>
  <c r="B3681" i="2"/>
  <c r="A3681" i="2"/>
  <c r="B3680" i="2"/>
  <c r="A3680" i="2"/>
  <c r="B3679" i="2"/>
  <c r="A3679" i="2"/>
  <c r="B3678" i="2"/>
  <c r="A3678" i="2"/>
  <c r="B3677" i="2"/>
  <c r="A3677" i="2"/>
  <c r="B3676" i="2"/>
  <c r="A3676" i="2"/>
  <c r="B3675" i="2"/>
  <c r="A3675" i="2"/>
  <c r="B3674" i="2"/>
  <c r="A3674" i="2"/>
  <c r="B3673" i="2"/>
  <c r="A3673" i="2"/>
  <c r="B3672" i="2"/>
  <c r="A3672" i="2"/>
  <c r="B3671" i="2"/>
  <c r="A3671" i="2"/>
  <c r="B3670" i="2"/>
  <c r="A3670" i="2"/>
  <c r="B3669" i="2"/>
  <c r="A3669" i="2"/>
  <c r="B3668" i="2"/>
  <c r="A3668" i="2"/>
  <c r="B3667" i="2"/>
  <c r="A3667" i="2"/>
  <c r="B3666" i="2"/>
  <c r="A3666" i="2"/>
  <c r="B3665" i="2"/>
  <c r="A3665" i="2"/>
  <c r="B3664" i="2"/>
  <c r="A3664" i="2"/>
  <c r="B3663" i="2"/>
  <c r="A3663" i="2"/>
  <c r="B3662" i="2"/>
  <c r="A3662" i="2"/>
  <c r="B3661" i="2"/>
  <c r="A3661" i="2"/>
  <c r="B3660" i="2"/>
  <c r="A3660" i="2"/>
  <c r="B3659" i="2"/>
  <c r="A3659" i="2"/>
  <c r="B3658" i="2"/>
  <c r="A3658" i="2"/>
  <c r="B3657" i="2"/>
  <c r="A3657" i="2"/>
  <c r="B3656" i="2"/>
  <c r="A3656" i="2"/>
  <c r="B3655" i="2"/>
  <c r="A3655" i="2"/>
  <c r="B3654" i="2"/>
  <c r="A3654" i="2"/>
  <c r="B3653" i="2"/>
  <c r="A3653" i="2"/>
  <c r="B3652" i="2"/>
  <c r="A3652" i="2"/>
  <c r="B3651" i="2"/>
  <c r="A3651" i="2"/>
  <c r="B3650" i="2"/>
  <c r="A3650" i="2"/>
  <c r="B3649" i="2"/>
  <c r="A3649" i="2"/>
  <c r="B3648" i="2"/>
  <c r="A3648" i="2"/>
  <c r="B3647" i="2"/>
  <c r="A3647" i="2"/>
  <c r="B3646" i="2"/>
  <c r="A3646" i="2"/>
  <c r="B3645" i="2"/>
  <c r="A3645" i="2"/>
  <c r="B3644" i="2"/>
  <c r="A3644" i="2"/>
  <c r="B3643" i="2"/>
  <c r="A3643" i="2"/>
  <c r="B3642" i="2"/>
  <c r="A3642" i="2"/>
  <c r="B3641" i="2"/>
  <c r="A3641" i="2"/>
  <c r="B3640" i="2"/>
  <c r="A3640" i="2"/>
  <c r="B3639" i="2"/>
  <c r="A3639" i="2"/>
  <c r="B3638" i="2"/>
  <c r="A3638" i="2"/>
  <c r="B3637" i="2"/>
  <c r="A3637" i="2"/>
  <c r="B3636" i="2"/>
  <c r="A3636" i="2"/>
  <c r="B3635" i="2"/>
  <c r="A3635" i="2"/>
  <c r="B3634" i="2"/>
  <c r="A3634" i="2"/>
  <c r="B3633" i="2"/>
  <c r="A3633" i="2"/>
  <c r="B3632" i="2"/>
  <c r="A3632" i="2"/>
  <c r="B3631" i="2"/>
  <c r="A3631" i="2"/>
  <c r="B3630" i="2"/>
  <c r="A3630" i="2"/>
  <c r="B3629" i="2"/>
  <c r="A3629" i="2"/>
  <c r="B3628" i="2"/>
  <c r="A3628" i="2"/>
  <c r="B3627" i="2"/>
  <c r="A3627" i="2"/>
  <c r="B3626" i="2"/>
  <c r="A3626" i="2"/>
  <c r="B3625" i="2"/>
  <c r="A3625" i="2"/>
  <c r="B3624" i="2"/>
  <c r="A3624" i="2"/>
  <c r="B3623" i="2"/>
  <c r="A3623" i="2"/>
  <c r="B3622" i="2"/>
  <c r="A3622" i="2"/>
  <c r="B3621" i="2"/>
  <c r="A3621" i="2"/>
  <c r="B3620" i="2"/>
  <c r="A3620" i="2"/>
  <c r="B3619" i="2"/>
  <c r="A3619" i="2"/>
  <c r="B3618" i="2"/>
  <c r="A3618" i="2"/>
  <c r="B3617" i="2"/>
  <c r="A3617" i="2"/>
  <c r="B3616" i="2"/>
  <c r="A3616" i="2"/>
  <c r="B3615" i="2"/>
  <c r="A3615" i="2"/>
  <c r="B3614" i="2"/>
  <c r="A3614" i="2"/>
  <c r="B3613" i="2"/>
  <c r="A3613" i="2"/>
  <c r="B3612" i="2"/>
  <c r="A3612" i="2"/>
  <c r="B3611" i="2"/>
  <c r="A3611" i="2"/>
  <c r="B3610" i="2"/>
  <c r="A3610" i="2"/>
  <c r="B3609" i="2"/>
  <c r="A3609" i="2"/>
  <c r="B3608" i="2"/>
  <c r="A3608" i="2"/>
  <c r="B3607" i="2"/>
  <c r="A3607" i="2"/>
  <c r="B3606" i="2"/>
  <c r="A3606" i="2"/>
  <c r="B3605" i="2"/>
  <c r="A3605" i="2"/>
  <c r="B3604" i="2"/>
  <c r="A3604" i="2"/>
  <c r="B3603" i="2"/>
  <c r="A3603" i="2"/>
  <c r="B3602" i="2"/>
  <c r="A3602" i="2"/>
  <c r="B3601" i="2"/>
  <c r="A3601" i="2"/>
  <c r="B3600" i="2"/>
  <c r="A3600" i="2"/>
  <c r="B3599" i="2"/>
  <c r="A3599" i="2"/>
  <c r="B3598" i="2"/>
  <c r="A3598" i="2"/>
  <c r="B3597" i="2"/>
  <c r="A3597" i="2"/>
  <c r="B3596" i="2"/>
  <c r="A3596" i="2"/>
  <c r="B3595" i="2"/>
  <c r="A3595" i="2"/>
  <c r="B3594" i="2"/>
  <c r="A3594" i="2"/>
  <c r="B3593" i="2"/>
  <c r="A3593" i="2"/>
  <c r="B3592" i="2"/>
  <c r="A3592" i="2"/>
  <c r="B3591" i="2"/>
  <c r="A3591" i="2"/>
  <c r="B3590" i="2"/>
  <c r="A3590" i="2"/>
  <c r="B3589" i="2"/>
  <c r="A3589" i="2"/>
  <c r="B3588" i="2"/>
  <c r="A3588" i="2"/>
  <c r="B3587" i="2"/>
  <c r="A3587" i="2"/>
  <c r="B3586" i="2"/>
  <c r="A3586" i="2"/>
  <c r="B3585" i="2"/>
  <c r="A3585" i="2"/>
  <c r="B3584" i="2"/>
  <c r="A3584" i="2"/>
  <c r="B3583" i="2"/>
  <c r="A3583" i="2"/>
  <c r="B3582" i="2"/>
  <c r="A3582" i="2"/>
  <c r="B3581" i="2"/>
  <c r="A3581" i="2"/>
  <c r="B3580" i="2"/>
  <c r="A3580" i="2"/>
  <c r="B3579" i="2"/>
  <c r="A3579" i="2"/>
  <c r="B3578" i="2"/>
  <c r="A3578" i="2"/>
  <c r="B3577" i="2"/>
  <c r="A3577" i="2"/>
  <c r="B3576" i="2"/>
  <c r="A3576" i="2"/>
  <c r="B3575" i="2"/>
  <c r="A3575" i="2"/>
  <c r="B3574" i="2"/>
  <c r="A3574" i="2"/>
  <c r="B3573" i="2"/>
  <c r="A3573" i="2"/>
  <c r="B3572" i="2"/>
  <c r="A3572" i="2"/>
  <c r="B3571" i="2"/>
  <c r="A3571" i="2"/>
  <c r="B3570" i="2"/>
  <c r="A3570" i="2"/>
  <c r="B3569" i="2"/>
  <c r="A3569" i="2"/>
  <c r="B3568" i="2"/>
  <c r="A3568" i="2"/>
  <c r="B3567" i="2"/>
  <c r="A3567" i="2"/>
  <c r="B3566" i="2"/>
  <c r="A3566" i="2"/>
  <c r="B3565" i="2"/>
  <c r="A3565" i="2"/>
  <c r="B3564" i="2"/>
  <c r="A3564" i="2"/>
  <c r="B3563" i="2"/>
  <c r="A3563" i="2"/>
  <c r="B3562" i="2"/>
  <c r="A3562" i="2"/>
  <c r="B3561" i="2"/>
  <c r="A3561" i="2"/>
  <c r="B3560" i="2"/>
  <c r="A3560" i="2"/>
  <c r="B3559" i="2"/>
  <c r="A3559" i="2"/>
  <c r="B3558" i="2"/>
  <c r="A3558" i="2"/>
  <c r="B3557" i="2"/>
  <c r="A3557" i="2"/>
  <c r="B3556" i="2"/>
  <c r="A3556" i="2"/>
  <c r="B3555" i="2"/>
  <c r="A3555" i="2"/>
  <c r="B3554" i="2"/>
  <c r="A3554" i="2"/>
  <c r="B3553" i="2"/>
  <c r="A3553" i="2"/>
  <c r="B3552" i="2"/>
  <c r="A3552" i="2"/>
  <c r="B3551" i="2"/>
  <c r="A3551" i="2"/>
  <c r="B3550" i="2"/>
  <c r="A3550" i="2"/>
  <c r="B3549" i="2"/>
  <c r="A3549" i="2"/>
  <c r="B3548" i="2"/>
  <c r="A3548" i="2"/>
  <c r="B3547" i="2"/>
  <c r="A3547" i="2"/>
  <c r="B3546" i="2"/>
  <c r="A3546" i="2"/>
  <c r="B3545" i="2"/>
  <c r="A3545" i="2"/>
  <c r="B3544" i="2"/>
  <c r="A3544" i="2"/>
  <c r="B3543" i="2"/>
  <c r="A3543" i="2"/>
  <c r="B3542" i="2"/>
  <c r="A3542" i="2"/>
  <c r="B3541" i="2"/>
  <c r="A3541" i="2"/>
  <c r="B3540" i="2"/>
  <c r="A3540" i="2"/>
  <c r="B3539" i="2"/>
  <c r="A3539" i="2"/>
  <c r="B3538" i="2"/>
  <c r="A3538" i="2"/>
  <c r="B3537" i="2"/>
  <c r="A3537" i="2"/>
  <c r="B3536" i="2"/>
  <c r="A3536" i="2"/>
  <c r="B3535" i="2"/>
  <c r="A3535" i="2"/>
  <c r="B3534" i="2"/>
  <c r="A3534" i="2"/>
  <c r="B3533" i="2"/>
  <c r="A3533" i="2"/>
  <c r="B3532" i="2"/>
  <c r="A3532" i="2"/>
  <c r="B3531" i="2"/>
  <c r="A3531" i="2"/>
  <c r="B3530" i="2"/>
  <c r="A3530" i="2"/>
  <c r="B3529" i="2"/>
  <c r="A3529" i="2"/>
  <c r="B3528" i="2"/>
  <c r="A3528" i="2"/>
  <c r="B3527" i="2"/>
  <c r="A3527" i="2"/>
  <c r="B3526" i="2"/>
  <c r="A3526" i="2"/>
  <c r="B3525" i="2"/>
  <c r="A3525" i="2"/>
  <c r="B3524" i="2"/>
  <c r="A3524" i="2"/>
  <c r="B3523" i="2"/>
  <c r="A3523" i="2"/>
  <c r="B3522" i="2"/>
  <c r="A3522" i="2"/>
  <c r="B3521" i="2"/>
  <c r="A3521" i="2"/>
  <c r="B3520" i="2"/>
  <c r="A3520" i="2"/>
  <c r="B3519" i="2"/>
  <c r="A3519" i="2"/>
  <c r="B3518" i="2"/>
  <c r="A3518" i="2"/>
  <c r="B3517" i="2"/>
  <c r="A3517" i="2"/>
  <c r="B3516" i="2"/>
  <c r="A3516" i="2"/>
  <c r="B3515" i="2"/>
  <c r="A3515" i="2"/>
  <c r="B3514" i="2"/>
  <c r="A3514" i="2"/>
  <c r="B3513" i="2"/>
  <c r="A3513" i="2"/>
  <c r="B3512" i="2"/>
  <c r="A3512" i="2"/>
  <c r="B3511" i="2"/>
  <c r="A3511" i="2"/>
  <c r="B3510" i="2"/>
  <c r="A3510" i="2"/>
  <c r="B3509" i="2"/>
  <c r="A3509" i="2"/>
  <c r="B3508" i="2"/>
  <c r="A3508" i="2"/>
  <c r="B3507" i="2"/>
  <c r="A3507" i="2"/>
  <c r="B3506" i="2"/>
  <c r="A3506" i="2"/>
  <c r="B3505" i="2"/>
  <c r="A3505" i="2"/>
  <c r="B3504" i="2"/>
  <c r="A3504" i="2"/>
  <c r="B3503" i="2"/>
  <c r="A3503" i="2"/>
  <c r="B3502" i="2"/>
  <c r="A3502" i="2"/>
  <c r="B3501" i="2"/>
  <c r="A3501" i="2"/>
  <c r="B3500" i="2"/>
  <c r="A3500" i="2"/>
  <c r="B3499" i="2"/>
  <c r="A3499" i="2"/>
  <c r="B3498" i="2"/>
  <c r="A3498" i="2"/>
  <c r="B3497" i="2"/>
  <c r="A3497" i="2"/>
  <c r="B3496" i="2"/>
  <c r="A3496" i="2"/>
  <c r="B3495" i="2"/>
  <c r="A3495" i="2"/>
  <c r="B3494" i="2"/>
  <c r="A3494" i="2"/>
  <c r="B3493" i="2"/>
  <c r="A3493" i="2"/>
  <c r="B3492" i="2"/>
  <c r="A3492" i="2"/>
  <c r="B3491" i="2"/>
  <c r="A3491" i="2"/>
  <c r="B3490" i="2"/>
  <c r="A3490" i="2"/>
  <c r="B3489" i="2"/>
  <c r="A3489" i="2"/>
  <c r="B3488" i="2"/>
  <c r="A3488" i="2"/>
  <c r="B3487" i="2"/>
  <c r="A3487" i="2"/>
  <c r="B3486" i="2"/>
  <c r="A3486" i="2"/>
  <c r="B3485" i="2"/>
  <c r="A3485" i="2"/>
  <c r="B3484" i="2"/>
  <c r="A3484" i="2"/>
  <c r="B3483" i="2"/>
  <c r="A3483" i="2"/>
  <c r="B3482" i="2"/>
  <c r="A3482" i="2"/>
  <c r="B3481" i="2"/>
  <c r="A3481" i="2"/>
  <c r="B3480" i="2"/>
  <c r="A3480" i="2"/>
  <c r="B3479" i="2"/>
  <c r="A3479" i="2"/>
  <c r="B3478" i="2"/>
  <c r="A3478" i="2"/>
  <c r="B3477" i="2"/>
  <c r="A3477" i="2"/>
  <c r="B3476" i="2"/>
  <c r="A3476" i="2"/>
  <c r="B3475" i="2"/>
  <c r="A3475" i="2"/>
  <c r="B3474" i="2"/>
  <c r="A3474" i="2"/>
  <c r="B3473" i="2"/>
  <c r="A3473" i="2"/>
  <c r="B3472" i="2"/>
  <c r="A3472" i="2"/>
  <c r="B3471" i="2"/>
  <c r="A3471" i="2"/>
  <c r="B3470" i="2"/>
  <c r="A3470" i="2"/>
  <c r="B3469" i="2"/>
  <c r="A3469" i="2"/>
  <c r="B3468" i="2"/>
  <c r="A3468" i="2"/>
  <c r="B3467" i="2"/>
  <c r="A3467" i="2"/>
  <c r="B3466" i="2"/>
  <c r="A3466" i="2"/>
  <c r="B3465" i="2"/>
  <c r="A3465" i="2"/>
  <c r="B3464" i="2"/>
  <c r="A3464" i="2"/>
  <c r="B3463" i="2"/>
  <c r="A3463" i="2"/>
  <c r="B3462" i="2"/>
  <c r="A3462" i="2"/>
  <c r="B3461" i="2"/>
  <c r="A3461" i="2"/>
  <c r="B3460" i="2"/>
  <c r="A3460" i="2"/>
  <c r="B3459" i="2"/>
  <c r="A3459" i="2"/>
  <c r="B3458" i="2"/>
  <c r="A3458" i="2"/>
  <c r="B3457" i="2"/>
  <c r="A3457" i="2"/>
  <c r="B3456" i="2"/>
  <c r="A3456" i="2"/>
  <c r="B3455" i="2"/>
  <c r="A3455" i="2"/>
  <c r="B3454" i="2"/>
  <c r="A3454" i="2"/>
  <c r="B3453" i="2"/>
  <c r="A3453" i="2"/>
  <c r="B3452" i="2"/>
  <c r="A3452" i="2"/>
  <c r="B3451" i="2"/>
  <c r="A3451" i="2"/>
  <c r="B3450" i="2"/>
  <c r="A3450" i="2"/>
  <c r="B3449" i="2"/>
  <c r="A3449" i="2"/>
  <c r="B3448" i="2"/>
  <c r="A3448" i="2"/>
  <c r="B3447" i="2"/>
  <c r="A3447" i="2"/>
  <c r="B3446" i="2"/>
  <c r="A3446" i="2"/>
  <c r="B3445" i="2"/>
  <c r="A3445" i="2"/>
  <c r="B3444" i="2"/>
  <c r="A3444" i="2"/>
  <c r="B3443" i="2"/>
  <c r="A3443" i="2"/>
  <c r="B3442" i="2"/>
  <c r="A3442" i="2"/>
  <c r="B3441" i="2"/>
  <c r="A3441" i="2"/>
  <c r="B3440" i="2"/>
  <c r="A3440" i="2"/>
  <c r="B3439" i="2"/>
  <c r="A3439" i="2"/>
  <c r="B3438" i="2"/>
  <c r="A3438" i="2"/>
  <c r="B3437" i="2"/>
  <c r="A3437" i="2"/>
  <c r="B3436" i="2"/>
  <c r="A3436" i="2"/>
  <c r="B3435" i="2"/>
  <c r="A3435" i="2"/>
  <c r="B3434" i="2"/>
  <c r="A3434" i="2"/>
  <c r="B3433" i="2"/>
  <c r="A3433" i="2"/>
  <c r="B3432" i="2"/>
  <c r="A3432" i="2"/>
  <c r="B3431" i="2"/>
  <c r="A3431" i="2"/>
  <c r="B3430" i="2"/>
  <c r="A3430" i="2"/>
  <c r="B3429" i="2"/>
  <c r="A3429" i="2"/>
  <c r="B3428" i="2"/>
  <c r="A3428" i="2"/>
  <c r="B3427" i="2"/>
  <c r="A3427" i="2"/>
  <c r="B3426" i="2"/>
  <c r="A3426" i="2"/>
  <c r="B3425" i="2"/>
  <c r="A3425" i="2"/>
  <c r="B3424" i="2"/>
  <c r="A3424" i="2"/>
  <c r="B3423" i="2"/>
  <c r="A3423" i="2"/>
  <c r="B3422" i="2"/>
  <c r="A3422" i="2"/>
  <c r="B3421" i="2"/>
  <c r="A3421" i="2"/>
  <c r="B3420" i="2"/>
  <c r="A3420" i="2"/>
  <c r="B3419" i="2"/>
  <c r="A3419" i="2"/>
  <c r="B3418" i="2"/>
  <c r="A3418" i="2"/>
  <c r="B3417" i="2"/>
  <c r="A3417" i="2"/>
  <c r="B3416" i="2"/>
  <c r="A3416" i="2"/>
  <c r="B3415" i="2"/>
  <c r="A3415" i="2"/>
  <c r="B3414" i="2"/>
  <c r="A3414" i="2"/>
  <c r="B3413" i="2"/>
  <c r="A3413" i="2"/>
  <c r="B3412" i="2"/>
  <c r="A3412" i="2"/>
  <c r="B3411" i="2"/>
  <c r="A3411" i="2"/>
  <c r="B3410" i="2"/>
  <c r="A3410" i="2"/>
  <c r="B3409" i="2"/>
  <c r="A3409" i="2"/>
  <c r="B3408" i="2"/>
  <c r="A3408" i="2"/>
  <c r="B3407" i="2"/>
  <c r="A3407" i="2"/>
  <c r="B3406" i="2"/>
  <c r="A3406" i="2"/>
  <c r="B3405" i="2"/>
  <c r="A3405" i="2"/>
  <c r="B3404" i="2"/>
  <c r="A3404" i="2"/>
  <c r="B3403" i="2"/>
  <c r="A3403" i="2"/>
  <c r="B3402" i="2"/>
  <c r="A3402" i="2"/>
  <c r="B3401" i="2"/>
  <c r="A3401" i="2"/>
  <c r="B3400" i="2"/>
  <c r="A3400" i="2"/>
  <c r="B3399" i="2"/>
  <c r="A3399" i="2"/>
  <c r="B3398" i="2"/>
  <c r="A3398" i="2"/>
  <c r="B3397" i="2"/>
  <c r="A3397" i="2"/>
  <c r="B3396" i="2"/>
  <c r="A3396" i="2"/>
  <c r="B3395" i="2"/>
  <c r="A3395" i="2"/>
  <c r="B3394" i="2"/>
  <c r="A3394" i="2"/>
  <c r="B3393" i="2"/>
  <c r="A3393" i="2"/>
  <c r="B3392" i="2"/>
  <c r="A3392" i="2"/>
  <c r="B3391" i="2"/>
  <c r="A3391" i="2"/>
  <c r="B3390" i="2"/>
  <c r="A3390" i="2"/>
  <c r="B3389" i="2"/>
  <c r="A3389" i="2"/>
  <c r="B3388" i="2"/>
  <c r="A3388" i="2"/>
  <c r="B3387" i="2"/>
  <c r="A3387" i="2"/>
  <c r="B3386" i="2"/>
  <c r="A3386" i="2"/>
  <c r="B3385" i="2"/>
  <c r="A3385" i="2"/>
  <c r="B3384" i="2"/>
  <c r="A3384" i="2"/>
  <c r="B3383" i="2"/>
  <c r="A3383" i="2"/>
  <c r="B3382" i="2"/>
  <c r="A3382" i="2"/>
  <c r="B3381" i="2"/>
  <c r="A3381" i="2"/>
  <c r="B3380" i="2"/>
  <c r="A3380" i="2"/>
  <c r="B3379" i="2"/>
  <c r="A3379" i="2"/>
  <c r="B3378" i="2"/>
  <c r="A3378" i="2"/>
  <c r="B3377" i="2"/>
  <c r="A3377" i="2"/>
  <c r="B3376" i="2"/>
  <c r="A3376" i="2"/>
  <c r="B3375" i="2"/>
  <c r="A3375" i="2"/>
  <c r="B3374" i="2"/>
  <c r="A3374" i="2"/>
  <c r="B3373" i="2"/>
  <c r="A3373" i="2"/>
  <c r="B3372" i="2"/>
  <c r="A3372" i="2"/>
  <c r="B3371" i="2"/>
  <c r="A3371" i="2"/>
  <c r="B3370" i="2"/>
  <c r="A3370" i="2"/>
  <c r="B3369" i="2"/>
  <c r="A3369" i="2"/>
  <c r="B3368" i="2"/>
  <c r="A3368" i="2"/>
  <c r="B3367" i="2"/>
  <c r="A3367" i="2"/>
  <c r="B3366" i="2"/>
  <c r="A3366" i="2"/>
  <c r="B3365" i="2"/>
  <c r="A3365" i="2"/>
  <c r="B3364" i="2"/>
  <c r="A3364" i="2"/>
  <c r="B3363" i="2"/>
  <c r="A3363" i="2"/>
  <c r="B3362" i="2"/>
  <c r="A3362" i="2"/>
  <c r="B3361" i="2"/>
  <c r="A3361" i="2"/>
  <c r="B3360" i="2"/>
  <c r="A3360" i="2"/>
  <c r="B3359" i="2"/>
  <c r="A3359" i="2"/>
  <c r="B3358" i="2"/>
  <c r="A3358" i="2"/>
  <c r="B3357" i="2"/>
  <c r="A3357" i="2"/>
  <c r="B3356" i="2"/>
  <c r="A3356" i="2"/>
  <c r="B3355" i="2"/>
  <c r="A3355" i="2"/>
  <c r="B3354" i="2"/>
  <c r="A3354" i="2"/>
  <c r="B3353" i="2"/>
  <c r="A3353" i="2"/>
  <c r="B3352" i="2"/>
  <c r="A3352" i="2"/>
  <c r="B3351" i="2"/>
  <c r="A3351" i="2"/>
  <c r="B3350" i="2"/>
  <c r="A3350" i="2"/>
  <c r="B3349" i="2"/>
  <c r="A3349" i="2"/>
  <c r="B3348" i="2"/>
  <c r="A3348" i="2"/>
  <c r="B3347" i="2"/>
  <c r="A3347" i="2"/>
  <c r="B3346" i="2"/>
  <c r="A3346" i="2"/>
  <c r="B3345" i="2"/>
  <c r="A3345" i="2"/>
  <c r="B3344" i="2"/>
  <c r="A3344" i="2"/>
  <c r="B3343" i="2"/>
  <c r="A3343" i="2"/>
  <c r="B3342" i="2"/>
  <c r="A3342" i="2"/>
  <c r="B3341" i="2"/>
  <c r="A3341" i="2"/>
  <c r="B3340" i="2"/>
  <c r="A3340" i="2"/>
  <c r="B3339" i="2"/>
  <c r="A3339" i="2"/>
  <c r="B3338" i="2"/>
  <c r="A3338" i="2"/>
  <c r="B3337" i="2"/>
  <c r="A3337" i="2"/>
  <c r="B3336" i="2"/>
  <c r="A3336" i="2"/>
  <c r="B3335" i="2"/>
  <c r="A3335" i="2"/>
  <c r="B3334" i="2"/>
  <c r="A3334" i="2"/>
  <c r="B3333" i="2"/>
  <c r="A3333" i="2"/>
  <c r="B3332" i="2"/>
  <c r="A3332" i="2"/>
  <c r="B3331" i="2"/>
  <c r="A3331" i="2"/>
  <c r="B3330" i="2"/>
  <c r="A3330" i="2"/>
  <c r="B3329" i="2"/>
  <c r="A3329" i="2"/>
  <c r="B3328" i="2"/>
  <c r="A3328" i="2"/>
  <c r="B3327" i="2"/>
  <c r="A3327" i="2"/>
  <c r="B3326" i="2"/>
  <c r="A3326" i="2"/>
  <c r="B3325" i="2"/>
  <c r="A3325" i="2"/>
  <c r="B3324" i="2"/>
  <c r="A3324" i="2"/>
  <c r="B3323" i="2"/>
  <c r="A3323" i="2"/>
  <c r="B3322" i="2"/>
  <c r="A3322" i="2"/>
  <c r="B3321" i="2"/>
  <c r="A3321" i="2"/>
  <c r="B3320" i="2"/>
  <c r="A3320" i="2"/>
  <c r="B3319" i="2"/>
  <c r="A3319" i="2"/>
  <c r="B3318" i="2"/>
  <c r="A3318" i="2"/>
  <c r="B3317" i="2"/>
  <c r="A3317" i="2"/>
  <c r="B3316" i="2"/>
  <c r="A3316" i="2"/>
  <c r="B3315" i="2"/>
  <c r="A3315" i="2"/>
  <c r="B3314" i="2"/>
  <c r="A3314" i="2"/>
  <c r="B3313" i="2"/>
  <c r="A3313" i="2"/>
  <c r="B3312" i="2"/>
  <c r="A3312" i="2"/>
  <c r="B3311" i="2"/>
  <c r="A3311" i="2"/>
  <c r="B3310" i="2"/>
  <c r="A3310" i="2"/>
  <c r="B3309" i="2"/>
  <c r="A3309" i="2"/>
  <c r="B3308" i="2"/>
  <c r="A3308" i="2"/>
  <c r="B3307" i="2"/>
  <c r="A3307" i="2"/>
  <c r="B3306" i="2"/>
  <c r="A3306" i="2"/>
  <c r="B3305" i="2"/>
  <c r="A3305" i="2"/>
  <c r="B3304" i="2"/>
  <c r="A3304" i="2"/>
  <c r="B3303" i="2"/>
  <c r="A3303" i="2"/>
  <c r="B3302" i="2"/>
  <c r="A3302" i="2"/>
  <c r="B3301" i="2"/>
  <c r="A3301" i="2"/>
  <c r="B3300" i="2"/>
  <c r="A3300" i="2"/>
  <c r="B3299" i="2"/>
  <c r="A3299" i="2"/>
  <c r="B3298" i="2"/>
  <c r="A3298" i="2"/>
  <c r="B3297" i="2"/>
  <c r="A3297" i="2"/>
  <c r="B3296" i="2"/>
  <c r="A3296" i="2"/>
  <c r="B3295" i="2"/>
  <c r="A3295" i="2"/>
  <c r="B3294" i="2"/>
  <c r="A3294" i="2"/>
  <c r="B3293" i="2"/>
  <c r="A3293" i="2"/>
  <c r="B3292" i="2"/>
  <c r="A3292" i="2"/>
  <c r="B3291" i="2"/>
  <c r="A3291" i="2"/>
  <c r="B3290" i="2"/>
  <c r="A3290" i="2"/>
  <c r="B3289" i="2"/>
  <c r="A3289" i="2"/>
  <c r="B3288" i="2"/>
  <c r="A3288" i="2"/>
  <c r="B3287" i="2"/>
  <c r="A3287" i="2"/>
  <c r="B3286" i="2"/>
  <c r="A3286" i="2"/>
  <c r="B3285" i="2"/>
  <c r="A3285" i="2"/>
  <c r="B3284" i="2"/>
  <c r="A3284" i="2"/>
  <c r="B3283" i="2"/>
  <c r="A3283" i="2"/>
  <c r="B3282" i="2"/>
  <c r="A3282" i="2"/>
  <c r="B3281" i="2"/>
  <c r="A3281" i="2"/>
  <c r="B3280" i="2"/>
  <c r="A3280" i="2"/>
  <c r="B3279" i="2"/>
  <c r="A3279" i="2"/>
  <c r="B3278" i="2"/>
  <c r="A3278" i="2"/>
  <c r="B3277" i="2"/>
  <c r="A3277" i="2"/>
  <c r="B3276" i="2"/>
  <c r="A3276" i="2"/>
  <c r="B3275" i="2"/>
  <c r="A3275" i="2"/>
  <c r="B3274" i="2"/>
  <c r="A3274" i="2"/>
  <c r="B3273" i="2"/>
  <c r="A3273" i="2"/>
  <c r="B3272" i="2"/>
  <c r="A3272" i="2"/>
  <c r="B3271" i="2"/>
  <c r="A3271" i="2"/>
  <c r="B3270" i="2"/>
  <c r="A3270" i="2"/>
  <c r="B3269" i="2"/>
  <c r="A3269" i="2"/>
  <c r="B3268" i="2"/>
  <c r="A3268" i="2"/>
  <c r="B3267" i="2"/>
  <c r="A3267" i="2"/>
  <c r="B3266" i="2"/>
  <c r="A3266" i="2"/>
  <c r="B3265" i="2"/>
  <c r="A3265" i="2"/>
  <c r="B3264" i="2"/>
  <c r="A3264" i="2"/>
  <c r="B3263" i="2"/>
  <c r="A3263" i="2"/>
  <c r="B3262" i="2"/>
  <c r="A3262" i="2"/>
  <c r="B3261" i="2"/>
  <c r="A3261" i="2"/>
  <c r="B3260" i="2"/>
  <c r="A3260" i="2"/>
  <c r="B3259" i="2"/>
  <c r="A3259" i="2"/>
  <c r="B3258" i="2"/>
  <c r="A3258" i="2"/>
  <c r="B3257" i="2"/>
  <c r="A3257" i="2"/>
  <c r="B3256" i="2"/>
  <c r="A3256" i="2"/>
  <c r="B3255" i="2"/>
  <c r="A3255" i="2"/>
  <c r="B3254" i="2"/>
  <c r="A3254" i="2"/>
  <c r="B3253" i="2"/>
  <c r="A3253" i="2"/>
  <c r="B3252" i="2"/>
  <c r="A3252" i="2"/>
  <c r="B3251" i="2"/>
  <c r="A3251" i="2"/>
  <c r="B3250" i="2"/>
  <c r="A3250" i="2"/>
  <c r="B3249" i="2"/>
  <c r="A3249" i="2"/>
  <c r="B3248" i="2"/>
  <c r="A3248" i="2"/>
  <c r="B3247" i="2"/>
  <c r="A3247" i="2"/>
  <c r="B3246" i="2"/>
  <c r="A3246" i="2"/>
  <c r="B3245" i="2"/>
  <c r="A3245" i="2"/>
  <c r="B3244" i="2"/>
  <c r="A3244" i="2"/>
  <c r="B3243" i="2"/>
  <c r="A3243" i="2"/>
  <c r="B3242" i="2"/>
  <c r="A3242" i="2"/>
  <c r="B3241" i="2"/>
  <c r="A3241" i="2"/>
  <c r="B3240" i="2"/>
  <c r="A3240" i="2"/>
  <c r="B3239" i="2"/>
  <c r="A3239" i="2"/>
  <c r="B3238" i="2"/>
  <c r="A3238" i="2"/>
  <c r="B3237" i="2"/>
  <c r="A3237" i="2"/>
  <c r="B3236" i="2"/>
  <c r="A3236" i="2"/>
  <c r="B3235" i="2"/>
  <c r="A3235" i="2"/>
  <c r="B3234" i="2"/>
  <c r="A3234" i="2"/>
  <c r="B3233" i="2"/>
  <c r="A3233" i="2"/>
  <c r="B3232" i="2"/>
  <c r="A3232" i="2"/>
  <c r="B3231" i="2"/>
  <c r="A3231" i="2"/>
  <c r="B3230" i="2"/>
  <c r="A3230" i="2"/>
  <c r="B3229" i="2"/>
  <c r="A3229" i="2"/>
  <c r="B3228" i="2"/>
  <c r="A3228" i="2"/>
  <c r="B3227" i="2"/>
  <c r="A3227" i="2"/>
  <c r="B3226" i="2"/>
  <c r="A3226" i="2"/>
  <c r="B3225" i="2"/>
  <c r="A3225" i="2"/>
  <c r="B3224" i="2"/>
  <c r="A3224" i="2"/>
  <c r="B3223" i="2"/>
  <c r="A3223" i="2"/>
  <c r="B3222" i="2"/>
  <c r="A3222" i="2"/>
  <c r="B3221" i="2"/>
  <c r="A3221" i="2"/>
  <c r="B3220" i="2"/>
  <c r="A3220" i="2"/>
  <c r="B3219" i="2"/>
  <c r="A3219" i="2"/>
  <c r="B3218" i="2"/>
  <c r="A3218" i="2"/>
  <c r="B3217" i="2"/>
  <c r="A3217" i="2"/>
  <c r="B3216" i="2"/>
  <c r="A3216" i="2"/>
  <c r="B3215" i="2"/>
  <c r="A3215" i="2"/>
  <c r="B3214" i="2"/>
  <c r="A3214" i="2"/>
  <c r="B3213" i="2"/>
  <c r="A3213" i="2"/>
  <c r="B3212" i="2"/>
  <c r="A3212" i="2"/>
  <c r="B3211" i="2"/>
  <c r="A3211" i="2"/>
  <c r="B3210" i="2"/>
  <c r="A3210" i="2"/>
  <c r="B3209" i="2"/>
  <c r="A3209" i="2"/>
  <c r="B3208" i="2"/>
  <c r="A3208" i="2"/>
  <c r="B3207" i="2"/>
  <c r="A3207" i="2"/>
  <c r="B3206" i="2"/>
  <c r="A3206" i="2"/>
  <c r="B3205" i="2"/>
  <c r="A3205" i="2"/>
  <c r="B3204" i="2"/>
  <c r="A3204" i="2"/>
  <c r="B3203" i="2"/>
  <c r="A3203" i="2"/>
  <c r="B3202" i="2"/>
  <c r="A3202" i="2"/>
  <c r="B3201" i="2"/>
  <c r="A3201" i="2"/>
  <c r="B3200" i="2"/>
  <c r="A3200" i="2"/>
  <c r="B3199" i="2"/>
  <c r="A3199" i="2"/>
  <c r="B3198" i="2"/>
  <c r="A3198" i="2"/>
  <c r="B3197" i="2"/>
  <c r="A3197" i="2"/>
  <c r="B3196" i="2"/>
  <c r="A3196" i="2"/>
  <c r="B3195" i="2"/>
  <c r="A3195" i="2"/>
  <c r="B3194" i="2"/>
  <c r="A3194" i="2"/>
  <c r="B3193" i="2"/>
  <c r="A3193" i="2"/>
  <c r="B3192" i="2"/>
  <c r="A3192" i="2"/>
  <c r="B3191" i="2"/>
  <c r="A3191" i="2"/>
  <c r="B3190" i="2"/>
  <c r="A3190" i="2"/>
  <c r="B3189" i="2"/>
  <c r="A3189" i="2"/>
  <c r="B3188" i="2"/>
  <c r="A3188" i="2"/>
  <c r="B3187" i="2"/>
  <c r="A3187" i="2"/>
  <c r="B3186" i="2"/>
  <c r="A3186" i="2"/>
  <c r="B3185" i="2"/>
  <c r="A3185" i="2"/>
  <c r="B3184" i="2"/>
  <c r="A3184" i="2"/>
  <c r="B3183" i="2"/>
  <c r="A3183" i="2"/>
  <c r="B3182" i="2"/>
  <c r="A3182" i="2"/>
  <c r="B3181" i="2"/>
  <c r="A3181" i="2"/>
  <c r="B3180" i="2"/>
  <c r="A3180" i="2"/>
  <c r="B3179" i="2"/>
  <c r="A3179" i="2"/>
  <c r="B3178" i="2"/>
  <c r="A3178" i="2"/>
  <c r="B3177" i="2"/>
  <c r="A3177" i="2"/>
  <c r="B3176" i="2"/>
  <c r="A3176" i="2"/>
  <c r="B3175" i="2"/>
  <c r="A3175" i="2"/>
  <c r="B3174" i="2"/>
  <c r="A3174" i="2"/>
  <c r="B3173" i="2"/>
  <c r="A3173" i="2"/>
  <c r="B3172" i="2"/>
  <c r="A3172" i="2"/>
  <c r="B3171" i="2"/>
  <c r="A3171" i="2"/>
  <c r="B3170" i="2"/>
  <c r="A3170" i="2"/>
  <c r="B3169" i="2"/>
  <c r="A3169" i="2"/>
  <c r="B3168" i="2"/>
  <c r="A3168" i="2"/>
  <c r="B3167" i="2"/>
  <c r="A3167" i="2"/>
  <c r="B3166" i="2"/>
  <c r="A3166" i="2"/>
  <c r="B3165" i="2"/>
  <c r="A3165" i="2"/>
  <c r="B3164" i="2"/>
  <c r="A3164" i="2"/>
  <c r="B3163" i="2"/>
  <c r="A3163" i="2"/>
  <c r="B3162" i="2"/>
  <c r="A3162" i="2"/>
  <c r="B3161" i="2"/>
  <c r="A3161" i="2"/>
  <c r="B3160" i="2"/>
  <c r="A3160" i="2"/>
  <c r="B3159" i="2"/>
  <c r="A3159" i="2"/>
  <c r="B3158" i="2"/>
  <c r="A3158" i="2"/>
  <c r="B3157" i="2"/>
  <c r="A3157" i="2"/>
  <c r="B3156" i="2"/>
  <c r="A3156" i="2"/>
  <c r="B3155" i="2"/>
  <c r="A3155" i="2"/>
  <c r="B3154" i="2"/>
  <c r="A3154" i="2"/>
  <c r="B3153" i="2"/>
  <c r="A3153" i="2"/>
  <c r="B3152" i="2"/>
  <c r="A3152" i="2"/>
  <c r="B3151" i="2"/>
  <c r="A3151" i="2"/>
  <c r="B3150" i="2"/>
  <c r="A3150" i="2"/>
  <c r="B3149" i="2"/>
  <c r="A3149" i="2"/>
  <c r="B3148" i="2"/>
  <c r="A3148" i="2"/>
  <c r="B3147" i="2"/>
  <c r="A3147" i="2"/>
  <c r="B3146" i="2"/>
  <c r="A3146" i="2"/>
  <c r="B3145" i="2"/>
  <c r="A3145" i="2"/>
  <c r="B3144" i="2"/>
  <c r="A3144" i="2"/>
  <c r="B3143" i="2"/>
  <c r="A3143" i="2"/>
  <c r="B3142" i="2"/>
  <c r="A3142" i="2"/>
  <c r="B3141" i="2"/>
  <c r="A3141" i="2"/>
  <c r="B3140" i="2"/>
  <c r="A3140" i="2"/>
  <c r="B3139" i="2"/>
  <c r="A3139" i="2"/>
  <c r="B3138" i="2"/>
  <c r="A3138" i="2"/>
  <c r="B3137" i="2"/>
  <c r="A3137" i="2"/>
  <c r="B3136" i="2"/>
  <c r="A3136" i="2"/>
  <c r="B3135" i="2"/>
  <c r="A3135" i="2"/>
  <c r="B3134" i="2"/>
  <c r="A3134" i="2"/>
  <c r="B3133" i="2"/>
  <c r="A3133" i="2"/>
  <c r="B3132" i="2"/>
  <c r="A3132" i="2"/>
  <c r="B3131" i="2"/>
  <c r="A3131" i="2"/>
  <c r="B3130" i="2"/>
  <c r="A3130" i="2"/>
  <c r="B3129" i="2"/>
  <c r="A3129" i="2"/>
  <c r="B3128" i="2"/>
  <c r="A3128" i="2"/>
  <c r="B3127" i="2"/>
  <c r="A3127" i="2"/>
  <c r="B3126" i="2"/>
  <c r="A3126" i="2"/>
  <c r="B3125" i="2"/>
  <c r="A3125" i="2"/>
  <c r="B3124" i="2"/>
  <c r="A3124" i="2"/>
  <c r="B3123" i="2"/>
  <c r="A3123" i="2"/>
  <c r="B3122" i="2"/>
  <c r="A3122" i="2"/>
  <c r="B3121" i="2"/>
  <c r="A3121" i="2"/>
  <c r="B3120" i="2"/>
  <c r="A3120" i="2"/>
  <c r="B3119" i="2"/>
  <c r="A3119" i="2"/>
  <c r="B3118" i="2"/>
  <c r="A3118" i="2"/>
  <c r="B3117" i="2"/>
  <c r="A3117" i="2"/>
  <c r="B3116" i="2"/>
  <c r="A3116" i="2"/>
  <c r="B3115" i="2"/>
  <c r="A3115" i="2"/>
  <c r="B3114" i="2"/>
  <c r="A3114" i="2"/>
  <c r="B3113" i="2"/>
  <c r="A3113" i="2"/>
  <c r="B3112" i="2"/>
  <c r="A3112" i="2"/>
  <c r="B3111" i="2"/>
  <c r="A3111" i="2"/>
  <c r="B3110" i="2"/>
  <c r="A3110" i="2"/>
  <c r="B3109" i="2"/>
  <c r="A3109" i="2"/>
  <c r="B3108" i="2"/>
  <c r="A3108" i="2"/>
  <c r="B3107" i="2"/>
  <c r="A3107" i="2"/>
  <c r="B3106" i="2"/>
  <c r="A3106" i="2"/>
  <c r="B3105" i="2"/>
  <c r="A3105" i="2"/>
  <c r="B3104" i="2"/>
  <c r="A3104" i="2"/>
  <c r="B3103" i="2"/>
  <c r="A3103" i="2"/>
  <c r="B3102" i="2"/>
  <c r="A3102" i="2"/>
  <c r="B3101" i="2"/>
  <c r="A3101" i="2"/>
  <c r="B3100" i="2"/>
  <c r="A3100" i="2"/>
  <c r="B3099" i="2"/>
  <c r="A3099" i="2"/>
  <c r="B3098" i="2"/>
  <c r="A3098" i="2"/>
  <c r="B3097" i="2"/>
  <c r="A3097" i="2"/>
  <c r="B3096" i="2"/>
  <c r="A3096" i="2"/>
  <c r="B3095" i="2"/>
  <c r="A3095" i="2"/>
  <c r="B3094" i="2"/>
  <c r="A3094" i="2"/>
  <c r="B3093" i="2"/>
  <c r="A3093" i="2"/>
  <c r="B3092" i="2"/>
  <c r="A3092" i="2"/>
  <c r="B3091" i="2"/>
  <c r="A3091" i="2"/>
  <c r="B3090" i="2"/>
  <c r="A3090" i="2"/>
  <c r="B3089" i="2"/>
  <c r="A3089" i="2"/>
  <c r="B3088" i="2"/>
  <c r="A3088" i="2"/>
  <c r="B3087" i="2"/>
  <c r="A3087" i="2"/>
  <c r="B3086" i="2"/>
  <c r="A3086" i="2"/>
  <c r="B3085" i="2"/>
  <c r="A3085" i="2"/>
  <c r="B3084" i="2"/>
  <c r="A3084" i="2"/>
  <c r="B3083" i="2"/>
  <c r="A3083" i="2"/>
  <c r="B3082" i="2"/>
  <c r="A3082" i="2"/>
  <c r="B3081" i="2"/>
  <c r="A3081" i="2"/>
  <c r="B3080" i="2"/>
  <c r="A3080" i="2"/>
  <c r="B3079" i="2"/>
  <c r="A3079" i="2"/>
  <c r="B3078" i="2"/>
  <c r="A3078" i="2"/>
  <c r="B3077" i="2"/>
  <c r="A3077" i="2"/>
  <c r="B3076" i="2"/>
  <c r="A3076" i="2"/>
  <c r="B3075" i="2"/>
  <c r="A3075" i="2"/>
  <c r="B3074" i="2"/>
  <c r="A3074" i="2"/>
  <c r="B3073" i="2"/>
  <c r="A3073" i="2"/>
  <c r="B3072" i="2"/>
  <c r="A3072" i="2"/>
  <c r="B3071" i="2"/>
  <c r="A3071" i="2"/>
  <c r="B3070" i="2"/>
  <c r="A3070" i="2"/>
  <c r="B3069" i="2"/>
  <c r="A3069" i="2"/>
  <c r="B3068" i="2"/>
  <c r="A3068" i="2"/>
  <c r="B3067" i="2"/>
  <c r="A3067" i="2"/>
  <c r="B3066" i="2"/>
  <c r="A3066" i="2"/>
  <c r="B3065" i="2"/>
  <c r="A3065" i="2"/>
  <c r="B3064" i="2"/>
  <c r="A3064" i="2"/>
  <c r="B3063" i="2"/>
  <c r="A3063" i="2"/>
  <c r="B3062" i="2"/>
  <c r="A3062" i="2"/>
  <c r="B3061" i="2"/>
  <c r="A3061" i="2"/>
  <c r="B3060" i="2"/>
  <c r="A3060" i="2"/>
  <c r="B3059" i="2"/>
  <c r="A3059" i="2"/>
  <c r="B3058" i="2"/>
  <c r="A3058" i="2"/>
  <c r="B3057" i="2"/>
  <c r="A3057" i="2"/>
  <c r="B3056" i="2"/>
  <c r="A3056" i="2"/>
  <c r="B3055" i="2"/>
  <c r="A3055" i="2"/>
  <c r="B3054" i="2"/>
  <c r="A3054" i="2"/>
  <c r="B3053" i="2"/>
  <c r="A3053" i="2"/>
  <c r="B3052" i="2"/>
  <c r="A3052" i="2"/>
  <c r="B3051" i="2"/>
  <c r="A3051" i="2"/>
  <c r="B3050" i="2"/>
  <c r="A3050" i="2"/>
  <c r="B3049" i="2"/>
  <c r="A3049" i="2"/>
  <c r="B3048" i="2"/>
  <c r="A3048" i="2"/>
  <c r="B3047" i="2"/>
  <c r="A3047" i="2"/>
  <c r="B3046" i="2"/>
  <c r="A3046" i="2"/>
  <c r="B3045" i="2"/>
  <c r="A3045" i="2"/>
  <c r="B3044" i="2"/>
  <c r="A3044" i="2"/>
  <c r="B3043" i="2"/>
  <c r="A3043" i="2"/>
  <c r="B3042" i="2"/>
  <c r="A3042" i="2"/>
  <c r="B3041" i="2"/>
  <c r="A3041" i="2"/>
  <c r="B3040" i="2"/>
  <c r="A3040" i="2"/>
  <c r="B3039" i="2"/>
  <c r="A3039" i="2"/>
  <c r="B3038" i="2"/>
  <c r="A3038" i="2"/>
  <c r="B3037" i="2"/>
  <c r="A3037" i="2"/>
  <c r="B3036" i="2"/>
  <c r="A3036" i="2"/>
  <c r="B3035" i="2"/>
  <c r="A3035" i="2"/>
  <c r="B3034" i="2"/>
  <c r="A3034" i="2"/>
  <c r="B3033" i="2"/>
  <c r="A3033" i="2"/>
  <c r="B3032" i="2"/>
  <c r="A3032" i="2"/>
  <c r="B3031" i="2"/>
  <c r="A3031" i="2"/>
  <c r="B3030" i="2"/>
  <c r="A3030" i="2"/>
  <c r="B3029" i="2"/>
  <c r="A3029" i="2"/>
  <c r="B3028" i="2"/>
  <c r="A3028" i="2"/>
  <c r="B3027" i="2"/>
  <c r="A3027" i="2"/>
  <c r="B3026" i="2"/>
  <c r="A3026" i="2"/>
  <c r="B3025" i="2"/>
  <c r="A3025" i="2"/>
  <c r="B3024" i="2"/>
  <c r="A3024" i="2"/>
  <c r="B3023" i="2"/>
  <c r="A3023" i="2"/>
  <c r="B3022" i="2"/>
  <c r="A3022" i="2"/>
  <c r="B3021" i="2"/>
  <c r="A3021" i="2"/>
  <c r="B3020" i="2"/>
  <c r="A3020" i="2"/>
  <c r="B3019" i="2"/>
  <c r="A3019" i="2"/>
  <c r="B3018" i="2"/>
  <c r="A3018" i="2"/>
  <c r="B3017" i="2"/>
  <c r="A3017" i="2"/>
  <c r="B3016" i="2"/>
  <c r="A3016" i="2"/>
  <c r="B3015" i="2"/>
  <c r="A3015" i="2"/>
  <c r="B3014" i="2"/>
  <c r="A3014" i="2"/>
  <c r="B3013" i="2"/>
  <c r="A3013" i="2"/>
  <c r="B3012" i="2"/>
  <c r="A3012" i="2"/>
  <c r="B3011" i="2"/>
  <c r="A3011" i="2"/>
  <c r="B3010" i="2"/>
  <c r="A3010" i="2"/>
  <c r="B3009" i="2"/>
  <c r="A3009" i="2"/>
  <c r="B3008" i="2"/>
  <c r="A3008" i="2"/>
  <c r="B3007" i="2"/>
  <c r="A3007" i="2"/>
  <c r="B3006" i="2"/>
  <c r="A3006" i="2"/>
  <c r="B3005" i="2"/>
  <c r="A3005" i="2"/>
  <c r="B3004" i="2"/>
  <c r="A3004" i="2"/>
  <c r="B3003" i="2"/>
  <c r="A3003" i="2"/>
  <c r="B3002" i="2"/>
  <c r="A3002" i="2"/>
  <c r="B3001" i="2"/>
  <c r="A3001" i="2"/>
  <c r="B3000" i="2"/>
  <c r="A3000" i="2"/>
  <c r="B2999" i="2"/>
  <c r="A2999" i="2"/>
  <c r="B2998" i="2"/>
  <c r="A2998" i="2"/>
  <c r="B2997" i="2"/>
  <c r="A2997" i="2"/>
  <c r="B2996" i="2"/>
  <c r="A2996" i="2"/>
  <c r="B2995" i="2"/>
  <c r="A2995" i="2"/>
  <c r="B2994" i="2"/>
  <c r="A2994" i="2"/>
  <c r="B2993" i="2"/>
  <c r="A2993" i="2"/>
  <c r="B2992" i="2"/>
  <c r="A2992" i="2"/>
  <c r="B2991" i="2"/>
  <c r="A2991" i="2"/>
  <c r="B2990" i="2"/>
  <c r="A2990" i="2"/>
  <c r="B2989" i="2"/>
  <c r="A2989" i="2"/>
  <c r="B2988" i="2"/>
  <c r="A2988" i="2"/>
  <c r="B2987" i="2"/>
  <c r="A2987" i="2"/>
  <c r="B2986" i="2"/>
  <c r="A2986" i="2"/>
  <c r="B2985" i="2"/>
  <c r="A2985" i="2"/>
  <c r="B2984" i="2"/>
  <c r="A2984" i="2"/>
  <c r="B2983" i="2"/>
  <c r="A2983" i="2"/>
  <c r="B2982" i="2"/>
  <c r="A2982" i="2"/>
  <c r="B2981" i="2"/>
  <c r="A2981" i="2"/>
  <c r="B2980" i="2"/>
  <c r="A2980" i="2"/>
  <c r="B2979" i="2"/>
  <c r="A2979" i="2"/>
  <c r="B2978" i="2"/>
  <c r="A2978" i="2"/>
  <c r="B2977" i="2"/>
  <c r="A2977" i="2"/>
  <c r="B2976" i="2"/>
  <c r="A2976" i="2"/>
  <c r="B2975" i="2"/>
  <c r="A2975" i="2"/>
  <c r="B2974" i="2"/>
  <c r="A2974" i="2"/>
  <c r="B2973" i="2"/>
  <c r="A2973" i="2"/>
  <c r="B2972" i="2"/>
  <c r="A2972" i="2"/>
  <c r="B2971" i="2"/>
  <c r="A2971" i="2"/>
  <c r="B2970" i="2"/>
  <c r="A2970" i="2"/>
  <c r="B2969" i="2"/>
  <c r="A2969" i="2"/>
  <c r="B2968" i="2"/>
  <c r="A2968" i="2"/>
  <c r="B2967" i="2"/>
  <c r="A2967" i="2"/>
  <c r="B2966" i="2"/>
  <c r="A2966" i="2"/>
  <c r="B2965" i="2"/>
  <c r="A2965" i="2"/>
  <c r="B2964" i="2"/>
  <c r="A2964" i="2"/>
  <c r="B2963" i="2"/>
  <c r="A2963" i="2"/>
  <c r="B2962" i="2"/>
  <c r="A2962" i="2"/>
  <c r="B2961" i="2"/>
  <c r="A2961" i="2"/>
  <c r="B2960" i="2"/>
  <c r="A2960" i="2"/>
  <c r="B2959" i="2"/>
  <c r="A2959" i="2"/>
  <c r="B2958" i="2"/>
  <c r="A2958" i="2"/>
  <c r="B2957" i="2"/>
  <c r="A2957" i="2"/>
  <c r="B2956" i="2"/>
  <c r="A2956" i="2"/>
  <c r="B2955" i="2"/>
  <c r="A2955" i="2"/>
  <c r="B2954" i="2"/>
  <c r="A2954" i="2"/>
  <c r="B2953" i="2"/>
  <c r="A2953" i="2"/>
  <c r="B2952" i="2"/>
  <c r="A2952" i="2"/>
  <c r="B2951" i="2"/>
  <c r="A2951" i="2"/>
  <c r="B2950" i="2"/>
  <c r="A2950" i="2"/>
  <c r="B2949" i="2"/>
  <c r="A2949" i="2"/>
  <c r="B2948" i="2"/>
  <c r="A2948" i="2"/>
  <c r="B2947" i="2"/>
  <c r="A2947" i="2"/>
  <c r="B2946" i="2"/>
  <c r="A2946" i="2"/>
  <c r="B2945" i="2"/>
  <c r="A2945" i="2"/>
  <c r="B2944" i="2"/>
  <c r="A2944" i="2"/>
  <c r="B2943" i="2"/>
  <c r="A2943" i="2"/>
  <c r="B2942" i="2"/>
  <c r="A2942" i="2"/>
  <c r="B2941" i="2"/>
  <c r="A2941" i="2"/>
  <c r="B2940" i="2"/>
  <c r="A2940" i="2"/>
  <c r="B2939" i="2"/>
  <c r="A2939" i="2"/>
  <c r="B2938" i="2"/>
  <c r="A2938" i="2"/>
  <c r="B2937" i="2"/>
  <c r="A2937" i="2"/>
  <c r="B2936" i="2"/>
  <c r="A2936" i="2"/>
  <c r="B2935" i="2"/>
  <c r="A2935" i="2"/>
  <c r="B2934" i="2"/>
  <c r="A2934" i="2"/>
  <c r="B2933" i="2"/>
  <c r="A2933" i="2"/>
  <c r="B2932" i="2"/>
  <c r="A2932" i="2"/>
  <c r="B2931" i="2"/>
  <c r="A2931" i="2"/>
  <c r="B2930" i="2"/>
  <c r="A2930" i="2"/>
  <c r="B2929" i="2"/>
  <c r="A2929" i="2"/>
  <c r="B2928" i="2"/>
  <c r="A2928" i="2"/>
  <c r="B2927" i="2"/>
  <c r="A2927" i="2"/>
  <c r="B2926" i="2"/>
  <c r="A2926" i="2"/>
  <c r="B2925" i="2"/>
  <c r="A2925" i="2"/>
  <c r="B2924" i="2"/>
  <c r="A2924" i="2"/>
  <c r="B2923" i="2"/>
  <c r="A2923" i="2"/>
  <c r="B2922" i="2"/>
  <c r="A2922" i="2"/>
  <c r="B2921" i="2"/>
  <c r="A2921" i="2"/>
  <c r="B2920" i="2"/>
  <c r="A2920" i="2"/>
  <c r="B2919" i="2"/>
  <c r="A2919" i="2"/>
  <c r="B2918" i="2"/>
  <c r="A2918" i="2"/>
  <c r="B2917" i="2"/>
  <c r="A2917" i="2"/>
  <c r="B2916" i="2"/>
  <c r="A2916" i="2"/>
  <c r="B2915" i="2"/>
  <c r="A2915" i="2"/>
  <c r="B2914" i="2"/>
  <c r="A2914" i="2"/>
  <c r="B2913" i="2"/>
  <c r="A2913" i="2"/>
  <c r="B2912" i="2"/>
  <c r="A2912" i="2"/>
  <c r="B2911" i="2"/>
  <c r="A2911" i="2"/>
  <c r="B2910" i="2"/>
  <c r="A2910" i="2"/>
  <c r="B2909" i="2"/>
  <c r="A2909" i="2"/>
  <c r="B2908" i="2"/>
  <c r="A2908" i="2"/>
  <c r="B2907" i="2"/>
  <c r="A2907" i="2"/>
  <c r="B2906" i="2"/>
  <c r="A2906" i="2"/>
  <c r="B2905" i="2"/>
  <c r="A2905" i="2"/>
  <c r="B2904" i="2"/>
  <c r="A2904" i="2"/>
  <c r="B2903" i="2"/>
  <c r="A2903" i="2"/>
  <c r="B2902" i="2"/>
  <c r="A2902" i="2"/>
  <c r="B2901" i="2"/>
  <c r="A2901" i="2"/>
  <c r="B2900" i="2"/>
  <c r="A2900" i="2"/>
  <c r="B2899" i="2"/>
  <c r="A2899" i="2"/>
  <c r="B2898" i="2"/>
  <c r="A2898" i="2"/>
  <c r="B2897" i="2"/>
  <c r="A2897" i="2"/>
  <c r="B2896" i="2"/>
  <c r="A2896" i="2"/>
  <c r="B2895" i="2"/>
  <c r="A2895" i="2"/>
  <c r="B2894" i="2"/>
  <c r="A2894" i="2"/>
  <c r="B2893" i="2"/>
  <c r="A2893" i="2"/>
  <c r="B2892" i="2"/>
  <c r="A2892" i="2"/>
  <c r="B2891" i="2"/>
  <c r="A2891" i="2"/>
  <c r="B2890" i="2"/>
  <c r="A2890" i="2"/>
  <c r="B2889" i="2"/>
  <c r="A2889" i="2"/>
  <c r="B2888" i="2"/>
  <c r="A2888" i="2"/>
  <c r="B2887" i="2"/>
  <c r="A2887" i="2"/>
  <c r="B2886" i="2"/>
  <c r="A2886" i="2"/>
  <c r="B2885" i="2"/>
  <c r="A2885" i="2"/>
  <c r="B2884" i="2"/>
  <c r="A2884" i="2"/>
  <c r="B2883" i="2"/>
  <c r="A2883" i="2"/>
  <c r="B2882" i="2"/>
  <c r="A2882" i="2"/>
  <c r="B2881" i="2"/>
  <c r="A2881" i="2"/>
  <c r="B2880" i="2"/>
  <c r="A2880" i="2"/>
  <c r="B2879" i="2"/>
  <c r="A2879" i="2"/>
  <c r="B2878" i="2"/>
  <c r="A2878" i="2"/>
  <c r="B2877" i="2"/>
  <c r="A2877" i="2"/>
  <c r="B2876" i="2"/>
  <c r="A2876" i="2"/>
  <c r="B2875" i="2"/>
  <c r="A2875" i="2"/>
  <c r="B2874" i="2"/>
  <c r="A2874" i="2"/>
  <c r="B2873" i="2"/>
  <c r="A2873" i="2"/>
  <c r="B2872" i="2"/>
  <c r="A2872" i="2"/>
  <c r="B2871" i="2"/>
  <c r="A2871" i="2"/>
  <c r="B2870" i="2"/>
  <c r="A2870" i="2"/>
  <c r="B2869" i="2"/>
  <c r="A2869" i="2"/>
  <c r="B2868" i="2"/>
  <c r="A2868" i="2"/>
  <c r="B2867" i="2"/>
  <c r="A2867" i="2"/>
  <c r="B2866" i="2"/>
  <c r="A2866" i="2"/>
  <c r="B2865" i="2"/>
  <c r="A2865" i="2"/>
  <c r="B2864" i="2"/>
  <c r="A2864" i="2"/>
  <c r="B2863" i="2"/>
  <c r="A2863" i="2"/>
  <c r="B2862" i="2"/>
  <c r="A2862" i="2"/>
  <c r="B2861" i="2"/>
  <c r="A2861" i="2"/>
  <c r="B2860" i="2"/>
  <c r="A2860" i="2"/>
  <c r="B2859" i="2"/>
  <c r="A2859" i="2"/>
  <c r="B2858" i="2"/>
  <c r="A2858" i="2"/>
  <c r="B2857" i="2"/>
  <c r="A2857" i="2"/>
  <c r="B2856" i="2"/>
  <c r="A2856" i="2"/>
  <c r="B2855" i="2"/>
  <c r="A2855" i="2"/>
  <c r="B2854" i="2"/>
  <c r="A2854" i="2"/>
  <c r="B2853" i="2"/>
  <c r="A2853" i="2"/>
  <c r="B2852" i="2"/>
  <c r="A2852" i="2"/>
  <c r="B2851" i="2"/>
  <c r="A2851" i="2"/>
  <c r="B2850" i="2"/>
  <c r="A2850" i="2"/>
  <c r="B2849" i="2"/>
  <c r="A2849" i="2"/>
  <c r="B2848" i="2"/>
  <c r="A2848" i="2"/>
  <c r="B2847" i="2"/>
  <c r="A2847" i="2"/>
  <c r="B2846" i="2"/>
  <c r="A2846" i="2"/>
  <c r="B2845" i="2"/>
  <c r="A2845" i="2"/>
  <c r="B2844" i="2"/>
  <c r="A2844" i="2"/>
  <c r="B2843" i="2"/>
  <c r="A2843" i="2"/>
  <c r="B2842" i="2"/>
  <c r="A2842" i="2"/>
  <c r="B2841" i="2"/>
  <c r="A2841" i="2"/>
  <c r="B2840" i="2"/>
  <c r="A2840" i="2"/>
  <c r="B2839" i="2"/>
  <c r="A2839" i="2"/>
  <c r="B2838" i="2"/>
  <c r="A2838" i="2"/>
  <c r="B2837" i="2"/>
  <c r="A2837" i="2"/>
  <c r="B2836" i="2"/>
  <c r="A2836" i="2"/>
  <c r="B2835" i="2"/>
  <c r="A2835" i="2"/>
  <c r="B2834" i="2"/>
  <c r="A2834" i="2"/>
  <c r="B2833" i="2"/>
  <c r="A2833" i="2"/>
  <c r="B2832" i="2"/>
  <c r="A2832" i="2"/>
  <c r="B2831" i="2"/>
  <c r="A2831" i="2"/>
  <c r="B2830" i="2"/>
  <c r="A2830" i="2"/>
  <c r="B2829" i="2"/>
  <c r="A2829" i="2"/>
  <c r="B2828" i="2"/>
  <c r="A2828" i="2"/>
  <c r="B2827" i="2"/>
  <c r="A2827" i="2"/>
  <c r="B2826" i="2"/>
  <c r="A2826" i="2"/>
  <c r="B2825" i="2"/>
  <c r="A2825" i="2"/>
  <c r="B2824" i="2"/>
  <c r="A2824" i="2"/>
  <c r="B2823" i="2"/>
  <c r="A2823" i="2"/>
  <c r="B2822" i="2"/>
  <c r="A2822" i="2"/>
  <c r="B2821" i="2"/>
  <c r="A2821" i="2"/>
  <c r="B2820" i="2"/>
  <c r="A2820" i="2"/>
  <c r="B2819" i="2"/>
  <c r="A2819" i="2"/>
  <c r="B2818" i="2"/>
  <c r="A2818" i="2"/>
  <c r="B2817" i="2"/>
  <c r="A2817" i="2"/>
  <c r="B2816" i="2"/>
  <c r="A2816" i="2"/>
  <c r="B2815" i="2"/>
  <c r="A2815" i="2"/>
  <c r="B2814" i="2"/>
  <c r="A2814" i="2"/>
  <c r="B2813" i="2"/>
  <c r="A2813" i="2"/>
  <c r="B2812" i="2"/>
  <c r="A2812" i="2"/>
  <c r="B2811" i="2"/>
  <c r="A2811" i="2"/>
  <c r="B2810" i="2"/>
  <c r="A2810" i="2"/>
  <c r="B2809" i="2"/>
  <c r="A2809" i="2"/>
  <c r="B2808" i="2"/>
  <c r="A2808" i="2"/>
  <c r="B2807" i="2"/>
  <c r="A2807" i="2"/>
  <c r="B2806" i="2"/>
  <c r="A2806" i="2"/>
  <c r="B2805" i="2"/>
  <c r="A2805" i="2"/>
  <c r="B2804" i="2"/>
  <c r="A2804" i="2"/>
  <c r="B2803" i="2"/>
  <c r="A2803" i="2"/>
  <c r="B2802" i="2"/>
  <c r="A2802" i="2"/>
  <c r="B2801" i="2"/>
  <c r="A2801" i="2"/>
  <c r="B2800" i="2"/>
  <c r="A2800" i="2"/>
  <c r="B2799" i="2"/>
  <c r="A2799" i="2"/>
  <c r="B2798" i="2"/>
  <c r="A2798" i="2"/>
  <c r="B2797" i="2"/>
  <c r="A2797" i="2"/>
  <c r="B2796" i="2"/>
  <c r="A2796" i="2"/>
  <c r="B2795" i="2"/>
  <c r="A2795" i="2"/>
  <c r="B2794" i="2"/>
  <c r="A2794" i="2"/>
  <c r="B2793" i="2"/>
  <c r="A2793" i="2"/>
  <c r="B2792" i="2"/>
  <c r="A2792" i="2"/>
  <c r="B2791" i="2"/>
  <c r="A2791" i="2"/>
  <c r="B2790" i="2"/>
  <c r="A2790" i="2"/>
  <c r="B2789" i="2"/>
  <c r="A2789" i="2"/>
  <c r="B2788" i="2"/>
  <c r="A2788" i="2"/>
  <c r="B2787" i="2"/>
  <c r="A2787" i="2"/>
  <c r="B2786" i="2"/>
  <c r="A2786" i="2"/>
  <c r="B2785" i="2"/>
  <c r="A2785" i="2"/>
  <c r="B2784" i="2"/>
  <c r="A2784" i="2"/>
  <c r="B2783" i="2"/>
  <c r="A2783" i="2"/>
  <c r="B2782" i="2"/>
  <c r="A2782" i="2"/>
  <c r="B2781" i="2"/>
  <c r="A2781" i="2"/>
  <c r="B2780" i="2"/>
  <c r="A2780" i="2"/>
  <c r="B2779" i="2"/>
  <c r="A2779" i="2"/>
  <c r="B2778" i="2"/>
  <c r="A2778" i="2"/>
  <c r="B2777" i="2"/>
  <c r="A2777" i="2"/>
  <c r="B2776" i="2"/>
  <c r="A2776" i="2"/>
  <c r="B2775" i="2"/>
  <c r="A2775" i="2"/>
  <c r="B2774" i="2"/>
  <c r="A2774" i="2"/>
  <c r="B2773" i="2"/>
  <c r="A2773" i="2"/>
  <c r="B2772" i="2"/>
  <c r="A2772" i="2"/>
  <c r="B2771" i="2"/>
  <c r="A2771" i="2"/>
  <c r="B2770" i="2"/>
  <c r="A2770" i="2"/>
  <c r="B2769" i="2"/>
  <c r="A2769" i="2"/>
  <c r="B2768" i="2"/>
  <c r="A2768" i="2"/>
  <c r="B2767" i="2"/>
  <c r="A2767" i="2"/>
  <c r="B2766" i="2"/>
  <c r="A2766" i="2"/>
  <c r="B2765" i="2"/>
  <c r="A2765" i="2"/>
  <c r="B2764" i="2"/>
  <c r="A2764" i="2"/>
  <c r="B2763" i="2"/>
  <c r="A2763" i="2"/>
  <c r="B2762" i="2"/>
  <c r="A2762" i="2"/>
  <c r="B2761" i="2"/>
  <c r="A2761" i="2"/>
  <c r="B2760" i="2"/>
  <c r="A2760" i="2"/>
  <c r="B2759" i="2"/>
  <c r="A2759" i="2"/>
  <c r="B2758" i="2"/>
  <c r="A2758" i="2"/>
  <c r="B2757" i="2"/>
  <c r="A2757" i="2"/>
  <c r="B2756" i="2"/>
  <c r="A2756" i="2"/>
  <c r="B2755" i="2"/>
  <c r="A2755" i="2"/>
  <c r="B2754" i="2"/>
  <c r="A2754" i="2"/>
  <c r="B2753" i="2"/>
  <c r="A2753" i="2"/>
  <c r="B2752" i="2"/>
  <c r="A2752" i="2"/>
  <c r="B2751" i="2"/>
  <c r="A2751" i="2"/>
  <c r="B2750" i="2"/>
  <c r="A2750" i="2"/>
  <c r="B2749" i="2"/>
  <c r="A2749" i="2"/>
  <c r="B2748" i="2"/>
  <c r="A2748" i="2"/>
  <c r="B2747" i="2"/>
  <c r="A2747" i="2"/>
  <c r="B2746" i="2"/>
  <c r="A2746" i="2"/>
  <c r="B2745" i="2"/>
  <c r="A2745" i="2"/>
  <c r="B2744" i="2"/>
  <c r="A2744" i="2"/>
  <c r="B2743" i="2"/>
  <c r="A2743" i="2"/>
  <c r="B2742" i="2"/>
  <c r="A2742" i="2"/>
  <c r="B2741" i="2"/>
  <c r="A2741" i="2"/>
  <c r="B2740" i="2"/>
  <c r="A2740" i="2"/>
  <c r="B2739" i="2"/>
  <c r="A2739" i="2"/>
  <c r="B2738" i="2"/>
  <c r="A2738" i="2"/>
  <c r="B2737" i="2"/>
  <c r="A2737" i="2"/>
  <c r="B2736" i="2"/>
  <c r="A2736" i="2"/>
  <c r="B2735" i="2"/>
  <c r="A2735" i="2"/>
  <c r="B2734" i="2"/>
  <c r="A2734" i="2"/>
  <c r="B2733" i="2"/>
  <c r="A2733" i="2"/>
  <c r="B2732" i="2"/>
  <c r="A2732" i="2"/>
  <c r="B2731" i="2"/>
  <c r="A2731" i="2"/>
  <c r="B2730" i="2"/>
  <c r="A2730" i="2"/>
  <c r="B2729" i="2"/>
  <c r="A2729" i="2"/>
  <c r="B2728" i="2"/>
  <c r="A2728" i="2"/>
  <c r="B2727" i="2"/>
  <c r="A2727" i="2"/>
  <c r="B2726" i="2"/>
  <c r="A2726" i="2"/>
  <c r="B2725" i="2"/>
  <c r="A2725" i="2"/>
  <c r="B2724" i="2"/>
  <c r="A2724" i="2"/>
  <c r="B2723" i="2"/>
  <c r="A2723" i="2"/>
  <c r="B2722" i="2"/>
  <c r="A2722" i="2"/>
  <c r="B2721" i="2"/>
  <c r="A2721" i="2"/>
  <c r="B2720" i="2"/>
  <c r="A2720" i="2"/>
  <c r="B2719" i="2"/>
  <c r="A2719" i="2"/>
  <c r="B2718" i="2"/>
  <c r="A2718" i="2"/>
  <c r="B2717" i="2"/>
  <c r="A2717" i="2"/>
  <c r="B2716" i="2"/>
  <c r="A2716" i="2"/>
  <c r="B2715" i="2"/>
  <c r="A2715" i="2"/>
  <c r="B2714" i="2"/>
  <c r="A2714" i="2"/>
  <c r="B2713" i="2"/>
  <c r="A2713" i="2"/>
  <c r="B2712" i="2"/>
  <c r="A2712" i="2"/>
  <c r="B2711" i="2"/>
  <c r="A2711" i="2"/>
  <c r="B2710" i="2"/>
  <c r="A2710" i="2"/>
  <c r="B2709" i="2"/>
  <c r="A2709" i="2"/>
  <c r="B2708" i="2"/>
  <c r="A2708" i="2"/>
  <c r="B2707" i="2"/>
  <c r="A2707" i="2"/>
  <c r="B2706" i="2"/>
  <c r="A2706" i="2"/>
  <c r="B2705" i="2"/>
  <c r="A2705" i="2"/>
  <c r="B2704" i="2"/>
  <c r="A2704" i="2"/>
  <c r="B2703" i="2"/>
  <c r="A2703" i="2"/>
  <c r="B2702" i="2"/>
  <c r="A2702" i="2"/>
  <c r="B2701" i="2"/>
  <c r="A2701" i="2"/>
  <c r="B2700" i="2"/>
  <c r="A2700" i="2"/>
  <c r="B2699" i="2"/>
  <c r="A2699" i="2"/>
  <c r="B2698" i="2"/>
  <c r="A2698" i="2"/>
  <c r="B2697" i="2"/>
  <c r="A2697" i="2"/>
  <c r="B2696" i="2"/>
  <c r="A2696" i="2"/>
  <c r="B2695" i="2"/>
  <c r="A2695" i="2"/>
  <c r="B2694" i="2"/>
  <c r="A2694" i="2"/>
  <c r="B2693" i="2"/>
  <c r="A2693" i="2"/>
  <c r="B2692" i="2"/>
  <c r="A2692" i="2"/>
  <c r="B2691" i="2"/>
  <c r="A2691" i="2"/>
  <c r="B2690" i="2"/>
  <c r="A2690" i="2"/>
  <c r="B2689" i="2"/>
  <c r="A2689" i="2"/>
  <c r="B2688" i="2"/>
  <c r="A2688" i="2"/>
  <c r="B2687" i="2"/>
  <c r="A2687" i="2"/>
  <c r="B2686" i="2"/>
  <c r="A2686" i="2"/>
  <c r="B2685" i="2"/>
  <c r="A2685" i="2"/>
  <c r="B2684" i="2"/>
  <c r="A2684" i="2"/>
  <c r="B2683" i="2"/>
  <c r="A2683" i="2"/>
  <c r="B2682" i="2"/>
  <c r="A2682" i="2"/>
  <c r="B2681" i="2"/>
  <c r="A2681" i="2"/>
  <c r="B2680" i="2"/>
  <c r="A2680" i="2"/>
  <c r="B2679" i="2"/>
  <c r="A2679" i="2"/>
  <c r="B2678" i="2"/>
  <c r="A2678" i="2"/>
  <c r="B2677" i="2"/>
  <c r="A2677" i="2"/>
  <c r="B2676" i="2"/>
  <c r="A2676" i="2"/>
  <c r="B2675" i="2"/>
  <c r="A2675" i="2"/>
  <c r="B2674" i="2"/>
  <c r="A2674" i="2"/>
  <c r="B2673" i="2"/>
  <c r="A2673" i="2"/>
  <c r="B2672" i="2"/>
  <c r="A2672" i="2"/>
  <c r="B2671" i="2"/>
  <c r="A2671" i="2"/>
  <c r="B2670" i="2"/>
  <c r="A2670" i="2"/>
  <c r="B2669" i="2"/>
  <c r="A2669" i="2"/>
  <c r="B2668" i="2"/>
  <c r="A2668" i="2"/>
  <c r="B2667" i="2"/>
  <c r="A2667" i="2"/>
  <c r="B2666" i="2"/>
  <c r="A2666" i="2"/>
  <c r="B2665" i="2"/>
  <c r="A2665" i="2"/>
  <c r="B2664" i="2"/>
  <c r="A2664" i="2"/>
  <c r="B2663" i="2"/>
  <c r="A2663" i="2"/>
  <c r="B2662" i="2"/>
  <c r="A2662" i="2"/>
  <c r="B2661" i="2"/>
  <c r="A2661" i="2"/>
  <c r="B2660" i="2"/>
  <c r="A2660" i="2"/>
  <c r="B2659" i="2"/>
  <c r="A2659" i="2"/>
  <c r="B2658" i="2"/>
  <c r="A2658" i="2"/>
  <c r="B2657" i="2"/>
  <c r="A2657" i="2"/>
  <c r="B2656" i="2"/>
  <c r="A2656" i="2"/>
  <c r="B2655" i="2"/>
  <c r="A2655" i="2"/>
  <c r="B2654" i="2"/>
  <c r="A2654" i="2"/>
  <c r="B2653" i="2"/>
  <c r="A2653" i="2"/>
  <c r="B2652" i="2"/>
  <c r="A2652" i="2"/>
  <c r="B2651" i="2"/>
  <c r="A2651" i="2"/>
  <c r="B2650" i="2"/>
  <c r="A2650" i="2"/>
  <c r="B2649" i="2"/>
  <c r="A2649" i="2"/>
  <c r="B2648" i="2"/>
  <c r="A2648" i="2"/>
  <c r="B2647" i="2"/>
  <c r="A2647" i="2"/>
  <c r="B2646" i="2"/>
  <c r="A2646" i="2"/>
  <c r="B2645" i="2"/>
  <c r="A2645" i="2"/>
  <c r="B2644" i="2"/>
  <c r="A2644" i="2"/>
  <c r="B2643" i="2"/>
  <c r="A2643" i="2"/>
  <c r="B2642" i="2"/>
  <c r="A2642" i="2"/>
  <c r="B2641" i="2"/>
  <c r="A2641" i="2"/>
  <c r="B2640" i="2"/>
  <c r="A2640" i="2"/>
  <c r="B2639" i="2"/>
  <c r="A2639" i="2"/>
  <c r="B2638" i="2"/>
  <c r="A2638" i="2"/>
  <c r="B2637" i="2"/>
  <c r="A2637" i="2"/>
  <c r="B2636" i="2"/>
  <c r="A2636" i="2"/>
  <c r="B2635" i="2"/>
  <c r="A2635" i="2"/>
  <c r="B2634" i="2"/>
  <c r="A2634" i="2"/>
  <c r="B2633" i="2"/>
  <c r="A2633" i="2"/>
  <c r="B2632" i="2"/>
  <c r="A2632" i="2"/>
  <c r="B2631" i="2"/>
  <c r="A2631" i="2"/>
  <c r="B2630" i="2"/>
  <c r="A2630" i="2"/>
  <c r="B2629" i="2"/>
  <c r="A2629" i="2"/>
  <c r="B2628" i="2"/>
  <c r="A2628" i="2"/>
  <c r="B2627" i="2"/>
  <c r="A2627" i="2"/>
  <c r="B2626" i="2"/>
  <c r="A2626" i="2"/>
  <c r="B2625" i="2"/>
  <c r="A2625" i="2"/>
  <c r="B2624" i="2"/>
  <c r="A2624" i="2"/>
  <c r="B2623" i="2"/>
  <c r="A2623" i="2"/>
  <c r="B2622" i="2"/>
  <c r="A2622" i="2"/>
  <c r="B2621" i="2"/>
  <c r="A2621" i="2"/>
  <c r="B2620" i="2"/>
  <c r="A2620" i="2"/>
  <c r="B2619" i="2"/>
  <c r="A2619" i="2"/>
  <c r="B2618" i="2"/>
  <c r="A2618" i="2"/>
  <c r="B2617" i="2"/>
  <c r="A2617" i="2"/>
  <c r="B2616" i="2"/>
  <c r="A2616" i="2"/>
  <c r="B2615" i="2"/>
  <c r="A2615" i="2"/>
  <c r="B2614" i="2"/>
  <c r="A2614" i="2"/>
  <c r="B2613" i="2"/>
  <c r="A2613" i="2"/>
  <c r="B2612" i="2"/>
  <c r="A2612" i="2"/>
  <c r="B2611" i="2"/>
  <c r="A2611" i="2"/>
  <c r="B2610" i="2"/>
  <c r="A2610" i="2"/>
  <c r="B2609" i="2"/>
  <c r="A2609" i="2"/>
  <c r="B2608" i="2"/>
  <c r="A2608" i="2"/>
  <c r="B2607" i="2"/>
  <c r="A2607" i="2"/>
  <c r="B2606" i="2"/>
  <c r="A2606" i="2"/>
  <c r="B2605" i="2"/>
  <c r="A2605" i="2"/>
  <c r="B2604" i="2"/>
  <c r="A2604" i="2"/>
  <c r="B2603" i="2"/>
  <c r="A2603" i="2"/>
  <c r="B2602" i="2"/>
  <c r="A2602" i="2"/>
  <c r="B2601" i="2"/>
  <c r="A2601" i="2"/>
  <c r="B2600" i="2"/>
  <c r="A2600" i="2"/>
  <c r="B2599" i="2"/>
  <c r="A2599" i="2"/>
  <c r="B2598" i="2"/>
  <c r="A2598" i="2"/>
  <c r="B2597" i="2"/>
  <c r="A2597" i="2"/>
  <c r="B2596" i="2"/>
  <c r="A2596" i="2"/>
  <c r="B2595" i="2"/>
  <c r="A2595" i="2"/>
  <c r="B2594" i="2"/>
  <c r="A2594" i="2"/>
  <c r="B2593" i="2"/>
  <c r="A2593" i="2"/>
  <c r="B2592" i="2"/>
  <c r="A2592" i="2"/>
  <c r="B2591" i="2"/>
  <c r="A2591" i="2"/>
  <c r="B2590" i="2"/>
  <c r="A2590" i="2"/>
  <c r="B2589" i="2"/>
  <c r="A2589" i="2"/>
  <c r="B2588" i="2"/>
  <c r="A2588" i="2"/>
  <c r="B2587" i="2"/>
  <c r="A2587" i="2"/>
  <c r="B2586" i="2"/>
  <c r="A2586" i="2"/>
  <c r="B2585" i="2"/>
  <c r="A2585" i="2"/>
  <c r="B2584" i="2"/>
  <c r="A2584" i="2"/>
  <c r="B2583" i="2"/>
  <c r="A2583" i="2"/>
  <c r="B2582" i="2"/>
  <c r="A2582" i="2"/>
  <c r="B2581" i="2"/>
  <c r="A2581" i="2"/>
  <c r="B2580" i="2"/>
  <c r="A2580" i="2"/>
  <c r="B2579" i="2"/>
  <c r="A2579" i="2"/>
  <c r="B2578" i="2"/>
  <c r="A2578" i="2"/>
  <c r="B2577" i="2"/>
  <c r="A2577" i="2"/>
  <c r="B2576" i="2"/>
  <c r="A2576" i="2"/>
  <c r="B2575" i="2"/>
  <c r="A2575" i="2"/>
  <c r="B2574" i="2"/>
  <c r="A2574" i="2"/>
  <c r="B2573" i="2"/>
  <c r="A2573" i="2"/>
  <c r="B2572" i="2"/>
  <c r="A2572" i="2"/>
  <c r="B2571" i="2"/>
  <c r="A2571" i="2"/>
  <c r="B2570" i="2"/>
  <c r="A2570" i="2"/>
  <c r="B2569" i="2"/>
  <c r="A2569" i="2"/>
  <c r="B2568" i="2"/>
  <c r="A2568" i="2"/>
  <c r="B2567" i="2"/>
  <c r="A2567" i="2"/>
  <c r="B2566" i="2"/>
  <c r="A2566" i="2"/>
  <c r="B2565" i="2"/>
  <c r="A2565" i="2"/>
  <c r="B2564" i="2"/>
  <c r="A2564" i="2"/>
  <c r="B2563" i="2"/>
  <c r="A2563" i="2"/>
  <c r="B2562" i="2"/>
  <c r="A2562" i="2"/>
  <c r="B2561" i="2"/>
  <c r="A2561" i="2"/>
  <c r="B2560" i="2"/>
  <c r="A2560" i="2"/>
  <c r="B2559" i="2"/>
  <c r="A2559" i="2"/>
  <c r="B2558" i="2"/>
  <c r="A2558" i="2"/>
  <c r="B2557" i="2"/>
  <c r="A2557" i="2"/>
  <c r="B2556" i="2"/>
  <c r="A2556" i="2"/>
  <c r="B2555" i="2"/>
  <c r="A2555" i="2"/>
  <c r="B2554" i="2"/>
  <c r="A2554" i="2"/>
  <c r="B2553" i="2"/>
  <c r="A2553" i="2"/>
  <c r="B2552" i="2"/>
  <c r="A2552" i="2"/>
  <c r="B2551" i="2"/>
  <c r="A2551" i="2"/>
  <c r="B2550" i="2"/>
  <c r="A2550" i="2"/>
  <c r="B2549" i="2"/>
  <c r="A2549" i="2"/>
  <c r="B2548" i="2"/>
  <c r="A2548" i="2"/>
  <c r="B2547" i="2"/>
  <c r="A2547" i="2"/>
  <c r="B2546" i="2"/>
  <c r="A2546" i="2"/>
  <c r="B2545" i="2"/>
  <c r="A2545" i="2"/>
  <c r="B2544" i="2"/>
  <c r="A2544" i="2"/>
  <c r="B2543" i="2"/>
  <c r="A2543" i="2"/>
  <c r="B2542" i="2"/>
  <c r="A2542" i="2"/>
  <c r="B2541" i="2"/>
  <c r="A2541" i="2"/>
  <c r="B2540" i="2"/>
  <c r="A2540" i="2"/>
  <c r="B2539" i="2"/>
  <c r="A2539" i="2"/>
  <c r="B2538" i="2"/>
  <c r="A2538" i="2"/>
  <c r="B2537" i="2"/>
  <c r="A2537" i="2"/>
  <c r="B2536" i="2"/>
  <c r="A2536" i="2"/>
  <c r="B2535" i="2"/>
  <c r="A2535" i="2"/>
  <c r="B2534" i="2"/>
  <c r="A2534" i="2"/>
  <c r="B2533" i="2"/>
  <c r="A2533" i="2"/>
  <c r="B2532" i="2"/>
  <c r="A2532" i="2"/>
  <c r="B2531" i="2"/>
  <c r="A2531" i="2"/>
  <c r="B2530" i="2"/>
  <c r="A2530" i="2"/>
  <c r="B2529" i="2"/>
  <c r="A2529" i="2"/>
  <c r="B2528" i="2"/>
  <c r="A2528" i="2"/>
  <c r="B2527" i="2"/>
  <c r="A2527" i="2"/>
  <c r="B2526" i="2"/>
  <c r="A2526" i="2"/>
  <c r="B2525" i="2"/>
  <c r="A2525" i="2"/>
  <c r="B2524" i="2"/>
  <c r="A2524" i="2"/>
  <c r="B2523" i="2"/>
  <c r="A2523" i="2"/>
  <c r="B2522" i="2"/>
  <c r="A2522" i="2"/>
  <c r="B2521" i="2"/>
  <c r="A2521" i="2"/>
  <c r="B2520" i="2"/>
  <c r="A2520" i="2"/>
  <c r="B2519" i="2"/>
  <c r="A2519" i="2"/>
  <c r="B2518" i="2"/>
  <c r="A2518" i="2"/>
  <c r="B2517" i="2"/>
  <c r="A2517" i="2"/>
  <c r="B2516" i="2"/>
  <c r="A2516" i="2"/>
  <c r="B2515" i="2"/>
  <c r="A2515" i="2"/>
  <c r="B2514" i="2"/>
  <c r="A2514" i="2"/>
  <c r="B2513" i="2"/>
  <c r="A2513" i="2"/>
  <c r="B2512" i="2"/>
  <c r="A2512" i="2"/>
  <c r="B2511" i="2"/>
  <c r="A2511" i="2"/>
  <c r="B2510" i="2"/>
  <c r="A2510" i="2"/>
  <c r="B2509" i="2"/>
  <c r="A2509" i="2"/>
  <c r="B2508" i="2"/>
  <c r="A2508" i="2"/>
  <c r="B2507" i="2"/>
  <c r="A2507" i="2"/>
  <c r="B2506" i="2"/>
  <c r="A2506" i="2"/>
  <c r="B2505" i="2"/>
  <c r="A2505" i="2"/>
  <c r="B2504" i="2"/>
  <c r="A2504" i="2"/>
  <c r="B2503" i="2"/>
  <c r="A2503" i="2"/>
  <c r="B2502" i="2"/>
  <c r="A2502" i="2"/>
  <c r="B2501" i="2"/>
  <c r="A2501" i="2"/>
  <c r="B2500" i="2"/>
  <c r="A2500" i="2"/>
  <c r="B2499" i="2"/>
  <c r="A2499" i="2"/>
  <c r="B2498" i="2"/>
  <c r="A2498" i="2"/>
  <c r="B2497" i="2"/>
  <c r="A2497" i="2"/>
  <c r="B2496" i="2"/>
  <c r="A2496" i="2"/>
  <c r="B2495" i="2"/>
  <c r="A2495" i="2"/>
  <c r="B2494" i="2"/>
  <c r="A2494" i="2"/>
  <c r="B2493" i="2"/>
  <c r="A2493" i="2"/>
  <c r="B2492" i="2"/>
  <c r="A2492" i="2"/>
  <c r="B2491" i="2"/>
  <c r="A2491" i="2"/>
  <c r="B2490" i="2"/>
  <c r="A2490" i="2"/>
  <c r="B2489" i="2"/>
  <c r="A2489" i="2"/>
  <c r="B2488" i="2"/>
  <c r="A2488" i="2"/>
  <c r="B2487" i="2"/>
  <c r="A2487" i="2"/>
  <c r="B2486" i="2"/>
  <c r="A2486" i="2"/>
  <c r="B2485" i="2"/>
  <c r="A2485" i="2"/>
  <c r="B2484" i="2"/>
  <c r="A2484" i="2"/>
  <c r="B2483" i="2"/>
  <c r="A2483" i="2"/>
  <c r="B2482" i="2"/>
  <c r="A2482" i="2"/>
  <c r="B2481" i="2"/>
  <c r="A2481" i="2"/>
  <c r="B2480" i="2"/>
  <c r="A2480" i="2"/>
  <c r="B2479" i="2"/>
  <c r="A2479" i="2"/>
  <c r="B2478" i="2"/>
  <c r="A2478" i="2"/>
  <c r="B2477" i="2"/>
  <c r="A2477" i="2"/>
  <c r="B2476" i="2"/>
  <c r="A2476" i="2"/>
  <c r="B2475" i="2"/>
  <c r="A2475" i="2"/>
  <c r="B2474" i="2"/>
  <c r="A2474" i="2"/>
  <c r="B2473" i="2"/>
  <c r="A2473" i="2"/>
  <c r="B2472" i="2"/>
  <c r="A2472" i="2"/>
  <c r="B2471" i="2"/>
  <c r="A2471" i="2"/>
  <c r="B2470" i="2"/>
  <c r="A2470" i="2"/>
  <c r="B2469" i="2"/>
  <c r="A2469" i="2"/>
  <c r="B2468" i="2"/>
  <c r="A2468" i="2"/>
  <c r="B2467" i="2"/>
  <c r="A2467" i="2"/>
  <c r="B2466" i="2"/>
  <c r="A2466" i="2"/>
  <c r="B2465" i="2"/>
  <c r="A2465" i="2"/>
  <c r="B2464" i="2"/>
  <c r="A2464" i="2"/>
  <c r="B2463" i="2"/>
  <c r="A2463" i="2"/>
  <c r="B2462" i="2"/>
  <c r="A2462" i="2"/>
  <c r="B2461" i="2"/>
  <c r="A2461" i="2"/>
  <c r="B2460" i="2"/>
  <c r="A2460" i="2"/>
  <c r="B2459" i="2"/>
  <c r="A2459" i="2"/>
  <c r="B2458" i="2"/>
  <c r="A2458" i="2"/>
  <c r="B2457" i="2"/>
  <c r="A2457" i="2"/>
  <c r="B2456" i="2"/>
  <c r="A2456" i="2"/>
  <c r="B2455" i="2"/>
  <c r="A2455" i="2"/>
  <c r="B2454" i="2"/>
  <c r="A2454" i="2"/>
  <c r="B2453" i="2"/>
  <c r="A2453" i="2"/>
  <c r="B2452" i="2"/>
  <c r="A2452" i="2"/>
  <c r="B2451" i="2"/>
  <c r="A2451" i="2"/>
  <c r="B2450" i="2"/>
  <c r="A2450" i="2"/>
  <c r="B2449" i="2"/>
  <c r="A2449" i="2"/>
  <c r="B2448" i="2"/>
  <c r="A2448" i="2"/>
  <c r="B2447" i="2"/>
  <c r="A2447" i="2"/>
  <c r="B2446" i="2"/>
  <c r="A2446" i="2"/>
  <c r="B2445" i="2"/>
  <c r="A2445" i="2"/>
  <c r="B2444" i="2"/>
  <c r="A2444" i="2"/>
  <c r="B2443" i="2"/>
  <c r="A2443" i="2"/>
  <c r="B2442" i="2"/>
  <c r="A2442" i="2"/>
  <c r="B2441" i="2"/>
  <c r="A2441" i="2"/>
  <c r="B2440" i="2"/>
  <c r="A2440" i="2"/>
  <c r="B2439" i="2"/>
  <c r="A2439" i="2"/>
  <c r="B2438" i="2"/>
  <c r="A2438" i="2"/>
  <c r="B2437" i="2"/>
  <c r="A2437" i="2"/>
  <c r="B2436" i="2"/>
  <c r="A2436" i="2"/>
  <c r="B2435" i="2"/>
  <c r="A2435" i="2"/>
  <c r="B2434" i="2"/>
  <c r="A2434" i="2"/>
  <c r="B2433" i="2"/>
  <c r="A2433" i="2"/>
  <c r="B2432" i="2"/>
  <c r="A2432" i="2"/>
  <c r="B2431" i="2"/>
  <c r="A2431" i="2"/>
  <c r="B2430" i="2"/>
  <c r="A2430" i="2"/>
  <c r="B2429" i="2"/>
  <c r="A2429" i="2"/>
  <c r="B2428" i="2"/>
  <c r="A2428" i="2"/>
  <c r="B2427" i="2"/>
  <c r="A2427" i="2"/>
  <c r="B2426" i="2"/>
  <c r="A2426" i="2"/>
  <c r="B2425" i="2"/>
  <c r="A2425" i="2"/>
  <c r="B2424" i="2"/>
  <c r="A2424" i="2"/>
  <c r="B2423" i="2"/>
  <c r="A2423" i="2"/>
  <c r="B2422" i="2"/>
  <c r="A2422" i="2"/>
  <c r="B2421" i="2"/>
  <c r="A2421" i="2"/>
  <c r="B2420" i="2"/>
  <c r="A2420" i="2"/>
  <c r="B2419" i="2"/>
  <c r="A2419" i="2"/>
  <c r="B2418" i="2"/>
  <c r="A2418" i="2"/>
  <c r="B2417" i="2"/>
  <c r="A2417" i="2"/>
  <c r="B2416" i="2"/>
  <c r="A2416" i="2"/>
  <c r="B2415" i="2"/>
  <c r="A2415" i="2"/>
  <c r="B2414" i="2"/>
  <c r="A2414" i="2"/>
  <c r="B2413" i="2"/>
  <c r="A2413" i="2"/>
  <c r="B2412" i="2"/>
  <c r="A2412" i="2"/>
  <c r="B2411" i="2"/>
  <c r="A2411" i="2"/>
  <c r="B2410" i="2"/>
  <c r="A2410" i="2"/>
  <c r="B2409" i="2"/>
  <c r="A2409" i="2"/>
  <c r="B2408" i="2"/>
  <c r="A2408" i="2"/>
  <c r="B2407" i="2"/>
  <c r="A2407" i="2"/>
  <c r="B2406" i="2"/>
  <c r="A2406" i="2"/>
  <c r="B2405" i="2"/>
  <c r="A2405" i="2"/>
  <c r="B2404" i="2"/>
  <c r="A2404" i="2"/>
  <c r="B2403" i="2"/>
  <c r="A2403" i="2"/>
  <c r="B2402" i="2"/>
  <c r="A2402" i="2"/>
  <c r="B2401" i="2"/>
  <c r="A2401" i="2"/>
  <c r="B2400" i="2"/>
  <c r="A2400" i="2"/>
  <c r="B2399" i="2"/>
  <c r="A2399" i="2"/>
  <c r="B2398" i="2"/>
  <c r="A2398" i="2"/>
  <c r="B2397" i="2"/>
  <c r="A2397" i="2"/>
  <c r="B2396" i="2"/>
  <c r="A2396" i="2"/>
  <c r="B2395" i="2"/>
  <c r="A2395" i="2"/>
  <c r="B2394" i="2"/>
  <c r="A2394" i="2"/>
  <c r="B2393" i="2"/>
  <c r="A2393" i="2"/>
  <c r="B2392" i="2"/>
  <c r="A2392" i="2"/>
  <c r="B2391" i="2"/>
  <c r="A2391" i="2"/>
  <c r="B2390" i="2"/>
  <c r="A2390" i="2"/>
  <c r="B2389" i="2"/>
  <c r="A2389" i="2"/>
  <c r="B2388" i="2"/>
  <c r="A2388" i="2"/>
  <c r="B2387" i="2"/>
  <c r="A2387" i="2"/>
  <c r="B2386" i="2"/>
  <c r="A2386" i="2"/>
  <c r="B2385" i="2"/>
  <c r="A2385" i="2"/>
  <c r="B2384" i="2"/>
  <c r="A2384" i="2"/>
  <c r="B2383" i="2"/>
  <c r="A2383" i="2"/>
  <c r="B2382" i="2"/>
  <c r="A2382" i="2"/>
  <c r="B2381" i="2"/>
  <c r="A2381" i="2"/>
  <c r="B2380" i="2"/>
  <c r="A2380" i="2"/>
  <c r="B2379" i="2"/>
  <c r="A2379" i="2"/>
  <c r="B2378" i="2"/>
  <c r="A2378" i="2"/>
  <c r="B2377" i="2"/>
  <c r="A2377" i="2"/>
  <c r="B2376" i="2"/>
  <c r="A2376" i="2"/>
  <c r="B2375" i="2"/>
  <c r="A2375" i="2"/>
  <c r="B2374" i="2"/>
  <c r="A2374" i="2"/>
  <c r="B2373" i="2"/>
  <c r="A2373" i="2"/>
  <c r="B2372" i="2"/>
  <c r="A2372" i="2"/>
  <c r="B2371" i="2"/>
  <c r="A2371" i="2"/>
  <c r="B2370" i="2"/>
  <c r="A2370" i="2"/>
  <c r="B2369" i="2"/>
  <c r="A2369" i="2"/>
  <c r="B2368" i="2"/>
  <c r="A2368" i="2"/>
  <c r="B2367" i="2"/>
  <c r="A2367" i="2"/>
  <c r="B2366" i="2"/>
  <c r="A2366" i="2"/>
  <c r="B2365" i="2"/>
  <c r="A2365" i="2"/>
  <c r="B2364" i="2"/>
  <c r="A2364" i="2"/>
  <c r="B2363" i="2"/>
  <c r="A2363" i="2"/>
  <c r="B2362" i="2"/>
  <c r="A2362" i="2"/>
  <c r="B2361" i="2"/>
  <c r="A2361" i="2"/>
  <c r="B2360" i="2"/>
  <c r="A2360" i="2"/>
  <c r="B2359" i="2"/>
  <c r="A2359" i="2"/>
  <c r="B2358" i="2"/>
  <c r="A2358" i="2"/>
  <c r="B2357" i="2"/>
  <c r="A2357" i="2"/>
  <c r="B2356" i="2"/>
  <c r="A2356" i="2"/>
  <c r="B2355" i="2"/>
  <c r="A2355" i="2"/>
  <c r="B2354" i="2"/>
  <c r="A2354" i="2"/>
  <c r="B2353" i="2"/>
  <c r="A2353" i="2"/>
  <c r="B2352" i="2"/>
  <c r="A2352" i="2"/>
  <c r="B2351" i="2"/>
  <c r="A2351" i="2"/>
  <c r="B2350" i="2"/>
  <c r="A2350" i="2"/>
  <c r="B2349" i="2"/>
  <c r="A2349" i="2"/>
  <c r="B2348" i="2"/>
  <c r="A2348" i="2"/>
  <c r="B2347" i="2"/>
  <c r="A2347" i="2"/>
  <c r="B2346" i="2"/>
  <c r="A2346" i="2"/>
  <c r="B2345" i="2"/>
  <c r="A2345" i="2"/>
  <c r="B2344" i="2"/>
  <c r="A2344" i="2"/>
  <c r="B2343" i="2"/>
  <c r="A2343" i="2"/>
  <c r="B2342" i="2"/>
  <c r="A2342" i="2"/>
  <c r="B2341" i="2"/>
  <c r="A2341" i="2"/>
  <c r="B2340" i="2"/>
  <c r="A2340" i="2"/>
  <c r="B2339" i="2"/>
  <c r="A2339" i="2"/>
  <c r="B2338" i="2"/>
  <c r="A2338" i="2"/>
  <c r="B2337" i="2"/>
  <c r="A2337" i="2"/>
  <c r="B2336" i="2"/>
  <c r="A2336" i="2"/>
  <c r="B2335" i="2"/>
  <c r="A2335" i="2"/>
  <c r="B2334" i="2"/>
  <c r="A2334" i="2"/>
  <c r="B2333" i="2"/>
  <c r="A2333" i="2"/>
  <c r="B2332" i="2"/>
  <c r="A2332" i="2"/>
  <c r="B2331" i="2"/>
  <c r="A2331" i="2"/>
  <c r="B2330" i="2"/>
  <c r="A2330" i="2"/>
  <c r="B2329" i="2"/>
  <c r="A2329" i="2"/>
  <c r="B2328" i="2"/>
  <c r="A2328" i="2"/>
  <c r="B2327" i="2"/>
  <c r="A2327" i="2"/>
  <c r="B2326" i="2"/>
  <c r="A2326" i="2"/>
  <c r="B2325" i="2"/>
  <c r="A2325" i="2"/>
  <c r="B2324" i="2"/>
  <c r="A2324" i="2"/>
  <c r="B2323" i="2"/>
  <c r="A2323" i="2"/>
  <c r="B2322" i="2"/>
  <c r="A2322" i="2"/>
  <c r="B2321" i="2"/>
  <c r="A2321" i="2"/>
  <c r="B2320" i="2"/>
  <c r="A2320" i="2"/>
  <c r="B2319" i="2"/>
  <c r="A2319" i="2"/>
  <c r="B2318" i="2"/>
  <c r="A2318" i="2"/>
  <c r="B2317" i="2"/>
  <c r="A2317" i="2"/>
  <c r="B2316" i="2"/>
  <c r="A2316" i="2"/>
  <c r="B2315" i="2"/>
  <c r="A2315" i="2"/>
  <c r="B2314" i="2"/>
  <c r="A2314" i="2"/>
  <c r="B2313" i="2"/>
  <c r="A2313" i="2"/>
  <c r="B2312" i="2"/>
  <c r="A2312" i="2"/>
  <c r="B2311" i="2"/>
  <c r="A2311" i="2"/>
  <c r="B2310" i="2"/>
  <c r="A2310" i="2"/>
  <c r="B2309" i="2"/>
  <c r="A2309" i="2"/>
  <c r="B2308" i="2"/>
  <c r="A2308" i="2"/>
  <c r="B2307" i="2"/>
  <c r="A2307" i="2"/>
  <c r="B2306" i="2"/>
  <c r="A2306" i="2"/>
  <c r="B2305" i="2"/>
  <c r="A2305" i="2"/>
  <c r="B2304" i="2"/>
  <c r="A2304" i="2"/>
  <c r="B2303" i="2"/>
  <c r="A2303" i="2"/>
  <c r="B2302" i="2"/>
  <c r="A2302" i="2"/>
  <c r="B2301" i="2"/>
  <c r="A2301" i="2"/>
  <c r="B2300" i="2"/>
  <c r="A2300" i="2"/>
  <c r="B2299" i="2"/>
  <c r="A2299" i="2"/>
  <c r="B2298" i="2"/>
  <c r="A2298" i="2"/>
  <c r="B2297" i="2"/>
  <c r="A2297" i="2"/>
  <c r="B2296" i="2"/>
  <c r="A2296" i="2"/>
  <c r="B2295" i="2"/>
  <c r="A2295" i="2"/>
  <c r="B2294" i="2"/>
  <c r="A2294" i="2"/>
  <c r="B2293" i="2"/>
  <c r="A2293" i="2"/>
  <c r="B2292" i="2"/>
  <c r="A2292" i="2"/>
  <c r="B2291" i="2"/>
  <c r="A2291" i="2"/>
  <c r="B2290" i="2"/>
  <c r="A2290" i="2"/>
  <c r="B2289" i="2"/>
  <c r="A2289" i="2"/>
  <c r="B2288" i="2"/>
  <c r="A2288" i="2"/>
  <c r="B2287" i="2"/>
  <c r="A2287" i="2"/>
  <c r="B2286" i="2"/>
  <c r="A2286" i="2"/>
  <c r="B2285" i="2"/>
  <c r="A2285" i="2"/>
  <c r="B2284" i="2"/>
  <c r="A2284" i="2"/>
  <c r="B2283" i="2"/>
  <c r="A2283" i="2"/>
  <c r="B2282" i="2"/>
  <c r="A2282" i="2"/>
  <c r="B2281" i="2"/>
  <c r="A2281" i="2"/>
  <c r="B2280" i="2"/>
  <c r="A2280" i="2"/>
  <c r="B2279" i="2"/>
  <c r="A2279" i="2"/>
  <c r="B2278" i="2"/>
  <c r="A2278" i="2"/>
  <c r="B2277" i="2"/>
  <c r="A2277" i="2"/>
  <c r="B2276" i="2"/>
  <c r="A2276" i="2"/>
  <c r="B2275" i="2"/>
  <c r="A2275" i="2"/>
  <c r="B2274" i="2"/>
  <c r="A2274" i="2"/>
  <c r="B2273" i="2"/>
  <c r="A2273" i="2"/>
  <c r="B2272" i="2"/>
  <c r="A2272" i="2"/>
  <c r="B2271" i="2"/>
  <c r="A2271" i="2"/>
  <c r="B2270" i="2"/>
  <c r="A2270" i="2"/>
  <c r="B2269" i="2"/>
  <c r="A2269" i="2"/>
  <c r="B2268" i="2"/>
  <c r="A2268" i="2"/>
  <c r="B2267" i="2"/>
  <c r="A2267" i="2"/>
  <c r="B2266" i="2"/>
  <c r="A2266" i="2"/>
  <c r="B2265" i="2"/>
  <c r="A2265" i="2"/>
  <c r="B2264" i="2"/>
  <c r="A2264" i="2"/>
  <c r="B2263" i="2"/>
  <c r="A2263" i="2"/>
  <c r="B2262" i="2"/>
  <c r="A2262" i="2"/>
  <c r="B2261" i="2"/>
  <c r="A2261" i="2"/>
  <c r="B2260" i="2"/>
  <c r="A2260" i="2"/>
  <c r="B2259" i="2"/>
  <c r="A2259" i="2"/>
  <c r="B2258" i="2"/>
  <c r="A2258" i="2"/>
  <c r="B2257" i="2"/>
  <c r="A2257" i="2"/>
  <c r="B2256" i="2"/>
  <c r="A2256" i="2"/>
  <c r="B2255" i="2"/>
  <c r="A2255" i="2"/>
  <c r="B2254" i="2"/>
  <c r="A2254" i="2"/>
  <c r="B2253" i="2"/>
  <c r="A2253" i="2"/>
  <c r="B2252" i="2"/>
  <c r="A2252" i="2"/>
  <c r="B2251" i="2"/>
  <c r="A2251" i="2"/>
  <c r="B2250" i="2"/>
  <c r="A2250" i="2"/>
  <c r="B2249" i="2"/>
  <c r="A2249" i="2"/>
  <c r="B2248" i="2"/>
  <c r="A2248" i="2"/>
  <c r="B2247" i="2"/>
  <c r="A2247" i="2"/>
  <c r="B2246" i="2"/>
  <c r="A2246" i="2"/>
  <c r="B2245" i="2"/>
  <c r="A2245" i="2"/>
  <c r="B2244" i="2"/>
  <c r="A2244" i="2"/>
  <c r="B2243" i="2"/>
  <c r="A2243" i="2"/>
  <c r="B2242" i="2"/>
  <c r="A2242" i="2"/>
  <c r="B2241" i="2"/>
  <c r="A2241" i="2"/>
  <c r="B2240" i="2"/>
  <c r="A2240" i="2"/>
  <c r="B2239" i="2"/>
  <c r="A2239" i="2"/>
  <c r="B2238" i="2"/>
  <c r="A2238" i="2"/>
  <c r="B2237" i="2"/>
  <c r="A2237" i="2"/>
  <c r="B2236" i="2"/>
  <c r="A2236" i="2"/>
  <c r="B2235" i="2"/>
  <c r="A2235" i="2"/>
  <c r="B2234" i="2"/>
  <c r="A2234" i="2"/>
  <c r="B2233" i="2"/>
  <c r="A2233" i="2"/>
  <c r="B2232" i="2"/>
  <c r="A2232" i="2"/>
  <c r="B2231" i="2"/>
  <c r="A2231" i="2"/>
  <c r="B2230" i="2"/>
  <c r="A2230" i="2"/>
  <c r="B2229" i="2"/>
  <c r="A2229" i="2"/>
  <c r="B2228" i="2"/>
  <c r="A2228" i="2"/>
  <c r="B2227" i="2"/>
  <c r="A2227" i="2"/>
  <c r="B2226" i="2"/>
  <c r="A2226" i="2"/>
  <c r="B2225" i="2"/>
  <c r="A2225" i="2"/>
  <c r="B2224" i="2"/>
  <c r="A2224" i="2"/>
  <c r="B2223" i="2"/>
  <c r="A2223" i="2"/>
  <c r="B2222" i="2"/>
  <c r="A2222" i="2"/>
  <c r="B2221" i="2"/>
  <c r="A2221" i="2"/>
  <c r="B2220" i="2"/>
  <c r="A2220" i="2"/>
  <c r="B2219" i="2"/>
  <c r="A2219" i="2"/>
  <c r="B2218" i="2"/>
  <c r="A2218" i="2"/>
  <c r="B2217" i="2"/>
  <c r="A2217" i="2"/>
  <c r="B2216" i="2"/>
  <c r="A2216" i="2"/>
  <c r="B2215" i="2"/>
  <c r="A2215" i="2"/>
  <c r="B2214" i="2"/>
  <c r="A2214" i="2"/>
  <c r="B2213" i="2"/>
  <c r="A2213" i="2"/>
  <c r="B2212" i="2"/>
  <c r="A2212" i="2"/>
  <c r="B2211" i="2"/>
  <c r="A2211" i="2"/>
  <c r="B2210" i="2"/>
  <c r="A2210" i="2"/>
  <c r="B2209" i="2"/>
  <c r="A2209" i="2"/>
  <c r="B2208" i="2"/>
  <c r="A2208" i="2"/>
  <c r="B2207" i="2"/>
  <c r="A2207" i="2"/>
  <c r="B2206" i="2"/>
  <c r="A2206" i="2"/>
  <c r="B2205" i="2"/>
  <c r="A2205" i="2"/>
  <c r="B2204" i="2"/>
  <c r="A2204" i="2"/>
  <c r="B2203" i="2"/>
  <c r="A2203" i="2"/>
  <c r="B2202" i="2"/>
  <c r="A2202" i="2"/>
  <c r="B2201" i="2"/>
  <c r="A2201" i="2"/>
  <c r="B2200" i="2"/>
  <c r="A2200" i="2"/>
  <c r="B2199" i="2"/>
  <c r="A2199" i="2"/>
  <c r="B2198" i="2"/>
  <c r="A2198" i="2"/>
  <c r="B2197" i="2"/>
  <c r="A2197" i="2"/>
  <c r="B2196" i="2"/>
  <c r="A2196" i="2"/>
  <c r="B2195" i="2"/>
  <c r="A2195" i="2"/>
  <c r="B2194" i="2"/>
  <c r="A2194" i="2"/>
  <c r="B2193" i="2"/>
  <c r="A2193" i="2"/>
  <c r="B2192" i="2"/>
  <c r="A2192" i="2"/>
  <c r="B2191" i="2"/>
  <c r="A2191" i="2"/>
  <c r="B2190" i="2"/>
  <c r="A2190" i="2"/>
  <c r="B2189" i="2"/>
  <c r="A2189" i="2"/>
  <c r="B2188" i="2"/>
  <c r="A2188" i="2"/>
  <c r="B2187" i="2"/>
  <c r="A2187" i="2"/>
  <c r="B2186" i="2"/>
  <c r="A2186" i="2"/>
  <c r="B2185" i="2"/>
  <c r="A2185" i="2"/>
  <c r="B2184" i="2"/>
  <c r="A2184" i="2"/>
  <c r="B2183" i="2"/>
  <c r="A2183" i="2"/>
  <c r="B2182" i="2"/>
  <c r="A2182" i="2"/>
  <c r="B2181" i="2"/>
  <c r="A2181" i="2"/>
  <c r="B2180" i="2"/>
  <c r="A2180" i="2"/>
  <c r="B2179" i="2"/>
  <c r="A2179" i="2"/>
  <c r="B2178" i="2"/>
  <c r="A2178" i="2"/>
  <c r="B2177" i="2"/>
  <c r="A2177" i="2"/>
  <c r="B2176" i="2"/>
  <c r="A2176" i="2"/>
  <c r="B2175" i="2"/>
  <c r="A2175" i="2"/>
  <c r="B2174" i="2"/>
  <c r="A2174" i="2"/>
  <c r="B2173" i="2"/>
  <c r="A2173" i="2"/>
  <c r="B2172" i="2"/>
  <c r="A2172" i="2"/>
  <c r="B2171" i="2"/>
  <c r="A2171" i="2"/>
  <c r="B2170" i="2"/>
  <c r="A2170" i="2"/>
  <c r="B2169" i="2"/>
  <c r="A2169" i="2"/>
  <c r="B2168" i="2"/>
  <c r="A2168" i="2"/>
  <c r="B2167" i="2"/>
  <c r="A2167" i="2"/>
  <c r="B2166" i="2"/>
  <c r="A2166" i="2"/>
  <c r="B2165" i="2"/>
  <c r="A2165" i="2"/>
  <c r="B2164" i="2"/>
  <c r="A2164" i="2"/>
  <c r="B2163" i="2"/>
  <c r="A2163" i="2"/>
  <c r="B2162" i="2"/>
  <c r="A2162" i="2"/>
  <c r="B2161" i="2"/>
  <c r="A2161" i="2"/>
  <c r="B2160" i="2"/>
  <c r="A2160" i="2"/>
  <c r="B2159" i="2"/>
  <c r="A2159" i="2"/>
  <c r="B2158" i="2"/>
  <c r="A2158" i="2"/>
  <c r="B2157" i="2"/>
  <c r="A2157" i="2"/>
  <c r="B2156" i="2"/>
  <c r="A2156" i="2"/>
  <c r="B2155" i="2"/>
  <c r="A2155" i="2"/>
  <c r="B2154" i="2"/>
  <c r="A2154" i="2"/>
  <c r="B2153" i="2"/>
  <c r="A2153" i="2"/>
  <c r="B2152" i="2"/>
  <c r="A2152" i="2"/>
  <c r="B2151" i="2"/>
  <c r="A2151" i="2"/>
  <c r="B2150" i="2"/>
  <c r="A2150" i="2"/>
  <c r="B2149" i="2"/>
  <c r="A2149" i="2"/>
  <c r="B2148" i="2"/>
  <c r="A2148" i="2"/>
  <c r="B2147" i="2"/>
  <c r="A2147" i="2"/>
  <c r="B2146" i="2"/>
  <c r="A2146" i="2"/>
  <c r="B2145" i="2"/>
  <c r="A2145" i="2"/>
  <c r="B2144" i="2"/>
  <c r="A2144" i="2"/>
  <c r="B2143" i="2"/>
  <c r="A2143" i="2"/>
  <c r="B2142" i="2"/>
  <c r="A2142" i="2"/>
  <c r="B2141" i="2"/>
  <c r="A2141" i="2"/>
  <c r="B2140" i="2"/>
  <c r="A2140" i="2"/>
  <c r="B2139" i="2"/>
  <c r="A2139" i="2"/>
  <c r="B2138" i="2"/>
  <c r="A2138" i="2"/>
  <c r="B2137" i="2"/>
  <c r="A2137" i="2"/>
  <c r="B2136" i="2"/>
  <c r="A2136" i="2"/>
  <c r="B2135" i="2"/>
  <c r="A2135" i="2"/>
  <c r="B2134" i="2"/>
  <c r="A2134" i="2"/>
  <c r="B2133" i="2"/>
  <c r="A2133" i="2"/>
  <c r="B2132" i="2"/>
  <c r="A2132" i="2"/>
  <c r="B2131" i="2"/>
  <c r="A2131" i="2"/>
  <c r="B2130" i="2"/>
  <c r="A2130" i="2"/>
  <c r="B2129" i="2"/>
  <c r="A2129" i="2"/>
  <c r="B2128" i="2"/>
  <c r="A2128" i="2"/>
  <c r="B2127" i="2"/>
  <c r="A2127" i="2"/>
  <c r="B2126" i="2"/>
  <c r="A2126" i="2"/>
  <c r="B2125" i="2"/>
  <c r="A2125" i="2"/>
  <c r="B2124" i="2"/>
  <c r="A2124" i="2"/>
  <c r="B2123" i="2"/>
  <c r="A2123" i="2"/>
  <c r="B2122" i="2"/>
  <c r="A2122" i="2"/>
  <c r="B2121" i="2"/>
  <c r="A2121" i="2"/>
  <c r="B2120" i="2"/>
  <c r="A2120" i="2"/>
  <c r="B2119" i="2"/>
  <c r="A2119" i="2"/>
  <c r="B2118" i="2"/>
  <c r="A2118" i="2"/>
  <c r="B2117" i="2"/>
  <c r="A2117" i="2"/>
  <c r="B2116" i="2"/>
  <c r="A2116" i="2"/>
  <c r="B2115" i="2"/>
  <c r="A2115" i="2"/>
  <c r="B2114" i="2"/>
  <c r="A2114" i="2"/>
  <c r="B2113" i="2"/>
  <c r="A2113" i="2"/>
  <c r="B2112" i="2"/>
  <c r="A2112" i="2"/>
  <c r="B2111" i="2"/>
  <c r="A2111" i="2"/>
  <c r="B2110" i="2"/>
  <c r="A2110" i="2"/>
  <c r="B2109" i="2"/>
  <c r="A2109" i="2"/>
  <c r="B2108" i="2"/>
  <c r="A2108" i="2"/>
  <c r="B2107" i="2"/>
  <c r="A2107" i="2"/>
  <c r="B2106" i="2"/>
  <c r="A2106" i="2"/>
  <c r="B2105" i="2"/>
  <c r="A2105" i="2"/>
  <c r="B2104" i="2"/>
  <c r="A2104" i="2"/>
  <c r="B2103" i="2"/>
  <c r="A2103" i="2"/>
  <c r="B2102" i="2"/>
  <c r="A2102" i="2"/>
  <c r="B2101" i="2"/>
  <c r="A2101" i="2"/>
  <c r="B2100" i="2"/>
  <c r="A2100" i="2"/>
  <c r="B2099" i="2"/>
  <c r="A2099" i="2"/>
  <c r="B2098" i="2"/>
  <c r="A2098" i="2"/>
  <c r="B2097" i="2"/>
  <c r="A2097" i="2"/>
  <c r="B2096" i="2"/>
  <c r="A2096" i="2"/>
  <c r="B2095" i="2"/>
  <c r="A2095" i="2"/>
  <c r="B2094" i="2"/>
  <c r="A2094" i="2"/>
  <c r="B2093" i="2"/>
  <c r="A2093" i="2"/>
  <c r="B2092" i="2"/>
  <c r="A2092" i="2"/>
  <c r="B2091" i="2"/>
  <c r="A2091" i="2"/>
  <c r="B2090" i="2"/>
  <c r="A2090" i="2"/>
  <c r="B2089" i="2"/>
  <c r="A2089" i="2"/>
  <c r="B2088" i="2"/>
  <c r="A2088" i="2"/>
  <c r="B2087" i="2"/>
  <c r="A2087" i="2"/>
  <c r="B2086" i="2"/>
  <c r="A2086" i="2"/>
  <c r="B2085" i="2"/>
  <c r="A2085" i="2"/>
  <c r="B2084" i="2"/>
  <c r="A2084" i="2"/>
  <c r="B2083" i="2"/>
  <c r="A2083" i="2"/>
  <c r="B2082" i="2"/>
  <c r="A2082" i="2"/>
  <c r="B2081" i="2"/>
  <c r="A2081" i="2"/>
  <c r="B2080" i="2"/>
  <c r="A2080" i="2"/>
  <c r="B2079" i="2"/>
  <c r="A2079" i="2"/>
  <c r="B2078" i="2"/>
  <c r="A2078" i="2"/>
  <c r="B2077" i="2"/>
  <c r="A2077" i="2"/>
  <c r="B2076" i="2"/>
  <c r="A2076" i="2"/>
  <c r="B2075" i="2"/>
  <c r="A2075" i="2"/>
  <c r="B2074" i="2"/>
  <c r="A2074" i="2"/>
  <c r="B2073" i="2"/>
  <c r="A2073" i="2"/>
  <c r="B2072" i="2"/>
  <c r="A2072" i="2"/>
  <c r="B2071" i="2"/>
  <c r="A2071" i="2"/>
  <c r="B2070" i="2"/>
  <c r="A2070" i="2"/>
  <c r="B2069" i="2"/>
  <c r="A2069" i="2"/>
  <c r="B2068" i="2"/>
  <c r="A2068" i="2"/>
  <c r="B2067" i="2"/>
  <c r="A2067" i="2"/>
  <c r="B2066" i="2"/>
  <c r="A2066" i="2"/>
  <c r="B2065" i="2"/>
  <c r="A2065" i="2"/>
  <c r="B2064" i="2"/>
  <c r="A2064" i="2"/>
  <c r="B2063" i="2"/>
  <c r="A2063" i="2"/>
  <c r="B2062" i="2"/>
  <c r="A2062" i="2"/>
  <c r="B2061" i="2"/>
  <c r="A2061" i="2"/>
  <c r="B2060" i="2"/>
  <c r="A2060" i="2"/>
  <c r="B2059" i="2"/>
  <c r="A2059" i="2"/>
  <c r="B2058" i="2"/>
  <c r="A2058" i="2"/>
  <c r="B2057" i="2"/>
  <c r="A2057" i="2"/>
  <c r="B2056" i="2"/>
  <c r="A2056" i="2"/>
  <c r="B2055" i="2"/>
  <c r="A2055" i="2"/>
  <c r="B2054" i="2"/>
  <c r="A2054" i="2"/>
  <c r="B2053" i="2"/>
  <c r="A2053" i="2"/>
  <c r="B2052" i="2"/>
  <c r="A2052" i="2"/>
  <c r="B2051" i="2"/>
  <c r="A2051" i="2"/>
  <c r="B2050" i="2"/>
  <c r="A2050" i="2"/>
  <c r="B2049" i="2"/>
  <c r="A2049" i="2"/>
  <c r="B2048" i="2"/>
  <c r="A2048" i="2"/>
  <c r="B2047" i="2"/>
  <c r="A2047" i="2"/>
  <c r="B2046" i="2"/>
  <c r="A2046" i="2"/>
  <c r="B2045" i="2"/>
  <c r="A2045" i="2"/>
  <c r="B2044" i="2"/>
  <c r="A2044" i="2"/>
  <c r="B2043" i="2"/>
  <c r="A2043" i="2"/>
  <c r="B2042" i="2"/>
  <c r="A2042" i="2"/>
  <c r="B2041" i="2"/>
  <c r="A2041" i="2"/>
  <c r="B2040" i="2"/>
  <c r="A2040" i="2"/>
  <c r="B2039" i="2"/>
  <c r="A2039" i="2"/>
  <c r="B2038" i="2"/>
  <c r="A2038" i="2"/>
  <c r="B2037" i="2"/>
  <c r="A2037" i="2"/>
  <c r="B2036" i="2"/>
  <c r="A2036" i="2"/>
  <c r="B2035" i="2"/>
  <c r="A2035" i="2"/>
  <c r="B2034" i="2"/>
  <c r="A2034" i="2"/>
  <c r="B2033" i="2"/>
  <c r="A2033" i="2"/>
  <c r="B2032" i="2"/>
  <c r="A2032" i="2"/>
  <c r="B2031" i="2"/>
  <c r="A2031" i="2"/>
  <c r="B2030" i="2"/>
  <c r="A2030" i="2"/>
  <c r="B2029" i="2"/>
  <c r="A2029" i="2"/>
  <c r="B2028" i="2"/>
  <c r="A2028" i="2"/>
  <c r="B2027" i="2"/>
  <c r="A2027" i="2"/>
  <c r="B2026" i="2"/>
  <c r="A2026" i="2"/>
  <c r="B2025" i="2"/>
  <c r="A2025" i="2"/>
  <c r="B2024" i="2"/>
  <c r="A2024" i="2"/>
  <c r="B2023" i="2"/>
  <c r="A2023" i="2"/>
  <c r="B2022" i="2"/>
  <c r="A2022" i="2"/>
  <c r="B2021" i="2"/>
  <c r="A2021" i="2"/>
  <c r="B2020" i="2"/>
  <c r="A2020" i="2"/>
  <c r="B2019" i="2"/>
  <c r="A2019" i="2"/>
  <c r="B2018" i="2"/>
  <c r="A2018" i="2"/>
  <c r="B2017" i="2"/>
  <c r="A2017" i="2"/>
  <c r="B2016" i="2"/>
  <c r="A2016" i="2"/>
  <c r="B2015" i="2"/>
  <c r="A2015" i="2"/>
  <c r="B2014" i="2"/>
  <c r="A2014" i="2"/>
  <c r="B2013" i="2"/>
  <c r="A2013" i="2"/>
  <c r="B2012" i="2"/>
  <c r="A2012" i="2"/>
  <c r="B2011" i="2"/>
  <c r="A2011" i="2"/>
  <c r="B2010" i="2"/>
  <c r="A2010" i="2"/>
  <c r="B2009" i="2"/>
  <c r="A2009" i="2"/>
  <c r="B2008" i="2"/>
  <c r="A2008" i="2"/>
  <c r="B2007" i="2"/>
  <c r="A2007" i="2"/>
  <c r="B2006" i="2"/>
  <c r="A2006" i="2"/>
  <c r="B2005" i="2"/>
  <c r="A2005" i="2"/>
  <c r="B2004" i="2"/>
  <c r="A2004" i="2"/>
  <c r="B2003" i="2"/>
  <c r="A2003" i="2"/>
  <c r="B2002" i="2"/>
  <c r="A2002" i="2"/>
  <c r="B2001" i="2"/>
  <c r="A2001" i="2"/>
  <c r="B2000" i="2"/>
  <c r="A2000" i="2"/>
  <c r="B1999" i="2"/>
  <c r="A1999" i="2"/>
  <c r="B1998" i="2"/>
  <c r="A1998" i="2"/>
  <c r="B1997" i="2"/>
  <c r="A1997" i="2"/>
  <c r="B1996" i="2"/>
  <c r="A1996" i="2"/>
  <c r="B1995" i="2"/>
  <c r="A1995" i="2"/>
  <c r="B1994" i="2"/>
  <c r="A1994" i="2"/>
  <c r="B1993" i="2"/>
  <c r="A1993" i="2"/>
  <c r="B1992" i="2"/>
  <c r="A1992" i="2"/>
  <c r="B1991" i="2"/>
  <c r="A1991" i="2"/>
  <c r="B1990" i="2"/>
  <c r="A1990" i="2"/>
  <c r="B1989" i="2"/>
  <c r="A1989" i="2"/>
  <c r="B1988" i="2"/>
  <c r="A1988" i="2"/>
  <c r="B1987" i="2"/>
  <c r="A1987" i="2"/>
  <c r="B1986" i="2"/>
  <c r="A1986" i="2"/>
  <c r="B1985" i="2"/>
  <c r="A1985" i="2"/>
  <c r="B1984" i="2"/>
  <c r="A1984" i="2"/>
  <c r="B1983" i="2"/>
  <c r="A1983" i="2"/>
  <c r="B1982" i="2"/>
  <c r="A1982" i="2"/>
  <c r="B1981" i="2"/>
  <c r="A1981" i="2"/>
  <c r="B1980" i="2"/>
  <c r="A1980" i="2"/>
  <c r="B1979" i="2"/>
  <c r="A1979" i="2"/>
  <c r="B1978" i="2"/>
  <c r="A1978" i="2"/>
  <c r="B1977" i="2"/>
  <c r="A1977" i="2"/>
  <c r="B1976" i="2"/>
  <c r="A1976" i="2"/>
  <c r="B1975" i="2"/>
  <c r="A1975" i="2"/>
  <c r="B1974" i="2"/>
  <c r="A1974" i="2"/>
  <c r="B1973" i="2"/>
  <c r="A1973" i="2"/>
  <c r="B1972" i="2"/>
  <c r="A1972" i="2"/>
  <c r="B1971" i="2"/>
  <c r="A1971" i="2"/>
  <c r="B1970" i="2"/>
  <c r="A1970" i="2"/>
  <c r="B1969" i="2"/>
  <c r="A1969" i="2"/>
  <c r="B1968" i="2"/>
  <c r="A1968" i="2"/>
  <c r="B1967" i="2"/>
  <c r="A1967" i="2"/>
  <c r="B1966" i="2"/>
  <c r="A1966" i="2"/>
  <c r="B1965" i="2"/>
  <c r="A1965" i="2"/>
  <c r="B1964" i="2"/>
  <c r="A1964" i="2"/>
  <c r="B1963" i="2"/>
  <c r="A1963" i="2"/>
  <c r="B1962" i="2"/>
  <c r="A1962" i="2"/>
  <c r="B1961" i="2"/>
  <c r="A1961" i="2"/>
  <c r="B1960" i="2"/>
  <c r="A1960" i="2"/>
  <c r="B1959" i="2"/>
  <c r="A1959" i="2"/>
  <c r="B1958" i="2"/>
  <c r="A1958" i="2"/>
  <c r="B1957" i="2"/>
  <c r="A1957" i="2"/>
  <c r="B1956" i="2"/>
  <c r="A1956" i="2"/>
  <c r="B1955" i="2"/>
  <c r="A1955" i="2"/>
  <c r="B1954" i="2"/>
  <c r="A1954" i="2"/>
  <c r="B1953" i="2"/>
  <c r="A1953" i="2"/>
  <c r="B1952" i="2"/>
  <c r="A1952" i="2"/>
  <c r="B1951" i="2"/>
  <c r="A1951" i="2"/>
  <c r="B1950" i="2"/>
  <c r="A1950" i="2"/>
  <c r="B1949" i="2"/>
  <c r="A1949" i="2"/>
  <c r="B1948" i="2"/>
  <c r="A1948" i="2"/>
  <c r="B1947" i="2"/>
  <c r="A1947" i="2"/>
  <c r="B1946" i="2"/>
  <c r="A1946" i="2"/>
  <c r="B1945" i="2"/>
  <c r="A1945" i="2"/>
  <c r="B1944" i="2"/>
  <c r="A1944" i="2"/>
  <c r="B1943" i="2"/>
  <c r="A1943" i="2"/>
  <c r="B1942" i="2"/>
  <c r="A1942" i="2"/>
  <c r="B1941" i="2"/>
  <c r="A1941" i="2"/>
  <c r="B1940" i="2"/>
  <c r="A1940" i="2"/>
  <c r="B1939" i="2"/>
  <c r="A1939" i="2"/>
  <c r="B1938" i="2"/>
  <c r="A1938" i="2"/>
  <c r="B1937" i="2"/>
  <c r="A1937" i="2"/>
  <c r="B1936" i="2"/>
  <c r="A1936" i="2"/>
  <c r="B1935" i="2"/>
  <c r="A1935" i="2"/>
  <c r="B1934" i="2"/>
  <c r="A1934" i="2"/>
  <c r="B1933" i="2"/>
  <c r="A1933" i="2"/>
  <c r="B1932" i="2"/>
  <c r="A1932" i="2"/>
  <c r="B1931" i="2"/>
  <c r="A1931" i="2"/>
  <c r="B1930" i="2"/>
  <c r="A1930" i="2"/>
  <c r="B1929" i="2"/>
  <c r="A1929" i="2"/>
  <c r="B1928" i="2"/>
  <c r="A1928" i="2"/>
  <c r="B1927" i="2"/>
  <c r="A1927" i="2"/>
  <c r="B1926" i="2"/>
  <c r="A1926" i="2"/>
  <c r="B1925" i="2"/>
  <c r="A1925" i="2"/>
  <c r="B1924" i="2"/>
  <c r="A1924" i="2"/>
  <c r="B1923" i="2"/>
  <c r="A1923" i="2"/>
  <c r="B1922" i="2"/>
  <c r="A1922" i="2"/>
  <c r="B1921" i="2"/>
  <c r="A1921" i="2"/>
  <c r="B1920" i="2"/>
  <c r="A1920" i="2"/>
  <c r="B1919" i="2"/>
  <c r="A1919" i="2"/>
  <c r="B1918" i="2"/>
  <c r="A1918" i="2"/>
  <c r="B1917" i="2"/>
  <c r="A1917" i="2"/>
  <c r="B1916" i="2"/>
  <c r="A1916" i="2"/>
  <c r="B1915" i="2"/>
  <c r="A1915" i="2"/>
  <c r="B1914" i="2"/>
  <c r="A1914" i="2"/>
  <c r="B1913" i="2"/>
  <c r="A1913" i="2"/>
  <c r="B1912" i="2"/>
  <c r="A1912" i="2"/>
  <c r="B1911" i="2"/>
  <c r="A1911" i="2"/>
  <c r="B1910" i="2"/>
  <c r="A1910" i="2"/>
  <c r="B1909" i="2"/>
  <c r="A1909" i="2"/>
  <c r="B1908" i="2"/>
  <c r="A1908" i="2"/>
  <c r="B1907" i="2"/>
  <c r="A1907" i="2"/>
  <c r="B1906" i="2"/>
  <c r="A1906" i="2"/>
  <c r="B1905" i="2"/>
  <c r="A1905" i="2"/>
  <c r="B1904" i="2"/>
  <c r="A1904" i="2"/>
  <c r="B1903" i="2"/>
  <c r="A1903" i="2"/>
  <c r="B1902" i="2"/>
  <c r="A1902" i="2"/>
  <c r="B1901" i="2"/>
  <c r="A1901" i="2"/>
  <c r="B1900" i="2"/>
  <c r="A1900" i="2"/>
  <c r="B1899" i="2"/>
  <c r="A1899" i="2"/>
  <c r="B1898" i="2"/>
  <c r="A1898" i="2"/>
  <c r="B1897" i="2"/>
  <c r="A1897" i="2"/>
  <c r="B1896" i="2"/>
  <c r="A1896" i="2"/>
  <c r="B1895" i="2"/>
  <c r="A1895" i="2"/>
  <c r="B1894" i="2"/>
  <c r="A1894" i="2"/>
  <c r="B1893" i="2"/>
  <c r="A1893" i="2"/>
  <c r="B1892" i="2"/>
  <c r="A1892" i="2"/>
  <c r="B1891" i="2"/>
  <c r="A1891" i="2"/>
  <c r="B1890" i="2"/>
  <c r="A1890" i="2"/>
  <c r="B1889" i="2"/>
  <c r="A1889" i="2"/>
  <c r="B1888" i="2"/>
  <c r="A1888" i="2"/>
  <c r="B1887" i="2"/>
  <c r="A1887" i="2"/>
  <c r="B1886" i="2"/>
  <c r="A1886" i="2"/>
  <c r="B1885" i="2"/>
  <c r="A1885" i="2"/>
  <c r="B1884" i="2"/>
  <c r="A1884" i="2"/>
  <c r="B1883" i="2"/>
  <c r="A1883" i="2"/>
  <c r="B1882" i="2"/>
  <c r="A1882" i="2"/>
  <c r="B1881" i="2"/>
  <c r="A1881" i="2"/>
  <c r="B1880" i="2"/>
  <c r="A1880" i="2"/>
  <c r="B1879" i="2"/>
  <c r="A1879" i="2"/>
  <c r="B1878" i="2"/>
  <c r="A1878" i="2"/>
  <c r="B1877" i="2"/>
  <c r="A1877" i="2"/>
  <c r="B1876" i="2"/>
  <c r="A1876" i="2"/>
  <c r="B1875" i="2"/>
  <c r="A1875" i="2"/>
  <c r="B1874" i="2"/>
  <c r="A1874" i="2"/>
  <c r="B1873" i="2"/>
  <c r="A1873" i="2"/>
  <c r="B1872" i="2"/>
  <c r="A1872" i="2"/>
  <c r="B1871" i="2"/>
  <c r="A1871" i="2"/>
  <c r="B1870" i="2"/>
  <c r="A1870" i="2"/>
  <c r="B1869" i="2"/>
  <c r="A1869" i="2"/>
  <c r="B1868" i="2"/>
  <c r="A1868" i="2"/>
  <c r="B1867" i="2"/>
  <c r="A1867" i="2"/>
  <c r="B1866" i="2"/>
  <c r="A1866" i="2"/>
  <c r="B1865" i="2"/>
  <c r="A1865" i="2"/>
  <c r="B1864" i="2"/>
  <c r="A1864" i="2"/>
  <c r="B1863" i="2"/>
  <c r="A1863" i="2"/>
  <c r="B1862" i="2"/>
  <c r="A1862" i="2"/>
  <c r="B1861" i="2"/>
  <c r="A1861" i="2"/>
  <c r="B1860" i="2"/>
  <c r="A1860" i="2"/>
  <c r="B1859" i="2"/>
  <c r="A1859" i="2"/>
  <c r="B1858" i="2"/>
  <c r="A1858" i="2"/>
  <c r="B1857" i="2"/>
  <c r="A1857" i="2"/>
  <c r="B1856" i="2"/>
  <c r="A1856" i="2"/>
  <c r="B1855" i="2"/>
  <c r="A1855" i="2"/>
  <c r="B1854" i="2"/>
  <c r="A1854" i="2"/>
  <c r="B1853" i="2"/>
  <c r="A1853" i="2"/>
  <c r="B1852" i="2"/>
  <c r="A1852" i="2"/>
  <c r="B1851" i="2"/>
  <c r="A1851" i="2"/>
  <c r="B1850" i="2"/>
  <c r="A1850" i="2"/>
  <c r="B1849" i="2"/>
  <c r="A1849" i="2"/>
  <c r="B1848" i="2"/>
  <c r="A1848" i="2"/>
  <c r="B1847" i="2"/>
  <c r="A1847" i="2"/>
  <c r="B1846" i="2"/>
  <c r="A1846" i="2"/>
  <c r="B1845" i="2"/>
  <c r="A1845" i="2"/>
  <c r="B1844" i="2"/>
  <c r="A1844" i="2"/>
  <c r="B1843" i="2"/>
  <c r="A1843" i="2"/>
  <c r="B1842" i="2"/>
  <c r="A1842" i="2"/>
  <c r="B1841" i="2"/>
  <c r="A1841" i="2"/>
  <c r="B1840" i="2"/>
  <c r="A1840" i="2"/>
  <c r="B1839" i="2"/>
  <c r="A1839" i="2"/>
  <c r="B1838" i="2"/>
  <c r="A1838" i="2"/>
  <c r="B1837" i="2"/>
  <c r="A1837" i="2"/>
  <c r="B1836" i="2"/>
  <c r="A1836" i="2"/>
  <c r="B1835" i="2"/>
  <c r="A1835" i="2"/>
  <c r="B1834" i="2"/>
  <c r="A1834" i="2"/>
  <c r="B1833" i="2"/>
  <c r="A1833" i="2"/>
  <c r="B1832" i="2"/>
  <c r="A1832" i="2"/>
  <c r="B1831" i="2"/>
  <c r="A1831" i="2"/>
  <c r="B1830" i="2"/>
  <c r="A1830" i="2"/>
  <c r="B1829" i="2"/>
  <c r="A1829" i="2"/>
  <c r="B1828" i="2"/>
  <c r="A1828" i="2"/>
  <c r="B1827" i="2"/>
  <c r="A1827" i="2"/>
  <c r="B1826" i="2"/>
  <c r="A1826" i="2"/>
  <c r="B1825" i="2"/>
  <c r="A1825" i="2"/>
  <c r="B1824" i="2"/>
  <c r="A1824" i="2"/>
  <c r="B1823" i="2"/>
  <c r="A1823" i="2"/>
  <c r="B1822" i="2"/>
  <c r="A1822" i="2"/>
  <c r="B1821" i="2"/>
  <c r="A1821" i="2"/>
  <c r="B1820" i="2"/>
  <c r="A1820" i="2"/>
  <c r="B1819" i="2"/>
  <c r="A1819" i="2"/>
  <c r="B1818" i="2"/>
  <c r="A1818" i="2"/>
  <c r="B1817" i="2"/>
  <c r="A1817" i="2"/>
  <c r="B1816" i="2"/>
  <c r="A1816" i="2"/>
  <c r="B1815" i="2"/>
  <c r="A1815" i="2"/>
  <c r="B1814" i="2"/>
  <c r="A1814" i="2"/>
  <c r="B1813" i="2"/>
  <c r="A1813" i="2"/>
  <c r="B1812" i="2"/>
  <c r="A1812" i="2"/>
  <c r="B1811" i="2"/>
  <c r="A1811" i="2"/>
  <c r="B1810" i="2"/>
  <c r="A1810" i="2"/>
  <c r="B1809" i="2"/>
  <c r="A1809" i="2"/>
  <c r="B1808" i="2"/>
  <c r="A1808" i="2"/>
  <c r="B1807" i="2"/>
  <c r="A1807" i="2"/>
  <c r="B1806" i="2"/>
  <c r="A1806" i="2"/>
  <c r="B1805" i="2"/>
  <c r="A1805" i="2"/>
  <c r="B1804" i="2"/>
  <c r="A1804" i="2"/>
  <c r="B1803" i="2"/>
  <c r="A1803" i="2"/>
  <c r="B1802" i="2"/>
  <c r="A1802" i="2"/>
  <c r="B1801" i="2"/>
  <c r="A1801" i="2"/>
  <c r="B1800" i="2"/>
  <c r="A1800" i="2"/>
  <c r="B1799" i="2"/>
  <c r="A1799" i="2"/>
  <c r="B1798" i="2"/>
  <c r="A1798" i="2"/>
  <c r="B1797" i="2"/>
  <c r="A1797" i="2"/>
  <c r="B1796" i="2"/>
  <c r="A1796" i="2"/>
  <c r="B1795" i="2"/>
  <c r="A1795" i="2"/>
  <c r="B1794" i="2"/>
  <c r="A1794" i="2"/>
  <c r="B1793" i="2"/>
  <c r="A1793" i="2"/>
  <c r="B1792" i="2"/>
  <c r="A1792" i="2"/>
  <c r="B1791" i="2"/>
  <c r="A1791" i="2"/>
  <c r="B1790" i="2"/>
  <c r="A1790" i="2"/>
  <c r="B1789" i="2"/>
  <c r="A1789" i="2"/>
  <c r="B1788" i="2"/>
  <c r="A1788" i="2"/>
  <c r="B1787" i="2"/>
  <c r="A1787" i="2"/>
  <c r="B1786" i="2"/>
  <c r="A1786" i="2"/>
  <c r="B1785" i="2"/>
  <c r="A1785" i="2"/>
  <c r="B1784" i="2"/>
  <c r="A1784" i="2"/>
  <c r="B1783" i="2"/>
  <c r="A1783" i="2"/>
  <c r="B1782" i="2"/>
  <c r="A1782" i="2"/>
  <c r="B1781" i="2"/>
  <c r="A1781" i="2"/>
  <c r="B1780" i="2"/>
  <c r="A1780" i="2"/>
  <c r="B1779" i="2"/>
  <c r="A1779" i="2"/>
  <c r="B1778" i="2"/>
  <c r="A1778" i="2"/>
  <c r="B1777" i="2"/>
  <c r="A1777" i="2"/>
  <c r="B1776" i="2"/>
  <c r="A1776" i="2"/>
  <c r="B1775" i="2"/>
  <c r="A1775" i="2"/>
  <c r="B1774" i="2"/>
  <c r="A1774" i="2"/>
  <c r="B1773" i="2"/>
  <c r="A1773" i="2"/>
  <c r="B1772" i="2"/>
  <c r="A1772" i="2"/>
  <c r="B1771" i="2"/>
  <c r="A1771" i="2"/>
  <c r="B1770" i="2"/>
  <c r="A1770" i="2"/>
  <c r="B1769" i="2"/>
  <c r="A1769" i="2"/>
  <c r="B1768" i="2"/>
  <c r="A1768" i="2"/>
  <c r="B1767" i="2"/>
  <c r="A1767" i="2"/>
  <c r="B1766" i="2"/>
  <c r="A1766" i="2"/>
  <c r="B1765" i="2"/>
  <c r="A1765" i="2"/>
  <c r="B1764" i="2"/>
  <c r="A1764" i="2"/>
  <c r="B1763" i="2"/>
  <c r="A1763" i="2"/>
  <c r="B1762" i="2"/>
  <c r="A1762" i="2"/>
  <c r="B1761" i="2"/>
  <c r="A1761" i="2"/>
  <c r="B1760" i="2"/>
  <c r="A1760" i="2"/>
  <c r="B1759" i="2"/>
  <c r="A1759" i="2"/>
  <c r="B1758" i="2"/>
  <c r="A1758" i="2"/>
  <c r="B1757" i="2"/>
  <c r="A1757" i="2"/>
  <c r="B1756" i="2"/>
  <c r="A1756" i="2"/>
  <c r="B1755" i="2"/>
  <c r="A1755" i="2"/>
  <c r="B1754" i="2"/>
  <c r="A1754" i="2"/>
  <c r="B1753" i="2"/>
  <c r="A1753" i="2"/>
  <c r="B1752" i="2"/>
  <c r="A1752" i="2"/>
  <c r="B1751" i="2"/>
  <c r="A1751" i="2"/>
  <c r="B1750" i="2"/>
  <c r="A1750" i="2"/>
  <c r="B1749" i="2"/>
  <c r="A1749" i="2"/>
  <c r="B1748" i="2"/>
  <c r="A1748" i="2"/>
  <c r="B1747" i="2"/>
  <c r="A1747" i="2"/>
  <c r="B1746" i="2"/>
  <c r="A1746" i="2"/>
  <c r="B1745" i="2"/>
  <c r="A1745" i="2"/>
  <c r="B1744" i="2"/>
  <c r="A1744" i="2"/>
  <c r="B1743" i="2"/>
  <c r="A1743" i="2"/>
  <c r="B1742" i="2"/>
  <c r="A1742" i="2"/>
  <c r="B1741" i="2"/>
  <c r="A1741" i="2"/>
  <c r="B1740" i="2"/>
  <c r="A1740" i="2"/>
  <c r="B1739" i="2"/>
  <c r="A1739" i="2"/>
  <c r="B1738" i="2"/>
  <c r="A1738" i="2"/>
  <c r="B1737" i="2"/>
  <c r="A1737" i="2"/>
  <c r="B1736" i="2"/>
  <c r="A1736" i="2"/>
  <c r="B1735" i="2"/>
  <c r="A1735" i="2"/>
  <c r="B1734" i="2"/>
  <c r="A1734" i="2"/>
  <c r="B1733" i="2"/>
  <c r="A1733" i="2"/>
  <c r="B1732" i="2"/>
  <c r="A1732" i="2"/>
  <c r="B1731" i="2"/>
  <c r="A1731" i="2"/>
  <c r="B1730" i="2"/>
  <c r="A1730" i="2"/>
  <c r="B1729" i="2"/>
  <c r="A1729" i="2"/>
  <c r="B1728" i="2"/>
  <c r="A1728" i="2"/>
  <c r="B1727" i="2"/>
  <c r="A1727" i="2"/>
  <c r="B1726" i="2"/>
  <c r="A1726" i="2"/>
  <c r="B1725" i="2"/>
  <c r="A1725" i="2"/>
  <c r="B1724" i="2"/>
  <c r="A1724" i="2"/>
  <c r="B1723" i="2"/>
  <c r="A1723" i="2"/>
  <c r="B1722" i="2"/>
  <c r="A1722" i="2"/>
  <c r="B1721" i="2"/>
  <c r="A1721" i="2"/>
  <c r="B1720" i="2"/>
  <c r="A1720" i="2"/>
  <c r="B1719" i="2"/>
  <c r="A1719" i="2"/>
  <c r="B1718" i="2"/>
  <c r="A1718" i="2"/>
  <c r="B1717" i="2"/>
  <c r="A1717" i="2"/>
  <c r="B1716" i="2"/>
  <c r="A1716" i="2"/>
  <c r="B1715" i="2"/>
  <c r="A1715" i="2"/>
  <c r="B1714" i="2"/>
  <c r="A1714" i="2"/>
  <c r="B1713" i="2"/>
  <c r="A1713" i="2"/>
  <c r="B1712" i="2"/>
  <c r="A1712" i="2"/>
  <c r="B1711" i="2"/>
  <c r="A1711" i="2"/>
  <c r="B1710" i="2"/>
  <c r="A1710" i="2"/>
  <c r="B1709" i="2"/>
  <c r="A1709" i="2"/>
  <c r="B1708" i="2"/>
  <c r="A1708" i="2"/>
  <c r="B1707" i="2"/>
  <c r="A1707" i="2"/>
  <c r="B1706" i="2"/>
  <c r="A1706" i="2"/>
  <c r="B1705" i="2"/>
  <c r="A1705" i="2"/>
  <c r="B1704" i="2"/>
  <c r="A1704" i="2"/>
  <c r="B1703" i="2"/>
  <c r="A1703" i="2"/>
  <c r="B1702" i="2"/>
  <c r="A1702" i="2"/>
  <c r="B1701" i="2"/>
  <c r="A1701" i="2"/>
  <c r="B1700" i="2"/>
  <c r="A1700" i="2"/>
  <c r="B1699" i="2"/>
  <c r="A1699" i="2"/>
  <c r="B1698" i="2"/>
  <c r="A1698" i="2"/>
  <c r="B1697" i="2"/>
  <c r="A1697" i="2"/>
  <c r="B1696" i="2"/>
  <c r="A1696" i="2"/>
  <c r="B1695" i="2"/>
  <c r="A1695" i="2"/>
  <c r="B1694" i="2"/>
  <c r="A1694" i="2"/>
  <c r="B1693" i="2"/>
  <c r="A1693" i="2"/>
  <c r="B1692" i="2"/>
  <c r="A1692" i="2"/>
  <c r="B1691" i="2"/>
  <c r="A1691" i="2"/>
  <c r="B1690" i="2"/>
  <c r="A1690" i="2"/>
  <c r="B1689" i="2"/>
  <c r="A1689" i="2"/>
  <c r="B1688" i="2"/>
  <c r="A1688" i="2"/>
  <c r="B1687" i="2"/>
  <c r="A1687" i="2"/>
  <c r="B1686" i="2"/>
  <c r="A1686" i="2"/>
  <c r="B1685" i="2"/>
  <c r="A1685" i="2"/>
  <c r="B1684" i="2"/>
  <c r="A1684" i="2"/>
  <c r="B1683" i="2"/>
  <c r="A1683" i="2"/>
  <c r="B1682" i="2"/>
  <c r="A1682" i="2"/>
  <c r="B1681" i="2"/>
  <c r="A1681" i="2"/>
  <c r="B1680" i="2"/>
  <c r="A1680" i="2"/>
  <c r="B1679" i="2"/>
  <c r="A1679" i="2"/>
  <c r="B1678" i="2"/>
  <c r="A1678" i="2"/>
  <c r="B1677" i="2"/>
  <c r="A1677" i="2"/>
  <c r="B1676" i="2"/>
  <c r="A1676" i="2"/>
  <c r="B1675" i="2"/>
  <c r="A1675" i="2"/>
  <c r="B1674" i="2"/>
  <c r="A1674" i="2"/>
  <c r="B1673" i="2"/>
  <c r="A1673" i="2"/>
  <c r="B1672" i="2"/>
  <c r="A1672" i="2"/>
  <c r="B1671" i="2"/>
  <c r="A1671" i="2"/>
  <c r="B1670" i="2"/>
  <c r="A1670" i="2"/>
  <c r="B1669" i="2"/>
  <c r="A1669" i="2"/>
  <c r="B1668" i="2"/>
  <c r="A1668" i="2"/>
  <c r="B1667" i="2"/>
  <c r="A1667" i="2"/>
  <c r="B1666" i="2"/>
  <c r="A1666" i="2"/>
  <c r="B1665" i="2"/>
  <c r="A1665" i="2"/>
  <c r="B1664" i="2"/>
  <c r="A1664" i="2"/>
  <c r="B1663" i="2"/>
  <c r="A1663" i="2"/>
  <c r="B1662" i="2"/>
  <c r="A1662" i="2"/>
  <c r="B1661" i="2"/>
  <c r="A1661" i="2"/>
  <c r="B1660" i="2"/>
  <c r="A1660" i="2"/>
  <c r="B1659" i="2"/>
  <c r="A1659" i="2"/>
  <c r="B1658" i="2"/>
  <c r="A1658" i="2"/>
  <c r="B1657" i="2"/>
  <c r="A1657" i="2"/>
  <c r="B1656" i="2"/>
  <c r="A1656" i="2"/>
  <c r="B1655" i="2"/>
  <c r="A1655" i="2"/>
  <c r="B1654" i="2"/>
  <c r="A1654" i="2"/>
  <c r="B1653" i="2"/>
  <c r="A1653" i="2"/>
  <c r="B1652" i="2"/>
  <c r="A1652" i="2"/>
  <c r="B1651" i="2"/>
  <c r="A1651" i="2"/>
  <c r="B1650" i="2"/>
  <c r="A1650" i="2"/>
  <c r="B1649" i="2"/>
  <c r="A1649" i="2"/>
  <c r="B1648" i="2"/>
  <c r="A1648" i="2"/>
  <c r="B1647" i="2"/>
  <c r="A1647" i="2"/>
  <c r="B1646" i="2"/>
  <c r="A1646" i="2"/>
  <c r="B1645" i="2"/>
  <c r="A1645" i="2"/>
  <c r="B1644" i="2"/>
  <c r="A1644" i="2"/>
  <c r="B1643" i="2"/>
  <c r="A1643" i="2"/>
  <c r="B1642" i="2"/>
  <c r="A1642" i="2"/>
  <c r="B1641" i="2"/>
  <c r="A1641" i="2"/>
  <c r="B1640" i="2"/>
  <c r="A1640" i="2"/>
  <c r="B1639" i="2"/>
  <c r="A1639" i="2"/>
  <c r="B1638" i="2"/>
  <c r="A1638" i="2"/>
  <c r="B1637" i="2"/>
  <c r="A1637" i="2"/>
  <c r="B1636" i="2"/>
  <c r="A1636" i="2"/>
  <c r="B1635" i="2"/>
  <c r="A1635" i="2"/>
  <c r="B1634" i="2"/>
  <c r="A1634" i="2"/>
  <c r="B1633" i="2"/>
  <c r="A1633" i="2"/>
  <c r="B1632" i="2"/>
  <c r="A1632" i="2"/>
  <c r="B1631" i="2"/>
  <c r="A1631" i="2"/>
  <c r="B1630" i="2"/>
  <c r="A1630" i="2"/>
  <c r="B1629" i="2"/>
  <c r="A1629" i="2"/>
  <c r="B1628" i="2"/>
  <c r="A1628" i="2"/>
  <c r="B1627" i="2"/>
  <c r="A1627" i="2"/>
  <c r="B1626" i="2"/>
  <c r="A1626" i="2"/>
  <c r="B1625" i="2"/>
  <c r="A1625" i="2"/>
  <c r="B1624" i="2"/>
  <c r="A1624" i="2"/>
  <c r="B1623" i="2"/>
  <c r="A1623" i="2"/>
  <c r="B1622" i="2"/>
  <c r="A1622" i="2"/>
  <c r="B1621" i="2"/>
  <c r="A1621" i="2"/>
  <c r="B1620" i="2"/>
  <c r="A1620" i="2"/>
  <c r="B1619" i="2"/>
  <c r="A1619" i="2"/>
  <c r="B1618" i="2"/>
  <c r="A1618" i="2"/>
  <c r="B1617" i="2"/>
  <c r="A1617" i="2"/>
  <c r="B1616" i="2"/>
  <c r="A1616" i="2"/>
  <c r="B1615" i="2"/>
  <c r="A1615" i="2"/>
  <c r="B1614" i="2"/>
  <c r="A1614" i="2"/>
  <c r="B1613" i="2"/>
  <c r="A1613" i="2"/>
  <c r="B1612" i="2"/>
  <c r="A1612" i="2"/>
  <c r="B1611" i="2"/>
  <c r="A1611" i="2"/>
  <c r="B1610" i="2"/>
  <c r="A1610" i="2"/>
  <c r="B1609" i="2"/>
  <c r="A1609" i="2"/>
  <c r="B1608" i="2"/>
  <c r="A1608" i="2"/>
  <c r="B1607" i="2"/>
  <c r="A1607" i="2"/>
  <c r="B1606" i="2"/>
  <c r="A1606" i="2"/>
  <c r="B1605" i="2"/>
  <c r="A1605" i="2"/>
  <c r="B1604" i="2"/>
  <c r="A1604" i="2"/>
  <c r="B1603" i="2"/>
  <c r="A1603" i="2"/>
  <c r="B1602" i="2"/>
  <c r="A1602" i="2"/>
  <c r="B1601" i="2"/>
  <c r="A1601" i="2"/>
  <c r="B1600" i="2"/>
  <c r="A1600" i="2"/>
  <c r="B1599" i="2"/>
  <c r="A1599" i="2"/>
  <c r="B1598" i="2"/>
  <c r="A1598" i="2"/>
  <c r="B1597" i="2"/>
  <c r="A1597" i="2"/>
  <c r="B1596" i="2"/>
  <c r="A1596" i="2"/>
  <c r="B1595" i="2"/>
  <c r="A1595" i="2"/>
  <c r="B1594" i="2"/>
  <c r="A1594" i="2"/>
  <c r="B1593" i="2"/>
  <c r="A1593" i="2"/>
  <c r="B1592" i="2"/>
  <c r="A1592" i="2"/>
  <c r="B1591" i="2"/>
  <c r="A1591" i="2"/>
  <c r="B1590" i="2"/>
  <c r="A1590" i="2"/>
  <c r="B1589" i="2"/>
  <c r="A1589" i="2"/>
  <c r="B1588" i="2"/>
  <c r="A1588" i="2"/>
  <c r="B1587" i="2"/>
  <c r="A1587" i="2"/>
  <c r="B1586" i="2"/>
  <c r="A1586" i="2"/>
  <c r="B1585" i="2"/>
  <c r="A1585" i="2"/>
  <c r="B1584" i="2"/>
  <c r="A1584" i="2"/>
  <c r="B1583" i="2"/>
  <c r="A1583" i="2"/>
  <c r="B1582" i="2"/>
  <c r="A1582" i="2"/>
  <c r="B1581" i="2"/>
  <c r="A1581" i="2"/>
  <c r="B1580" i="2"/>
  <c r="A1580" i="2"/>
  <c r="B1579" i="2"/>
  <c r="A1579" i="2"/>
  <c r="B1578" i="2"/>
  <c r="A1578" i="2"/>
  <c r="B1577" i="2"/>
  <c r="A1577" i="2"/>
  <c r="B1576" i="2"/>
  <c r="A1576" i="2"/>
  <c r="B1575" i="2"/>
  <c r="A1575" i="2"/>
  <c r="B1574" i="2"/>
  <c r="A1574" i="2"/>
  <c r="B1573" i="2"/>
  <c r="A1573" i="2"/>
  <c r="B1572" i="2"/>
  <c r="A1572" i="2"/>
  <c r="B1571" i="2"/>
  <c r="A1571" i="2"/>
  <c r="B1570" i="2"/>
  <c r="A1570" i="2"/>
  <c r="B1569" i="2"/>
  <c r="A1569" i="2"/>
  <c r="B1568" i="2"/>
  <c r="A1568" i="2"/>
  <c r="B1567" i="2"/>
  <c r="A1567" i="2"/>
  <c r="B1566" i="2"/>
  <c r="A1566" i="2"/>
  <c r="B1565" i="2"/>
  <c r="A1565" i="2"/>
  <c r="B1564" i="2"/>
  <c r="A1564" i="2"/>
  <c r="B1563" i="2"/>
  <c r="A1563" i="2"/>
  <c r="B1562" i="2"/>
  <c r="A1562" i="2"/>
  <c r="B1561" i="2"/>
  <c r="A1561" i="2"/>
  <c r="B1560" i="2"/>
  <c r="A1560" i="2"/>
  <c r="B1559" i="2"/>
  <c r="A1559" i="2"/>
  <c r="B1558" i="2"/>
  <c r="A1558" i="2"/>
  <c r="B1557" i="2"/>
  <c r="A1557" i="2"/>
  <c r="B1556" i="2"/>
  <c r="A1556" i="2"/>
  <c r="B1555" i="2"/>
  <c r="A1555" i="2"/>
  <c r="B1554" i="2"/>
  <c r="A1554" i="2"/>
  <c r="B1553" i="2"/>
  <c r="A1553" i="2"/>
  <c r="B1552" i="2"/>
  <c r="A1552" i="2"/>
  <c r="B1551" i="2"/>
  <c r="A1551" i="2"/>
  <c r="B1550" i="2"/>
  <c r="A1550" i="2"/>
  <c r="B1549" i="2"/>
  <c r="A1549" i="2"/>
  <c r="B1548" i="2"/>
  <c r="A1548" i="2"/>
  <c r="B1547" i="2"/>
  <c r="A1547" i="2"/>
  <c r="B1546" i="2"/>
  <c r="A1546" i="2"/>
  <c r="B1545" i="2"/>
  <c r="A1545" i="2"/>
  <c r="B1544" i="2"/>
  <c r="A1544" i="2"/>
  <c r="B1543" i="2"/>
  <c r="A1543" i="2"/>
  <c r="B1542" i="2"/>
  <c r="A1542" i="2"/>
  <c r="B1541" i="2"/>
  <c r="A1541" i="2"/>
  <c r="B1540" i="2"/>
  <c r="A1540" i="2"/>
  <c r="B1539" i="2"/>
  <c r="A1539" i="2"/>
  <c r="B1538" i="2"/>
  <c r="A1538" i="2"/>
  <c r="B1537" i="2"/>
  <c r="A1537" i="2"/>
  <c r="B1536" i="2"/>
  <c r="A1536" i="2"/>
  <c r="B1535" i="2"/>
  <c r="A1535" i="2"/>
  <c r="B1534" i="2"/>
  <c r="A1534" i="2"/>
  <c r="B1533" i="2"/>
  <c r="A1533" i="2"/>
  <c r="B1532" i="2"/>
  <c r="A1532" i="2"/>
  <c r="B1531" i="2"/>
  <c r="A1531" i="2"/>
  <c r="B1530" i="2"/>
  <c r="A1530" i="2"/>
  <c r="B1529" i="2"/>
  <c r="A1529" i="2"/>
  <c r="B1528" i="2"/>
  <c r="A1528" i="2"/>
  <c r="B1527" i="2"/>
  <c r="A1527" i="2"/>
  <c r="B1526" i="2"/>
  <c r="A1526" i="2"/>
  <c r="B1525" i="2"/>
  <c r="A1525" i="2"/>
  <c r="B1524" i="2"/>
  <c r="A1524" i="2"/>
  <c r="B1523" i="2"/>
  <c r="A1523" i="2"/>
  <c r="B1522" i="2"/>
  <c r="A1522" i="2"/>
  <c r="B1521" i="2"/>
  <c r="A1521" i="2"/>
  <c r="B1520" i="2"/>
  <c r="A1520" i="2"/>
  <c r="B1519" i="2"/>
  <c r="A1519" i="2"/>
  <c r="B1518" i="2"/>
  <c r="A1518" i="2"/>
  <c r="B1517" i="2"/>
  <c r="A1517" i="2"/>
  <c r="B1516" i="2"/>
  <c r="A1516" i="2"/>
  <c r="B1515" i="2"/>
  <c r="A1515" i="2"/>
  <c r="B1514" i="2"/>
  <c r="A1514" i="2"/>
  <c r="B1513" i="2"/>
  <c r="A1513" i="2"/>
  <c r="B1512" i="2"/>
  <c r="A1512" i="2"/>
  <c r="B1511" i="2"/>
  <c r="A1511" i="2"/>
  <c r="B1510" i="2"/>
  <c r="A1510" i="2"/>
  <c r="B1509" i="2"/>
  <c r="A1509" i="2"/>
  <c r="B1508" i="2"/>
  <c r="A1508" i="2"/>
  <c r="B1507" i="2"/>
  <c r="A1507" i="2"/>
  <c r="B1506" i="2"/>
  <c r="A1506" i="2"/>
  <c r="B1505" i="2"/>
  <c r="A1505" i="2"/>
  <c r="B1504" i="2"/>
  <c r="A1504" i="2"/>
  <c r="B1503" i="2"/>
  <c r="A1503" i="2"/>
  <c r="B1502" i="2"/>
  <c r="A1502" i="2"/>
  <c r="B1501" i="2"/>
  <c r="A1501" i="2"/>
  <c r="B1500" i="2"/>
  <c r="A1500" i="2"/>
  <c r="B1499" i="2"/>
  <c r="A1499" i="2"/>
  <c r="B1498" i="2"/>
  <c r="A1498" i="2"/>
  <c r="B1497" i="2"/>
  <c r="A1497" i="2"/>
  <c r="B1496" i="2"/>
  <c r="A1496" i="2"/>
  <c r="B1495" i="2"/>
  <c r="A1495" i="2"/>
  <c r="B1494" i="2"/>
  <c r="A1494" i="2"/>
  <c r="B1493" i="2"/>
  <c r="A1493" i="2"/>
  <c r="B1492" i="2"/>
  <c r="A1492" i="2"/>
  <c r="B1491" i="2"/>
  <c r="A1491" i="2"/>
  <c r="B1490" i="2"/>
  <c r="A1490" i="2"/>
  <c r="B1489" i="2"/>
  <c r="A1489" i="2"/>
  <c r="B1488" i="2"/>
  <c r="A1488" i="2"/>
  <c r="B1487" i="2"/>
  <c r="A1487" i="2"/>
  <c r="B1486" i="2"/>
  <c r="A1486" i="2"/>
  <c r="B1485" i="2"/>
  <c r="A1485" i="2"/>
  <c r="B1484" i="2"/>
  <c r="A1484" i="2"/>
  <c r="B1483" i="2"/>
  <c r="A1483" i="2"/>
  <c r="B1482" i="2"/>
  <c r="A1482" i="2"/>
  <c r="B1481" i="2"/>
  <c r="A1481" i="2"/>
  <c r="B1480" i="2"/>
  <c r="A1480" i="2"/>
  <c r="B1479" i="2"/>
  <c r="A1479" i="2"/>
  <c r="B1478" i="2"/>
  <c r="A1478" i="2"/>
  <c r="B1477" i="2"/>
  <c r="A1477" i="2"/>
  <c r="B1476" i="2"/>
  <c r="A1476" i="2"/>
  <c r="B1475" i="2"/>
  <c r="A1475" i="2"/>
  <c r="B1474" i="2"/>
  <c r="A1474" i="2"/>
  <c r="B1473" i="2"/>
  <c r="A1473" i="2"/>
  <c r="B1472" i="2"/>
  <c r="A1472" i="2"/>
  <c r="B1471" i="2"/>
  <c r="A1471" i="2"/>
  <c r="B1470" i="2"/>
  <c r="A1470" i="2"/>
  <c r="B1469" i="2"/>
  <c r="A1469" i="2"/>
  <c r="B1468" i="2"/>
  <c r="A1468" i="2"/>
  <c r="B1467" i="2"/>
  <c r="A1467" i="2"/>
  <c r="B1466" i="2"/>
  <c r="A1466" i="2"/>
  <c r="B1465" i="2"/>
  <c r="A1465" i="2"/>
  <c r="B1464" i="2"/>
  <c r="A1464" i="2"/>
  <c r="B1463" i="2"/>
  <c r="A1463" i="2"/>
  <c r="B1462" i="2"/>
  <c r="A1462" i="2"/>
  <c r="B1461" i="2"/>
  <c r="A1461" i="2"/>
  <c r="B1460" i="2"/>
  <c r="A1460" i="2"/>
  <c r="B1459" i="2"/>
  <c r="A1459" i="2"/>
  <c r="B1458" i="2"/>
  <c r="A1458" i="2"/>
  <c r="B1457" i="2"/>
  <c r="A1457" i="2"/>
  <c r="B1456" i="2"/>
  <c r="A1456" i="2"/>
  <c r="B1455" i="2"/>
  <c r="A1455" i="2"/>
  <c r="B1454" i="2"/>
  <c r="A1454" i="2"/>
  <c r="B1453" i="2"/>
  <c r="A1453" i="2"/>
  <c r="B1452" i="2"/>
  <c r="A1452" i="2"/>
  <c r="B1451" i="2"/>
  <c r="A1451" i="2"/>
  <c r="B1450" i="2"/>
  <c r="A1450" i="2"/>
  <c r="B1449" i="2"/>
  <c r="A1449" i="2"/>
  <c r="B1448" i="2"/>
  <c r="A1448" i="2"/>
  <c r="B1447" i="2"/>
  <c r="A1447" i="2"/>
  <c r="B1446" i="2"/>
  <c r="A1446" i="2"/>
  <c r="B1445" i="2"/>
  <c r="A1445" i="2"/>
  <c r="B1444" i="2"/>
  <c r="A1444" i="2"/>
  <c r="B1443" i="2"/>
  <c r="A1443" i="2"/>
  <c r="B1442" i="2"/>
  <c r="A1442" i="2"/>
  <c r="B1441" i="2"/>
  <c r="A1441" i="2"/>
  <c r="B1440" i="2"/>
  <c r="A1440" i="2"/>
  <c r="B1439" i="2"/>
  <c r="A1439" i="2"/>
  <c r="B1438" i="2"/>
  <c r="A1438" i="2"/>
  <c r="B1437" i="2"/>
  <c r="A1437" i="2"/>
  <c r="B1436" i="2"/>
  <c r="A1436" i="2"/>
  <c r="B1435" i="2"/>
  <c r="A1435" i="2"/>
  <c r="B1434" i="2"/>
  <c r="A1434" i="2"/>
  <c r="B1433" i="2"/>
  <c r="A1433" i="2"/>
  <c r="B1432" i="2"/>
  <c r="A1432" i="2"/>
  <c r="B1431" i="2"/>
  <c r="A1431" i="2"/>
  <c r="B1430" i="2"/>
  <c r="A1430" i="2"/>
  <c r="B1429" i="2"/>
  <c r="A1429" i="2"/>
  <c r="B1428" i="2"/>
  <c r="A1428" i="2"/>
  <c r="B1427" i="2"/>
  <c r="A1427" i="2"/>
  <c r="B1426" i="2"/>
  <c r="A1426" i="2"/>
  <c r="B1425" i="2"/>
  <c r="A1425" i="2"/>
  <c r="B1424" i="2"/>
  <c r="A1424" i="2"/>
  <c r="B1423" i="2"/>
  <c r="A1423" i="2"/>
  <c r="B1422" i="2"/>
  <c r="A1422" i="2"/>
  <c r="B1421" i="2"/>
  <c r="A1421" i="2"/>
  <c r="B1420" i="2"/>
  <c r="A1420" i="2"/>
  <c r="B1419" i="2"/>
  <c r="A1419" i="2"/>
  <c r="B1418" i="2"/>
  <c r="A1418" i="2"/>
  <c r="B1417" i="2"/>
  <c r="A1417" i="2"/>
  <c r="B1416" i="2"/>
  <c r="A1416" i="2"/>
  <c r="B1415" i="2"/>
  <c r="A1415" i="2"/>
  <c r="B1414" i="2"/>
  <c r="A1414" i="2"/>
  <c r="B1413" i="2"/>
  <c r="A1413" i="2"/>
  <c r="B1412" i="2"/>
  <c r="A1412" i="2"/>
  <c r="B1411" i="2"/>
  <c r="A1411" i="2"/>
  <c r="B1410" i="2"/>
  <c r="A1410" i="2"/>
  <c r="B1409" i="2"/>
  <c r="A1409" i="2"/>
  <c r="B1408" i="2"/>
  <c r="A1408" i="2"/>
  <c r="B1407" i="2"/>
  <c r="A1407" i="2"/>
  <c r="B1406" i="2"/>
  <c r="A1406" i="2"/>
  <c r="B1405" i="2"/>
  <c r="A1405" i="2"/>
  <c r="B1404" i="2"/>
  <c r="A1404" i="2"/>
  <c r="B1403" i="2"/>
  <c r="A1403" i="2"/>
  <c r="B1402" i="2"/>
  <c r="A1402" i="2"/>
  <c r="B1401" i="2"/>
  <c r="A1401" i="2"/>
  <c r="B1400" i="2"/>
  <c r="A1400" i="2"/>
  <c r="B1399" i="2"/>
  <c r="A1399" i="2"/>
  <c r="B1398" i="2"/>
  <c r="A1398" i="2"/>
  <c r="B1397" i="2"/>
  <c r="A1397" i="2"/>
  <c r="B1396" i="2"/>
  <c r="A1396" i="2"/>
  <c r="B1395" i="2"/>
  <c r="A1395" i="2"/>
  <c r="B1394" i="2"/>
  <c r="A1394" i="2"/>
  <c r="B1393" i="2"/>
  <c r="A1393" i="2"/>
  <c r="B1392" i="2"/>
  <c r="A1392" i="2"/>
  <c r="B1391" i="2"/>
  <c r="A1391" i="2"/>
  <c r="B1390" i="2"/>
  <c r="A1390" i="2"/>
  <c r="B1389" i="2"/>
  <c r="A1389" i="2"/>
  <c r="B1388" i="2"/>
  <c r="A1388" i="2"/>
  <c r="B1387" i="2"/>
  <c r="A1387" i="2"/>
  <c r="B1386" i="2"/>
  <c r="A1386" i="2"/>
  <c r="B1385" i="2"/>
  <c r="A1385" i="2"/>
  <c r="B1384" i="2"/>
  <c r="A1384" i="2"/>
  <c r="B1383" i="2"/>
  <c r="A1383" i="2"/>
  <c r="B1382" i="2"/>
  <c r="A1382" i="2"/>
  <c r="B1381" i="2"/>
  <c r="A1381" i="2"/>
  <c r="B1380" i="2"/>
  <c r="A1380" i="2"/>
  <c r="B1379" i="2"/>
  <c r="A1379" i="2"/>
  <c r="B1378" i="2"/>
  <c r="A1378" i="2"/>
  <c r="B1377" i="2"/>
  <c r="A1377" i="2"/>
  <c r="B1376" i="2"/>
  <c r="A1376" i="2"/>
  <c r="B1375" i="2"/>
  <c r="A1375" i="2"/>
  <c r="B1374" i="2"/>
  <c r="A1374" i="2"/>
  <c r="B1373" i="2"/>
  <c r="A1373" i="2"/>
  <c r="B1372" i="2"/>
  <c r="A1372" i="2"/>
  <c r="B1371" i="2"/>
  <c r="A1371" i="2"/>
  <c r="B1370" i="2"/>
  <c r="A1370" i="2"/>
  <c r="B1369" i="2"/>
  <c r="A1369" i="2"/>
  <c r="B1368" i="2"/>
  <c r="A1368" i="2"/>
  <c r="B1367" i="2"/>
  <c r="A1367" i="2"/>
  <c r="B1366" i="2"/>
  <c r="A1366" i="2"/>
  <c r="B1365" i="2"/>
  <c r="A1365" i="2"/>
  <c r="B1364" i="2"/>
  <c r="A1364" i="2"/>
  <c r="B1363" i="2"/>
  <c r="A1363" i="2"/>
  <c r="B1362" i="2"/>
  <c r="A1362" i="2"/>
  <c r="B1361" i="2"/>
  <c r="A1361" i="2"/>
  <c r="B1360" i="2"/>
  <c r="A1360" i="2"/>
  <c r="B1359" i="2"/>
  <c r="A1359" i="2"/>
  <c r="B1358" i="2"/>
  <c r="A1358" i="2"/>
  <c r="B1357" i="2"/>
  <c r="A1357" i="2"/>
  <c r="B1356" i="2"/>
  <c r="A1356" i="2"/>
  <c r="B1355" i="2"/>
  <c r="A1355" i="2"/>
  <c r="B1354" i="2"/>
  <c r="A1354" i="2"/>
  <c r="B1353" i="2"/>
  <c r="A1353" i="2"/>
  <c r="B1352" i="2"/>
  <c r="A1352" i="2"/>
  <c r="B1351" i="2"/>
  <c r="A1351" i="2"/>
  <c r="B1350" i="2"/>
  <c r="A1350" i="2"/>
  <c r="B1349" i="2"/>
  <c r="A1349" i="2"/>
  <c r="B1348" i="2"/>
  <c r="A1348" i="2"/>
  <c r="B1347" i="2"/>
  <c r="A1347" i="2"/>
  <c r="B1346" i="2"/>
  <c r="A1346" i="2"/>
  <c r="B1345" i="2"/>
  <c r="A1345" i="2"/>
  <c r="B1344" i="2"/>
  <c r="A1344" i="2"/>
  <c r="B1343" i="2"/>
  <c r="A1343" i="2"/>
  <c r="B1342" i="2"/>
  <c r="A1342" i="2"/>
  <c r="B1341" i="2"/>
  <c r="A1341" i="2"/>
  <c r="B1340" i="2"/>
  <c r="A1340" i="2"/>
  <c r="B1339" i="2"/>
  <c r="A1339" i="2"/>
  <c r="B1338" i="2"/>
  <c r="A1338" i="2"/>
  <c r="B1337" i="2"/>
  <c r="A1337" i="2"/>
  <c r="B1336" i="2"/>
  <c r="A1336" i="2"/>
  <c r="B1335" i="2"/>
  <c r="A1335" i="2"/>
  <c r="B1334" i="2"/>
  <c r="A1334" i="2"/>
  <c r="B1333" i="2"/>
  <c r="A1333" i="2"/>
  <c r="B1332" i="2"/>
  <c r="A1332" i="2"/>
  <c r="B1331" i="2"/>
  <c r="A1331" i="2"/>
  <c r="B1330" i="2"/>
  <c r="A1330" i="2"/>
  <c r="B1329" i="2"/>
  <c r="A1329" i="2"/>
  <c r="B1328" i="2"/>
  <c r="A1328" i="2"/>
  <c r="B1327" i="2"/>
  <c r="A1327" i="2"/>
  <c r="B1326" i="2"/>
  <c r="A1326" i="2"/>
  <c r="B1325" i="2"/>
  <c r="A1325" i="2"/>
  <c r="B1324" i="2"/>
  <c r="A1324" i="2"/>
  <c r="B1323" i="2"/>
  <c r="A1323" i="2"/>
  <c r="B1322" i="2"/>
  <c r="A1322" i="2"/>
  <c r="B1321" i="2"/>
  <c r="A1321" i="2"/>
  <c r="B1320" i="2"/>
  <c r="A1320" i="2"/>
  <c r="B1319" i="2"/>
  <c r="A1319" i="2"/>
  <c r="B1318" i="2"/>
  <c r="A1318" i="2"/>
  <c r="B1317" i="2"/>
  <c r="A1317" i="2"/>
  <c r="B1316" i="2"/>
  <c r="A1316" i="2"/>
  <c r="B1315" i="2"/>
  <c r="A1315" i="2"/>
  <c r="B1314" i="2"/>
  <c r="A1314" i="2"/>
  <c r="B1313" i="2"/>
  <c r="A1313" i="2"/>
  <c r="B1312" i="2"/>
  <c r="A1312" i="2"/>
  <c r="B1311" i="2"/>
  <c r="A1311" i="2"/>
  <c r="B1310" i="2"/>
  <c r="A1310" i="2"/>
  <c r="B1309" i="2"/>
  <c r="A1309" i="2"/>
  <c r="B1308" i="2"/>
  <c r="A1308" i="2"/>
  <c r="B1307" i="2"/>
  <c r="A1307" i="2"/>
  <c r="B1306" i="2"/>
  <c r="A1306" i="2"/>
  <c r="B1305" i="2"/>
  <c r="A1305" i="2"/>
  <c r="B1304" i="2"/>
  <c r="A1304" i="2"/>
  <c r="B1303" i="2"/>
  <c r="A1303" i="2"/>
  <c r="B1302" i="2"/>
  <c r="A1302" i="2"/>
  <c r="B1301" i="2"/>
  <c r="A1301" i="2"/>
  <c r="B1300" i="2"/>
  <c r="A1300" i="2"/>
  <c r="B1299" i="2"/>
  <c r="A1299" i="2"/>
  <c r="B1298" i="2"/>
  <c r="A1298" i="2"/>
  <c r="B1297" i="2"/>
  <c r="A1297" i="2"/>
  <c r="B1296" i="2"/>
  <c r="A1296" i="2"/>
  <c r="B1295" i="2"/>
  <c r="A1295" i="2"/>
  <c r="B1294" i="2"/>
  <c r="A1294" i="2"/>
  <c r="B1293" i="2"/>
  <c r="A1293" i="2"/>
  <c r="B1292" i="2"/>
  <c r="A1292" i="2"/>
  <c r="B1291" i="2"/>
  <c r="A1291" i="2"/>
  <c r="B1290" i="2"/>
  <c r="A1290" i="2"/>
  <c r="B1289" i="2"/>
  <c r="A1289" i="2"/>
  <c r="B1288" i="2"/>
  <c r="A1288" i="2"/>
  <c r="B1287" i="2"/>
  <c r="A1287" i="2"/>
  <c r="B1286" i="2"/>
  <c r="A1286" i="2"/>
  <c r="B1285" i="2"/>
  <c r="A1285" i="2"/>
  <c r="B1284" i="2"/>
  <c r="A1284" i="2"/>
  <c r="B1283" i="2"/>
  <c r="A1283" i="2"/>
  <c r="B1282" i="2"/>
  <c r="A1282" i="2"/>
  <c r="B1281" i="2"/>
  <c r="A1281" i="2"/>
  <c r="B1280" i="2"/>
  <c r="A1280" i="2"/>
  <c r="B1279" i="2"/>
  <c r="A1279" i="2"/>
  <c r="B1278" i="2"/>
  <c r="A1278" i="2"/>
  <c r="B1277" i="2"/>
  <c r="A1277" i="2"/>
  <c r="B1276" i="2"/>
  <c r="A1276" i="2"/>
  <c r="B1275" i="2"/>
  <c r="A1275" i="2"/>
  <c r="B1274" i="2"/>
  <c r="A1274" i="2"/>
  <c r="B1273" i="2"/>
  <c r="A1273" i="2"/>
  <c r="B1272" i="2"/>
  <c r="A1272" i="2"/>
  <c r="B1271" i="2"/>
  <c r="A1271" i="2"/>
  <c r="B1270" i="2"/>
  <c r="A1270" i="2"/>
  <c r="B1269" i="2"/>
  <c r="A1269" i="2"/>
  <c r="B1268" i="2"/>
  <c r="A1268" i="2"/>
  <c r="B1267" i="2"/>
  <c r="A1267" i="2"/>
  <c r="B1266" i="2"/>
  <c r="A1266" i="2"/>
  <c r="B1265" i="2"/>
  <c r="A1265" i="2"/>
  <c r="B1264" i="2"/>
  <c r="A1264" i="2"/>
  <c r="B1263" i="2"/>
  <c r="A1263" i="2"/>
  <c r="B1262" i="2"/>
  <c r="A1262" i="2"/>
  <c r="B1261" i="2"/>
  <c r="A1261" i="2"/>
  <c r="B1260" i="2"/>
  <c r="A1260" i="2"/>
  <c r="B1259" i="2"/>
  <c r="A1259" i="2"/>
  <c r="B1258" i="2"/>
  <c r="A1258" i="2"/>
  <c r="B1257" i="2"/>
  <c r="A1257" i="2"/>
  <c r="B1256" i="2"/>
  <c r="A1256" i="2"/>
  <c r="B1255" i="2"/>
  <c r="A1255" i="2"/>
  <c r="B1254" i="2"/>
  <c r="A1254" i="2"/>
  <c r="B1253" i="2"/>
  <c r="A1253" i="2"/>
  <c r="B1252" i="2"/>
  <c r="A1252" i="2"/>
  <c r="B1251" i="2"/>
  <c r="A1251" i="2"/>
  <c r="B1250" i="2"/>
  <c r="A1250" i="2"/>
  <c r="B1249" i="2"/>
  <c r="A1249" i="2"/>
  <c r="B1248" i="2"/>
  <c r="A1248" i="2"/>
  <c r="B1247" i="2"/>
  <c r="A1247" i="2"/>
  <c r="B1246" i="2"/>
  <c r="A1246" i="2"/>
  <c r="B1245" i="2"/>
  <c r="A1245" i="2"/>
  <c r="B1244" i="2"/>
  <c r="A1244" i="2"/>
  <c r="B1243" i="2"/>
  <c r="A1243" i="2"/>
  <c r="B1242" i="2"/>
  <c r="A1242" i="2"/>
  <c r="B1241" i="2"/>
  <c r="A1241" i="2"/>
  <c r="B1240" i="2"/>
  <c r="A1240" i="2"/>
  <c r="B1239" i="2"/>
  <c r="A1239" i="2"/>
  <c r="B1238" i="2"/>
  <c r="A1238" i="2"/>
  <c r="B1237" i="2"/>
  <c r="A1237" i="2"/>
  <c r="B1236" i="2"/>
  <c r="A1236" i="2"/>
  <c r="B1235" i="2"/>
  <c r="A1235" i="2"/>
  <c r="B1234" i="2"/>
  <c r="A1234" i="2"/>
  <c r="B1233" i="2"/>
  <c r="A1233" i="2"/>
  <c r="B1232" i="2"/>
  <c r="A1232" i="2"/>
  <c r="B1231" i="2"/>
  <c r="A1231" i="2"/>
  <c r="B1230" i="2"/>
  <c r="A1230" i="2"/>
  <c r="B1229" i="2"/>
  <c r="A1229" i="2"/>
  <c r="B1228" i="2"/>
  <c r="A1228" i="2"/>
  <c r="B1227" i="2"/>
  <c r="A1227" i="2"/>
  <c r="B1226" i="2"/>
  <c r="A1226" i="2"/>
  <c r="B1225" i="2"/>
  <c r="A1225" i="2"/>
  <c r="B1224" i="2"/>
  <c r="A1224" i="2"/>
  <c r="B1223" i="2"/>
  <c r="A1223" i="2"/>
  <c r="B1222" i="2"/>
  <c r="A1222" i="2"/>
  <c r="B1221" i="2"/>
  <c r="A1221" i="2"/>
  <c r="B1220" i="2"/>
  <c r="A1220" i="2"/>
  <c r="B1219" i="2"/>
  <c r="A1219" i="2"/>
  <c r="B1218" i="2"/>
  <c r="A1218" i="2"/>
  <c r="B1217" i="2"/>
  <c r="A1217" i="2"/>
  <c r="B1216" i="2"/>
  <c r="A1216" i="2"/>
  <c r="B1215" i="2"/>
  <c r="A1215" i="2"/>
  <c r="B1214" i="2"/>
  <c r="A1214" i="2"/>
  <c r="B1213" i="2"/>
  <c r="A1213" i="2"/>
  <c r="B1212" i="2"/>
  <c r="A1212" i="2"/>
  <c r="B1211" i="2"/>
  <c r="A1211" i="2"/>
  <c r="B1210" i="2"/>
  <c r="A1210" i="2"/>
  <c r="B1209" i="2"/>
  <c r="A1209" i="2"/>
  <c r="B1208" i="2"/>
  <c r="A1208" i="2"/>
  <c r="B1207" i="2"/>
  <c r="A1207" i="2"/>
  <c r="B1206" i="2"/>
  <c r="A1206" i="2"/>
  <c r="B1205" i="2"/>
  <c r="A1205" i="2"/>
  <c r="B1204" i="2"/>
  <c r="A1204" i="2"/>
  <c r="B1203" i="2"/>
  <c r="A1203" i="2"/>
  <c r="B1202" i="2"/>
  <c r="A1202" i="2"/>
  <c r="B1201" i="2"/>
  <c r="A1201" i="2"/>
  <c r="B1200" i="2"/>
  <c r="A1200" i="2"/>
  <c r="B1199" i="2"/>
  <c r="A1199" i="2"/>
  <c r="B1198" i="2"/>
  <c r="A1198" i="2"/>
  <c r="B1197" i="2"/>
  <c r="A1197" i="2"/>
  <c r="B1196" i="2"/>
  <c r="A1196" i="2"/>
  <c r="B1195" i="2"/>
  <c r="A1195" i="2"/>
  <c r="B1194" i="2"/>
  <c r="A1194" i="2"/>
  <c r="B1193" i="2"/>
  <c r="A1193" i="2"/>
  <c r="B1192" i="2"/>
  <c r="A1192" i="2"/>
  <c r="B1191" i="2"/>
  <c r="A1191" i="2"/>
  <c r="B1190" i="2"/>
  <c r="A1190" i="2"/>
  <c r="B1189" i="2"/>
  <c r="A1189" i="2"/>
  <c r="B1188" i="2"/>
  <c r="A1188" i="2"/>
  <c r="B1187" i="2"/>
  <c r="A1187" i="2"/>
  <c r="B1186" i="2"/>
  <c r="A1186" i="2"/>
  <c r="B1185" i="2"/>
  <c r="A1185" i="2"/>
  <c r="B1184" i="2"/>
  <c r="A1184" i="2"/>
  <c r="B1183" i="2"/>
  <c r="A1183" i="2"/>
  <c r="B1182" i="2"/>
  <c r="A1182" i="2"/>
  <c r="B1181" i="2"/>
  <c r="A1181" i="2"/>
  <c r="B1180" i="2"/>
  <c r="A1180" i="2"/>
  <c r="B1179" i="2"/>
  <c r="A1179" i="2"/>
  <c r="B1178" i="2"/>
  <c r="A1178" i="2"/>
  <c r="B1177" i="2"/>
  <c r="A1177" i="2"/>
  <c r="B1176" i="2"/>
  <c r="A1176" i="2"/>
  <c r="B1175" i="2"/>
  <c r="A1175" i="2"/>
  <c r="B1174" i="2"/>
  <c r="A1174" i="2"/>
  <c r="B1173" i="2"/>
  <c r="A1173" i="2"/>
  <c r="B1172" i="2"/>
  <c r="A1172" i="2"/>
  <c r="B1171" i="2"/>
  <c r="A1171" i="2"/>
  <c r="B1170" i="2"/>
  <c r="A1170" i="2"/>
  <c r="B1169" i="2"/>
  <c r="A1169" i="2"/>
  <c r="B1168" i="2"/>
  <c r="A1168" i="2"/>
  <c r="B1167" i="2"/>
  <c r="A1167" i="2"/>
  <c r="B1166" i="2"/>
  <c r="A1166" i="2"/>
  <c r="B1165" i="2"/>
  <c r="A1165" i="2"/>
  <c r="B1164" i="2"/>
  <c r="A1164" i="2"/>
  <c r="B1163" i="2"/>
  <c r="A1163" i="2"/>
  <c r="B1162" i="2"/>
  <c r="A1162" i="2"/>
  <c r="B1161" i="2"/>
  <c r="A1161" i="2"/>
  <c r="B1160" i="2"/>
  <c r="A1160" i="2"/>
  <c r="B1159" i="2"/>
  <c r="A1159" i="2"/>
  <c r="B1158" i="2"/>
  <c r="A1158" i="2"/>
  <c r="B1157" i="2"/>
  <c r="A1157" i="2"/>
  <c r="B1156" i="2"/>
  <c r="A1156" i="2"/>
  <c r="B1155" i="2"/>
  <c r="A1155" i="2"/>
  <c r="B1154" i="2"/>
  <c r="A1154" i="2"/>
  <c r="B1153" i="2"/>
  <c r="A1153" i="2"/>
  <c r="B1152" i="2"/>
  <c r="A1152" i="2"/>
  <c r="B1151" i="2"/>
  <c r="A1151" i="2"/>
  <c r="B1150" i="2"/>
  <c r="A1150" i="2"/>
  <c r="B1149" i="2"/>
  <c r="A1149" i="2"/>
  <c r="B1148" i="2"/>
  <c r="A1148" i="2"/>
  <c r="B1147" i="2"/>
  <c r="A1147" i="2"/>
  <c r="B1146" i="2"/>
  <c r="A1146" i="2"/>
  <c r="B1145" i="2"/>
  <c r="A1145" i="2"/>
  <c r="B1144" i="2"/>
  <c r="A1144" i="2"/>
  <c r="B1143" i="2"/>
  <c r="A1143" i="2"/>
  <c r="B1142" i="2"/>
  <c r="A1142" i="2"/>
  <c r="B1141" i="2"/>
  <c r="A1141" i="2"/>
  <c r="B1140" i="2"/>
  <c r="A1140" i="2"/>
  <c r="B1139" i="2"/>
  <c r="A1139" i="2"/>
  <c r="B1138" i="2"/>
  <c r="A1138" i="2"/>
  <c r="B1137" i="2"/>
  <c r="A1137" i="2"/>
  <c r="B1136" i="2"/>
  <c r="A1136" i="2"/>
  <c r="B1135" i="2"/>
  <c r="A1135" i="2"/>
  <c r="B1134" i="2"/>
  <c r="A1134" i="2"/>
  <c r="B1133" i="2"/>
  <c r="A1133" i="2"/>
  <c r="B1132" i="2"/>
  <c r="A1132" i="2"/>
  <c r="B1131" i="2"/>
  <c r="A1131" i="2"/>
  <c r="B1130" i="2"/>
  <c r="A1130" i="2"/>
  <c r="B1129" i="2"/>
  <c r="A1129" i="2"/>
  <c r="B1128" i="2"/>
  <c r="A1128" i="2"/>
  <c r="B1127" i="2"/>
  <c r="A1127" i="2"/>
  <c r="B1126" i="2"/>
  <c r="A1126" i="2"/>
  <c r="B1125" i="2"/>
  <c r="A1125" i="2"/>
  <c r="B1124" i="2"/>
  <c r="A1124" i="2"/>
  <c r="B1123" i="2"/>
  <c r="A1123" i="2"/>
  <c r="B1122" i="2"/>
  <c r="A1122" i="2"/>
  <c r="B1121" i="2"/>
  <c r="A1121" i="2"/>
  <c r="B1120" i="2"/>
  <c r="A1120" i="2"/>
  <c r="B1119" i="2"/>
  <c r="A1119" i="2"/>
  <c r="B1118" i="2"/>
  <c r="A1118" i="2"/>
  <c r="B1117" i="2"/>
  <c r="A1117" i="2"/>
  <c r="B1116" i="2"/>
  <c r="A1116" i="2"/>
  <c r="B1115" i="2"/>
  <c r="A1115" i="2"/>
  <c r="B1114" i="2"/>
  <c r="A1114" i="2"/>
  <c r="B1113" i="2"/>
  <c r="A1113" i="2"/>
  <c r="B1112" i="2"/>
  <c r="A1112" i="2"/>
  <c r="B1111" i="2"/>
  <c r="A1111" i="2"/>
  <c r="B1110" i="2"/>
  <c r="A1110" i="2"/>
  <c r="B1109" i="2"/>
  <c r="A1109" i="2"/>
  <c r="B1108" i="2"/>
  <c r="A1108" i="2"/>
  <c r="B1107" i="2"/>
  <c r="A1107" i="2"/>
  <c r="B1106" i="2"/>
  <c r="A1106" i="2"/>
  <c r="B1105" i="2"/>
  <c r="A1105" i="2"/>
  <c r="B1104" i="2"/>
  <c r="A1104" i="2"/>
  <c r="B1103" i="2"/>
  <c r="A1103" i="2"/>
  <c r="B1102" i="2"/>
  <c r="A1102" i="2"/>
  <c r="B1101" i="2"/>
  <c r="A1101" i="2"/>
  <c r="B1100" i="2"/>
  <c r="A1100" i="2"/>
  <c r="B1099" i="2"/>
  <c r="A1099" i="2"/>
  <c r="B1098" i="2"/>
  <c r="A1098" i="2"/>
  <c r="B1097" i="2"/>
  <c r="A1097" i="2"/>
  <c r="B1096" i="2"/>
  <c r="A1096" i="2"/>
  <c r="B1095" i="2"/>
  <c r="A1095" i="2"/>
  <c r="B1094" i="2"/>
  <c r="A1094" i="2"/>
  <c r="B1093" i="2"/>
  <c r="A1093" i="2"/>
  <c r="B1092" i="2"/>
  <c r="A1092" i="2"/>
  <c r="B1091" i="2"/>
  <c r="A1091" i="2"/>
  <c r="B1090" i="2"/>
  <c r="A1090" i="2"/>
  <c r="B1089" i="2"/>
  <c r="A1089" i="2"/>
  <c r="B1088" i="2"/>
  <c r="A1088" i="2"/>
  <c r="B1087" i="2"/>
  <c r="A1087" i="2"/>
  <c r="B1086" i="2"/>
  <c r="A1086" i="2"/>
  <c r="B1085" i="2"/>
  <c r="A1085" i="2"/>
  <c r="B1084" i="2"/>
  <c r="A1084" i="2"/>
  <c r="B1083" i="2"/>
  <c r="A1083" i="2"/>
  <c r="B1082" i="2"/>
  <c r="A1082" i="2"/>
  <c r="B1081" i="2"/>
  <c r="A1081" i="2"/>
  <c r="B1080" i="2"/>
  <c r="A1080" i="2"/>
  <c r="B1079" i="2"/>
  <c r="A1079" i="2"/>
  <c r="B1078" i="2"/>
  <c r="A1078" i="2"/>
  <c r="B1077" i="2"/>
  <c r="A1077" i="2"/>
  <c r="B1076" i="2"/>
  <c r="A1076" i="2"/>
  <c r="B1075" i="2"/>
  <c r="A1075" i="2"/>
  <c r="B1074" i="2"/>
  <c r="A1074" i="2"/>
  <c r="B1073" i="2"/>
  <c r="A1073" i="2"/>
  <c r="B1072" i="2"/>
  <c r="A1072" i="2"/>
  <c r="B1071" i="2"/>
  <c r="A1071" i="2"/>
  <c r="B1070" i="2"/>
  <c r="A1070" i="2"/>
  <c r="B1069" i="2"/>
  <c r="A1069" i="2"/>
  <c r="B1068" i="2"/>
  <c r="A1068" i="2"/>
  <c r="B1067" i="2"/>
  <c r="A1067" i="2"/>
  <c r="B1066" i="2"/>
  <c r="A1066" i="2"/>
  <c r="B1065" i="2"/>
  <c r="A1065" i="2"/>
  <c r="B1064" i="2"/>
  <c r="A1064" i="2"/>
  <c r="B1063" i="2"/>
  <c r="A1063" i="2"/>
  <c r="B1062" i="2"/>
  <c r="A1062" i="2"/>
  <c r="B1061" i="2"/>
  <c r="A1061" i="2"/>
  <c r="B1060" i="2"/>
  <c r="A1060" i="2"/>
  <c r="B1059" i="2"/>
  <c r="A1059" i="2"/>
  <c r="B1058" i="2"/>
  <c r="A1058" i="2"/>
  <c r="B1057" i="2"/>
  <c r="A1057" i="2"/>
  <c r="B1056" i="2"/>
  <c r="A1056" i="2"/>
  <c r="B1055" i="2"/>
  <c r="A1055" i="2"/>
  <c r="B1054" i="2"/>
  <c r="A1054" i="2"/>
  <c r="B1053" i="2"/>
  <c r="A1053" i="2"/>
  <c r="B1052" i="2"/>
  <c r="A1052" i="2"/>
  <c r="B1051" i="2"/>
  <c r="A1051" i="2"/>
  <c r="B1050" i="2"/>
  <c r="A1050" i="2"/>
  <c r="B1049" i="2"/>
  <c r="A1049" i="2"/>
  <c r="B1048" i="2"/>
  <c r="A1048" i="2"/>
  <c r="B1047" i="2"/>
  <c r="A1047" i="2"/>
  <c r="B1046" i="2"/>
  <c r="A1046" i="2"/>
  <c r="B1045" i="2"/>
  <c r="A1045" i="2"/>
  <c r="B1044" i="2"/>
  <c r="A1044" i="2"/>
  <c r="B1043" i="2"/>
  <c r="A1043" i="2"/>
  <c r="B1042" i="2"/>
  <c r="A1042" i="2"/>
  <c r="B1041" i="2"/>
  <c r="A1041" i="2"/>
  <c r="B1040" i="2"/>
  <c r="A1040" i="2"/>
  <c r="B1039" i="2"/>
  <c r="A1039" i="2"/>
  <c r="B1038" i="2"/>
  <c r="A1038" i="2"/>
  <c r="B1037" i="2"/>
  <c r="A1037" i="2"/>
  <c r="B1036" i="2"/>
  <c r="A1036" i="2"/>
  <c r="B1035" i="2"/>
  <c r="A1035" i="2"/>
  <c r="B1034" i="2"/>
  <c r="A1034" i="2"/>
  <c r="B1033" i="2"/>
  <c r="A1033" i="2"/>
  <c r="B1032" i="2"/>
  <c r="A1032" i="2"/>
  <c r="B1031" i="2"/>
  <c r="A1031" i="2"/>
  <c r="B1030" i="2"/>
  <c r="A1030" i="2"/>
  <c r="B1029" i="2"/>
  <c r="A1029" i="2"/>
  <c r="B1028" i="2"/>
  <c r="A1028" i="2"/>
  <c r="B1027" i="2"/>
  <c r="A1027" i="2"/>
  <c r="B1026" i="2"/>
  <c r="A1026" i="2"/>
  <c r="B1025" i="2"/>
  <c r="A1025" i="2"/>
  <c r="B1024" i="2"/>
  <c r="A1024" i="2"/>
  <c r="B1023" i="2"/>
  <c r="A1023" i="2"/>
  <c r="B1022" i="2"/>
  <c r="A1022" i="2"/>
  <c r="B1021" i="2"/>
  <c r="A1021" i="2"/>
  <c r="B1020" i="2"/>
  <c r="A1020" i="2"/>
  <c r="B1019" i="2"/>
  <c r="A1019" i="2"/>
  <c r="B1018" i="2"/>
  <c r="A1018" i="2"/>
  <c r="B1017" i="2"/>
  <c r="A1017" i="2"/>
  <c r="B1016" i="2"/>
  <c r="A1016" i="2"/>
  <c r="B1015" i="2"/>
  <c r="A1015" i="2"/>
  <c r="B1014" i="2"/>
  <c r="A1014" i="2"/>
  <c r="B1013" i="2"/>
  <c r="A1013" i="2"/>
  <c r="B1012" i="2"/>
  <c r="A1012" i="2"/>
  <c r="B1011" i="2"/>
  <c r="A1011" i="2"/>
  <c r="B1010" i="2"/>
  <c r="A1010" i="2"/>
  <c r="B1009" i="2"/>
  <c r="A1009" i="2"/>
  <c r="B1008" i="2"/>
  <c r="A1008" i="2"/>
  <c r="B1007" i="2"/>
  <c r="A1007" i="2"/>
  <c r="B1006" i="2"/>
  <c r="A1006" i="2"/>
  <c r="B1005" i="2"/>
  <c r="A1005" i="2"/>
  <c r="B1004" i="2"/>
  <c r="A1004" i="2"/>
  <c r="B1003" i="2"/>
  <c r="A1003" i="2"/>
  <c r="B1002" i="2"/>
  <c r="A1002" i="2"/>
  <c r="B1001" i="2"/>
  <c r="A1001" i="2"/>
  <c r="B1000" i="2"/>
  <c r="A1000" i="2"/>
  <c r="B999" i="2"/>
  <c r="A999" i="2"/>
  <c r="B998" i="2"/>
  <c r="A998" i="2"/>
  <c r="B997" i="2"/>
  <c r="A997" i="2"/>
  <c r="B996" i="2"/>
  <c r="A996" i="2"/>
  <c r="B995" i="2"/>
  <c r="A995" i="2"/>
  <c r="B994" i="2"/>
  <c r="A994" i="2"/>
  <c r="B993" i="2"/>
  <c r="A993" i="2"/>
  <c r="B992" i="2"/>
  <c r="A992" i="2"/>
  <c r="B991" i="2"/>
  <c r="A991" i="2"/>
  <c r="B990" i="2"/>
  <c r="A990" i="2"/>
  <c r="B989" i="2"/>
  <c r="A989" i="2"/>
  <c r="B988" i="2"/>
  <c r="A988" i="2"/>
  <c r="B987" i="2"/>
  <c r="A987" i="2"/>
  <c r="B986" i="2"/>
  <c r="A986" i="2"/>
  <c r="B985" i="2"/>
  <c r="A985" i="2"/>
  <c r="B984" i="2"/>
  <c r="A984" i="2"/>
  <c r="B983" i="2"/>
  <c r="A983" i="2"/>
  <c r="B982" i="2"/>
  <c r="A982" i="2"/>
  <c r="B981" i="2"/>
  <c r="A981" i="2"/>
  <c r="B980" i="2"/>
  <c r="A980" i="2"/>
  <c r="B979" i="2"/>
  <c r="A979" i="2"/>
  <c r="B978" i="2"/>
  <c r="A978" i="2"/>
  <c r="B977" i="2"/>
  <c r="A977" i="2"/>
  <c r="B976" i="2"/>
  <c r="A976" i="2"/>
  <c r="B975" i="2"/>
  <c r="A975" i="2"/>
  <c r="B974" i="2"/>
  <c r="A974" i="2"/>
  <c r="B973" i="2"/>
  <c r="A973" i="2"/>
  <c r="B972" i="2"/>
  <c r="A972" i="2"/>
  <c r="B971" i="2"/>
  <c r="A971" i="2"/>
  <c r="B970" i="2"/>
  <c r="A970" i="2"/>
  <c r="B969" i="2"/>
  <c r="A969" i="2"/>
  <c r="B968" i="2"/>
  <c r="A968" i="2"/>
  <c r="B967" i="2"/>
  <c r="A967" i="2"/>
  <c r="B966" i="2"/>
  <c r="A966" i="2"/>
  <c r="B965" i="2"/>
  <c r="A965" i="2"/>
  <c r="B964" i="2"/>
  <c r="A964" i="2"/>
  <c r="B963" i="2"/>
  <c r="A963" i="2"/>
  <c r="B962" i="2"/>
  <c r="A962" i="2"/>
  <c r="B961" i="2"/>
  <c r="A961" i="2"/>
  <c r="B960" i="2"/>
  <c r="A960" i="2"/>
  <c r="B959" i="2"/>
  <c r="A959" i="2"/>
  <c r="B958" i="2"/>
  <c r="A958" i="2"/>
  <c r="B957" i="2"/>
  <c r="A957" i="2"/>
  <c r="B956" i="2"/>
  <c r="A956" i="2"/>
  <c r="B955" i="2"/>
  <c r="A955" i="2"/>
  <c r="B954" i="2"/>
  <c r="A954" i="2"/>
  <c r="B953" i="2"/>
  <c r="A953" i="2"/>
  <c r="B952" i="2"/>
  <c r="A952" i="2"/>
  <c r="B951" i="2"/>
  <c r="A951" i="2"/>
  <c r="B950" i="2"/>
  <c r="A950" i="2"/>
  <c r="B949" i="2"/>
  <c r="A949" i="2"/>
  <c r="B948" i="2"/>
  <c r="A948" i="2"/>
  <c r="B947" i="2"/>
  <c r="A947" i="2"/>
  <c r="B946" i="2"/>
  <c r="A946" i="2"/>
  <c r="B945" i="2"/>
  <c r="A945" i="2"/>
  <c r="B944" i="2"/>
  <c r="A944" i="2"/>
  <c r="B943" i="2"/>
  <c r="A943" i="2"/>
  <c r="B942" i="2"/>
  <c r="A942" i="2"/>
  <c r="B941" i="2"/>
  <c r="A941" i="2"/>
  <c r="B940" i="2"/>
  <c r="A940" i="2"/>
  <c r="B939" i="2"/>
  <c r="A939" i="2"/>
  <c r="B938" i="2"/>
  <c r="A938" i="2"/>
  <c r="B937" i="2"/>
  <c r="A937" i="2"/>
  <c r="B936" i="2"/>
  <c r="A936" i="2"/>
  <c r="B935" i="2"/>
  <c r="A935" i="2"/>
  <c r="B934" i="2"/>
  <c r="A934" i="2"/>
  <c r="B933" i="2"/>
  <c r="A933" i="2"/>
  <c r="B932" i="2"/>
  <c r="A932" i="2"/>
  <c r="B931" i="2"/>
  <c r="A931" i="2"/>
  <c r="B930" i="2"/>
  <c r="A930" i="2"/>
  <c r="B929" i="2"/>
  <c r="A929" i="2"/>
  <c r="B928" i="2"/>
  <c r="A928" i="2"/>
  <c r="B927" i="2"/>
  <c r="A927" i="2"/>
  <c r="B926" i="2"/>
  <c r="A926" i="2"/>
  <c r="B925" i="2"/>
  <c r="A925" i="2"/>
  <c r="B924" i="2"/>
  <c r="A924" i="2"/>
  <c r="B923" i="2"/>
  <c r="A923" i="2"/>
  <c r="B922" i="2"/>
  <c r="A922" i="2"/>
  <c r="B921" i="2"/>
  <c r="A921" i="2"/>
  <c r="B920" i="2"/>
  <c r="A920" i="2"/>
  <c r="B919" i="2"/>
  <c r="A919" i="2"/>
  <c r="B918" i="2"/>
  <c r="A918" i="2"/>
  <c r="B917" i="2"/>
  <c r="A917" i="2"/>
  <c r="B916" i="2"/>
  <c r="A916" i="2"/>
  <c r="B915" i="2"/>
  <c r="A915" i="2"/>
  <c r="B914" i="2"/>
  <c r="A914" i="2"/>
  <c r="B913" i="2"/>
  <c r="A913" i="2"/>
  <c r="B912" i="2"/>
  <c r="A912" i="2"/>
  <c r="B911" i="2"/>
  <c r="A911" i="2"/>
  <c r="B910" i="2"/>
  <c r="A910" i="2"/>
  <c r="B909" i="2"/>
  <c r="A909" i="2"/>
  <c r="B908" i="2"/>
  <c r="A908" i="2"/>
  <c r="B907" i="2"/>
  <c r="A907" i="2"/>
  <c r="B906" i="2"/>
  <c r="A906" i="2"/>
  <c r="B905" i="2"/>
  <c r="A905" i="2"/>
  <c r="B904" i="2"/>
  <c r="A904" i="2"/>
  <c r="B903" i="2"/>
  <c r="A903" i="2"/>
  <c r="B902" i="2"/>
  <c r="A902" i="2"/>
  <c r="B901" i="2"/>
  <c r="A901" i="2"/>
  <c r="B900" i="2"/>
  <c r="A900" i="2"/>
  <c r="B899" i="2"/>
  <c r="A899" i="2"/>
  <c r="B898" i="2"/>
  <c r="A898" i="2"/>
  <c r="B897" i="2"/>
  <c r="A897" i="2"/>
  <c r="B896" i="2"/>
  <c r="A896" i="2"/>
  <c r="B895" i="2"/>
  <c r="A895" i="2"/>
  <c r="B894" i="2"/>
  <c r="A894" i="2"/>
  <c r="B893" i="2"/>
  <c r="A893" i="2"/>
  <c r="B892" i="2"/>
  <c r="A892" i="2"/>
  <c r="B891" i="2"/>
  <c r="A891" i="2"/>
  <c r="B890" i="2"/>
  <c r="A890" i="2"/>
  <c r="B889" i="2"/>
  <c r="A889" i="2"/>
  <c r="B888" i="2"/>
  <c r="A888" i="2"/>
  <c r="B887" i="2"/>
  <c r="A887" i="2"/>
  <c r="B886" i="2"/>
  <c r="A886" i="2"/>
  <c r="B885" i="2"/>
  <c r="A885" i="2"/>
  <c r="B884" i="2"/>
  <c r="A884" i="2"/>
  <c r="B883" i="2"/>
  <c r="A883" i="2"/>
  <c r="B882" i="2"/>
  <c r="A882" i="2"/>
  <c r="B881" i="2"/>
  <c r="A881" i="2"/>
  <c r="B880" i="2"/>
  <c r="A880" i="2"/>
  <c r="B879" i="2"/>
  <c r="A879" i="2"/>
  <c r="B878" i="2"/>
  <c r="A878" i="2"/>
  <c r="B877" i="2"/>
  <c r="A877" i="2"/>
  <c r="B876" i="2"/>
  <c r="A876" i="2"/>
  <c r="B875" i="2"/>
  <c r="A875" i="2"/>
  <c r="B874" i="2"/>
  <c r="A874" i="2"/>
  <c r="B873" i="2"/>
  <c r="A873" i="2"/>
  <c r="B872" i="2"/>
  <c r="A872" i="2"/>
  <c r="B871" i="2"/>
  <c r="A871" i="2"/>
  <c r="B870" i="2"/>
  <c r="A870" i="2"/>
  <c r="B869" i="2"/>
  <c r="A869" i="2"/>
  <c r="B868" i="2"/>
  <c r="A868" i="2"/>
  <c r="B867" i="2"/>
  <c r="A867" i="2"/>
  <c r="B866" i="2"/>
  <c r="A866" i="2"/>
  <c r="B865" i="2"/>
  <c r="A865" i="2"/>
  <c r="B864" i="2"/>
  <c r="A864" i="2"/>
  <c r="B863" i="2"/>
  <c r="A863" i="2"/>
  <c r="B862" i="2"/>
  <c r="A862" i="2"/>
  <c r="B861" i="2"/>
  <c r="A861" i="2"/>
  <c r="B860" i="2"/>
  <c r="A860" i="2"/>
  <c r="B859" i="2"/>
  <c r="A859" i="2"/>
  <c r="B858" i="2"/>
  <c r="A858" i="2"/>
  <c r="B857" i="2"/>
  <c r="A857" i="2"/>
  <c r="B856" i="2"/>
  <c r="A856" i="2"/>
  <c r="B855" i="2"/>
  <c r="A855" i="2"/>
  <c r="B854" i="2"/>
  <c r="A854" i="2"/>
  <c r="B853" i="2"/>
  <c r="A853" i="2"/>
  <c r="B852" i="2"/>
  <c r="A852" i="2"/>
  <c r="B851" i="2"/>
  <c r="A851" i="2"/>
  <c r="B850" i="2"/>
  <c r="A850" i="2"/>
  <c r="B849" i="2"/>
  <c r="A849" i="2"/>
  <c r="B848" i="2"/>
  <c r="A848" i="2"/>
  <c r="B847" i="2"/>
  <c r="A847" i="2"/>
  <c r="B846" i="2"/>
  <c r="A846" i="2"/>
  <c r="B845" i="2"/>
  <c r="A845" i="2"/>
  <c r="B844" i="2"/>
  <c r="A844" i="2"/>
  <c r="B843" i="2"/>
  <c r="A843" i="2"/>
  <c r="B842" i="2"/>
  <c r="A842" i="2"/>
  <c r="B841" i="2"/>
  <c r="A841" i="2"/>
  <c r="B840" i="2"/>
  <c r="A840" i="2"/>
  <c r="B839" i="2"/>
  <c r="A839" i="2"/>
  <c r="B838" i="2"/>
  <c r="A838" i="2"/>
  <c r="B837" i="2"/>
  <c r="A837" i="2"/>
  <c r="B836" i="2"/>
  <c r="A836" i="2"/>
  <c r="B835" i="2"/>
  <c r="A835" i="2"/>
  <c r="B834" i="2"/>
  <c r="A834" i="2"/>
  <c r="B833" i="2"/>
  <c r="A833" i="2"/>
  <c r="B832" i="2"/>
  <c r="A832" i="2"/>
  <c r="B831" i="2"/>
  <c r="A831" i="2"/>
  <c r="B830" i="2"/>
  <c r="A830" i="2"/>
  <c r="B829" i="2"/>
  <c r="A829" i="2"/>
  <c r="B828" i="2"/>
  <c r="A828" i="2"/>
  <c r="B827" i="2"/>
  <c r="A827" i="2"/>
  <c r="B826" i="2"/>
  <c r="A826" i="2"/>
  <c r="B825" i="2"/>
  <c r="A825" i="2"/>
  <c r="B824" i="2"/>
  <c r="A824" i="2"/>
  <c r="B823" i="2"/>
  <c r="A823" i="2"/>
  <c r="B822" i="2"/>
  <c r="A822" i="2"/>
  <c r="B821" i="2"/>
  <c r="A821" i="2"/>
  <c r="B820" i="2"/>
  <c r="A820" i="2"/>
  <c r="B819" i="2"/>
  <c r="A819" i="2"/>
  <c r="B818" i="2"/>
  <c r="A818" i="2"/>
  <c r="B817" i="2"/>
  <c r="A817" i="2"/>
  <c r="B816" i="2"/>
  <c r="A816" i="2"/>
  <c r="B815" i="2"/>
  <c r="A815" i="2"/>
  <c r="B814" i="2"/>
  <c r="A814" i="2"/>
  <c r="B813" i="2"/>
  <c r="A813" i="2"/>
  <c r="B812" i="2"/>
  <c r="A812" i="2"/>
  <c r="B811" i="2"/>
  <c r="A811" i="2"/>
  <c r="B810" i="2"/>
  <c r="A810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5" i="1"/>
  <c r="A4" i="1"/>
  <c r="A3" i="1"/>
  <c r="A2" i="1"/>
</calcChain>
</file>

<file path=xl/sharedStrings.xml><?xml version="1.0" encoding="utf-8"?>
<sst xmlns="http://schemas.openxmlformats.org/spreadsheetml/2006/main" count="25301" uniqueCount="5402">
  <si>
    <t>ID</t>
  </si>
  <si>
    <t>DATA</t>
  </si>
  <si>
    <t>TIPO</t>
  </si>
  <si>
    <t>LOCALIZADO</t>
  </si>
  <si>
    <t>COLABORADOR</t>
  </si>
  <si>
    <t>VEICULO</t>
  </si>
  <si>
    <t>ENDERECO</t>
  </si>
  <si>
    <t>BAIRRO</t>
  </si>
  <si>
    <t>ACURACIA</t>
  </si>
  <si>
    <t>BOMBEIRO</t>
  </si>
  <si>
    <t>SABESP</t>
  </si>
  <si>
    <t>2022-08-08</t>
  </si>
  <si>
    <t>COLUNA</t>
  </si>
  <si>
    <t>true</t>
  </si>
  <si>
    <t>3090******</t>
  </si>
  <si>
    <t>GEX3</t>
  </si>
  <si>
    <t>RUA SIMAO ALVARES MOUSINHO ESQUINA COM A RUA VITOTOMA MASTROROSA</t>
  </si>
  <si>
    <t>CIDADE IV CENTENÁRIO</t>
  </si>
  <si>
    <t>5.97</t>
  </si>
  <si>
    <t>SP - SAPOPEMBA</t>
  </si>
  <si>
    <t>SÃO MATEUS</t>
  </si>
  <si>
    <t>SUBTERRANEO</t>
  </si>
  <si>
    <t>RUA CENTRAL DE SANTA HELENA ESQUINA COM RUA PASTOR AGENOR CALDEIRA DINIZ</t>
  </si>
  <si>
    <t>7.50</t>
  </si>
  <si>
    <t>3103******</t>
  </si>
  <si>
    <t>RTF0</t>
  </si>
  <si>
    <t>RUA RAIO DE SOL ESQUINA COM A AVENIDA DA BARREIRA GRANDE</t>
  </si>
  <si>
    <t>TEOTÔNIO VILELA</t>
  </si>
  <si>
    <t>21.08</t>
  </si>
  <si>
    <t>SP - VILA FORMOSA</t>
  </si>
  <si>
    <t>MOOCA</t>
  </si>
  <si>
    <t>RUA ALFREDO SILVEIRA ESQUINA COM A AVENIDA DA BARRAIRA GRANDE</t>
  </si>
  <si>
    <t>BARREIRA GRANDE</t>
  </si>
  <si>
    <t>12.27</t>
  </si>
  <si>
    <t>RUA PAULA CANDIDO 49 PROXIMO A Z ESQUINA COM RUA ANA SANTESSO</t>
  </si>
  <si>
    <t>RIO CLARO</t>
  </si>
  <si>
    <t>AVENIDA RIO DAS PEDRAS DEFRONTE A RUA FELISBERTO AUGUSTO DE OLIVEIRA</t>
  </si>
  <si>
    <t>RUA ENGENHEIRO BERNARDO FIGUEIREDO ESQUINA COM A AVENIDA MATEO BEI</t>
  </si>
  <si>
    <t>RUA FORTE DA RIBEIRA ESQUINA COM A RUA FORTE DO RIO BRANCO</t>
  </si>
  <si>
    <t>CIDADE SATÉLITE</t>
  </si>
  <si>
    <t>RUA 63 DEFRONTE A ESCOLA</t>
  </si>
  <si>
    <t>SÍTIO CARRÃOZINHO</t>
  </si>
  <si>
    <t>RUA CUPIM ESQUINA COM A RUA CARLOS GONZALES</t>
  </si>
  <si>
    <t>VILA CURUÇÁ</t>
  </si>
  <si>
    <t>SÃO MIGUEL PAULISTA</t>
  </si>
  <si>
    <t>AVENIDA DOS IPES ESQUINA COM A RUA COQUEIRO CARANDA</t>
  </si>
  <si>
    <t>RUA ALDEIA DOS MACHACALIS NO FINAL DA RUA</t>
  </si>
  <si>
    <t>LAJEADO</t>
  </si>
  <si>
    <t>ITAQUERA</t>
  </si>
  <si>
    <t>AVENIDA MARIANA DE SOUZA GUERRA ESQUINA COM A RUA PERAMIRIM</t>
  </si>
  <si>
    <t>RODOLFO PIRANI</t>
  </si>
  <si>
    <t>RUA ESPIRITO DO SANTO DOURADO ESQUINA COM A RUA FRANCISCO JANUARIO</t>
  </si>
  <si>
    <t>RUA GUARACICA ESQUINA COM A RUA IRIRIGO</t>
  </si>
  <si>
    <t>RUA PIMENTEIRA ESQUINA COM A RUA LEILA</t>
  </si>
  <si>
    <t>JARDIM ROBRU</t>
  </si>
  <si>
    <t>PRACA NOVA CURUCA ESQUINA COM RUA IPEQUI</t>
  </si>
  <si>
    <t>RUA PRIMO BAUDINI    PORTAO DA CEI AUTA DE SOUZA</t>
  </si>
  <si>
    <t>RUA JOAO BODIN ESQUINA COM A RUA BALTAZAR CISNEIROS</t>
  </si>
  <si>
    <t>RUA SOLAR 290 DEFRONTE A EMEI PROFESSORA MARIA LUCIA PETIT DA SILVA PROXIMO A ESQUINA COM A RUA LEMBRANCA</t>
  </si>
  <si>
    <t>JARDIM PERI</t>
  </si>
  <si>
    <t>FREGUESIA DO Ó</t>
  </si>
  <si>
    <t>RUA OLHOS DO CORACAO 166 DEFRONTE COM RUA ESFINGE</t>
  </si>
  <si>
    <t>RUA INHABATA ESQUINA COM AVENIDA MARECHAL TITO</t>
  </si>
  <si>
    <t>CIDADE NITRO-OPERÁRIA</t>
  </si>
  <si>
    <t>RUA DOMINGOS SCARPEL PROX A RUA ANTONIO DE FREITAS TOLEDO</t>
  </si>
  <si>
    <t>PARQUE BUTURUSSU</t>
  </si>
  <si>
    <t>RUA RUBENS RODRIGUES DOS SANTOS ESQUINA COM A PRACA FAUSTINA MARIN CABALLERO</t>
  </si>
  <si>
    <t>AVENIDA PARANAGUA PROXIMO AO CRUZAMENTO DA AVENIDA ABEL TAVARES</t>
  </si>
  <si>
    <t>ERMELINO MATARAZZO</t>
  </si>
  <si>
    <t>RUA FRIBURGO ESQUINA COM RUA EVIAN</t>
  </si>
  <si>
    <t>MANDAQUI</t>
  </si>
  <si>
    <t>RUA SANTA LUCRECIA DE AGUIAR ESQUINA COM RUA JORN OCTAVIO RIBEIRO PENA BRANCA</t>
  </si>
  <si>
    <t>CACHOEIRINHA</t>
  </si>
  <si>
    <t>TRAVESSA SOMOS TODOS IGUAS ESQUINA COM A TRAVESSA METAMORFOSE</t>
  </si>
  <si>
    <t>RUA PEDRO DAS NEVES ESQUINA COM A RUA ERNESTO MANOGRASSO</t>
  </si>
  <si>
    <t>RUA DOUTOR EUCLIDES ZERBINI ESQUINA COM A AVENIDA MARIANA DE SOUSA GUERRA</t>
  </si>
  <si>
    <t>RUA CONSELHEIRO MOREIRA DE BARROS ESQUINA COM AVENIDA PARADA PINTO</t>
  </si>
  <si>
    <t>RUA LUCIANA TEIXEIRA DE ARAUJO PROXIMO A ESQUINA COM A RUA PEDRO MEDEIROS</t>
  </si>
  <si>
    <t>RUA KENKITI SHIMOMOTO PROXIMO A ESQUINA COM A RUA GILBERTO DE ALCANTARA PAULINO</t>
  </si>
  <si>
    <t>RAPOSO TAVARES</t>
  </si>
  <si>
    <t>RODOVIA RAPOSO TAVARES 8180 INTERIOR DO CONDOMINIO SOLAR DOS PINHEIROS</t>
  </si>
  <si>
    <t>RUA SALVADOR GIANETTI ESQUINA COM A RUA PRATES DA FONSECA</t>
  </si>
  <si>
    <t>GUAIANASES</t>
  </si>
  <si>
    <t>RUA CANDIDO FONTOURA 401 DENTRO DO CONDOMINIO SOLAR PINHEIROS DEFRONTE A QUADRA DE ESPORTES</t>
  </si>
  <si>
    <t>RUA LUIS MATHEUS ESQUINA COM A RUA GENERAL LEONIDAS CARDOSO</t>
  </si>
  <si>
    <t>RUA ANDRELINO SOARES DE ANDRADE ESQUINA COM RUA ABAITINGA</t>
  </si>
  <si>
    <t>RUA ARCANGELA DIORIO RADIANTE ESQUINA COM A RUA LUIS CRISTOFE</t>
  </si>
  <si>
    <t>RUA ANTONIO DE FREITAS TOLEDO PROXIMO A PRACA CORONEL SATURNINO DE CARVALHO</t>
  </si>
  <si>
    <t>AVENIDA ROSARIA ESQUINA COM A TRAVESSA CREPUSCULO DO MAR</t>
  </si>
  <si>
    <t>RUA TITANIA ESQUINA COM A AVENIDA SATELITE</t>
  </si>
  <si>
    <t>RUA MARIA APARECIDA CUSTODIO PROXIMO A ESQUINA COM A RUA FORTE DO PONTAL</t>
  </si>
  <si>
    <t>RUA CESAR DACORSO FILHO PROXIMO DA ESQUINA COM A RUA DOUTOR JOSE MANOEL FREITAS</t>
  </si>
  <si>
    <t>RUA OVIDIO LOPES 303 ESQUINACOM A RUA DOUTOR VENANCIO DE OLIVEIRA LISBOA</t>
  </si>
  <si>
    <t>RUA CAETANO LEAL PROXIMO DA ESQUINA COM A RUA DARIO COSTA MATTOS</t>
  </si>
  <si>
    <t>RUA GABRIEL DE CARVALHO 333</t>
  </si>
  <si>
    <t>RUA CACHOEIRA PORAQUE COM RUA CACHOEIRA VIDA NOVA</t>
  </si>
  <si>
    <t>RUA JOAO LOPES DE AMORIM ESQUINA COM RUA FRANKLIN DO AMARAL</t>
  </si>
  <si>
    <t>RUA DOS MACUXIS ESQUINA COM RUA ALBERTO PIMENTEL</t>
  </si>
  <si>
    <t>RUA NICOLAU TOLENTINO DE ALMEIDA 2 PROXIMO A ESQUINA COM AVENIDA PARADA PINTO</t>
  </si>
  <si>
    <t>RUA JOAO ROQUE ESQUINA COM PRACA GUIDO GIOVANNI ROCCHI</t>
  </si>
  <si>
    <t>RUA ANTONIO FELIX ESQUINA COM A RUA FELIX GHILHEN</t>
  </si>
  <si>
    <t>LAPA DE BAIXO</t>
  </si>
  <si>
    <t>LAPA</t>
  </si>
  <si>
    <t>RUA JOSE OLIVEIRA MATIAS PROXIMA A ESQUINA DA RUA DOS MARTIRES ARMENIOS</t>
  </si>
  <si>
    <t>TUCURUVI</t>
  </si>
  <si>
    <t>SANTANA</t>
  </si>
  <si>
    <t>AVENIDA JOAO MARCELINO BRANCO ESQUINA COM RUA DUPLO CEU</t>
  </si>
  <si>
    <t>RUA GONCALVES NINA PROXIMO AO PORTAO DO CONDOMINIO CANOAS I</t>
  </si>
  <si>
    <t>SANTA ETELVINA</t>
  </si>
  <si>
    <t>RUA WILSON FERNANDO SAO CARVALHO ESQUINA COM A RUA VELHO TEMA</t>
  </si>
  <si>
    <t>CIDADE TIRADENTES</t>
  </si>
  <si>
    <t>RUA MONTE DE OURO ESQUINA  COM A RUA HIDROLANDIA</t>
  </si>
  <si>
    <t>VILA GUSTAVO</t>
  </si>
  <si>
    <t>RUA JOAQUIM CAETANO DA SILVA ESQUINA COM A RUA SAO GERALDINO</t>
  </si>
  <si>
    <t>JAÇANÃ</t>
  </si>
  <si>
    <t>VILA MARIA</t>
  </si>
  <si>
    <t>RUA TENENTE SOTOMANO ESQUINA COM A AVENIDA ROLAND GARROS</t>
  </si>
  <si>
    <t>JARDIM BRASIL</t>
  </si>
  <si>
    <t>RUA LUIS ANTONIO DE OLIVEIRA ALVES ESQUINA COM AVENIDA MARIO PERNAMBUCO</t>
  </si>
  <si>
    <t>JARDIM GUAPIRA</t>
  </si>
  <si>
    <t>RUA DA ESPERANCA ESQUINA COM AVENIDA  BOSCHETTI</t>
  </si>
  <si>
    <t>VILA MEDEIROS</t>
  </si>
  <si>
    <t>AVENIDA HENRI JANNOR ESQUINA COM RUA SILVERO NERI</t>
  </si>
  <si>
    <t>RUA MAJOR DANTAS  CORTEZ ESQUINA COM A AVENIDA JULIO BUONO</t>
  </si>
  <si>
    <t>RUA DOUTOR ANTONIO MAZZILLI FILHO ESQUINA COM A RUA BOAVENTURA DE SOUZA</t>
  </si>
  <si>
    <t>PARQUE EDU CHAVES</t>
  </si>
  <si>
    <t>RUA MATILDE MACEDO SOARES ESQUINA COM A RUA ARLINDO PASCOALINI</t>
  </si>
  <si>
    <t>PRACA DOUTOR LEVEM VAMPRE ESQUINA COM A RUA HENRIQUE MEYER</t>
  </si>
  <si>
    <t>PRACA MACIEL BAIAO ESQUINA COM A RUA GAURAMA</t>
  </si>
  <si>
    <t>RUA ANTONIO ALVAREZ AIRAO ESQUINA COM RUA MARIA LOPES DE AZEVEDO</t>
  </si>
  <si>
    <t>RUA ANGELO CALANDRINO ESQUINA COM A RUA DAS VERTENTES</t>
  </si>
  <si>
    <t>RUA DOS TIMBIRAS ESQUINA COM AVENIDA SAO JOAO</t>
  </si>
  <si>
    <t>SANTA IFIGÊNIA</t>
  </si>
  <si>
    <t>SÉ</t>
  </si>
  <si>
    <t>AVENIDA MARIO PERNAMBUCO ESQUINA COM A RUA DOS IMBIRAS</t>
  </si>
  <si>
    <t>RUA DOUTOR CARLOS DE REZENDE ENOUT 856 DEFRONTE A RUA JOSE TRAVAGLIA</t>
  </si>
  <si>
    <t>PEDREIRA</t>
  </si>
  <si>
    <t>SANTO AMARO</t>
  </si>
  <si>
    <t>RUA SERINHAEM ESQUINA COM AVENIDA DOUTOR ABILIO SAMPAIO</t>
  </si>
  <si>
    <t>RUA JOAO TIBIRICA 900 NO FINAL DA RUA NA CALCADA DE UMA EMPRESA</t>
  </si>
  <si>
    <t>VILA ANASTÁCIO</t>
  </si>
  <si>
    <t>RUA DOUTOR FRANCISCO PATI 238</t>
  </si>
  <si>
    <t>JARDIM ADALGIZA</t>
  </si>
  <si>
    <t xml:space="preserve"> RUA CORGIE ASSAD ADDALIA ESQUINA COM A RUA LESSIA UKRAINKA</t>
  </si>
  <si>
    <t>VILA SÔNIA</t>
  </si>
  <si>
    <t>AVENIDA CORIFEU DE AZEVEDO MARQUE  ESQUINA COM A RUA PRRESIDENTE ALTINO</t>
  </si>
  <si>
    <t>PARQUE CONTINENTAL</t>
  </si>
  <si>
    <t>RUA GENERAL MANUEL CAVALCANTI PROENCA ESQUINA COM RUA DESDEMONA GRECHI LOSCHIAVO</t>
  </si>
  <si>
    <t>BRASILÂNDIA</t>
  </si>
  <si>
    <t>AVENIDA GIOVANI GRONCHI 1518</t>
  </si>
  <si>
    <t>MORUMBI</t>
  </si>
  <si>
    <t>RUA AGAMENON MAGALHAES ESQUINA COM A RUA OTACILIO NEGRAO</t>
  </si>
  <si>
    <t>VILA JAGUARA</t>
  </si>
  <si>
    <t>PIRITUBA</t>
  </si>
  <si>
    <t>AVENIDA MORUMBI ESQUINA COM A RUA AMPELIO DIONIZIO ZOCHI</t>
  </si>
  <si>
    <t>FAZENDA MORUMBI</t>
  </si>
  <si>
    <t>RUA ALMERIO DE ALBUQUERQUE MELO DEFRONTE A RUA SEVERINO CHAGAS DA SILVA</t>
  </si>
  <si>
    <t>SÃO DOMINGOS</t>
  </si>
  <si>
    <t>RUA ANTONIO PINTO VIEIRA ESQUINA COM RUA DOMICIANO RIBEIRO</t>
  </si>
  <si>
    <t>VILA SANTA MARIA</t>
  </si>
  <si>
    <t>RUA MARIA LUISA VERRIER ESQUINA COM A RUA GIUSEPE DE FILIPPI</t>
  </si>
  <si>
    <t>JARDIM JOÃO XXIII</t>
  </si>
  <si>
    <t>RUA JOSE CASAS GARCIA ESQUINA COM A RUA ALEXANDRE DE HALES</t>
  </si>
  <si>
    <t>JARDIM CAMBARÁ</t>
  </si>
  <si>
    <t>RUA DOM FRANCISCO CARDOSO AYRES</t>
  </si>
  <si>
    <t>RUA ARTUR FERREIRA DE ABREU 231</t>
  </si>
  <si>
    <t>AVENIDA DOS REMEDIOS ESQUINA COM A RUA JOSE RODRIGUES NEVES</t>
  </si>
  <si>
    <t>RUA NICOLAU MADER CRUZAMENTO COM RUA PROFESSORA MARIA OSORIO TEIXEIRA</t>
  </si>
  <si>
    <t>RUA JOSE DE SOUZA AGUIAR ESQUINA COM A RUA AVELINO GINJO NO ESCADAO</t>
  </si>
  <si>
    <t>RUA ADHERBAL STRESSER 543</t>
  </si>
  <si>
    <t>RUA FREI LIBERATO DE GRIES 126</t>
  </si>
  <si>
    <t>RUA DOUTOR FLEURY SILVEIRA PROXIMO A ESQUINA COM A RUA CESAR PENHA RAMOS</t>
  </si>
  <si>
    <t>RUA EVA TERPINS ESQUINA COM A AVENIDA DOUTOR FRANCISCO DE PAULO VICENTE DE AZEVEDO</t>
  </si>
  <si>
    <t>RUA EVA TERPINS ESQUINA COM A AVENIDA ANTONIO DE SOUZA NOSCHESE</t>
  </si>
  <si>
    <t>RUA NILZA MEDEIROS MARTINS DEFRONTE A RUA JUDITH PASSALD ESTEVES</t>
  </si>
  <si>
    <t>RUA DAVID MATARASSO ESQUINA COM A AVENIDA FRANCISCO MORATO</t>
  </si>
  <si>
    <t>RUA MANOEL JACINTO 938</t>
  </si>
  <si>
    <t>AVENIDA JOSE MARIA DA SILVA PARANHOS EM FRENTE AVENIDA CLAUDIO FRANCHI</t>
  </si>
  <si>
    <t>PORTAL DO MORUMBI</t>
  </si>
  <si>
    <t>RUA DOUTOR MANOEL DE PAVIA RAMOS 265</t>
  </si>
  <si>
    <t>RUA DOUTOR HELIO FIDELIS 125</t>
  </si>
  <si>
    <t>RUA MINISTRO HEITOS BASTOS TIGRE 241 ESQUINA COM A RUA LUIS ARAUJO FARIA</t>
  </si>
  <si>
    <t>RUA MARGARIDA GALVAO 239</t>
  </si>
  <si>
    <t>RUA VALERIANO DE SOUZA ESQUINA COM A RUA JACINTO GONCALVES</t>
  </si>
  <si>
    <t>RUA MARTINHO DE CAMPOS 301 PROXIMO DA  ESQUINA COM A RUA BARTOLOMEU BUENO</t>
  </si>
  <si>
    <t>RUA MANOEL JACINTO ESQUINA COM A RUA DOUTOR ANTONIO BARBOSA BUENO</t>
  </si>
  <si>
    <t>RUA CUNHA MENDES PROXIMO A ESQUINA COM A RUA BERNARDO TAVEIRA JUNIOR</t>
  </si>
  <si>
    <t>MAR PAULISTA</t>
  </si>
  <si>
    <t>RUA PEDRO DE LUCENA PEREIRA ESQUINA COM A AVENIDA ELISIO CORDEIRO DE SIQUEIRA</t>
  </si>
  <si>
    <t>RUA ROSALVO JOSE DA SILVA 195 ENTRE AS RUA LEONIDAS MORMELLO E RUA HONORATO DAS NEVES</t>
  </si>
  <si>
    <t>VILA SOUZA</t>
  </si>
  <si>
    <t>RUA ANTONIO DA SILVA LEITE PROXIMO A ESQUINA DA AVENIDA DEPUTADO CANTIDIO SAMPAIO</t>
  </si>
  <si>
    <t>PARADA DE TAIPAS</t>
  </si>
  <si>
    <t>RUA ALEXANDRE DAVIDENKO ESQUINA COM A RUA SALVADOR VIGANO</t>
  </si>
  <si>
    <t>RUA ALONSO BERRUGUETE ESQUINA COM RUA MARCO CICERO BOTTINO</t>
  </si>
  <si>
    <t>JARDIM PRIMAVERA</t>
  </si>
  <si>
    <t>RUA SAO FELIPE NERI ESQUINA COM A RUA SANTO ANDRE CORSINI</t>
  </si>
  <si>
    <t>JARDIM DAS PEDRAS</t>
  </si>
  <si>
    <t>RUA BARAO CARLOS DE SOUSA AHUNMAS ESQUINA COM RUA MAESTRO LAURO PINTO RIBEIRO</t>
  </si>
  <si>
    <t>RUA USHIKICHI KAMIYA 1716</t>
  </si>
  <si>
    <t>AVENIDA NOVA CANTAREIRA DEFRONTE COM RUA DO ALTO</t>
  </si>
  <si>
    <t>AVENIDA ROLAND GARROS ESQUINA COM A  RUA ANTONIO PALMIERI</t>
  </si>
  <si>
    <t>AVENIDA PROFESSORA VIRGILIA RODRIGUES ALVES DE CARVALHO PINTO PROXIMO A ESQUINA COM RUA DOMINGOS COLOM</t>
  </si>
  <si>
    <t>RUA ALONSO PERES ESQUINA COM A RUA FRANCISCO ALVES BEZERRA</t>
  </si>
  <si>
    <t>RUA JORGE NEWBERY ESQUINA COM A RUA HINTEM MARTINS</t>
  </si>
  <si>
    <t>AVENIDA ITABERABA ESQUINA COM RUA BACURITEUA</t>
  </si>
  <si>
    <t>RUA INACIO XAVIER DE CARVALHO PROXIMO A ESQUINA COM RUA OSCAR ROSAS RIBEIRO</t>
  </si>
  <si>
    <t>RUA JOSE ANTONIOLI ESQUINA COM RUA JOSE BENEDITO PINTO</t>
  </si>
  <si>
    <t>VILA MORRO GRANDE</t>
  </si>
  <si>
    <t>RUA CORIOLANO DURAND ESQUINA COM A RUA CHARLES DARWIN</t>
  </si>
  <si>
    <t>VILA SANTA CATARINA</t>
  </si>
  <si>
    <t>RUA MERE MARIE ANAIS DE SION DEFRONTE A PRACA DOUTOR LEVEM VAMPRE</t>
  </si>
  <si>
    <t>RUA DOUTOR JOSE BENEDITO VIANA DE MORAES DEFRONTE A RUA DOUTOR MANUEL DE PAIVA RAMOS</t>
  </si>
  <si>
    <t>RUA CARLOS ALBERTO VANZOLINI PROXIMO DA ESQUINA COM A RUA DOMINGOS DE BRAGA</t>
  </si>
  <si>
    <t>PRACA DA RESSURREICAO PROXIMO A AVENIDA FREI MACARIO DE SAO JOAO</t>
  </si>
  <si>
    <t>AVENIDA PROFESSOR FRANCISCO MORATO ESQUINA COM A RUA SENHOR BOM JESUS DOS PASSOS</t>
  </si>
  <si>
    <t>JARDIM JUSSARA</t>
  </si>
  <si>
    <t>RUA BENEDITO SOARES FERNANDES ESQUINA COM A AVENIDA MARTIN LUTHER KING</t>
  </si>
  <si>
    <t>RUA EULO MARONI 111 PROXIMO DA RUA MARIA IVETE GRUBE ADAMSKY</t>
  </si>
  <si>
    <t>RUA BOTOCUDOS 95</t>
  </si>
  <si>
    <t>RUA ALMIRANTE SOARES DUTRA DEFRONTE A RUA COMISSARIO GASTAO MOUTINHO</t>
  </si>
  <si>
    <t>REAL PARQUE</t>
  </si>
  <si>
    <t>RUA DOUTOR NICOLINO MORENA ESQUINA COM A RUA DOUTOR ALEXANDRE FERREIRA</t>
  </si>
  <si>
    <t>RUA ITAMONTE ESQUINA COM A AVENIDA JAPAO</t>
  </si>
  <si>
    <t>RUA PADRE DOMINGOS GAVA PROXIMO DA ESQUINA COM A RUA MARQUES DE RECIFE</t>
  </si>
  <si>
    <t>ITABERABA</t>
  </si>
  <si>
    <t>AVENIDA GENERAL MAX ARTHUR PROXIMO DA ESQUINA COM A RUA ROLANDIA</t>
  </si>
  <si>
    <t>AVENIDA JAGUARE NA ROTATORIA COM A AVENIDA POLITECNICA DEFRONTE A ENTRADA DE VEICULO DO EXTRA</t>
  </si>
  <si>
    <t>RUA MARIA NAZARO DA SILVA PROXIMO DA PRACA SANTA CLARA DE ASSIS</t>
  </si>
  <si>
    <t>RUA NILVA ESQUINA COM A RUA JAQUES PILON</t>
  </si>
  <si>
    <t>RUA RAIMUNDO NONATO DE SA ESQUINA COM A RUA ENIO GOMES DA SILVA</t>
  </si>
  <si>
    <t>RUA MARIA HILDA PRUDENTE TEIXEITRA PROXIMO DA ESQUINA COM A AVENIDA DEUPTADO CANTIDIO SAMPAIO</t>
  </si>
  <si>
    <t>AVENIDA DOUTOR JOSE MANIERO 85 PROXIMO DA ESQUINA COM A AVENIDA DEPUTADO CANTIDIO SAMPAIO</t>
  </si>
  <si>
    <t>RUA TENENTE JOSE ANTUNES ESQUINA COM A RUA FRANCISCO FERREIRA DE CARVALHO</t>
  </si>
  <si>
    <t>RUA IREDE DE MATOS ALONSO ESQUINA COM A RUA DOUTOR NILO GOMES DIAS</t>
  </si>
  <si>
    <t>AVENIDA PROFESSOR GOIA MARTINS NO FINAL SEM SAIDA</t>
  </si>
  <si>
    <t>RUA BARAO DE SANTA EMLIA 408</t>
  </si>
  <si>
    <t>RUA ANTONIO PINTO VIEIRA PROXIMO DA ESQUINA COM A RUA NINETE</t>
  </si>
  <si>
    <t>RUA DOUTOR FAUSTO DE ALMEIDA PRADO PENTEADO ESQUINA COM A AVENIDA DOUTOR ALBERTO PENTEADO</t>
  </si>
  <si>
    <t>JÓQUEI CLUBE</t>
  </si>
  <si>
    <t>RUA DOUTOR JOAO NEVES NETO ESQUINA COM A RUA DONA ANDREA MONTEIRO</t>
  </si>
  <si>
    <t>AVENIDA GUSTAVO BERTHIER ESQUINA COM A RUA PADRE PAULO CANELLE</t>
  </si>
  <si>
    <t>AVENIDA CORONEL SEZEFREDO FAGUNDES PROXIMO DA ESQUINA COM A RUA MERE MARIA ARAIS DE SION</t>
  </si>
  <si>
    <t>AVENIDA MINISTRO PETRONIO PORTELA ESQUINA COM A RUA JOAO PEREIRA PORTO</t>
  </si>
  <si>
    <t>RUA GUSTAVO DA SILVEIRA ESQUINA COM A RUA RISHIN MATSUDA</t>
  </si>
  <si>
    <t>RUA DOUTOR DJALMA PINHEIRO FRANCO ESQUINA COM A AVENIDA SANTA CATARINA</t>
  </si>
  <si>
    <t>RUA FORTUNATO FERRAZ 1024</t>
  </si>
  <si>
    <t>RUA MANUEL DIAS DE OLIVEIRA ESQUINA COM A RUA EDVARD CARMILO</t>
  </si>
  <si>
    <t>JARDIM MARIA DO CARMO</t>
  </si>
  <si>
    <t>RUA TIBIRICA ESQUINA COM A AVENIDA PROFESSOR VICENTE RAO</t>
  </si>
  <si>
    <t>JOAQUIM NABUCO</t>
  </si>
  <si>
    <t xml:space="preserve">RUA JOAO BATISTA DE GODOY DEFRONTE A RUA DORIVAL GOMES </t>
  </si>
  <si>
    <t>JARDIM DAS OLIVEIRAS</t>
  </si>
  <si>
    <t>RUA PRIMEIRO DE JANEIRO ESQUINA COM A RUA MIRASSOL</t>
  </si>
  <si>
    <t>MIRANDÓPOLIS</t>
  </si>
  <si>
    <t>RUA SAO SEBASTIAO ESQUINA COM A RUA CANCIONEIRO POPULAR</t>
  </si>
  <si>
    <t>GRANJA JULIETA</t>
  </si>
  <si>
    <t>RUA DOUTOR RUBENS GOMES BUENO 55 PROXIMO DA ESQUINA COM A AVENIDA JOAO DIAS</t>
  </si>
  <si>
    <t>TRAVESSA NICANOR MAURICIO NO FINAL DA RUA</t>
  </si>
  <si>
    <t>CIDADE VARGAS</t>
  </si>
  <si>
    <t>RUA MANUEL BUENO DA FONSECA DEFRONTE A RUA ESPUMAS</t>
  </si>
  <si>
    <t>PRACA AMADEU AMARAL PROXIMO DA ESQUINA COM A RUA 13 DE MAIO</t>
  </si>
  <si>
    <t>BELA VISTA</t>
  </si>
  <si>
    <t>RUA MAJOR SERTORIO ESQUINA COM A RUA AMARA GURGEL</t>
  </si>
  <si>
    <t>REPÚBLICA</t>
  </si>
  <si>
    <t>RUA MAJOR SERTORIO ESQUINA COM A RUA AMARAL GURGEL</t>
  </si>
  <si>
    <t>RUA SIQUEIRA BUENO ESQUINA COM A RUA FERNANDO FALCAO</t>
  </si>
  <si>
    <t>RUA CONCEICAO VELOSO ESQUINA  COM A RUA VERGUEIRO</t>
  </si>
  <si>
    <t>VILA MARIANA</t>
  </si>
  <si>
    <t>RUA SANTA CRUZ 325</t>
  </si>
  <si>
    <t>SANTA CRUZ</t>
  </si>
  <si>
    <t>RUA TRES RIOS ESQUINA COM A RUA LUBAVITCH</t>
  </si>
  <si>
    <t>LUZ</t>
  </si>
  <si>
    <t>RUA DOS BANDEIRANTES ESQUINA COM A RUA PRATES</t>
  </si>
  <si>
    <t>RUA RIBEIRO DE LIMA 715 DEFRONTE A RUA AIMORES</t>
  </si>
  <si>
    <t>RUA LUIS COELHO ESQUINA COM A RUA FREI CANECA</t>
  </si>
  <si>
    <t>CONSOLAÇÃO</t>
  </si>
  <si>
    <t>RUA LEONCIO DE CARVALHO ESQUINA COM AVENIDA PAULISTA</t>
  </si>
  <si>
    <t>PARAÍSO</t>
  </si>
  <si>
    <t>AVENIDA PAULISTA 07 ESQUINA COM A PRACA OSWALDO CRUZ</t>
  </si>
  <si>
    <t>RUA ITAPEVA ESQUINA COM A AVENIDA PAULISTA</t>
  </si>
  <si>
    <t>MASP</t>
  </si>
  <si>
    <t>RUA DONA ADMA 173 PROXIMO A ESQUINA COM A RUA ENGENHEIRO MONLEVADE</t>
  </si>
  <si>
    <t>RUA GRAVATAI ESQUINA COM A RUA JOAO GUIMARAES ROSA</t>
  </si>
  <si>
    <t>VILA BUARQUE</t>
  </si>
  <si>
    <t>RUA CAETANO PINTO 200</t>
  </si>
  <si>
    <t>BRÁS</t>
  </si>
  <si>
    <t>AVENIDA IPIRANGA ESQUINA COM AVENIDA RIO BRANCO</t>
  </si>
  <si>
    <t>AVENIDA ALBERTO BYINGTON PROXIMO AO EDIFICIO VITORIA REGIA</t>
  </si>
  <si>
    <t>JARDIM JAPÃO</t>
  </si>
  <si>
    <t>RUA CUIABA ESQUINA COMA RUA PIRES DE CAMPOS</t>
  </si>
  <si>
    <t>ALTO DA MOOCA</t>
  </si>
  <si>
    <t>RUA ORINDIUVA 128 DEFRONTE A RUA PRAINHA</t>
  </si>
  <si>
    <t>RUA LEME DA SILVA ESQUINA DA RUA CUIABA</t>
  </si>
  <si>
    <t>RUA ABEL RAMOS PROXIMA A ESQUINA DA RUA MUSSUMES</t>
  </si>
  <si>
    <t>PRACA PROFESSOR OSORIO DE ALMEIDA 72 PROXIMO DA ESQUINA COM A RUA FERNANDO FALCAO</t>
  </si>
  <si>
    <t>RUA DR JOAO INACIO TEIXEIRA ESQUINA COM RUA FERNANDO FALCAO</t>
  </si>
  <si>
    <t>REGENTE FEIJÓ</t>
  </si>
  <si>
    <t>RUA CAJURU ESQUINA COM A RUA CESARIO ALVIM</t>
  </si>
  <si>
    <t>BELENZINHO</t>
  </si>
  <si>
    <t>RUA ELI ESQUINA COM A RUA ANDARAI</t>
  </si>
  <si>
    <t>RUA MERE AMEDEA PROXIMO A RUA LAMARTINE DOS SANTOS</t>
  </si>
  <si>
    <t>RUA PEREIRA JACOME ESQUINA COM A RUA DOIS CORREGOS</t>
  </si>
  <si>
    <t>RUA FERNANDO FALCAO ESQUINA COM A RUA DA MOOCA</t>
  </si>
  <si>
    <t>RUA DOS CAMPINEIROS ESQUINA COM A RUA DOS CAPITAES MORES</t>
  </si>
  <si>
    <t>RUA HERVAL ESQUINA COM A RUA SILVA JARDIM</t>
  </si>
  <si>
    <t>RUA PALMEIRA TUCUIN PROXIMO DA ESQUINA COM A AVENIDA FERNANDO PACHECO</t>
  </si>
  <si>
    <t>RUA ITAJUIBE 542 PROXIMO AO ENTRONCAMENTO COM A AVENIDA BARAO DE ALAGOAS</t>
  </si>
  <si>
    <t>RUA ALFREDO MOREIRA PINTO 19 PROXIMO A ESQUINA COM A  RUA BARENA</t>
  </si>
  <si>
    <t>ITAIM PAULISTA</t>
  </si>
  <si>
    <t>RUA SENADOR MILTON CAMPOS ESQUINA COM A RUA CANCIONEIRO DE EVORA</t>
  </si>
  <si>
    <t>RUA DR PLINIO BARRETO 365 QUALICORP</t>
  </si>
  <si>
    <t>AVENIDA ENGENHEIRO ARMANDO DE ARRUDA PEREIRA DEFRONTE A RUA CONDURU</t>
  </si>
  <si>
    <t>JABAQUARA</t>
  </si>
  <si>
    <t>RUA DO ACRE ESQUINA COM A RUA NATAL</t>
  </si>
  <si>
    <t>RUA DOUTOR PINTO FERRAZ PROXIMO AO TERMINAL DE ONIBUS</t>
  </si>
  <si>
    <t>RUA JOAO TOBIAS ESQUINA COM A RUA JAIBARAS</t>
  </si>
  <si>
    <t>RUA PADRE RAPOSO 39</t>
  </si>
  <si>
    <t>PARQUE DA MOOCA</t>
  </si>
  <si>
    <t>RUA ALEGRIA DEFRONTE A RUA MARTIM BUCHARD</t>
  </si>
  <si>
    <t>AVENIDA DOUTOR BENEDITO ESTEVAM DOS SANTOS NA FRETE DO PB VILA MARIA</t>
  </si>
  <si>
    <t>RUA MONSENHOR SALIM ESQUINA COM A RUA JOAO MISSEL GIGANTE</t>
  </si>
  <si>
    <t>RUA DOUTOR JORGE MIRANDA ESQUINA COM A RUA GUILHERME MAW</t>
  </si>
  <si>
    <t>RUA SANTA CRUZ ESQUINA COM A RUA DOMINGOS DE MORAIS</t>
  </si>
  <si>
    <t>RUA ALFREDO MOREIRA PINTO 465 DEFRONTE A RUA DOUTOR DURVAL VILALVA</t>
  </si>
  <si>
    <t>RUA MEM DE SA ESQUINA COM A RUA DA MOOCA</t>
  </si>
  <si>
    <t>RUA JOAO BORBA ESQUINA COM A RUA SALVADOR FIORDELISIO</t>
  </si>
  <si>
    <t>RUA JOAO ANTONIO ESQUINA COM A RUA DA MOOCA</t>
  </si>
  <si>
    <t>RUA DOUTOR CARLOS GUIMARAES 208 ESQUINA COM  A RUA VALDEMAR DORIA</t>
  </si>
  <si>
    <t>CELSO GARCIA</t>
  </si>
  <si>
    <t>RUA VISCONDE DE PARNAIBA ESQUINA COM A RUA SALDANHA MARINHO</t>
  </si>
  <si>
    <t>RUA JOAO CAETANO ESQUINAZ COM A RUA DO HIPODROMO</t>
  </si>
  <si>
    <t>RUA DO HIPODROMO ESQUINA COM AVENIDA ALCANTARA MACHADO</t>
  </si>
  <si>
    <t>RUA GUARAPUAVA ESQUINA COM A RUA FREI GASPAR</t>
  </si>
  <si>
    <t>AVENIDA CELSO GARCIA PROXIMA A ESQUINA DA RUA SALDANHA MARINHO</t>
  </si>
  <si>
    <t>RUA SIQUEIRA BUENO ESQUINA COM A RUA JULIO DE CASTILHO</t>
  </si>
  <si>
    <t>RUA BRESSER ESQUINA COM A RUA FREI GASPAR EM FRENTE AO PS SALVALOS</t>
  </si>
  <si>
    <t>RUA FIRMINO PINTO ESQUINA COM AVENIDA CELSO GARCIA</t>
  </si>
  <si>
    <t>RUA COIMBRA ESQUINA COM A RUA FIRMIANO PINTO</t>
  </si>
  <si>
    <t>RUA ARTUR MOTA ESQUINA COM A RUA SILVA JARDIM</t>
  </si>
  <si>
    <t>RUA JULIO CASTILHO ESQUINA COM A RUA CESARIO ALVIM</t>
  </si>
  <si>
    <t>RUA PARAUPAVA ESQUINA COM A RUA CAA ACU</t>
  </si>
  <si>
    <t>RUA DOS TRILHOS ESQUINA COM A RUA DO HIPODROMO</t>
  </si>
  <si>
    <t>RUA CESARIO ALVIM ESQUINA COM A RUA COIMBRA</t>
  </si>
  <si>
    <t>RUA AFONSO ARINOS DEFRONTE A RUA MADEIRA</t>
  </si>
  <si>
    <t>PARI</t>
  </si>
  <si>
    <t>RUA CONSTANTINO DE SOUZA ESQUINA COM A RUA JOAQUIM NABUCO</t>
  </si>
  <si>
    <t>RUA PRUDENTE DE MORAIS DEFRONTE A RUA MARTIM BURCHAD</t>
  </si>
  <si>
    <t>RUA TREZE DE MAIO ESQUINA COM A RUA LUIZ PORRO</t>
  </si>
  <si>
    <t>TREZE DE MAIO</t>
  </si>
  <si>
    <t>RUA DOUTOR PENAFORTE MENDES ESQUINA COM A RUA FREI CANECA</t>
  </si>
  <si>
    <t>RUA MARGARINO TORRES ESQUINA COM A RUA PREFEITO MILTON IMPROTA</t>
  </si>
  <si>
    <t>RUA AMANBAI ESQUINA COM A RUA PROFESSORA MARIA JOSE BARONE FERNANDES</t>
  </si>
  <si>
    <t>RUA MUSSUMES PROXIMA A ESQUINA DA RUA DOUTOR EDSON DE MELO</t>
  </si>
  <si>
    <t>RUA AXINIM ESQUINA COM A RUA NILTON COELHO DE ANDRADE</t>
  </si>
  <si>
    <t>PARQUE NOVO MUNDO</t>
  </si>
  <si>
    <t>RUA GENERAL MENDES 236 PROXIMO A ESQUINA DA AVENIDA CONCEICAO</t>
  </si>
  <si>
    <t>RUA GASTAO MADEIRA AO LADO DA ESCOLA ESTADUAL JULIO MAIA</t>
  </si>
  <si>
    <t>RUA DOUTOR AFRODISIO VIDIGAL ESQUINA COM A RUA JOAQUIM RODRIGUES COSTA</t>
  </si>
  <si>
    <t>RUA MARGARINO TORRES ESQUINA COM A RUA GUARANESIA</t>
  </si>
  <si>
    <t>RUA DOM LUIS FELIPE DE ORLEANS ESQUINA COM A RUA DOUTOR AFONSO VERGUEIRO</t>
  </si>
  <si>
    <t>RUA ARARITAGUABA ESQUINA COM A A RUA MARECHAL SALDANHA MAZZA</t>
  </si>
  <si>
    <t>RUA PREFEITO MILTON IMPROTA ESQUINA COM A RUA DA GAVEA</t>
  </si>
  <si>
    <t>RUA DIAMANTINA ESQUINA COM A AVENIDA GUILHERME COTCHING</t>
  </si>
  <si>
    <t>RUA PARAIBA ESQUINA COM A RUA MARIA MARCOLINA</t>
  </si>
  <si>
    <t>RUA ORIENTE ESQUINA COM A RUA MONSENHOR ANDRADE</t>
  </si>
  <si>
    <t>JOÃO TEODORO</t>
  </si>
  <si>
    <t>AVENIDA GUILHERME COTHING ESQUINA COM A  RUA DOM LUIS FELIPE DE ORLEANS</t>
  </si>
  <si>
    <t>RUA DA GAVEA ESQUINA COM A RUA DIAS DA SILVA</t>
  </si>
  <si>
    <t>RUA CURUCA ESQUINA COM A RUA TOMAS SPEERS</t>
  </si>
  <si>
    <t>RUA DOM LUIS FELIPE DE ORLEANS ESQUINA COM A RUA NEWTON BRAGA</t>
  </si>
  <si>
    <t>RUA ELI ESQUINA COM A RUA DOM LUIS FELIPE DE ORLEANS</t>
  </si>
  <si>
    <t>AVENIDA ALBERTO BYINGTON 275 ESQUINA COM  A RUA SANTA MARIA GORETTI</t>
  </si>
  <si>
    <t>PRACA RIO BRILHANTE 104 PROXIMO A AVENIDA ALBERTO BYINGTON</t>
  </si>
  <si>
    <t>RUA SANTA MARIA GORETTI 16 DEFRONTE A RUA SARGENTO AGOSTINHO FERREIRA</t>
  </si>
  <si>
    <t>RUA RIO BONITO ESQUINA COMA RUA MAJOR MARCELINO</t>
  </si>
  <si>
    <t>RUA DONA ALBERTINA DOMINGOS ESQUINA COM A RUA VOLTER WOLTHERS</t>
  </si>
  <si>
    <t>RUA JEQUITINHONHA ESQUINA COM A RUA CATUMBI</t>
  </si>
  <si>
    <t>BELÉM</t>
  </si>
  <si>
    <t>RUA SEVERA ESQUINA COM A RUA DA GAVEA</t>
  </si>
  <si>
    <t>RUA BELCHIOR CARNEIRO ESQUINA COM A RUA MOXEI</t>
  </si>
  <si>
    <t>RUA ENGENHEIRO AUBERTIN ESQUINA COM A RUA FELIX GUILHEN</t>
  </si>
  <si>
    <t>RUA BACKER ESQUINA COM A RUA TEODURETO SOUTO</t>
  </si>
  <si>
    <t>CAMBUCI</t>
  </si>
  <si>
    <t>AVENIDA DO CURSINO ESQUINA COM A RUA DOUTOR NESTOR ALBERTO DE MACEDO</t>
  </si>
  <si>
    <t>JARDIM PREVIDÊNCIA</t>
  </si>
  <si>
    <t>RUA FRANCISCO GIUSEPE GIORDANO ESQUINQ COM A RUA MARCOS FERNANDES</t>
  </si>
  <si>
    <t>RUA FRANCISCO DIAS ESQUINA COM RUA FRANCISCO MALDONADO</t>
  </si>
  <si>
    <t>JARDIM DA SAÚDE</t>
  </si>
  <si>
    <t>RUA JEAN DE LA HUERTA ESQUINA COM A RUA DOM VILARES</t>
  </si>
  <si>
    <t>ÁGUA FUNDA</t>
  </si>
  <si>
    <t>AVENIDA SANTO ALBANO PROXIMO DA RUA MARTINHO GUEDES</t>
  </si>
  <si>
    <t>MOINHO VELHO</t>
  </si>
  <si>
    <t>RUA ALENCAR ARARIPE ESQUINA COM A RUA BUDAPESTE</t>
  </si>
  <si>
    <t>AVENIDA PRESIDENTE WILSON 518 AO LADO DO PORTAO 3 DA ANTIGA ANTARTICA</t>
  </si>
  <si>
    <t>INDEPENDÊNCIA</t>
  </si>
  <si>
    <t>RUA ODORICO MENDES ESQUINA COM A RUA BARAO DE JAGUARA</t>
  </si>
  <si>
    <t>RUA LINO COUTINHO ESQUINA COM A RUA LABATUT</t>
  </si>
  <si>
    <t>SACOMÃ</t>
  </si>
  <si>
    <t>RUA DONA ANA NERI ESQUINA COM A RUA DA MOOCA ENFRENTE AO POSTO</t>
  </si>
  <si>
    <t>RUA PIRATININGA ESQUINA COM A RUA DA MOOCA</t>
  </si>
  <si>
    <t>RUA PRESIDENTE SOARES BRANDAO ESQUINA COM A AVENIDA PRESIDENTE WILSON</t>
  </si>
  <si>
    <t>RUA PRESIDENTE PINTO LIMA ESQUINA COM A AVENIDA PRESIDENTE WILSON</t>
  </si>
  <si>
    <t>VILA INDEPENDÊNCIA</t>
  </si>
  <si>
    <t>AVENIDA PRESIDENTE WILSON ESQUINA COM A RUA PRESIDENTE COUTO DE ALMEIDA</t>
  </si>
  <si>
    <t>RUA SILVEIRA DA MOTA ESQUINA COM A RUA DONA ANA NERI</t>
  </si>
  <si>
    <t>AVENIDA DO ESTADO ESQUINA COM A RUA DONA ANA NERI</t>
  </si>
  <si>
    <t>RUA ANA NERI ESQUINA COM A RUA CLIMACO BARBOSA</t>
  </si>
  <si>
    <t>AVENIDA DOMINGO DE MORAES ESQUINA COM A RUA TIMBURIBA</t>
  </si>
  <si>
    <t>BOSQUE DA SAÚDE</t>
  </si>
  <si>
    <t>RUA EZEQUIEL LOPES CARDOS ESQUINA COM A RUA PELAGIA STARBULOV NO PARQUE LINEAR DO XERIFE</t>
  </si>
  <si>
    <t>GRAJAÚ</t>
  </si>
  <si>
    <t>NO INTERIOR DO CEAGESP NA CALCADA DO PAVILHAO AMG  RUA 25</t>
  </si>
  <si>
    <t>CEASA</t>
  </si>
  <si>
    <t>NO INTERIOR DO CEAGESP NO MEIO DO PAVILHAO AMH RUA 23</t>
  </si>
  <si>
    <t>NO INTERIOR DO CEAGESP NA CALCADA DO PAVILHAO BPE</t>
  </si>
  <si>
    <t>NO INTERIOR DO CEAGESP NA CALCADA DO PAVILHAO BPD</t>
  </si>
  <si>
    <t>NO INTERIOR DO CEAGESP NA CALCADA DO PAVILHAO HFG</t>
  </si>
  <si>
    <t>NO INTERIOR DO CEAGESP NA CALCADA DO PREDIO DEPEC DEPARTAMENTO DE ENTREPOSTOS DA CAPITAL RUA 08</t>
  </si>
  <si>
    <t>NO INTERIOR DO CEAGESP NA CALCADA DO PAVILHAO BPA</t>
  </si>
  <si>
    <t>NO INTERIOR DO CEAGESP NA CALCADA DO PAVILHAO BPA RUA 17</t>
  </si>
  <si>
    <t>RUA BALDOMERO CARQUEIJA 214 ESQUINA COM A RUA URUPEMA NO INTERIOR DO CONDOMINIO CONJUNTO RESIDENCIAL ANDREA</t>
  </si>
  <si>
    <t>JARDIM SÃO LUÍS</t>
  </si>
  <si>
    <t>PIRAJUSSARA</t>
  </si>
  <si>
    <t>PRACA LUISA PERA DOS SANTOS ESQUINA COM A RUA DOUTOR ABELARDO DA CUNHA LOBO</t>
  </si>
  <si>
    <t>PARQUE ARARIBA</t>
  </si>
  <si>
    <t>RUA SANTO ANTONIO DO CANTARO ESQUINA COM A RUA GREGORIO DE QUEIROZ</t>
  </si>
  <si>
    <t>JARDIM REPRESA</t>
  </si>
  <si>
    <t>RUA ANTONIO VIEIRA MISTURA PROXIMO A RUA ASCANIO LOPES</t>
  </si>
  <si>
    <t>GUARAPIRANGA</t>
  </si>
  <si>
    <t>CAMPO LIMPO</t>
  </si>
  <si>
    <t>AVENIDA GEORGE ANSELMI PROXIMO DA ESQUINA COM RUA HERCILIA GONCALVES DOS SANTOS</t>
  </si>
  <si>
    <t>RUA MAJOR LUCIO DIAS RAMOS</t>
  </si>
  <si>
    <t>BELMIRA MARIN</t>
  </si>
  <si>
    <t>TRAVESSA AMALIA BRUGNOLI PROXIMO A RUA IPEL</t>
  </si>
  <si>
    <t>RUA SAO FORTUNATO PROXIMO A RUA DR OSCAR FERNANDES MARTINS</t>
  </si>
  <si>
    <t>PARQUE INTERLAGOS</t>
  </si>
  <si>
    <t>AVENIDA ROBERTO KENNEDY POSTO GUARAPIRANGA</t>
  </si>
  <si>
    <t>RUA CHINCOA ESQUINA COM A RUA SARACURA</t>
  </si>
  <si>
    <t>SESC INTERLAGOS</t>
  </si>
  <si>
    <t>AVENIDA SENADOR TEOTONIO VILELA NA JUNCAO COM A AVENIDA INTERLAGOS DEFRONTE A BASE DA POLICIA MILITAR</t>
  </si>
  <si>
    <t>RIO BONITO</t>
  </si>
  <si>
    <t>AVENIDA DONA BELMIRA MARIN ESQUINA COM A RUA PEDRO ESCOBAR NO PISO INTERNO DO POSTO</t>
  </si>
  <si>
    <t>COCAIA</t>
  </si>
  <si>
    <t>AVENIDA CARLOS BARBOSA CAMPOS 1150 PROXIMO DA ESQUINA COM A RUA FILODEMO</t>
  </si>
  <si>
    <t>RUA PROFESSOR ENEAS DE SIQUEIRA NETO ESQUINA COM A RUA CAROLINA MICHAELIS</t>
  </si>
  <si>
    <t>RUA MONTE ARROIO 136 NO FINAL DA RUA SEM SAIDA</t>
  </si>
  <si>
    <t>JARDIM PRESIDENTE</t>
  </si>
  <si>
    <t>RUA GUARAREMA ESQUINA COM A AVENIDA ITABORAI</t>
  </si>
  <si>
    <t>RUA ROSA DE MORAIS ESQUINA COM A RUA ABEYLARD QUEIROZ</t>
  </si>
  <si>
    <t>RUA JEAN DE LA HUERTA ESQUINA COM A RUA NOSSA SENHORA DA SAUDE</t>
  </si>
  <si>
    <t>AVENIDA DO CURSINO ESQUINA COM RUA DOM VILARES</t>
  </si>
  <si>
    <t>RUA ORLANDO FERRAIOLO ESQUINA COM A RUA NOSSA SENHORA DA SAUDE</t>
  </si>
  <si>
    <t>AVENIDA DO CURSINO DEFRONTE A  RUA DIVINOPOLIS</t>
  </si>
  <si>
    <t>RUA JUREIA ESQUINA COM A RUA ITAOCA</t>
  </si>
  <si>
    <t>RUA DOUTOR JOSE BENTO FERREIRA ESQUINA COM AVENIDA MIGUEL ESTEFANO</t>
  </si>
  <si>
    <t>AVENIDA DOS BANDEIRANTE PROXIMO A ESQUINA COM A RUA JOAO CARLOS MALET</t>
  </si>
  <si>
    <t>PLANALTO PAULISTA</t>
  </si>
  <si>
    <t>RUA DOMINGOS DE MORAIS ESQUINA COM RUA TIMBURIBA</t>
  </si>
  <si>
    <t>RUA PILOES ESQUINA COM A RUA MACIEL PARENTE</t>
  </si>
  <si>
    <t>VILA CARIOCA</t>
  </si>
  <si>
    <t>RUA CORONEL FRANCISCO INACIO PROXIMO A ESQUINA COM A RUA AMERICO SAMARONE</t>
  </si>
  <si>
    <t>RUA TITO OLIANI 604 ENTRE AS RUAS JOAOVICENTE BRITO FILHO  E A RUA PROFESSORA EDNEA ATTAB</t>
  </si>
  <si>
    <t>SÃO JOÃO CLÍMACO</t>
  </si>
  <si>
    <t>RUA JOAO FERNANDES CAMISA NOVA JUNIOR PROXIMO DA ESQUINA COM A RUA YOSHIMARA MINAMOTO</t>
  </si>
  <si>
    <t>ESTRADA PRESIDENTE JOAO GOULART 2763 PROXIMO A RUA AUGUSTO FELIPE SIMOES</t>
  </si>
  <si>
    <t>RUA JOAO FERNANDES CAMISA NOVA JUNIOR ESQUINA COM A RUA ANTONIO ESPER</t>
  </si>
  <si>
    <t>RUA JOSE SEDENHO ESQUINA COM A RUA MANUEL VIEIRA SARMENTO</t>
  </si>
  <si>
    <t>CENTRO EMPRESARIAL</t>
  </si>
  <si>
    <t>AVENIDA SENADOR TEOTONIO VILELA 4029 CONDOMINIO RESIDENCIAL NACOES UNIDAS</t>
  </si>
  <si>
    <t>RUA ALEXANDRE BORONDIM DEFRONTE A RUA LEONARDO LEO</t>
  </si>
  <si>
    <t>RUA PARATINGA ESQUINA COM A RUA ANA CATHARINA RANDI</t>
  </si>
  <si>
    <t>CHÁCARA FLORA</t>
  </si>
  <si>
    <t>RUA DESEMBARGADOR GODOI MOREIRA PROXIMO A ESQUINA DA RUA NICOLAU ALAYON</t>
  </si>
  <si>
    <t>RUA MARECHAL DEODORO ESQUINA COM RUA SENADOR VERGUEIRO</t>
  </si>
  <si>
    <t>AVENIDA PRESIDENTE WILSON 275 AO LADO DO PREDIO DA AMBEV</t>
  </si>
  <si>
    <t>RUA DOMINGOSS AFONSO SERTAO ESQUINA COM A RUA BENEDITA ANDREATTI ALCANTARA</t>
  </si>
  <si>
    <t>RUA LAUZANE 200 PROXIMO DA ESQUINA COM A RUA HOMERO VAZ DO AMARAL</t>
  </si>
  <si>
    <t>AVENIDA BERNA 313</t>
  </si>
  <si>
    <t>AVENIDA CARLOS BARBOSA DOS SANTOS 4078 DEFRONTE A RUA RIO PARATINGA</t>
  </si>
  <si>
    <t>AVENIDA DONA BELMIRA MARIN ESQUINA COM A RUA ADELIA DA SILVA MENDES</t>
  </si>
  <si>
    <t xml:space="preserve">RUA ANTONIO DE SENA 80  NO INTERIOR DA SABESP </t>
  </si>
  <si>
    <t>AVENIDA CARLOS OBERHUBER 1205 PROXIMO DA ESQUINA COM A RUA SAMARINDA</t>
  </si>
  <si>
    <t>AVENIDA CARLOS BARBOSA SANTOS 1444 PROXIMO DA RUA NAMIBIA</t>
  </si>
  <si>
    <t>RUA FREDERICO RENE DE JAEGHER ESQUINA COM A RUA MENINO JESUS DE PRAGA</t>
  </si>
  <si>
    <t>RUA GUIMARAES TAVARES DEFRONTE A RUA DOUTOR JOSE DA MATA CARDIM</t>
  </si>
  <si>
    <t>RUA GUARACIAMA ESQUINA COM A RUA FRANCISCO TAPAJOS</t>
  </si>
  <si>
    <t>RUA PADRE FRANCISCO XAVIER ROSER ESQUINA COM A AVENIDA DOUTOR GENTIL DE MOURA</t>
  </si>
  <si>
    <t>ALTO DO IPIRANGA</t>
  </si>
  <si>
    <t>AVENIDA ALMIRANTE DELAMARE ESQUINA COM A RUA SILVA BUENO</t>
  </si>
  <si>
    <t xml:space="preserve">RUA JAGUARI ESQUINA COM A RUA TIQUATIRA </t>
  </si>
  <si>
    <t>RUA SAO CAETANO DO SUL PROXIMO A ESQUINA COM A RUA ITAQUAQUECETUBA</t>
  </si>
  <si>
    <t>AVENIDA SANTO AMARO ESQUINA COM A RUA BARAO DE COTEGIPE</t>
  </si>
  <si>
    <t>RUA GRAHAM BELL PROXIMO DA ESQUINA COM A AVENIDA VEREADOR JOSE DINIZ</t>
  </si>
  <si>
    <t>RUA SABINO ESQUINA COM A RUA PADRE MACHADO</t>
  </si>
  <si>
    <t xml:space="preserve">ESTRADA DE ITAPECERICA 1187 LADO OPOSTO </t>
  </si>
  <si>
    <t>RUA PONTES DE MORAIS ESQUINA COM A RUA OITO</t>
  </si>
  <si>
    <t>RUA JOAO MAFFEI ESQUINA COM A RUA JOAO GOMES JUNIOR</t>
  </si>
  <si>
    <t>JARDIM BONFIGLIOLI</t>
  </si>
  <si>
    <t>RUA HUMBERTO BENEMERITTI ESQUINA COM A RUA HERMES RIBEIRO DE FREITAS</t>
  </si>
  <si>
    <t>JARDIM MITSUTANI</t>
  </si>
  <si>
    <t>RUA DO FLUOR NO FINAL DA RUA</t>
  </si>
  <si>
    <t>PAIOL VELHO</t>
  </si>
  <si>
    <t>RUA SANTANA DO RIO PRETO PROXIMO A RUA ALTO BENI</t>
  </si>
  <si>
    <t>RUA MARUJADA NO FINAL DA RUA</t>
  </si>
  <si>
    <t>AVENIDA RANGEL PESTANA 1554 DEFRONTE A RUA OIAPOQUE</t>
  </si>
  <si>
    <t>RUA JUREIA ESQUINA COM A RUA DOUTOR FRANCISCO JOSE LONGO</t>
  </si>
  <si>
    <t>RUA JOAQUIM TAVORA ESQUINA COM A RUA HUMBERTO I</t>
  </si>
  <si>
    <t>FRANÇA PINTO</t>
  </si>
  <si>
    <t>RUA RIO GRANDE DEFRONTE A RUA DOUTOR ALVARO ALVIM</t>
  </si>
  <si>
    <t>RUA DOUTOR ARTUR MOREIRA DE ALMEIDA 406 PROXIMO A RUA JOSE DE OLIVEIRA</t>
  </si>
  <si>
    <t>JARDIM ÂNGELA</t>
  </si>
  <si>
    <t>RUA BALTAZAR LISBOA ESQUINA COM A RUA LIMOEIRO DE ANADIA</t>
  </si>
  <si>
    <t>RUA JOSE MARIA LISBOA ESQUINA COM A RUA PEIXOTO GOMIDE</t>
  </si>
  <si>
    <t>OSCAR FREIRE</t>
  </si>
  <si>
    <t>RUA MACEIO ESQUINA COM A AV ANGELICA</t>
  </si>
  <si>
    <t>RUA NESTOR PESTANA ESQUINA COM A RUA MARTINHO PRADO</t>
  </si>
  <si>
    <t>LADEIRA DA MEMÓRIA</t>
  </si>
  <si>
    <t>ALAMEDA BARAO DE LIMEIRA ESQUINA COM A RUA GENERAL RONDOM</t>
  </si>
  <si>
    <t>SANTA CECÍLIA</t>
  </si>
  <si>
    <t>RUA EVANYR PRADO  VENTURINI ESQUINA COM A RUA CLOVIS MONTEIRO CARVALHO</t>
  </si>
  <si>
    <t>RUA PADRE MACHADO ESQUINA COM RUA DOMINGOS DE MORAIS</t>
  </si>
  <si>
    <t>RUA DOMINGOS DE SANTA MARIA 202</t>
  </si>
  <si>
    <t>RUA STELA MARINA ESQUINA COM A RUA COMENDADOR EDUARADO SACCAB</t>
  </si>
  <si>
    <t>CAMPO BELO</t>
  </si>
  <si>
    <t>AVENIDA JABAQUARA ESQUINA COM RUA GUARAU</t>
  </si>
  <si>
    <t>RUA TENENTE CORONEL CARLOS DA SILVA ARAUJO ESQUINA COM AVENIDA JOAO DIAS</t>
  </si>
  <si>
    <t>RUA CAIO GRACO DA SILVA PRADO ESQUINA COM A RUA VICENZO DANTE</t>
  </si>
  <si>
    <t>RUA PHOBUS PROXIMO DA ESQUINA COM A RUA FORTE DE ARAXA</t>
  </si>
  <si>
    <t>RUA MORRO DAS PEDRAS DEFRONTE A TRAVESSA CRAVO DIVINO</t>
  </si>
  <si>
    <t>PARQUE SÃO RAFAEL</t>
  </si>
  <si>
    <t>RUA ANECY ROCHA ESQUINA COM A RUA ZACHARIAS MOTTA FILHO</t>
  </si>
  <si>
    <t>IGUATEMI</t>
  </si>
  <si>
    <t>RUA CHARLES BEST 194 ENTRE AS RUAS BENJAMIN DE TUDELA E RUA DOMENICO DEL PANE</t>
  </si>
  <si>
    <t>FAZENDA DA JUTA</t>
  </si>
  <si>
    <t>RUA DOUTOR LUIZ MIGLIANO 130 PROXIMO A RUA MAXIMO MACIEL</t>
  </si>
  <si>
    <t>VILA SUZANA</t>
  </si>
  <si>
    <t>RUA MIGUEL STEFANO ESQUINA COM A RUA BIOBEDAS</t>
  </si>
  <si>
    <t>SAÚDE</t>
  </si>
  <si>
    <t>RUA MARTINS LOPES LOBO 109 PROXIMO DA ESQUINA DA RUA M</t>
  </si>
  <si>
    <t>RUA ALEXANDRE CALAME 740</t>
  </si>
  <si>
    <t>JAGUARÉ</t>
  </si>
  <si>
    <t>LARGO DONA ANA ROSA METRO ANAROSA</t>
  </si>
  <si>
    <t>RODRIGUES ALVES</t>
  </si>
  <si>
    <t>AVENIDA DO RIO PEQUENO ESQUINA COM A RUA DESEMBARGADOR HOMERO PINHO</t>
  </si>
  <si>
    <t>JARDIM ESTER YOLANDA</t>
  </si>
  <si>
    <t>RUA JORDAO GOUVEA 309 NO INTERIOR DO CONDOMINIO VILA DELLA CITTA</t>
  </si>
  <si>
    <t>NO INTERIOR DO CEAGESP NO ENTORNO DO PREDIO LEA LOJAS ESCRITORIOS E ADMINISTRACAO</t>
  </si>
  <si>
    <t>NO INTERIOR DO CEAGESP NA CALCADA DO PAVILHAO HFC</t>
  </si>
  <si>
    <t>NO INTERIOR DA CEAGESP NA CALCADA DO PAVILHAO BPD</t>
  </si>
  <si>
    <t>NO INTERIOR DO CEAGESP NA CALCADA DO PREDIO FAP</t>
  </si>
  <si>
    <t>NO INTERIOR DO CEAGESP AO LADO DA QUADRA DO PAVILHAO MLP LOCAL DE RECICLAGEM E DESCARTE</t>
  </si>
  <si>
    <t>RUA HENRIQUE GIL NETO NO FINAL DA RUA</t>
  </si>
  <si>
    <t>RUA ALEXANDRE ARTOT 63</t>
  </si>
  <si>
    <t>RUA FLORES DA PRIMAVERA 638</t>
  </si>
  <si>
    <t>RUA DA INDEPENDENCIA ESQUINA COM A RUA JOSE BENTO</t>
  </si>
  <si>
    <t>RUA CORONEL BENTO PIRES ESQUINA COM A RUA CARNEIRO LEAO</t>
  </si>
  <si>
    <t>AVENIDA PROFESSOR FRANCISCO MORATO PROXIMO DA ESQUINA DA RUA MANOEL JACINTO</t>
  </si>
  <si>
    <t>RUA ANTONIO DE SA ESQUINA COM A AVENIDA DO ESTADO</t>
  </si>
  <si>
    <t>RUA DR. LUIS MIGLIANO PROXIMO A RUA DAVID ROMERO PARE</t>
  </si>
  <si>
    <t>PRACA CAVICA ULYSSES GUIMARAES NA CALCADA DO MUSEU CATAVENTO</t>
  </si>
  <si>
    <t>PARQUE DOM PEDRO</t>
  </si>
  <si>
    <t>RUA MINISTRO ADAUTO LUCIO CARDOSO ESQUINA COM A RUA ENGENHEIRO DACIO AGUIAR DE MORAES</t>
  </si>
  <si>
    <t>RUA JOAO TEODORO ESQUINA COM A RUA PEDRO ALVARES CABRAL</t>
  </si>
  <si>
    <t>AVENIDA NAZARE 301</t>
  </si>
  <si>
    <t>VILA SÃO JOSÉ</t>
  </si>
  <si>
    <t>RUA DO MANIFESTO ESQUINA COM A RUA LEAIS PAULISTANOS</t>
  </si>
  <si>
    <t>RUA MELO BARRETO DEFRONTE A RUA ESCOLA TECNICA DE AVIACAO</t>
  </si>
  <si>
    <t>AVENIDA CRUZEIRO DO SUL 190</t>
  </si>
  <si>
    <t>CANINDÉ</t>
  </si>
  <si>
    <t>RUA JULIETA ESPIRITO SANTO PINHEIRO 30 PROXIMO A ESQUINA DA RUA BERNARDO DOS SANTOS</t>
  </si>
  <si>
    <t>RUA ATERARIS ESQUINA COM A RUA ARGIRITO</t>
  </si>
  <si>
    <t>RUA JUMANA ESQUINA COM A RUA CONDE PRATES</t>
  </si>
  <si>
    <t>RUA ADIB MIGUEL HADDAD ESQUINA COM A RUA MANOEL DA MOTA</t>
  </si>
  <si>
    <t>VILA GUMERCINDO</t>
  </si>
  <si>
    <t>AVENIDA BOSQUE DA SAUDE ESQUINA COM A RUA MANOEL COELHO DA SILVA</t>
  </si>
  <si>
    <t>RUA DOM MIGUEL COSTA ZESQUINA COM RUA SEBASTIAO DO REGO</t>
  </si>
  <si>
    <t>RUA SANTA CRUZ 1564 ENTRE AS RUAS DOM ANTONIO ALVARENGA E DOM LUCIO DE SOUZA</t>
  </si>
  <si>
    <t>RUA BORGES LAGOA 170 DEFRONTE A RUA MACHADO BITTENCOURT</t>
  </si>
  <si>
    <t>VILA CLEMENTINO</t>
  </si>
  <si>
    <t>RUA VASCO DA GAMA ESQUINA COM A RUA DO GASOMETRO</t>
  </si>
  <si>
    <t>GASÔMETRO</t>
  </si>
  <si>
    <t>RUA CAPITAO FAUSTINO DE LIMA ESQUINA COM A AVENIDA RANGEL PESTANA</t>
  </si>
  <si>
    <t>RUA DO GASOMETRO ESQUINA COM A RUA MONSENHOR DE ANDRADE</t>
  </si>
  <si>
    <t>ALAMEDA MINISTRO ROCHA AZEVEDO ESQUINA COM ALAMEDA SANTOS</t>
  </si>
  <si>
    <t>TRIANON</t>
  </si>
  <si>
    <t>RUA CAVALHEIRO BASILIO JAFET ESQUINA COM O PARQUE DOM PEDRO</t>
  </si>
  <si>
    <t>RUA DA CONSOLACAO ESQUINA COM A RUA VISCONDE DE OURO PRETO</t>
  </si>
  <si>
    <t>RUA PARANA ESQUINA COM A RUA CAETANO PINTO</t>
  </si>
  <si>
    <t>RUA OLIVEIRA MELO ESQUINA COM A RUA ARCIPRESTES EZEQUIAS</t>
  </si>
  <si>
    <t>AVENIDA DO ESTADO ESQUINA COM A RUA PRESIDENTE BARAO DE GUAJARA</t>
  </si>
  <si>
    <t>AVENIDA MANUEL BANDEIRA ESQUINA COM AVENIDA JOSE CESAR DE OLIVEIRA</t>
  </si>
  <si>
    <t>RUA THIERS ESQUINA COM A RUA ITAQUI</t>
  </si>
  <si>
    <t>RUA TRES RIOS ESQUINA COM A RUA CORREIA DE MELO</t>
  </si>
  <si>
    <t>RUA TRES RIOS ESQUINA COM A RUA PRATES</t>
  </si>
  <si>
    <t>RUA VIDAL NEGREIROS ESQUINA COM A RUA MADEIRA</t>
  </si>
  <si>
    <t>RUA CARNOT ESQUINA COM A RUA CAMOMIL</t>
  </si>
  <si>
    <t>RUA HELVETIA ESQUINA COM A ALAMEDA BARAO DE LIMEIRA</t>
  </si>
  <si>
    <t>AVENIDA RIO BRANCO ESQUINA COM A ALMEDA NOTHMANN</t>
  </si>
  <si>
    <t>RUA MARTINIANO DE CARVALHO ESQUINA COM A RUA PEDROSO</t>
  </si>
  <si>
    <t>BEXIGA</t>
  </si>
  <si>
    <t>RUA ARTUR PRADO ESQUINA COM A RUA SANTA MADALENA</t>
  </si>
  <si>
    <t>RUA PAMPLONA ESQUINA COM A ALAMEDA ITU</t>
  </si>
  <si>
    <t>CAMPINAS</t>
  </si>
  <si>
    <t>RUA HADDOCK LOBO ESQUINA COM A RUA FERNANDO DE ALBUQUERQUE</t>
  </si>
  <si>
    <t>RUA NOVE DE JULHO ESQUINA COM AVENIDA ADOLFO PINHEIRO</t>
  </si>
  <si>
    <t>RUA PADRE LEONARDO ESQUINA COM A RUA BRAZ ARZAO</t>
  </si>
  <si>
    <t>VIEIRA DE MORAES</t>
  </si>
  <si>
    <t>RUA ARAPUA ESQUINA COM A AVENIDA ENGENHEIRO ARMANDO DE ARRUDA PEREIRA</t>
  </si>
  <si>
    <t>RUA REPUBLICA DO IRAQUE ESQUINA COM A RUA EDSON</t>
  </si>
  <si>
    <t>RUA ALEXANDRE COLARES PROXIMO DA RUA JOAQUIM DA COSTA MIRANDA</t>
  </si>
  <si>
    <t>RUA MANUEL DE OLIVEIRA ESQUINA COM A RUA EUSEBIO  NO MEIO DA RUA</t>
  </si>
  <si>
    <t>RUA MANOEL RODRIGUES DA COSTA ESQUINA COM A RUA MANOEL MARTINS DA ROCHA</t>
  </si>
  <si>
    <t>RUA BENTO COELHO DA SILVEIRA PROXIMO A ESQUINA COM A RUA DO MARQUES DEFRONTE A PRACA ISIDORO MACHADO</t>
  </si>
  <si>
    <t>JARDIM BOM CLIMA</t>
  </si>
  <si>
    <t>AVENIDA SANTA MONICA 593 NO INTERIOR DO CONDOMINIO RESIDENCIAL SANTA MONICA NA RUA PRINCIPAL PROXIMO AO BLOCO 3A</t>
  </si>
  <si>
    <t>VILA ZATT</t>
  </si>
  <si>
    <t>AVENIDA DO ANASTACIO 745  PROXIMO A ESQUINA COM A RUA SENADOR ALBERTO PASQUALINI</t>
  </si>
  <si>
    <t>RUA NASSIB JACOBE NO FINAL A ESQUERDA RUA FECHADA</t>
  </si>
  <si>
    <t>PRACA GENERAL ENEIAS MARTINS NOGUEIRA ESQUINA COM A RUA GUARARAPES</t>
  </si>
  <si>
    <t>BERRINI</t>
  </si>
  <si>
    <t>RUA EDSON REGIS ESQUINA COM A RUA MARQUES DE REZENDE</t>
  </si>
  <si>
    <t>RUA FRANCISCO OTAVIANO PROXIMO A RUA VICENTE DE CARVALHO</t>
  </si>
  <si>
    <t>VILA SOCORRO</t>
  </si>
  <si>
    <t>RUA PEDRO LADISLAU DE ALMEIDA ESQUINA COM A RUA JOSE DA COSTA VALERIO</t>
  </si>
  <si>
    <t>RUA ANTONIO FELIX PACHECO ESQUINA COM A RUA ITAPEJARA</t>
  </si>
  <si>
    <t>RUA ARMADOR BUENO ESQUINA COM RUA BARAO DO RIO BRANCO</t>
  </si>
  <si>
    <t>RUA PIRACHIN ESQUINA COM RUA JOAO ALFREDO</t>
  </si>
  <si>
    <t>RUA PROFESSOR ANGELO MAZZA PROXIMO DA ESQUINA DA RUA GENERAL CAVALCANTI DE FARIAS</t>
  </si>
  <si>
    <t>RUA LAGRANGE ESQUINA COM A RUA FERREIRA VIANA</t>
  </si>
  <si>
    <t>RUA JOAO RODRIGUES LEITE 54 NO FINAL DA RUA</t>
  </si>
  <si>
    <t>AVENIDA PAULISTA 872 DEFRONTE AO PREDIO DA GAZETA</t>
  </si>
  <si>
    <t>SÃO CARLOS DO PINHAL</t>
  </si>
  <si>
    <t>RUA VOLTA REDONDA ESQUINA COM A RUA ZACARIAS DE GOES</t>
  </si>
  <si>
    <t>RUA OCTAVIO TEIXEIRA MENDES SOBRINHO ESQUINA COM A RUA ANTONIO LOUREIRO</t>
  </si>
  <si>
    <t>RUA TOMASINA ESQUINA COM AVENIDA CUPECE</t>
  </si>
  <si>
    <t>CUPECÊ</t>
  </si>
  <si>
    <t>AVENIDA RUDGE 706 EM FRENTE AO PORTAO DA LBV</t>
  </si>
  <si>
    <t>BOM RETIRO</t>
  </si>
  <si>
    <t>RUA DOUTOR FASUTO FERRAZ ESQUINA COM A RUA CARLOS SAMPAIO</t>
  </si>
  <si>
    <t>RUA PRATES PROXIMO A  ESQUINA COM A RUA RIBEIRO DE LIMA</t>
  </si>
  <si>
    <t>RUA PEIXOTO GOMIDE ESQUINA COM A RUA AUGUSTA</t>
  </si>
  <si>
    <t>AVENIDA PAULISTA ESQUINA COM A RUA PAMPLONA</t>
  </si>
  <si>
    <t>RUA TOMAS TEIXEIRA ESQUINA COM TRAVESSA PAULO KATAS</t>
  </si>
  <si>
    <t>RUA JOSE NABANTINO RAMOS PROXIMO A RUA DOM JERONIMO OSORIO</t>
  </si>
  <si>
    <t>RUA PROFESSOR ANTONIO PRUDENTE DEFRONTE A RUA DOUTOR JAMBEIRO COSTA NA CALCADA DO AC CAMARGO</t>
  </si>
  <si>
    <t>CENTRO CULTURAL</t>
  </si>
  <si>
    <t>RUA DOS FRANCESES ESQUINA COM A RUA DOS BELGAS</t>
  </si>
  <si>
    <t>RUA FERNANDO DE ALBUQUERQUE ESQUINA COM A RUA BELA CINTRA</t>
  </si>
  <si>
    <t>AVENIDA PAULISTA 2160 ESQUINA COM RUA AUGUSTA</t>
  </si>
  <si>
    <t>ALAMEDA ITU ESQUINA COM A RUA HADDOCK LOBO</t>
  </si>
  <si>
    <t>RUA BELA CINTRA ESQUINA COM A RUA ANTONIO CARLOS</t>
  </si>
  <si>
    <t>AVENIDA EMBAIXADOR MACEDO SOARES PISTA LOCAL DA MARGINAL TIETE ESQUINA COM A RUA POLICARPO DA CRUZ</t>
  </si>
  <si>
    <t>EMISSÁRIO</t>
  </si>
  <si>
    <t>RUA BRIGADEIRO HENRIQUE FONTENELLE ESQUINA COM A RUA TOMAIS LOPES FERREIRA</t>
  </si>
  <si>
    <t>RUA MADRE EMILIE DE VILLENEUVE ESQUINA COM A AVENIDA VEREADOR JOAO DE LUCA</t>
  </si>
  <si>
    <t>RUA FERNANDO DE ALBUQUERQUE ESQUINA COM A AVENIDA DA CONSOLACAO</t>
  </si>
  <si>
    <t>RUA MANUEL PEREIRA GUIMARES ALTURA DO 506 NA CURVA</t>
  </si>
  <si>
    <t>RUA PADRE JOSE DE ANCHIETA ESQUINA COM A RUA DOUTOR ANTONIO BENTO</t>
  </si>
  <si>
    <t>RUA CARNEIRO DA SILVA ESQUINA COM A RUA COLUMBUS</t>
  </si>
  <si>
    <t>VILA LEOPOLDINA</t>
  </si>
  <si>
    <t>RUA DOS CAPITAES MORES ESQUINA COM A RUA DA MOOCA</t>
  </si>
  <si>
    <t>RUA WANDENKOLK ESQUINA COM A RUA DO LIRISMO</t>
  </si>
  <si>
    <t>RUA PARANA ESQUINA COM A RUA PIRATININGA</t>
  </si>
  <si>
    <t>RUA BELEM ESQUINA COM A RUA CAJURU</t>
  </si>
  <si>
    <t>RUA SANTA VERIDIANA ESQUINA COM A RUA MARQUES DE POMBAL</t>
  </si>
  <si>
    <t>RUA RIFAINA ESQUINA COM A RUA BICA DE PEDRA</t>
  </si>
  <si>
    <t>VILA ANGLO BRASILEIRA</t>
  </si>
  <si>
    <t>RUA EDUARDO VICENTE NASSER 147 PROXIMO DA ESQUINA COM A RUA JOSE OLIVEIRA MATIAS</t>
  </si>
  <si>
    <t xml:space="preserve">RUA BENVINDA APARECIDA DE ABREU LEME 163 ENTRE A RUA JOSE DEBIEUX E A RUA CONSELHEIRO SARAIVA </t>
  </si>
  <si>
    <t>ALFREDO PUJOL</t>
  </si>
  <si>
    <t>RUA DAS PEROLAS ESQUINA COM A RUA CATERINO CAVOS</t>
  </si>
  <si>
    <t>AVENIDA FRANCISCO MATARAZZO ESQUINA COM A AVENIDA DOUTOR DOLPHO PINTO</t>
  </si>
  <si>
    <t>FRANCISCO MATARAZZO</t>
  </si>
  <si>
    <t>RUA CORONEL CASTRO DE FARIA ESQUINA COM A RUA APIRUZ</t>
  </si>
  <si>
    <t>VILA IPOJUCA</t>
  </si>
  <si>
    <t>RUA DOUTOR HOMEM DE MELO ESQUINA COM A RUA CARDOSO DE ALMEIDA</t>
  </si>
  <si>
    <t>PUC</t>
  </si>
  <si>
    <t>RUA DA CONSOLACAO ESQUINA COM A RUA MARIA ANTONIA</t>
  </si>
  <si>
    <t>AVENIDA BRAZ LEME 3351 EM FRENTE AO PB SANTANA</t>
  </si>
  <si>
    <t>RUA VICENTE JOSE DE ALMEIDA ESQUINA COM A RUA OTAVIO SINESIO ARAGAO</t>
  </si>
  <si>
    <t>RUA BRIGADEIRO GALVAO 892</t>
  </si>
  <si>
    <t>MARECHAL DEODORO</t>
  </si>
  <si>
    <t>RUA BRIGADEIRO 564 PROXIMO A ESQUINA COM A RUA CONSELHEIRO BROTERO</t>
  </si>
  <si>
    <t>RUA DOUTOR ALBUQUERQUE LINS ESQUINA COM RUA DOUTOR VEIGA FILHO</t>
  </si>
  <si>
    <t>ALAMEDA BARROS ESQUINA COM AVENIDA ANGELICA</t>
  </si>
  <si>
    <t>RUA DOUTOR ALBUQUERQUE LINS ESQUINA COM ALAMEDA BARROS</t>
  </si>
  <si>
    <t>RUA MIGUEL VENOTTI ESQUINA COM A ZRUA AZEVEDO SOARES</t>
  </si>
  <si>
    <t>GOMES CARDIM</t>
  </si>
  <si>
    <t>RUA INTENDENCIA ESQUINA COM AVENIDA CELSO GARCIA</t>
  </si>
  <si>
    <t>RUA DOUTOR JOAO BATISTA DE LACERDA ESQUINA COM RUA SERRA DE JAIRE</t>
  </si>
  <si>
    <t>QUARTA PARADA</t>
  </si>
  <si>
    <t>RUA JARINU ESQUINA COM RUA FERNAO TAVARES</t>
  </si>
  <si>
    <t>TATUAPÉ</t>
  </si>
  <si>
    <t>RUA DEMETRIO RIBEIRO ESQUINA COM A RUA TUIUTI</t>
  </si>
  <si>
    <t>RUA BOM SUCESSO ESQUINA COM A RUA AZEVEDO SOARES</t>
  </si>
  <si>
    <t>RUA JARINU DEFRONTE COM RUA SERRA DE BRAGANCAZ</t>
  </si>
  <si>
    <t>RUA TUIUTI DEFRONTE A RUA TIJUCO PRETO</t>
  </si>
  <si>
    <t>RUA SAO FELIPE 381 PROXIMO A RUA SANTA CATARINA</t>
  </si>
  <si>
    <t>CHÁCARA DO PIQUERI</t>
  </si>
  <si>
    <t>RUA MELO PEIXOTO ENTRE A RUA DOUTOR ANGELO VITA E A RUA SALVADOR DE LIMA</t>
  </si>
  <si>
    <t>PARQUE SÃO JORGE</t>
  </si>
  <si>
    <t>AVENIDA MARQUES DE SAO VICENTE RUA DR RUBENS MEIRELES</t>
  </si>
  <si>
    <t>BARRA FUNDA</t>
  </si>
  <si>
    <t>RUA REDENCAO ESQUINA COM A AVENIDA CELSO GARCIA</t>
  </si>
  <si>
    <t>RUA SAPUCAIA DEFRONTE A RUA DR JOAO BATISTA DE LACERDA</t>
  </si>
  <si>
    <t>RUA JUVENAL PARADA ESQUINA COM A RUA DA MOOCA</t>
  </si>
  <si>
    <t>RUA SARA BERNHARD ESQUINA COM A RUA DO MOOCA</t>
  </si>
  <si>
    <t>RUA JORGE FUCHS ESQUINA COM AVENIDA CORONEL SEZEFREDO FAGUNDES</t>
  </si>
  <si>
    <t>AVENIDA GEORGE COBESIER ESQUINA COM A RUA BOCOROA</t>
  </si>
  <si>
    <t>PRACA COMANDANTE LINEU GOMES 146 EM FRENTE A GOL LINHAS AEREAS</t>
  </si>
  <si>
    <t>CONGONHAS</t>
  </si>
  <si>
    <t>RUA DAS ROSAS ESQUINA COM A RUA LUIS GOIS</t>
  </si>
  <si>
    <t>RUA CONSELHEIRO MOREIRA DE BARROS 601 DEFRONTE A RUA RAIMUNDO DE MORAIS</t>
  </si>
  <si>
    <t>RUA DOS CRISANTEMOS ESQUINA COM A RUA DAS ROSAS   PRACA SANTA RITA DE CASSIA</t>
  </si>
  <si>
    <t>AVENIDA SENADOR CASEMIRO DA ROCHA PROXIMO A ESQUINA DA PRACA SANTA RITA DE CASSIA</t>
  </si>
  <si>
    <t>ALAMEDA UANANA ESQUINA COM A AVENIDA PIASSANGUABA</t>
  </si>
  <si>
    <t>AVENIDA CANTAREIRA ESQUINA COM AVENIDA AGUAS DE SAO PEDRO</t>
  </si>
  <si>
    <t>JARDIM SÃO PAULO</t>
  </si>
  <si>
    <t>RUA ITANHANGA 443</t>
  </si>
  <si>
    <t>AVENIDA NOVA CANTAREIRA ESQUINA COM AVENIDA TENENTE JULIO PRADO NEVES</t>
  </si>
  <si>
    <t>RUA DOUTOR ZUQUIM ESQUINA COM RUA DOUTOR ARTUR GUIMARAES</t>
  </si>
  <si>
    <t>RUA JAIR MORAES ESQUINA COM AVENIDA LUIS DUMONT VILARES</t>
  </si>
  <si>
    <t>AVENIDA TUCURUVI ESQUINA COM RUA PADRE JULIO MARIA</t>
  </si>
  <si>
    <t>AVENIDA AGUA FRIA ESQUINA COM RUA JERONIMA DIAS</t>
  </si>
  <si>
    <t>AVENIDA NOVA CANTAREIRA ESQUINA COM RUA MAESTRO JOAO GOMES DE ARAUJO 17</t>
  </si>
  <si>
    <t>RUA MAJOR DANTAS 161 PROXIMO A RUA SITIO DA SERRA</t>
  </si>
  <si>
    <t>RUA PEDRO ESQUINA COM RUA MARIA AMALIA LOPES DE AZEVEDO</t>
  </si>
  <si>
    <t>TREMEMBÉ</t>
  </si>
  <si>
    <t>AVENIDA COMANDANTE ANTONIO PAIVA SAMPAIO ESQUINA COM AVENIDA GUAPIRA</t>
  </si>
  <si>
    <t>RUA BENJAMIN PEREIRA ESQUINA COM RUA SANTA TERESA DE JESUS</t>
  </si>
  <si>
    <t>RUA ALCY BORGES DOS SANTOS 2 NO INTERIOR DO CONDOMINIO</t>
  </si>
  <si>
    <t>RUA BENEDITO SERVULO SANTANA 52 PROXIMO A RUA HENRIQUE ARMBRUST</t>
  </si>
  <si>
    <t>AVENIDA JANDIRA ESQUINA COM ALAMEDA DOS GUARAMOMIS</t>
  </si>
  <si>
    <t>MOEMA</t>
  </si>
  <si>
    <t>AVENIDA PACAEMBU ESQUINA COM A RUA ITAMARATI</t>
  </si>
  <si>
    <t>CARDOSO DE ALMEIDA</t>
  </si>
  <si>
    <t>AVENIDA CELSO GARCIA ESQUINA COM A RUA DUARTE DE CARVALHO</t>
  </si>
  <si>
    <t>AVENIDA JOSE MARIA WHITAKER 506</t>
  </si>
  <si>
    <t>RUA AURELIA 1125 NO INTERIOR DA SABESP A DIREITA</t>
  </si>
  <si>
    <t>AVENIDA SANTO AMARO 2848</t>
  </si>
  <si>
    <t>RUA DONA ELISA ESQUINA COM A RUA MARTA</t>
  </si>
  <si>
    <t>RUA JOAQUIM CARLOS ESQUINA COM A RUA SANTA RITA</t>
  </si>
  <si>
    <t>BOM JARDIM</t>
  </si>
  <si>
    <t>RUA BELISARIO DE SOUZA ESQUINA COM A RUA JOAQUIM CARLOS</t>
  </si>
  <si>
    <t>RUA PRINCESA MARIA PIA ESQUINA COM A RUA SOLIDONIO LEITE</t>
  </si>
  <si>
    <t>VILA EMA</t>
  </si>
  <si>
    <t>RUA EDUARDO GONCALVES ESQUINA COM A RUA JOAO ANTONIO DE OLIVEIRA</t>
  </si>
  <si>
    <t>RUA EMILIO MALET ESQUINA COM A RUA SERRA DE JAPI</t>
  </si>
  <si>
    <t>RUA SERRA DO JAPI PROXIMO A RUA SERRA DO JAPI</t>
  </si>
  <si>
    <t>RUA EMILIA MARENGO ESQUINA COM A RUA ADRIANOPOLIS</t>
  </si>
  <si>
    <t>RUA CACHOEIRA ESQUINA COM A RUA CATUMBI</t>
  </si>
  <si>
    <t>RUA MANOEL RAMOS PAIVA 506 DEFRONTE A RUA PEDRO LOPES DE SOUZA</t>
  </si>
  <si>
    <t>RUA JULIO CESAR DA SILVA 191 ESQUINA COM A  RUA JOSE KAUER</t>
  </si>
  <si>
    <t>RUA DOUTOR UBALDINO DO AMARAL ESQUINA COM A RUA SALDANHA MARINHO</t>
  </si>
  <si>
    <t>RUA DOUTOR UBALDINO DO AMARAL ESQUINA COM A RUA SAO LEOPOLDO</t>
  </si>
  <si>
    <t>RUA ANTONIO ANDRE RODRIGUES ESQUINA COM A AVENIDA SAPOPEMBA</t>
  </si>
  <si>
    <t>ÁGUA RASA</t>
  </si>
  <si>
    <t>RUA DOS PESCADORES ESQUINA COM A RUA DONA ANA NERI</t>
  </si>
  <si>
    <t>RUA CIPRIANO BARATA 133</t>
  </si>
  <si>
    <t>AVENIDA DOM PEDRO I ESQUINA COM A RUA LIMA BARRETO</t>
  </si>
  <si>
    <t>VILA MONUMENTO</t>
  </si>
  <si>
    <t>RUA DOM BOSCO ESQUINA COM A RUA BARAO DE JARAGUA</t>
  </si>
  <si>
    <t>RUA OSCAR HORTA ESQUINA COM A RUA DA MOOCA</t>
  </si>
  <si>
    <t>RUA CORONEL MURSA DEFRONTE A RUA MARTIM BURCHARD</t>
  </si>
  <si>
    <t>RUA CASEMIRO DE ABREU 331  DEFRONTE A VIELA JOSE LOBOSQUE</t>
  </si>
  <si>
    <t>ORIENTE</t>
  </si>
  <si>
    <t>RUA RODRIGUES DOS SANTOS ESQUINA COM A RUA ELISA WHITACKER</t>
  </si>
  <si>
    <t>RUA DOMINGOS PAIVA NA ESTACAO BRAS ENTRE A RUA PRUDENTE DE MORAIS E RUA CORONEL MURSA</t>
  </si>
  <si>
    <t>RUA SILVA TELES ESQUINA COM A RUA BRESSER</t>
  </si>
  <si>
    <t>RUA DA MOOCA ESQUINA COM A RUA LUIS GAMA</t>
  </si>
  <si>
    <t>RUA EDSON ESQUINA COM A AVENIDA VEREADOR JOSE DINIZ</t>
  </si>
  <si>
    <t>AVENIDA DO IRAI ESQUINA COM ALAMEDA UAPIXANA</t>
  </si>
  <si>
    <t>RUA CONDE DE IPANEMA ESQUINA COM A RUA VISCONDE DE CASTRO</t>
  </si>
  <si>
    <t>RUA LOEFFREN ESQUINA COM A RUA DOS OTONIS</t>
  </si>
  <si>
    <t>RUA VIEIRA DE MORAES ESQUINA COM A RUA BARAO DE JACEGUAI</t>
  </si>
  <si>
    <t>AVENIDA ONZE DE JUNHO ESQUINA COM A RUA NAPOLEAO DE BARROS</t>
  </si>
  <si>
    <t>RUA DR AFONSO BACCARI ESQUINA COM RUA JOSE DE MAGALHAES</t>
  </si>
  <si>
    <t>RUA  DOUTOR JESUINO MACIEL ESQUINA COM A RUA NOEL TOREZIN</t>
  </si>
  <si>
    <t>RUA FREDERICO ABRANCHES ESQUINA COM A RUA DONA VERIDIANA       LARGO SANTA CECILIA</t>
  </si>
  <si>
    <t>RUA LUIS GAMA DEFRONTE A RUA PROFESSOR DEMOSTENES BATISTA FIGUEIRA MARQUES</t>
  </si>
  <si>
    <t>RUA TURIASSU ESQUINA COM A RUA CARDOSO DE ALMEIDA</t>
  </si>
  <si>
    <t>RUA CORONEL BENTO PIRES ESQUINA COM A RUA DA FIGUEIRA</t>
  </si>
  <si>
    <t>AVENIDA HIGIENOPOLIS 15</t>
  </si>
  <si>
    <t>HIGIENÓPOLIS</t>
  </si>
  <si>
    <t>RUA ITAPICURU ESQUINA COM A RUA CARDOSO DE ALMEIDA</t>
  </si>
  <si>
    <t>RUA DOUTOR RICARDO GONCALVES ESQUINA COM A RUA XAVANTES</t>
  </si>
  <si>
    <t>AVENIDA AGUA FRIA ESQUINA COM RUA AURELIANO LEAL</t>
  </si>
  <si>
    <t>RUA MAJOR ARI GOMES 21 PROXIMO A ESQUINA COM AVENIDA CORONEL SEZEFREDO FAGUNDES</t>
  </si>
  <si>
    <t>RUA CAMARAGIBE ESQUINA COM A RUA JOAO DE BARROSZ</t>
  </si>
  <si>
    <t>RUA DA VARZEA DEFRONTE A RUA ASSIS</t>
  </si>
  <si>
    <t>RUDGE</t>
  </si>
  <si>
    <t>RUA MENDES JUNIOR ESQUINA COM A RUA SILVA TELES</t>
  </si>
  <si>
    <t>RUA RIO BONITO ESQUINA COM A RUA ITAPIRACABA</t>
  </si>
  <si>
    <t>RUA SILVA TELES 74 DEFRONTE A RUA JOAO TEODORO</t>
  </si>
  <si>
    <t>RUA MENDES GONCALVES ESQUINA COM A RUA SILVA TELES</t>
  </si>
  <si>
    <t>AVENIDA PEDROSO DA SILVEIRA ESQUINA COM A RUA SANTA RITA</t>
  </si>
  <si>
    <t>RUA CANUTO ABREU PROXIMO DA ESQUINA COM A RUA EMILIA MARENGO</t>
  </si>
  <si>
    <t>JARDIM ANÁLIA FRANCO</t>
  </si>
  <si>
    <t>RUA SIMAO BORGES ESQUINA COM RUA DO IMPERADOR</t>
  </si>
  <si>
    <t>RUA BRESSER ESQUINA COM A RUA XAVANTES</t>
  </si>
  <si>
    <t>AVENIDA GENERAL ATALIBA LEONEL ESQUINA COM A RUA NELSON</t>
  </si>
  <si>
    <t>VILA ISOLINA MAZZEI</t>
  </si>
  <si>
    <t>AVENIDA DO ESTADO ESQUINA COM A RUA TAPAJOS</t>
  </si>
  <si>
    <t>PONTE PEQUENA</t>
  </si>
  <si>
    <t>RUA ATOPE ESQUINA COM A RUA SAO JOAO DO SABUGI</t>
  </si>
  <si>
    <t>LINHAS CORRENTE</t>
  </si>
  <si>
    <t>AVENIDA ALBERTO RAMOS 220</t>
  </si>
  <si>
    <t>RUA CORONEL MARCILIO FRANCO ESQUINA COMA RUA ABAETEZINHO</t>
  </si>
  <si>
    <t>RUA DAS GAMBOAS ESQUINA COM RUA COMPRIDA</t>
  </si>
  <si>
    <t>RUA DA CANTAREIRA ESQUINA COM A RUA SAO CAETANO</t>
  </si>
  <si>
    <t>RUA APENINOS ESQUINA COM A RUA DOUTOR JOAO MORAIS</t>
  </si>
  <si>
    <t>RUA MONT ALVEME ESQUINA COM A  RUA PIQUETE</t>
  </si>
  <si>
    <t>RUA DA IMPRENSA ESQUINA COM RUA MONT ALVERNE</t>
  </si>
  <si>
    <t>AVENIDA TURMALINA ESQUINA COM A RUA ESPIRITO SANTO</t>
  </si>
  <si>
    <t>ACLIMAÇÃO</t>
  </si>
  <si>
    <t>RUA PROFESSORA ANITA GUASTINIEIRAS ESQUINA COM A RUA TOPAZIO</t>
  </si>
  <si>
    <t>RUA JOAO BRICOLA ESQUINA COM A RUA BOA VISTA</t>
  </si>
  <si>
    <t>RUA MONSENHOR ANDRADE ESQUINA COM A RUA ASSUNCAO</t>
  </si>
  <si>
    <t>RUA TOPAZIO ESQUINA COM A RUA ALABASTRO</t>
  </si>
  <si>
    <t>RUA CASTRO ALVES ESQUINA COM A RUA URANO</t>
  </si>
  <si>
    <t>PIRES DA MOTA</t>
  </si>
  <si>
    <t>RUA CORONEL DIOGO ESQUINA COM RUA INGLES DE SOUSA</t>
  </si>
  <si>
    <t>RUA TOPAZIO ESQUINA COM A AVENIDA DA ACLIMACAO</t>
  </si>
  <si>
    <t>RUA VINTE E CINCO DE MARCO ESQUINA COM A RUA VIRGILINA SALES</t>
  </si>
  <si>
    <t>RUA DOUTOR TOMAZ DE LIMA ESQUINA COM A RUA DOS ESTUDANTES</t>
  </si>
  <si>
    <t>PRAÇA JOÃO MENDES</t>
  </si>
  <si>
    <t>RUA CAVALHEIRO BASILIO JAFET ESQUINA COM A RUA COMENDADOR ABDO SCHAHIN</t>
  </si>
  <si>
    <t>RUA BASILIO DA CUNHA ESQUINA COM A AVENIDA LINS DE VASCONCELOS</t>
  </si>
  <si>
    <t>AVENIDA LINS DE VASCONCELOS PROXIMO A ESQUINA DA RUA HEITOR PEIXOTO</t>
  </si>
  <si>
    <t>RUA SENADOR CARLOS TEIXEIRA DE CARVALHO ESQUINA COM A  AVENIDA LACERDA FRANCO</t>
  </si>
  <si>
    <t>GLICÉRIO</t>
  </si>
  <si>
    <t>RUA PROFESSOR BRASIL MACHADO DE CAMPOS 84</t>
  </si>
  <si>
    <t>JARDIM DA GLÓRIA</t>
  </si>
  <si>
    <t>AVENIDA DA ACLIMACAO ESQUINA COM A RUA PIRES DA MOTA</t>
  </si>
  <si>
    <t>ALAMEDA ITU ESQUINA COM ALAMEDA CASA BRANCA</t>
  </si>
  <si>
    <t>RUA SENADOR CARLOS TEIXEIRA DE CARVALHO ESQUINA COM A AVENIDA LINS DE VASCONCELOS</t>
  </si>
  <si>
    <t>AVENIDA CONCEICAO ESQUINA COM AVENIDA JOAQUINA RAMALHO</t>
  </si>
  <si>
    <t>AVENIDA GUAPIRA 1171 ESQUINA COM RUA MURILO FURTADO</t>
  </si>
  <si>
    <t>AVENIDA CRUZEIRO DO SUL ESQUINA COM A RUA LUIS PACHECO</t>
  </si>
  <si>
    <t>RUA ALMIRANTE BARROSO ESQUINA COM A RUA JOLI</t>
  </si>
  <si>
    <t>RUA CONDE DE SARZEDAS ESQUINA COM A RUA DOUTOR TOMAZ DE LIMA</t>
  </si>
  <si>
    <t>AVENIDA LINS DE VASCONCELOS ESQUINA COM A RUA ALBUQUERQUE MARANHAO</t>
  </si>
  <si>
    <t>RUA DO LUCAS ESQUINA COM A RUA DO GASOMETRO</t>
  </si>
  <si>
    <t>RUA PROFESSOR EURIPEDES SIMOES DE PAULA ESQUINA COM A RUA DA ALFANDEGA</t>
  </si>
  <si>
    <t>RUA DA ALFANDEGA ESQUINA COM A RUA FERNANDES SILVA</t>
  </si>
  <si>
    <t>RUA BACKER DEFRONTE A RUA IDA</t>
  </si>
  <si>
    <t>RUA JOAO BOEMER ESQUINA COM A RUA CORONEL EMIDIO PIEDADE</t>
  </si>
  <si>
    <t>RUA XAVANTES ESQUINA COM A RUA MENDES GONCALVES</t>
  </si>
  <si>
    <t>AVENIDA NAZARE ESQUINA COM A RUA CONDE VICENTE DE AZEVEDO</t>
  </si>
  <si>
    <t>RUA CAMBERRA PROXIMO A RUA DONA VITORIA SPEERS</t>
  </si>
  <si>
    <t>RUA ALBERTO RAMOS ESQUINA COM RUA AUGUSTO PIACENTINI</t>
  </si>
  <si>
    <t>RUA CAPITAO FERRAIUOLO ESQUINA COM A RUA PROFESSOR GIULIANI</t>
  </si>
  <si>
    <t>RUA MANDIUBA 381 ESQUINA COM RUA MARIUS</t>
  </si>
  <si>
    <t>RUA PORTO ALEGRE EQUINZNA COM A RUA PORTO ALEGRE</t>
  </si>
  <si>
    <t>VILA BERTIOGA</t>
  </si>
  <si>
    <t>RUA ITAMARACA ESQUINA COM SERRA DE JAIRE</t>
  </si>
  <si>
    <t>RUA HERVAL ESQUINA COM A RUA ENGENHEIROZ ANDRADE JR</t>
  </si>
  <si>
    <t>RUA RIBEIRAO BRANCO ESQUINA COM A RUA CAMBARA</t>
  </si>
  <si>
    <t>AVENIDA ALVARO RAMOS 2250 DEFRONTE A AVENIDA REGENTE FEIJO</t>
  </si>
  <si>
    <t>RUA DOS TRILHOS ESQUINA COM A RUA CLARK</t>
  </si>
  <si>
    <t>RUA APUCARANA ESQUINA COM RUA EMILIO MALLET</t>
  </si>
  <si>
    <t>RUA ITAPURA ESQUINA COM A RUA PADRE ESTEVAO PERNET</t>
  </si>
  <si>
    <t>RUA APUCARANA ESQUINA COM RUA TARIANA</t>
  </si>
  <si>
    <t>RUA APUCARANA ESQUINA COM A RUA ANTONIO DE CAMARGO</t>
  </si>
  <si>
    <t>RUA MATHEUS RODRIGUES 44 PROXIMO A  RUA DO HORTO</t>
  </si>
  <si>
    <t>AVENIDA 23 DE MAIO DEFRONTE AO ESCADAO DE ACESSO A RUA RIACHUELO</t>
  </si>
  <si>
    <t>AVENIDA GUAPIRA ESQUINA COM A RUA ALBERTO D AVERSA</t>
  </si>
  <si>
    <t>RUA AZEVEDO SOARES ESQUINA COM A RUA APUCARANA</t>
  </si>
  <si>
    <t>AVENIDA DOUTOR EDUARDO COTCHING  ESQUINA COM A PRACA NOSSA SENHORA DAS VITORIAS</t>
  </si>
  <si>
    <t>RUA SAO JOAO GUALBERTO PROX A RUA IBAITI</t>
  </si>
  <si>
    <t>RUA ARTIA 268</t>
  </si>
  <si>
    <t>RUA CHAGU 193</t>
  </si>
  <si>
    <t>RUA RIO REAL NA PRACA SANTO ARSENIO</t>
  </si>
  <si>
    <t>RUA LEFOSSE ESQUINA COM A RUA EDNA FONGARO</t>
  </si>
  <si>
    <t>RUA DOS TRILHOS ESQUINA COM RUA JUVENAL PARADA</t>
  </si>
  <si>
    <t>RUA ANJO CUSTODIO 11 PROXIMO A PRACA SETE DE FEVEREIRO</t>
  </si>
  <si>
    <t>RUA MARCIAL ESQUINA COM A RUA CATARINA BRAIDA</t>
  </si>
  <si>
    <t>RUA CATARINA BRAIDA 91 ENTRE A RUA TAQUARI E A RUA MARCIAL</t>
  </si>
  <si>
    <t>RUA CASSANDOCA ESQUINA COM A RUA TAQUARIZ</t>
  </si>
  <si>
    <t>RUA MARIA AFONSO ESQUINA COM A RUA ANDRE SANCHES CUENCA</t>
  </si>
  <si>
    <t>RUA TAQUARI PROXIMO A ESQUINA DA RUA SIQUEIRA BUENO</t>
  </si>
  <si>
    <t>RUA SIQUEIRA BUENO ESQUINA COM A RUA TAQUARI</t>
  </si>
  <si>
    <t>RUA PADRE ADELINO ESQUINA COM A RUA BRIGADEIRO MORAIS</t>
  </si>
  <si>
    <t>RUA FELIPE BANDEIRA 422 PROXIMA DA RUA GONCALO FERREIRA</t>
  </si>
  <si>
    <t>RUA TOLEDO BARBOSA ESQUINA COM A RUA REDENCAO</t>
  </si>
  <si>
    <t>RUA HERVAL ESQUINA COM A RUA REDENCAO</t>
  </si>
  <si>
    <t>RUA CURUCA ESQUINA COM A RUA NEWTON BRAGA</t>
  </si>
  <si>
    <t>PRACA ALFREDO ISSO ESQUINA COM A RUA GENERAL COUTO DE MAGALHAES</t>
  </si>
  <si>
    <t>RUA ANGA DEFRONTE A RUA DOUTOR VITORIA SPEERS</t>
  </si>
  <si>
    <t>VILA FORMOSA</t>
  </si>
  <si>
    <t>RUA SIQUEIRA BUENO ESQUINA COM A RUA ITAQUERI</t>
  </si>
  <si>
    <t>RUA APUCARANA DEFRONTE A RUA PLATINA   PB TATUAPE</t>
  </si>
  <si>
    <t>RUA SERRA DE BRAGANCA ESQUINA COM A RUA ITAPURA</t>
  </si>
  <si>
    <t>RUA GRANDINO ESQUINA COM A RUA UMUARAMA</t>
  </si>
  <si>
    <t>ORFANATO</t>
  </si>
  <si>
    <t>RUA MAFALDA ESQUINA COM A RUA NEBULOSA</t>
  </si>
  <si>
    <t xml:space="preserve">ACESSO A ESTACAO DO METRO BELEM EM FRENTE  DO TERMINAL DE ONIBUS </t>
  </si>
  <si>
    <t>AVENIDA CELSO GARCIA 3400 PROXIMO A ESQUINA COM A RUA IVAI</t>
  </si>
  <si>
    <t>AVENIDA CELSO GARCIA ESQUINA COM FELIPE CAMARGO</t>
  </si>
  <si>
    <t>RUA PROFESSOR BATISTA DE ANDRADE ESQUINA COM AVENIDA RANGEL PESTANA</t>
  </si>
  <si>
    <t>RUA CARNEIRO LEAO ESQUINA AV RANGEL PESTANA</t>
  </si>
  <si>
    <t>RUA SAO FRANCISCO ESQUINA COM A PRACA DA BANDEIRA</t>
  </si>
  <si>
    <t>RUA SAO JOAQUIM ESQUINA COM A RUA DA GLORIA</t>
  </si>
  <si>
    <t>LIBERDADE</t>
  </si>
  <si>
    <t>RUA RIACHUELO ESQUINA COM A RUA QUINTINO BOCAIUVA</t>
  </si>
  <si>
    <t>RUA RIACHUELO ESQUINA COM A AVENIDA BRIGADEIRO LUIS ANTONIO</t>
  </si>
  <si>
    <t>AVENIDA SENADOR QUERIOS ESQUINA COM A RUA BRIGADEIRO TOBIAS</t>
  </si>
  <si>
    <t>RUA JORGE AZEM ESQUINA COM A PRACA RAGUEB CHOHFI</t>
  </si>
  <si>
    <t>RUA BARAO DE IGUAPE ESQUINA COM A RUA MITUTO MIZUMOTO</t>
  </si>
  <si>
    <t>RUA RODRIGO VIEIRA ESQUINA COM A RUA PROFESSOR SERAFIN ORLANDI</t>
  </si>
  <si>
    <t>CHÁCARA KLABIN</t>
  </si>
  <si>
    <t>RUA PAULO BREGARO ESQUINA COM A RUA BARAO DE LORETO</t>
  </si>
  <si>
    <t>RUA EIRAS GARCIA 119 DEFRONTE A RUA ITALIA FAUSTO</t>
  </si>
  <si>
    <t>RUA PIRASSUNUNGA ESQUINA COM A RUA AVAIZ</t>
  </si>
  <si>
    <t>RUA CORONEL LISBOA ESQUINA COM A RUA MADRE CABRINI</t>
  </si>
  <si>
    <t>RUA HEITOR PEIXOTO ESQUINA COM A RUA EIRAS GARCIA</t>
  </si>
  <si>
    <t>RUA JOAO GETULIO ESQUINA COM A  RUA SATURNO</t>
  </si>
  <si>
    <t>RUA CASTRO ALVES ESQUINA COM A RUA PIRES DA MOTA</t>
  </si>
  <si>
    <t>RUA GAMA CERQUEIRA ESQUINA COM A RUA ANTONIO TAVARES</t>
  </si>
  <si>
    <t>AVENIDA LINS DE VASCONCELOS ESQUINA COM A RUA BACKER</t>
  </si>
  <si>
    <t>RUA CANUTO ABREU SN NO INTERIOR DO CLUBE RECREATIVO CERET</t>
  </si>
  <si>
    <t>VIADUTO DONA PAULINA 80 DEFRONTE AO FORUM HELY LOPES MEIRELLES</t>
  </si>
  <si>
    <t>RUA TAQUARI 968 PROXIMO DA ESQUINA COM A RUA PAQUETA</t>
  </si>
  <si>
    <t>RUA AMAPA GRANDE NO FINAL DA RUA SEM SAIDA</t>
  </si>
  <si>
    <t>RUA DOS TRILHOS PROXIMO A ESQUINA COM A RUA CLARK DEFRONTE A RUA MARCIAL</t>
  </si>
  <si>
    <t>AVENIDA LUCCA ESQUINA COM A RUA FLORIP</t>
  </si>
  <si>
    <t>RUA BELA CINTRA ESQUINA COM A RUA LUIS COELHO</t>
  </si>
  <si>
    <t>RUA BRAGANCA ESQUINA COM A RUA DOUTOR MANUEL MARIA TOURINHO</t>
  </si>
  <si>
    <t>RUA GUAIAUNA ESQUINA COM A TRAVESSA ASCENDINO LISBOA</t>
  </si>
  <si>
    <t>PENHA</t>
  </si>
  <si>
    <t>RUA ALFREDO MAIA 106 PROXIMO AO PORTAO DO CENTRO DE MATERIAL BELICO</t>
  </si>
  <si>
    <t>RUA PADRE JOAO ESQUINA COM A RUA DOUTOR JOAO RIBEIRO</t>
  </si>
  <si>
    <t>AVENIDA NOVE DE JULHO PROXIMO AO VIADUTO PROFESSOR BERNARDINO TRANCHESI ENTRADA DO TUNEL</t>
  </si>
  <si>
    <t>RUA BELA CINTRA ESQUINA COM AVENIDA PAULISTA</t>
  </si>
  <si>
    <t>RUA SAO CARLOS DO PINHAL ESQUINA COM A ALAMEDA CAMPINAS</t>
  </si>
  <si>
    <t>RUA ESTADOS UNIDOS ESQUINA COM RUA ATLANTICA</t>
  </si>
  <si>
    <t>JARDINS</t>
  </si>
  <si>
    <t>RUA BELA CINTRA DEFRONTE COM A RUA COSTA</t>
  </si>
  <si>
    <t>ALAMEDA LORENA ESQUINA COM A RUA PADRE JOAO MANUEL</t>
  </si>
  <si>
    <t>RUA PEIXOTO GOMIDE ESQUINA COM AVENIDA PAULISTA</t>
  </si>
  <si>
    <t>RUA DOUTOR ALFREDO ELLIS ESQUINA COM A RUA SANTA MADALENA</t>
  </si>
  <si>
    <t>RUA PEDROSO ESQUINA COM A RUA VERGUEIRO</t>
  </si>
  <si>
    <t>RUA AUGUSTA ESQUINA COM ALAMEDA FRANCA</t>
  </si>
  <si>
    <t>ALAMEDA ITU ESQUINA COM A  RUA AUGUSTA</t>
  </si>
  <si>
    <t>RUA DONA ANTONIA DE QUEIROS 436 ESQUINA COM A R. DA CONSOLACAO</t>
  </si>
  <si>
    <t>RUA JAGUARIBE ESQUINA COM A RUA AURELIANO COUTINHO</t>
  </si>
  <si>
    <t>RUA CAMARAGIBE ESQUINA COM RUA LOPES CHAVES</t>
  </si>
  <si>
    <t>RUA JAGUARIBE ESQUINA COM RUA AURELIANO COUTINHO</t>
  </si>
  <si>
    <t>AVENIDA DUQUE DE CAXIAS (PRACA PRINCESA ISABEL 952)</t>
  </si>
  <si>
    <t>RUA LOPES CHAVES ESQUINA COM RUA MARGARIDA</t>
  </si>
  <si>
    <t>AVENIDA SAO JOAO ESQUINA COM A RUA LIBERO BADARO</t>
  </si>
  <si>
    <t>RUA DO BOSQUE ESQUINA COM A RUA ANHAGUERA</t>
  </si>
  <si>
    <t>RUA BORACEIA ESQUINA COM A RUA DO BOSQUE</t>
  </si>
  <si>
    <t>ALAMEDA MINISTRO ROCHA AZEVEDO ESQUINA COM ALAMEDA JAU</t>
  </si>
  <si>
    <t>RUA PAMPLONA ESQUINA COM A RUA SAO CARLOS DO PINHAL</t>
  </si>
  <si>
    <t>RUA ITAPEVA ESQUINA COM AVENIDA PAULISTA</t>
  </si>
  <si>
    <t>RUA SANTO ANTONIO ESQUINA COM A RUA MANOEL DUTRA</t>
  </si>
  <si>
    <t>RUA CINCINATO BRAGA PROXIMA A RUA TEIXEIRA SILVA</t>
  </si>
  <si>
    <t>ALAMEDA FRANCA ESQUINA COM A RUA PEIXOTO GOMIDE</t>
  </si>
  <si>
    <t>RUA MORORO ESQUINA COM RUA URUCUCA</t>
  </si>
  <si>
    <t>VILA CALIFÓRNIA</t>
  </si>
  <si>
    <t>RUA FRANCISCO MARENGO ESQUINA COM A RUA PROFESSOR PEDREIRA DE FREITAS</t>
  </si>
  <si>
    <t>RUA DOUTOR HELADIO 183 PROXIMO A ESQUINA COM RUA OTILIA</t>
  </si>
  <si>
    <t>VILA ESPERANÇA</t>
  </si>
  <si>
    <t>RUA DONA ESCOLASTICA MELCHERT DA FONSECA ESQUINA COM A RUA DOUTOR ARMANDO BRANDAO</t>
  </si>
  <si>
    <t>VILA MATILDE</t>
  </si>
  <si>
    <t>RUA MOACIR ALVARO 53 ESQUINA COM RUA VISCONDE DO URUGUAI</t>
  </si>
  <si>
    <t>FREI MONT ALVERNE</t>
  </si>
  <si>
    <t>RUA PARACANA ESQUINA COM A RUA RAUL DE FREITAS</t>
  </si>
  <si>
    <t>RUA SANTA GERTRUDES  ESQUINA COM A RUA BOA ESPERANCA</t>
  </si>
  <si>
    <t>RUA GALVAO BUENO ESQUINA COM A RUA BARAO DE IGUAPE</t>
  </si>
  <si>
    <t>AVENIDA IPIRANGA ESQUINA COM PRACA DA REPUBLICA</t>
  </si>
  <si>
    <t>AVENIDA SAO JOAO ESQUINA COM A RUA AURORA</t>
  </si>
  <si>
    <t>PRACA DOM CARLOS I ENTRE AS RUA BRIGADEIRO MELO E RUA LIVREIRO SARAIVA</t>
  </si>
  <si>
    <t>RUA DONA ADMA JAFET ESQUINA COM A RUA BARATA RIBEIRO</t>
  </si>
  <si>
    <t>RUA CONSELHEIRO BROTERO 206Z</t>
  </si>
  <si>
    <t>RUA DOS GUIANAZES 983 ENTRE A ALAMEDA NOTHMANN E GLETE</t>
  </si>
  <si>
    <t>RUA JORGE OGUSHI ESQUINA COM A RUA EDUARDO LEON</t>
  </si>
  <si>
    <t>ARICANDUVA</t>
  </si>
  <si>
    <t>RUA FAZENDA NATAL  ESQUINA COM A RUA JUVELINA FERREIRA DED ASSIS</t>
  </si>
  <si>
    <t>VILA CARRÃO</t>
  </si>
  <si>
    <t>RUA DAS PALMEIRAS 311</t>
  </si>
  <si>
    <t>RUA OTILIA ESQUINA COM A RUA DEZENOVE DE MAIO</t>
  </si>
  <si>
    <t>RUA DONA MATILDE 943</t>
  </si>
  <si>
    <t>RUA FREI ORLANDO ESQUINA COM A RUA CANGIOCA</t>
  </si>
  <si>
    <t>RUA ROGERIO GIORGI ESQUINA COM A RUA DENTISTA BARRETO</t>
  </si>
  <si>
    <t>RUA SEBASTIAO CORDEIRO VAZ PROXIMO A ESQUINA DA RUA ALVES DE ALMEIDA</t>
  </si>
  <si>
    <t>RUA MARIA CARLOTA ESQUINA COM AVENIDA PADRE OLIVETANOS</t>
  </si>
  <si>
    <t>TIQUATIRA</t>
  </si>
  <si>
    <t>RUA ADUTORA DO RIO CLARO  ENFRENTE AO NUMERO 97 ENTRE A AVENIDA SAPOPEMBA E A TRAVESSA SAVIP</t>
  </si>
  <si>
    <t>JARDIM COLORADO</t>
  </si>
  <si>
    <t>AVENIDA GUILHERME GIORGI ESQUINA COM A RUA PRETORIA</t>
  </si>
  <si>
    <t>RUA SERRA DE BOTUCATU ESQUINA COM A RUA ANTONIO DE BARROS</t>
  </si>
  <si>
    <t>AVENIDA DOUTOR ORENCIO VIDIGAL 598 NO INTERIOR DO CONDOMINIO</t>
  </si>
  <si>
    <t>AVENIDA GUILHERME GIORGE 1773 NO INTERIOR DO PREDIO DA SABESP</t>
  </si>
  <si>
    <t>RUA CAPARAO ESQUINA COM AVENIDA DEDO DE DEUS</t>
  </si>
  <si>
    <t>RUA LUTECIA 1099</t>
  </si>
  <si>
    <t>AVENIDA JOAO XXIII ESQUINA COM A PRACA LUIZ CARLOS</t>
  </si>
  <si>
    <t>ALAMEDA SANTOS ESQUINA COM A RUA PEIXOTO GOMIDE</t>
  </si>
  <si>
    <t>AVENIDA ARNOLFO AZEVEDO ESQUINA COM A RUA GUSTAVO TEIXEIRA</t>
  </si>
  <si>
    <t>AVENIDA NORBERTO MAYER ESQUINA COM A RUA PICINGUABA</t>
  </si>
  <si>
    <t>AVENIDA FRANCISCO MATARAZZO 151 PROXIMO A ESQUIDA DA RUA MONTE ALEGRE</t>
  </si>
  <si>
    <t>RUA PADRE JOAOZ ESQUINA COM RUA PEREQUE</t>
  </si>
  <si>
    <t>RUA TIJUCO PRETO ESQUINA COM A RUA FRANCISCO MARENGO</t>
  </si>
  <si>
    <t>RUA JOSE FORTUNATO PEREIRA ESQUINA COM A RUA DOIS DE JANEIRO</t>
  </si>
  <si>
    <t>RUA LUTECIA ESQUINA COM PRACA BARAO HOMEM DE MELO</t>
  </si>
  <si>
    <t>RUA PIRAMBOIA ESQUINA COM A RUA ALMIRANTE GIACHETTA</t>
  </si>
  <si>
    <t>RUA PERSIO AZEVEDO ESQUINA COM A RUA JAGUATEI</t>
  </si>
  <si>
    <t>RUA ARACATI ESQUINA COM A RUA GUAIAUNA</t>
  </si>
  <si>
    <t>RUA OMACHA ESQUINA COM A AVENIDA AMADOR BUENOD DA VEIGA</t>
  </si>
  <si>
    <t>RUA JOSE MASCARENHAS ESQUINA COM AVENIDA MELCHERT</t>
  </si>
  <si>
    <t>RUA LEOPOLDO MACHADO ESQUINA COM A RUA OMACHA</t>
  </si>
  <si>
    <t>RUA CAQUITO ESQUINA COM A RUA PLINIO AUGUSTO DE CAMARGO</t>
  </si>
  <si>
    <t>RUA ANTONIO DE BARROS ESQUINA COM A RUA EUCLIDES PACHECO</t>
  </si>
  <si>
    <t>RUA DOUTOR PELAGIO MARQUES ESQUINA COM A RUA JOSE MASCARENHAS</t>
  </si>
  <si>
    <t>PRACA DOM DUARTE LEOPOLDO ESQUINA COM RUA DOUTOR PELAGIO MARQUES</t>
  </si>
  <si>
    <t>RUA ELISA DE CARVALHO 521 DEFRONTE A RUA RUBENS MASCARENHAS</t>
  </si>
  <si>
    <t>RUA JOSE MASCARENHAS ESQUINA COM A RUA DONA ESCOLASTICA  MELCHERT DA FONSECA</t>
  </si>
  <si>
    <t>RUA TALES ESQUINA COM A AV SAPOPEMBA</t>
  </si>
  <si>
    <t>RUA REBOUJO ESQUINA COM A RUA NOVA JERUSALEM</t>
  </si>
  <si>
    <t>AVENIDA NORBERTO MAYER ESQUINA COM A RUA PONTA DE LESTE</t>
  </si>
  <si>
    <t>RUA ALFREDO MAIA ESQUINA COM A RUA DEOCLECIANA</t>
  </si>
  <si>
    <t>RUA ITAMBE ESQUINA COM RUA PIAUI</t>
  </si>
  <si>
    <t>AVENIDA TIRADENTES ESQUINA COM A RIBEIRO DE LIMA   AO LADO DO TOTEM DA PM</t>
  </si>
  <si>
    <t>RUA BOA VISTA 320 EM FRENTE A SAIDA DO METRO SAO BENTO</t>
  </si>
  <si>
    <t>RUA BOA VISTA ESQUINA COM A RUA SAO BENTO</t>
  </si>
  <si>
    <t>RUA FREIRE DA SILVA ESQUINA COM A RUA DA INDEPENDENCIA</t>
  </si>
  <si>
    <t>RUA GUAIANASES ESQUINA COM A ALAMEDA GLETE</t>
  </si>
  <si>
    <t>ALAMEDA GLETE 52 PROXIMA A ESQUINA DA ALAMEDA DINO BUENO</t>
  </si>
  <si>
    <t>RUA DOS GUIANASES ESQUINA COM A ALAMEDA RIBEIRO DA SILVA</t>
  </si>
  <si>
    <t>RUA HELVETIA ESQUINA COM A RUA CONSELHEIRO NEBIAS</t>
  </si>
  <si>
    <t>ALAMEDA NOTHMANN ESQUINA COM AVENIDA SAO JOAO</t>
  </si>
  <si>
    <t>RUA ADOLFO GORDO ESQUINA COM ALAMEDA RIBEIRO DA SILVA</t>
  </si>
  <si>
    <t>ALAMEDA FRANCA ESQUINA COM A RUA PAMPLONA</t>
  </si>
  <si>
    <t>PAMPLONA</t>
  </si>
  <si>
    <t>RUA FREI CANECA ESQUINA COM A RUA ANTONIO CARLOS</t>
  </si>
  <si>
    <t>RUA JOSE MARIA LISBOA ESQUINA COM A RUA PADRE JOAO MANUEL</t>
  </si>
  <si>
    <t>RUA APENINOS ESQUINA COM A RUA CASTRO ALVES</t>
  </si>
  <si>
    <t>RUA SANTA BRANCA PROXIMO DA ESQUINA COM A ALAMEDA RIBEIRAO PRETO</t>
  </si>
  <si>
    <t>RUA MARTINS FONTES PROXIMA A ESQUINA DA RUA AVANHANDAVA</t>
  </si>
  <si>
    <t>AVENIDA DUQUE DE CAXIAS ESQUINA COM A ALAMEDA BARAO DE LIMEIRA</t>
  </si>
  <si>
    <t>RUA SAO VICENTE DE PAULA ESQUINA COM A PRACA MARECHAL DEODORRO</t>
  </si>
  <si>
    <t>RUA DOS GUAIANASES ESQUINA COM A RUA VITORIA</t>
  </si>
  <si>
    <t>PRACA OLAVO BILAC 90</t>
  </si>
  <si>
    <t>RUA CONEGO VICENTE MIGUEL MARINO ESQUINCA COM A RUA BORACEIA</t>
  </si>
  <si>
    <t>RUA CIRINO DE ABREU 253 DEFRONTE A RUA JOAO CARESIA</t>
  </si>
  <si>
    <t>RUA LOPES DE OLIVEIRA ESQUINA COM A RUA VITORINO CARMILO</t>
  </si>
  <si>
    <t>RUA GENERAL PORFIRIO DA PAZ ESQUINA COM A RUA GUILHERME STUDART</t>
  </si>
  <si>
    <t>RUA DOS FINANCEIROS NO FINAL DA RUA</t>
  </si>
  <si>
    <t>RUA EVANGELINA ESQUINA COM A RUA LUZIA DA CONCEICAO MORAES</t>
  </si>
  <si>
    <t>AVENIDA AMADOR BUENO DA VEIGA DEFRONTE A RUA MIRANDINHA</t>
  </si>
  <si>
    <t>AVENIDA AMADOR BUENO DA VEIGA ESQUINA COM A RUA ATUAI</t>
  </si>
  <si>
    <t>AVENIDA AMADOR BUENO DA VEIGA ESQUINA COM A RUA MERCEDES LOPES</t>
  </si>
  <si>
    <t>AVENIDA GOVERNADOR CARVALHO PINTO ESQUINA COM A AVENIDA SAO MIGUEL LADO PENHA</t>
  </si>
  <si>
    <t>RUA FRITZ JANK ESQUINA COM A ALAMEDA SARGENTO NEVIO BARACHO DOS SANTOS</t>
  </si>
  <si>
    <t>RUA JARAGUA ESQUINA COM A RUA DOS ITALIANOS</t>
  </si>
  <si>
    <t>RUA CABO ROMEU CASAGRANDE ESQUINA COM A ALAMEDA SEGUNDO SARGENTO ANDIRAS NOGUEIRA DE ABREU</t>
  </si>
  <si>
    <t>AVENIDA BANDEIRANTES DO SUL ESQUINA COM A RUA CABO JOAO MONTEIRO DA ROCHA</t>
  </si>
  <si>
    <t>AVENIDA SERAFIM GONCALVES PEREIRA ESQUINA COM RUA CABO ANTONIO ALVES</t>
  </si>
  <si>
    <t>RUA ANHAIA ESQUINA COM A RUA BARRA DO TIBAJI</t>
  </si>
  <si>
    <t>RUA GENERAL FLORES ESQUINA COM A RUA BARRA DO TIBAJI</t>
  </si>
  <si>
    <t>AVENIDA DO CURSINO ESQUINA COM A RUA FRANCISCO DIAS</t>
  </si>
  <si>
    <t>RUA BRENO FERRAZ DO AMARAL ESQUINA COM A RUA MIGUEL HADDAD</t>
  </si>
  <si>
    <t>RUA GUACIPOSS ESQUINA COM A RUA URUANA</t>
  </si>
  <si>
    <t>RUA FELIPE CARDOSO ESQUINA COM RUA GIL FERNANDES</t>
  </si>
  <si>
    <t>RUA VIGARIO ALBERNAZ ESQUINA COM AVENIDA PROFESSOR ABRRAO DE MORAIS</t>
  </si>
  <si>
    <t>RUA SANTA CRUZESQUINA COM A RUA MAJOR SUCUPIRA</t>
  </si>
  <si>
    <t>RUA TRISTAO DE OLIVEIRA ESQUINA COM RUA JOAO FRANCO LOPES</t>
  </si>
  <si>
    <t>RUA ORLANDO FERRAIOLO ESQUINA COM A RUA SERGIO DE AZEVEDO VALENTE</t>
  </si>
  <si>
    <t>RUA DOM PEDRO SILVA ESQUINA COM RUA DOM LUCIO DE SOUZA</t>
  </si>
  <si>
    <t>RUA DOM ANTONIO ALVARENGA ESQUINA COM RUA DOM PEDRO SILVA</t>
  </si>
  <si>
    <t>RUA PELOTAS ESQUINA COM A RUA HUMBERTO I</t>
  </si>
  <si>
    <t>AVENIDA CONSELHEIRO RODRIGUES ALVEZ ESQUINA COM A RUA DOUTOR FABRICIO VAMPRE</t>
  </si>
  <si>
    <t>RUA LUIS GOIS PROXIMO DA ESQUINA DA RUA DOMINGOS DE MORAIS</t>
  </si>
  <si>
    <t>RUA GANDAVO ESQUINA COM RUA BOTUCATU</t>
  </si>
  <si>
    <t>RUA SENA MADUREIRA ESQUINA COM A RUA CAPITAO MACEDO    PRACA ADELIA</t>
  </si>
  <si>
    <t>RUA LOEFGREEN PROXIMO A ESQUINA DA RUA CORONEL LISBOA</t>
  </si>
  <si>
    <t>RUA GANDAVO ESQUINA COM A RUA BOTUCATU</t>
  </si>
  <si>
    <t>RUA BALTAZAR LISBOA ESQUINA COM A RUA CORONEL GOMES PIMENTEL</t>
  </si>
  <si>
    <t>RUA ARROIO GRANDE ESQUINA COM A RUA ARAUJO CONDIM</t>
  </si>
  <si>
    <t>RUA LUIS GOES ESQUINA COM A RUA JUREIA</t>
  </si>
  <si>
    <t>RUA LUIS GOIS ESQUINA COM A RUA AFONSO CELSO</t>
  </si>
  <si>
    <t>RUA AFONSO CELSO ESQUINA COM A RUA PADRE MACHADO</t>
  </si>
  <si>
    <t>RUA JOAQUIM TAVORA ESQUINA COM RUA AUREA</t>
  </si>
  <si>
    <t>AVENIDA DOMINGOS DE MORAIS ESQUINA COM A RUA DOUTOR THIRSO MARTINS</t>
  </si>
  <si>
    <t>RUA VERGUERIO ESQUINA COM RUA DOS BONITOS</t>
  </si>
  <si>
    <t>RUA SANTO ELIAS PROXIMO A ESQUINA DA  RUA SANTA MARIA</t>
  </si>
  <si>
    <t>RUA SANTA CATARINA ESQUINA COM A RUA SIRIA</t>
  </si>
  <si>
    <t>RUA SANTA ELVIRA ESQUINA COM A RUA JOSE TAVARES DE SIQUEIRA</t>
  </si>
  <si>
    <t>RUA VERA ESQUINA COM A RUA DONA JOAQUINA SANTANA</t>
  </si>
  <si>
    <t>RUA MANDU ESQUINA COM A RUA TOUTINEGRA</t>
  </si>
  <si>
    <t>RUA RITA AZARIAN ESQUINA COM A RUA MANUEL LEIROZ</t>
  </si>
  <si>
    <t>ESTAÇÃO ENG. GOULART</t>
  </si>
  <si>
    <t>RUA CORONEL  MEIRELES ESQUINA COMA AVENIDA AMADOR BUENO DA VEIGA</t>
  </si>
  <si>
    <t>RUA HENRIQUE SOUSA QUEIROS ESQUINA COM AVENIDA PENHA DE FRANCA</t>
  </si>
  <si>
    <t>AVENIDA OLAVO FONTOURA ENTRADA 23H DO SAMBODROMO DO ANHEMBI</t>
  </si>
  <si>
    <t>PARQUE ANHEMBI</t>
  </si>
  <si>
    <t>AVENIDA DO ESTADO 680 SENTIDO CENTRO</t>
  </si>
  <si>
    <t>AVENIDA ONZE DE JUNHO ESQUINA COM RUA DOMINGOS DE MORAIS</t>
  </si>
  <si>
    <t>RUA PRIMEIRO DE JANEIRO ESQUINA COM AVENIDA ONZE DE JUNHO</t>
  </si>
  <si>
    <t>RODOVIA ANCHIETA ESQUINA COM A RUA VIENA</t>
  </si>
  <si>
    <t>RUA IZONZO PROXIMO DA ESQUINA COM A RUA FAUSTO CARDOSO</t>
  </si>
  <si>
    <t>AVENIDA DO CURSINO ESQUINA COM RUA FRANCISCO DIAS</t>
  </si>
  <si>
    <t>RUA SANTOS ELIAS ESQUINA COM A AVENIDA CELSO GARCIA</t>
  </si>
  <si>
    <t>RUA MANUEL GADELHO ESQUINA COM RUA LEOPOLDO DE FREITAS</t>
  </si>
  <si>
    <t>RUA JORGE AUGUSTO ESQUINA COM RUA OIAMPI</t>
  </si>
  <si>
    <t>RUA SENA MADUREIRA 1355</t>
  </si>
  <si>
    <t>RUA SOLDADO CRISTOVAO MORAES GARCIA777  ESQUINA COM RUA SOLDADO BENEDITO ALVES DOS SANTOS</t>
  </si>
  <si>
    <t>RUA SOLDADO TEODORO FRANCISCO RIBEIRO ESQUINA COM RUA SOLDADO CRSITOVAO MORAIS GARCIA</t>
  </si>
  <si>
    <t>RUA GENTIL BISPO ESQUINA COM A RUA SOLDADO ARISTIDES GOUVEIA</t>
  </si>
  <si>
    <t>RUA JAVAE ESQUINA COM A RUA GENERAL FLORES</t>
  </si>
  <si>
    <t>RUA LOEFGREEN ESQUINA COM A RUA TRES DE MAIO</t>
  </si>
  <si>
    <t>RUA DOUTOR DIOGO DE FARIA ESQUINA COM RUA DOUTOR BACELAR</t>
  </si>
  <si>
    <t>AVENIDA OLAVO FONTOURA 1400 EM FRENTE AO HOSPITAL DA AERONAUTICA</t>
  </si>
  <si>
    <t>RUA MACHADO DE ASSIS ESQUINA COM A RUA VERGUEIRO</t>
  </si>
  <si>
    <t>ANA ROSA</t>
  </si>
  <si>
    <t>RUA VERGUEIRO ESQUINA COM O LARGO ANA ROSA</t>
  </si>
  <si>
    <t>RUA BOTUCATU ESQUINA COM A RUA PEDRO DE TOLEDO</t>
  </si>
  <si>
    <t>RUA JOAO ANTONIO PEDROSO ESQUINA COM A RUA VISCONDE DE GUARATIKBA</t>
  </si>
  <si>
    <t>AVENIDA LINS DE VASCONCELOS ESQUINA COM A RUA ALCINDO GUANABARA</t>
  </si>
  <si>
    <t>RUA FRANCA PINTO ESQUINA COM A RUA MAJOR MARAGLIANO</t>
  </si>
  <si>
    <t>RUA BOTUCATU ESQUINA COM A RUA DOUTOR DIOGO DE FARIA</t>
  </si>
  <si>
    <t>RUA DOS OTONIS ESQUINA COM A RUA DOUTOR DIOGO DE FARIA</t>
  </si>
  <si>
    <t>RUA JUREIA ESQUINA COM A RUA LOEFGREEN</t>
  </si>
  <si>
    <t>AVENIDA SAGERES ESQUINA COM A RUA COMANDANTE ISMAEL GUILHERME</t>
  </si>
  <si>
    <t>JARDIM LUZITÂNIA</t>
  </si>
  <si>
    <t>RUA ITAPINA ESQUINA COM A RUA SAO PAULINO</t>
  </si>
  <si>
    <t>RUA PROFESSOR TRANQUILLI ESQUINA COM A RUA JORGE TIBIRICA</t>
  </si>
  <si>
    <t>RUA BORGES LAGOA PROXIMO DA ESQUINA COM A AVENIDA IBIRAPUERA</t>
  </si>
  <si>
    <t>RUA BORGES LAGOA 1755 NA CALCADA DO HOSPITAL DO SERVIDOR PUBLICO</t>
  </si>
  <si>
    <t>RUA DOUTORA NEYDA APPARECIDA SOLLITTO 593</t>
  </si>
  <si>
    <t>AVENIDA AMADOR BUENO DA VEIGA 2123 PROXIMO DA ESQUINA COM A AVENIDA SAO MIGUEL</t>
  </si>
  <si>
    <t>RUA LINO GUEDES ESQUINA COM A RUA CONEGO JOSE NORBERTO</t>
  </si>
  <si>
    <t>RUA PAULO ARENTINO ESQUINA COM A RUA GIOVANNI CERESINI</t>
  </si>
  <si>
    <t>ESTRADA DAS TAIPAS ESQUINA COM A RUA CRISTOVAO BABBI</t>
  </si>
  <si>
    <t>RUA MANUEL DA NOBREGRA PROXIMO DA RUA SALTO NA CALCADO OPOSTA</t>
  </si>
  <si>
    <t>PARQUE IBIRAPUERA</t>
  </si>
  <si>
    <t>RUA ESCOCIA ESQUINA COM A RUA BRAULIO DE MENDONCA FILHO</t>
  </si>
  <si>
    <t>JARDIM EUROPA</t>
  </si>
  <si>
    <t>RUA MANUEL DA NOBREGA PROXIMO DA ESQUINA COM A RUA JUNDIAI</t>
  </si>
  <si>
    <t>RUA ALAMEDA PEREIRA GUIMARAES 500</t>
  </si>
  <si>
    <t>ZEQUINHA DE ABREU</t>
  </si>
  <si>
    <t>RUA DO LIVRAMENTO ESQUINA COM RUA TUTOIA</t>
  </si>
  <si>
    <t>RUA ARTUR DE AZEVEDO ESQUINA COM A  RUA DOUTOR VIRGILIO DE CARVALHO PINOTZ</t>
  </si>
  <si>
    <t>JARDIM PAULISTANO</t>
  </si>
  <si>
    <t>RUA ABILIO SOARES ESQUINA COM A RUA JOINVILLE</t>
  </si>
  <si>
    <t>RUA ITAIBATE ESQUINA COM A RUA EDGARD CAVALHEIRO</t>
  </si>
  <si>
    <t>PERDIZES</t>
  </si>
  <si>
    <t>RUA DOUTOR HOMEM DE MELO ESQUINA COM A RUA DOUTOR FRANCO DA ROCHA</t>
  </si>
  <si>
    <t>RUA MANOEL DA NOBREGA 1550 AO LADO DA GUARITA DO QUARTEL DO EXERCITO</t>
  </si>
  <si>
    <t>RUA MARIA FIGUEIREDO ESQUINA COM RUA MARIO AMARAL</t>
  </si>
  <si>
    <t>RUA TUTOIA ESQUINA COM A RUA MANUEL DA NOBREGA</t>
  </si>
  <si>
    <t>RUA ABILIO SOARES ESQUINA COM A RUA ALCINO BRAGA</t>
  </si>
  <si>
    <t>RUA ABILIO SOARES COM RUA OSCAR PORTO</t>
  </si>
  <si>
    <t>RUA ASSIS VALENTE ESQUINA COM A RUA JORDANIA</t>
  </si>
  <si>
    <t>CIDADE PATRIARCA</t>
  </si>
  <si>
    <t>RUA COSTA REGO ESQUINA COM A PRACA PORTO FERREIRA</t>
  </si>
  <si>
    <t>RUA ANTONIO SOVERAL ESQUINA COM A RUA NOVA JERUSALEM</t>
  </si>
  <si>
    <t>RUA SANTA RAQUEL 7</t>
  </si>
  <si>
    <t>RUA MONSENHOR FRANCISCO DE PAULA ESQUINA COM RUA VIEIRA PINTO</t>
  </si>
  <si>
    <t>RUA ANTONIO LINDOURO DA SILVA ESQUINA COM A RUA MOISES MARX</t>
  </si>
  <si>
    <t>RUA VALDEMAR ESQUINA COM RUA ENEAS DE BARROS</t>
  </si>
  <si>
    <t>RUA CUMANACHOS ESQUINA COM RUA MORRO VERMELHO</t>
  </si>
  <si>
    <t>RUA SAO TURIBIO ESQUINA COM A RUA PALMEIRINA</t>
  </si>
  <si>
    <t>RUA JOANA PEDROSO DOS SANTOS 620 PROXIMO A  RUA DOM JOAO GUEDES</t>
  </si>
  <si>
    <t>RUA ANTONIO MAIA PROXIMO DA ESQUINA COM A AVENIDA DOUTOR SYLVIO DE CAMPOS</t>
  </si>
  <si>
    <t>PERUS</t>
  </si>
  <si>
    <t>RUA ERNESTO BOTTONI 148 DEFRONTE A RUA CLEONICE KAMMER KAMMER PROXIMO A RUA ORCO</t>
  </si>
  <si>
    <t>RUA TIBURNO ESQUINA COM A RUA CAVALO MARINHO</t>
  </si>
  <si>
    <t>RUA ELEUSIS ESQUINA COM A RUA LIBER</t>
  </si>
  <si>
    <t>RUA GOITA ESQUINA COM AVENIDA CANGAIBA</t>
  </si>
  <si>
    <t>CANGAÍBA</t>
  </si>
  <si>
    <t>AO LADO DO LAGO DAS GARCAS PROXIMO AO PAVILHA JAPONES NO INTERIOR DO PARQUE DO IBIRAPUERA</t>
  </si>
  <si>
    <t>AO LADO DO PAVILHAO DAS CULTURAS BRASILEIRAS NO INTERIOR DO PARQUE DO IBIRAPUERA</t>
  </si>
  <si>
    <t>PROXIMO A MARQUISE AO LADO DO PAVILHAO DAS CULTURAS BRASILEIRAS NO INTERIOR DO PARQUE DO IBIRAPUERA</t>
  </si>
  <si>
    <t>AO LADO DO PAVILHAO MUSEU AFRO BRASIL NO INTERIOR DO PARQUE DO IBIRAPUERA</t>
  </si>
  <si>
    <t>PAVILHAO DAS CULTURAS BRASILEIRAS NO INTERIOR DO PARQUE DO IBIRAPUERA</t>
  </si>
  <si>
    <t>RUA INDAIATUBA NO FINAL DA RUA</t>
  </si>
  <si>
    <t>CHÁCARA ITAIM</t>
  </si>
  <si>
    <t>RUA TURQUIA  ESQUINA COM A RUA SUICA   PRACA LUIZ DELBEN JUNIOR</t>
  </si>
  <si>
    <t>RUA SENADOR JOAO LIRA ESQUINA COM A RUA DEPUTADO FABIO ARANHA ESQUINA</t>
  </si>
  <si>
    <t>PACAEMBU</t>
  </si>
  <si>
    <t>RUA VIEIRA PINTO ESQUINA COM A RUA ANTONIO LINDORO DA SILVA</t>
  </si>
  <si>
    <t>AVENIDA CANGAIBA ESQUINA COM RUA BRASOPOLIS</t>
  </si>
  <si>
    <t>RUA DOS TAMARINDOS PROXIMO DA ESQUINA COM A ESTRADA DA CACHOEIRA NO INTERIOR DO COMDOMINIO</t>
  </si>
  <si>
    <t>RUA PORTO DA GLORIA 379 DEFRONTE COM RUA ABAITARA</t>
  </si>
  <si>
    <t>RUA ODETE 138 PROXIMO DA ESQUINA COM A RUA PECHI</t>
  </si>
  <si>
    <t>AVENIDA TARUMA ESQUINA COM A AVENIDA DA JUSTICA</t>
  </si>
  <si>
    <t>RUA LUCIANO NOGUEIRA 113</t>
  </si>
  <si>
    <t>RUA NILZA DEFRONTE A RUA SERRA DA PRATA</t>
  </si>
  <si>
    <t>RUA ASTORGA NA CALCADA DO METRO DEFRONTE A RUA SAO BENTO DO SAPUCAI</t>
  </si>
  <si>
    <t>RUA ARCOVERDE ESQUINA COM A RUA PEIROPOLIS</t>
  </si>
  <si>
    <t>RUA NOVO ARIPUANA 216</t>
  </si>
  <si>
    <t>RUA ARNALDO JOAO ESQUINA COM A RUA GUANAES</t>
  </si>
  <si>
    <t>RUA SAO DONATO ESQUINA COM A RUA ASSIS VALENTE</t>
  </si>
  <si>
    <t>RUA TANABI ESQUINA COM A AVENIDA ANTARTICA</t>
  </si>
  <si>
    <t>ÁGUA BRANCA</t>
  </si>
  <si>
    <t>RUA ALARCO ESQUINA COM A RUA TEQUICI</t>
  </si>
  <si>
    <t>AVENIDA ANTARTICA ESQUINA COM A RUA TURIASSU</t>
  </si>
  <si>
    <t>RUA CAYOWAA ESQUINA COM A RUA TURIASSU</t>
  </si>
  <si>
    <t>AVENIDA ITINGUCU 930 ENTRE AS RUAS DENE E ENTRE A RUA CORIM</t>
  </si>
  <si>
    <t>VILA RÉ</t>
  </si>
  <si>
    <t>RUA JANDAIA DO SUL ESQUINA COM A RUA GOIANDIRA</t>
  </si>
  <si>
    <t>RUA TEIXEIRA E SOUZA ESQUINA COM A RUA BARAO DE TEFE</t>
  </si>
  <si>
    <t>RUA JOAQUIM MARRA ESQUINA COM RUA DOM JOAO MARIA OGNO</t>
  </si>
  <si>
    <t>RUA EMBAIXADOR LEAO VELOSO ESQUINA COM A RUA PADRE ANTONIO TOMAS</t>
  </si>
  <si>
    <t>RUA DA ECONOMIA ESQUINA COM A AVENIDA NAPOLEAO</t>
  </si>
  <si>
    <t>RUA JACUIPE ESQUINA COM A RUA SAO BENTO DO SAPUCAI</t>
  </si>
  <si>
    <t>RUA ANGELINA MAFFEI VITA 23 ESQUINA AVENIDA BRIGADEIRO FARIA LIMA</t>
  </si>
  <si>
    <t>RUA PEDRO TALARICO ESQUINA COM A RUA MARIA VELTRI</t>
  </si>
  <si>
    <t>RUA CORIM ESQUINA COM A RUA NEA</t>
  </si>
  <si>
    <t>PRACA DIA DO SENHOR ESQUINA COM A RUA BENTO DE ANDRADE</t>
  </si>
  <si>
    <t>RUA ANDRADE MAIA ESQUINA COM A RUA DESEM ALFREDO RUSSEL</t>
  </si>
  <si>
    <t>RUA TENENTE CORONEL SOARES NEIVA ESQUINA COM AVENIDA IBIUNA</t>
  </si>
  <si>
    <t>RUA FRANCA ESQUINA COM A RUA PORTUGAL</t>
  </si>
  <si>
    <t>RUA JOSE FRANCISCO LOPES ESQUINA COM RUA DOM ANDRE ARCO VERDE</t>
  </si>
  <si>
    <t>ARTUR ALVIM</t>
  </si>
  <si>
    <t>RUA CRISTIANO VIANA ESQUINA COM A RUA TEODORO SAMPAIO</t>
  </si>
  <si>
    <t>CLÍNICAS</t>
  </si>
  <si>
    <t>RUA TEODORO SAMPAIO ESQUINA COM A RUA ALVES GUIMARAES</t>
  </si>
  <si>
    <t>RUA ARRUDA ALVIM ESQUINA COM A RUA SILVIO SACRAMENTO</t>
  </si>
  <si>
    <t>RUA DOUTOR SAMPAIO VIANA ESQUINA COM RUA CORONEL OSCAR PORTO</t>
  </si>
  <si>
    <t xml:space="preserve">RUA ZEQUINHA DE ABREU ESQUINA COM A RUA CARDOSO DE ALMEIDA </t>
  </si>
  <si>
    <t>RUA JOSE MARIA LISBOA ESQUINA COM A RUA CAPITAO PINTO FERREIRA</t>
  </si>
  <si>
    <t>RUA AIROSA GALVAO ESQUINA COM A RUA DONA ANA PIMENTEL</t>
  </si>
  <si>
    <t>RUA CORONEL MEIRELES PROXIMO A RUA OLDHAN</t>
  </si>
  <si>
    <t>AVENIDA CANGAIBA ESQUINA COM RUA DOMINGOS DE LUCCA</t>
  </si>
  <si>
    <t>AVENIDA CANGAIBA ESQUINA COM AVENIDA VINTE E QUATRO DE FEVEREIRO</t>
  </si>
  <si>
    <t>RUA PEDRO TALARICO 276 ESQUINA COM A RUA FERNAO ALBERNAZ</t>
  </si>
  <si>
    <t>RUA DOS PINTORES 63 PROXIMO A RUA VILA PRUDENTE</t>
  </si>
  <si>
    <t>VILA ZELINA</t>
  </si>
  <si>
    <t>RUA VILA PRUDENTE ESQUINA COM RUA DOS PINTORES</t>
  </si>
  <si>
    <t>RUA AMPARO ESQUINA COM RUA PINDAMONHAGABA</t>
  </si>
  <si>
    <t>TAMANDUATEÍ</t>
  </si>
  <si>
    <t>RUA VOLUNTARIOS DA PATRIA 1617 PROXIMO A RUA AVIADOR GIL GUILHERME</t>
  </si>
  <si>
    <t>CARANDIRU</t>
  </si>
  <si>
    <t>RUA AVIACAO  99 PROXIMO A ESQUINA COM AV GENERAL ATALIBA LEONEL</t>
  </si>
  <si>
    <t>RUA CORONEL MARCILIO FRANCO DEFRONTE A RUA JOSE BUENO</t>
  </si>
  <si>
    <t>RUA GABRIEL PRESTES 1 ESQUINA COM A RUA VOLUNTARIOS DA PATRIA</t>
  </si>
  <si>
    <t>TIETÊ</t>
  </si>
  <si>
    <t>RUA TACITO DE ALMEIDA 124 ESQUINA COM R MACAE</t>
  </si>
  <si>
    <t>RUA GRADAU ESQUINA COM A RUA DAS COBEIAS</t>
  </si>
  <si>
    <t>RUA LEONOR MONTEIRO DA SILVA ESQUINA COM RUA BARAO ANIBAL PEPI</t>
  </si>
  <si>
    <t>AVENIDA ENGENHEIRO GEORGE CORBISIER ESQUINA COM A RUA DAS PEROBAS</t>
  </si>
  <si>
    <t>RUA RANULFO PRATA ESQUINA COM A RUA EDUARDO DE SA</t>
  </si>
  <si>
    <t>RUA FRANCOIS BUNEL ESQUINA COM  A RUA BENEDITO TOLASA</t>
  </si>
  <si>
    <t>VILA DAS MERCÊS</t>
  </si>
  <si>
    <t>RUA JOAO BENITO ESQUINA COM RUA YERVANT KISSAJIKIAN</t>
  </si>
  <si>
    <t>RUA JOAQUIM MORAES ESQUINA COM A RUA JOAO BARRETO DE MENEZES</t>
  </si>
  <si>
    <t>AVENIDA JOSE ESTEVAO DE MAGALHAES PROXIMO A ESQUINA COM A  RUA PRINCIPE DAS ASTURIAS</t>
  </si>
  <si>
    <t>AVENIDA CURSINO 6601 PROXIMO RUA JAPAO</t>
  </si>
  <si>
    <t>RUA ANNY ESQUINA COM A RUA VICENTE GASPAR</t>
  </si>
  <si>
    <t>VILA HELIÓPOLIS</t>
  </si>
  <si>
    <t>RUA CAMINHA DE AMORIM ESQUINA COM A RUAZ FLORALIA</t>
  </si>
  <si>
    <t>VILA BEATRIZ</t>
  </si>
  <si>
    <t>RUA CRISTOVAO DE BURGOS ESQUINA COM RUA PAULISTANIA</t>
  </si>
  <si>
    <t>VILA MADALENA</t>
  </si>
  <si>
    <t>RUA FRADIQUE COUTINHO ESQUINA COM A RUA ARTUR AZEVEDO</t>
  </si>
  <si>
    <t>RUA MOURATO COELHO ESQUINA COM A RUA DOS PINHEIROS</t>
  </si>
  <si>
    <t>RUA NICARAGUA ESQUINA COM A RUA VENEZUELA</t>
  </si>
  <si>
    <t>AVENIDA FORTE DO LEME PROXIMO A ESQUINA COM A RUA FORTE DE ARAXA</t>
  </si>
  <si>
    <t>RUA PERU ESQUINA COM A PRACA SALUA NACCACHE ABBUD</t>
  </si>
  <si>
    <t>AVENIDA PEDROSO DE MORAIS PROXIMO DA ESQUINA COM AVENIDA REBOUCAS</t>
  </si>
  <si>
    <t>AVENIDA EUROPA ESQUINA COM A RUA GROELANDIA</t>
  </si>
  <si>
    <t>RUA DOM LEOPOLDO I ESQUINA COM A RUA PIO XI</t>
  </si>
  <si>
    <t>BOAÇAVA</t>
  </si>
  <si>
    <t>RUA TONELERO ESQUINA COM A RUA VOTUPOCA</t>
  </si>
  <si>
    <t>RUA FRADIQUE COUTINHO 2200   NA CALCADA DA EMEF OLAVO PEZZOTI</t>
  </si>
  <si>
    <t>RUA FRANCISCO ISOLDI 287</t>
  </si>
  <si>
    <t>RUA CLAUDIO SERGIO BERE ESQUINA COM A RUA RICARDO MORETI</t>
  </si>
  <si>
    <t>AVENIDA DOS OURIVES ESQUINA COM A RUA MEMORIAL DE AIRES</t>
  </si>
  <si>
    <t>RUA MEMORIAL DE AIRES 440</t>
  </si>
  <si>
    <t>RUA ARMANDO PINTO 26 ESQUINA COM A RUA DOM ROSALVO 131</t>
  </si>
  <si>
    <t>RUA NELSON FERREIRA DE SOUSAS 73 DEFRONTE A RUA ARACUAI</t>
  </si>
  <si>
    <t>RUA DOUTOR PINTO NAZARIO ESQUINA COM A RUA ARGO BOITO</t>
  </si>
  <si>
    <t>RUA ANDRE LANG ESQUINA COM RUA FRANCESCO SOLIMENA</t>
  </si>
  <si>
    <t>AVENIDA GENERAL ATALIBA LEONEL ESQUINA COM A RUA PAULO AVELAR</t>
  </si>
  <si>
    <t>PARADA INGLESA</t>
  </si>
  <si>
    <t>RUA ADONIS ESQUINA COM A RUA ANNY</t>
  </si>
  <si>
    <t>RUA GIACOMO COZZARELLI ESQUINA COM A RUA EUZEBIO MARIO DA SILVA</t>
  </si>
  <si>
    <t>RUA DOMINGOS ALVES FERREIRA ESQUINA COM AVENIDA MARIA ESTELA</t>
  </si>
  <si>
    <t>RUA SARAMBE ESQUINA COM A RUA PROFESSOR ZEFERINO VAZ</t>
  </si>
  <si>
    <t>RUA ATTILIO BARTALINI PROXIMO 218</t>
  </si>
  <si>
    <t>RUA ANITA TAGLIAFERRI ESQUINA COM A RUA PROFESSOR JOSE OZI</t>
  </si>
  <si>
    <t>RUA FLORESTOPOLIS ESQUINA COM A  RUA DEZOITO DE OUTUBRO</t>
  </si>
  <si>
    <t>AVENIDA ABRAHAO GONCALVES BRAGA ESQUINA COM A RUA TOCANTINIA</t>
  </si>
  <si>
    <t>RUA VINTE E NOVE DE OUTUBRO 149</t>
  </si>
  <si>
    <t>AVENIDA SANTOS DUMONT DEFRONTE A RUA AVIADOR GIL GUILHERME</t>
  </si>
  <si>
    <t>RUA JOAO MOURA ESQUINA COM A PRACA HORACIO SABINO</t>
  </si>
  <si>
    <t>AVENIDA NOSSA SENHOR DO SABARA ESQUINA COM RUA SANTA URSULA</t>
  </si>
  <si>
    <t>RUA DOUTOR SAULO DE CASTRO BICUDO ESQUINA COM A RUA ARMANDO VIEIRA</t>
  </si>
  <si>
    <t>RUA ANASTACIO DA COSTA ESQUINA COM A AVENIDA GONCALO DE PAIVA GOMES</t>
  </si>
  <si>
    <t>RUA JOAQUIM PROXIMO DA ESQUINA COM RUA FREI MANUEL CALADO</t>
  </si>
  <si>
    <t>AVENIDA GREGORIO BEZERRA 849</t>
  </si>
  <si>
    <t>RUA DOUTOR JACQUES TUPINAMBA ESQUINA COM RUA ZIKE TUMA</t>
  </si>
  <si>
    <t>CAMPO GRANDE</t>
  </si>
  <si>
    <t>AVENIDA ZAKI NARCHI ESQUINA COM A RUA DOM JOSE MAURICIO</t>
  </si>
  <si>
    <t>ZAKI NARCHI</t>
  </si>
  <si>
    <t>AVENIDA CRUZEIRO DO SUL EM FRENTE A ESTACAO CARANDIRU</t>
  </si>
  <si>
    <t>RUA DOUTOR ZUQUIM EM FRENTE A ESQUINA COM RUA ALFERES MAGALHAES</t>
  </si>
  <si>
    <t>RUA BORGES DE BARROS 101</t>
  </si>
  <si>
    <t>RUA COLOMBIA ESQUINA COM A RUA PERU EM FRENTE AO POSTO DE GASOLINA</t>
  </si>
  <si>
    <t>RUA SIMAO ALVARES ESQUINA COM A RUA JOAO DO RIO</t>
  </si>
  <si>
    <t>RUA GIRASSOL ESQUINA COM A RUA RODESIA</t>
  </si>
  <si>
    <t>AVENIDA DOUTOR ARNALDO ESQUINA COM R ANTONINA</t>
  </si>
  <si>
    <t>SUMARÉ</t>
  </si>
  <si>
    <t>RUA NICARAGUA ESQUINA COM A RUA COLOMBIA</t>
  </si>
  <si>
    <t>RUA GABIREL DE BRITO 203</t>
  </si>
  <si>
    <t>RUA GROENZLANDIA ESQUINA COM A RUA BUCARESTE</t>
  </si>
  <si>
    <t>RUA ORESTES BARBOSA ESQUINA COM A RUA JOSE MARIA DE ABREU</t>
  </si>
  <si>
    <t>RUA PIATA 376 DEFRONTE A RUA MANGALO</t>
  </si>
  <si>
    <t>RUA JOAO MIGUEL JARRA ESQUINA COM  A RUA DELFINA</t>
  </si>
  <si>
    <t>AVENIDA ANTONIO BATUIRA ESQUINA COM A RUA BANIBAS</t>
  </si>
  <si>
    <t>ALTO DE PINHEIROS</t>
  </si>
  <si>
    <t>AVENIDA GABRIEL MONTEIRO DA SILVA ESQUINA COM A RUA JUQUIA</t>
  </si>
  <si>
    <t>AVENIDA MERCEDES ESQUINA COM A RUA BRIGADEIRO GAVIAO PEIXOTO</t>
  </si>
  <si>
    <t>ALTO DA LAPA</t>
  </si>
  <si>
    <t>RUA DOS AMANAJES 237 PROXIMO A ESQUINA COM A RUA MARIA CANDIDA</t>
  </si>
  <si>
    <t>RUA JOAO MOURA ESQUINA COM ARUA IPERO</t>
  </si>
  <si>
    <t>RUA PROFESSOR NICOLAU DE MORAIS BARROS PROXIMO DA ESQUINA COM A RUA HEITOR PENTEADO</t>
  </si>
  <si>
    <t>RUA ORLANDO PINTO RIBEIRO DEFRONTE A RUA BALTHAZAR FIGUEIREDO DE ALMEIDA</t>
  </si>
  <si>
    <t>RUA FIDALGA ESQUINA COM A RUA WISARD</t>
  </si>
  <si>
    <t>RUA JAIME CAVALCANTI ESQUINA COM A RUA JOSE ANTONIO VALADRES</t>
  </si>
  <si>
    <t>ANCHIETA</t>
  </si>
  <si>
    <t>RUA MARQUES DE ITU 837</t>
  </si>
  <si>
    <t>RUA GENERAL JARDIM ESQUINA COM A RUA DOUTOR VILA NOVA</t>
  </si>
  <si>
    <t>RUA MARIA BORBA ESQUINA COM A RUA DOUTOR CESAR MOTA JUNIOR</t>
  </si>
  <si>
    <t>LARGO DO AROUCHE ESQUINA COM A AVENIDA SAO JOAO</t>
  </si>
  <si>
    <t>RUA ARACATUBA ESQUINA COM A RUA PONTA PORA</t>
  </si>
  <si>
    <t>RUA BELA CINTRA DEFRONTE A RUA PEDRO TAQUES</t>
  </si>
  <si>
    <t>RUA TITO PROXIMO DA ESQUINA COM A RUA DUILIO</t>
  </si>
  <si>
    <t>RUA TAVARES BASTOS ESQUINA COM A AVENIDA POMPEIA</t>
  </si>
  <si>
    <t>POMPÉIA</t>
  </si>
  <si>
    <t>RUA SILVEIRA RODRIGUES ESQUINA COM A RUA VESPASIANO</t>
  </si>
  <si>
    <t>RUA FAUSTOLO ESQUINA COM A RUA ESPARTACO</t>
  </si>
  <si>
    <t>RUA PAUMARI 267</t>
  </si>
  <si>
    <t>RUA SCIPIAO ESQUINA COM A RUA CORIOLANO</t>
  </si>
  <si>
    <t>RUA NESTOR PESTANA ESQUINA COM A RUA DA CONSOLACAO</t>
  </si>
  <si>
    <t>PRACA OUVIDOR PACHECO E SILVA 38</t>
  </si>
  <si>
    <t xml:space="preserve">RUA ABOLICAO ESQUINA COM A RUA JACEGUAI </t>
  </si>
  <si>
    <t>RUA BRIGADEIRO GALVAO 848</t>
  </si>
  <si>
    <t>RUA SANTA LUZIA ESQUINA COM A RUA CONSELHEIRO FURTADO</t>
  </si>
  <si>
    <t>RUA MARTINICO PRADO ESQUINA COM RUA DONA VERIDIANA</t>
  </si>
  <si>
    <t>RUA GENERAL JARDIM ESQUINA COM A RUA BENTO FREITAS</t>
  </si>
  <si>
    <t>RUA JOSE BONIFACIO ESQUINA COM A RUA QUINTINO BOCAIUVA</t>
  </si>
  <si>
    <t>RUA AGUIAR DE BARROS ESQUINA COM A RUA SANTO AMARO</t>
  </si>
  <si>
    <t>RUA MARTINIANO DE CARVALHO ESQUINA COM A RUA HUMAITA</t>
  </si>
  <si>
    <t>RUA CONDESSA DE SAO JOAQUIM ESQUINA COM A RUA CONDE DE SAO JOAQUIM</t>
  </si>
  <si>
    <t>PRACA DA SE ENFRENTE A CAIXA ECONOMICA CENTRAL</t>
  </si>
  <si>
    <t>PRACA CLOVIS BEVILAQUA DEFRONTE A SAIDA DO METRO ACESSO A CATEDRAL DA SE</t>
  </si>
  <si>
    <t>RUA BARRA FUNDA DEFRONTE A RUA LAVRADIO</t>
  </si>
  <si>
    <t>LARGO DO AROUCHE PROXIMO A ESQUINA COM A RUA DO AROUCHE</t>
  </si>
  <si>
    <t>RUA CONSELHEIRO BROTERO 475 PROXIMO A RUA  CAMARAGIBE</t>
  </si>
  <si>
    <t>RUA BRIGADEIRO GALVAO 436</t>
  </si>
  <si>
    <t>RUA LOPES DE OLIVEIRA ESQUINA COM AVENIDA GENERAL OMPIO DA SILVEIRA</t>
  </si>
  <si>
    <t>RUA BARRA FUNDA ESQUINA COM A RUA LOPES CHAVES</t>
  </si>
  <si>
    <t>RUA BRIGADEIRO GALVAO ESQUINA COM A RUA LOPES CHAVES</t>
  </si>
  <si>
    <t>PRACA DA REPUBLICA 124 ESQUINA COM A RUA SETE DE ABRIL</t>
  </si>
  <si>
    <t>RUA BASILIO DA GAMA NO FINAL DA RUA</t>
  </si>
  <si>
    <t>RUA GENERAL VITORINO MONTEIRO 189</t>
  </si>
  <si>
    <t>RUA SAO LUIS 41 PROXIMO A PRACA DA REPUBLICA</t>
  </si>
  <si>
    <t>RUA DA CONSOLACAO COM A  PRACA DESEMBARGADOR MARIO PIRES</t>
  </si>
  <si>
    <t>RUA GOMES FREIRE ESQUINA COM A RUA BARAO DE JUNDIAI</t>
  </si>
  <si>
    <t>RUA MARTIM TENORIO 130 POSTO DE BOMBEIROS  LAPA</t>
  </si>
  <si>
    <t>RUA ANTONIO RAPOSO DEFRONTE A RUA GEORGE CHIMITH</t>
  </si>
  <si>
    <t>RUA MONTEIRO DE MELO DEFRONTE A RUA JOAQUIM MACHADO</t>
  </si>
  <si>
    <t>RUA CATAO ESQUINA COM A RUA ROMA</t>
  </si>
  <si>
    <t>AVENIDA RAIMUNDO PEREIRA DE MAGALHAES ESQUINA COM A RUA CAMPOS VERGUEIRO</t>
  </si>
  <si>
    <t>RUA CAMPOS VERGUEIRO ESQUINA COM A RUA SAO TITO</t>
  </si>
  <si>
    <t>RUA BENEDITO CAMPOS DE MORAES ESQUINA COM A RUA CAMPOS VERGUEIRO</t>
  </si>
  <si>
    <t>RUA ALVARENGA PEIXOTO ESQUINA COM A RUA BARTOLOMEU PAES</t>
  </si>
  <si>
    <t>RUA FORTUNATO FERRAZ ESQUINA COM A AVENIDA RAIMUNDO PEREIRA DE MAGALHAES</t>
  </si>
  <si>
    <t>RUA PIO XI ESQUINA COM A RUA JORGE AMERICANO</t>
  </si>
  <si>
    <t>RUA TARCILIO LOPES 92</t>
  </si>
  <si>
    <t>AVENIDA MINISTRO PETRONIO PORTELA ESQUINA COM A RUA SETE BARRAS</t>
  </si>
  <si>
    <t>RUA CATAO ESQUINA COM A RUA CLELIA</t>
  </si>
  <si>
    <t>RUA ARISTIDES VIADANA PROXIMO A ESQUINA DA RUA WILLINS SPEERS</t>
  </si>
  <si>
    <t>RUA DO CURTUME 499  CALCADA OPOSTA DA CONTAX</t>
  </si>
  <si>
    <t>RUA BRUXELAS ESQUINA COM A RUA CAPITAL FEDERAL</t>
  </si>
  <si>
    <t>RUA SAO GALL 574 PROXIMO A ESQUINA COM A RUA PAUMARI</t>
  </si>
  <si>
    <t>RUA TITO ESQUINA COM A RUA TONELEROS</t>
  </si>
  <si>
    <t>RUA ESPARTACO ESQUINA COM A RUA CLELIA</t>
  </si>
  <si>
    <t>RUA MARCO AURELIO PROXIMO DA ESQUINA COM A RUA  CATAO</t>
  </si>
  <si>
    <t>RUA JOSE BORELLI ESQUINA COM A RUA COSTA MORGADO DEFRONTE A A PRACA FERNANDO G PALOMARES</t>
  </si>
  <si>
    <t>RUA ENGENHEIRO ALBERTIN ESQUINA COM A RUA ENGENHEIRO ALBERTIN</t>
  </si>
  <si>
    <t>RUA HAVAI ESQUINA COM A RUA APINAGES</t>
  </si>
  <si>
    <t>RUA APINAGES PROXIMO DA ESQUINA COM A RUA HAVAI</t>
  </si>
  <si>
    <t>AVENIDA SAO JOAO  ESQUINA COM AVENIDA DUQUE DE CAXIAS</t>
  </si>
  <si>
    <t>PRACA DA REPUBLICA</t>
  </si>
  <si>
    <t>AVENIDA RANGEL PESTANA ESQUINA COM A RUA DO CARMO</t>
  </si>
  <si>
    <t>RUA MAJOR DIOGO ESQUINA COM A RUA JACEGUAI</t>
  </si>
  <si>
    <t>RUA ANCHIETA ESQUINA COM O PATEO DO COLEGIO</t>
  </si>
  <si>
    <t>PRACA CLOVIS BEVILACQUA COMANDO DO CORPO DE BOMBEIROS</t>
  </si>
  <si>
    <t>RUA FREDERICO ALVARENGA DEFRONTE A RUA ALEXANDRIA</t>
  </si>
  <si>
    <t>RUA DOUTOR CESARIO MOTA JUNIOR ESQUINA COM A RUA MAJOR SERTORIO</t>
  </si>
  <si>
    <t>RUA MARIA BORBA ESQUINA COM A RUA AMARAL GURGEL</t>
  </si>
  <si>
    <t>RUA SENADOR FEIJO ESQUINA COM A PRACA DA SE</t>
  </si>
  <si>
    <t>AVENIDA BRIGADEIRO LUIS ANTONIO ESQUINA COM A RUA CONDESSA  DE SAO JOAQUIM</t>
  </si>
  <si>
    <t>RUA GENERAL JARDIM ESQUINA COM A RUA REGO FREITAS</t>
  </si>
  <si>
    <t>RUA JAGUARIBE ESQUINA COM R DR CESARIO MOTA JUNIOR</t>
  </si>
  <si>
    <t>PRACA DA REPUBLICA ESQUINA COM A RUA DO AROUCHE</t>
  </si>
  <si>
    <t>RUA BRIGADEIRO GALVAO DEFRONTE A RUA JOAO DE BARROS</t>
  </si>
  <si>
    <t>RUA BRIGADEIRO GALVAO ESQUINA COM A RUA OLIMPIA DE ALMEIDA PRADOZ</t>
  </si>
  <si>
    <t>RUA LOPES OLIVEIRA ESQUINA COM A RUA BRIGADEIRO GALVAO</t>
  </si>
  <si>
    <t>RUA BRIGADEIRO GALVAO ESQUINA COM A RUA DOUTOR ALBUQUERQUE</t>
  </si>
  <si>
    <t>RUA REGO FREITAS ESQUINA COM A RUA SANTA ISABEL</t>
  </si>
  <si>
    <t>RUA CAMACAM ESQUINA COM A RUA BARTHOLOMEU PAES</t>
  </si>
  <si>
    <t>AVENIDA SEBASTIAO HENRIQUES 496</t>
  </si>
  <si>
    <t>AVENIDA DOS METALURGICOS 621</t>
  </si>
  <si>
    <t>AVENIDA CASA VERDE 3119 ESQUINA COM RUA SAMARITA</t>
  </si>
  <si>
    <t>CASA VERDE</t>
  </si>
  <si>
    <t>AVENIDA FRANCISCO MATARAZZO ESQUINA COM A RUA JOSE BENEDITO BONELLI</t>
  </si>
  <si>
    <t>AVENIDA BARREIRA GRANDE ESQUINA COM A RUA ESTADO DO CEARA</t>
  </si>
  <si>
    <t>RUA AMELIA VANSO MAGNOLI ENTRE A AVENIDA BARREIRA GRANDE E A RUA FREDERICO QUERCIA</t>
  </si>
  <si>
    <t>RUA JAMES NARES ACESSO DA RUA LUIZ PARISOTTO</t>
  </si>
  <si>
    <t>AVENIDA DOUTOR GASTAO VIDIGAL ESQUINA COM  A RUA POSTDAM</t>
  </si>
  <si>
    <t>VILA HAMBURGUESA</t>
  </si>
  <si>
    <t>RUA CORONEL LUCIO ROSALES ESQUINA COM A RUA ALFREDO PUJOL</t>
  </si>
  <si>
    <t>AVENIDA IMIRIM ESQUINA COM RUA MARIA SIMOES</t>
  </si>
  <si>
    <t>SANTA TEREZINHA</t>
  </si>
  <si>
    <t>TRAVESSA LUIS GONCALVES ESQUINA COM RUA NOVA DOS PORTUGUESES</t>
  </si>
  <si>
    <t>RUA FRANCISCO ESTACIO FORTES ESQUINA COM A RUA TUPI</t>
  </si>
  <si>
    <t>RUA LEAO XIII 400</t>
  </si>
  <si>
    <t>PARQUE PERUCHE</t>
  </si>
  <si>
    <t>RUA DOUTOR CESAR ESQUINA COM RUA COM JOAQUIM MONTEIRO</t>
  </si>
  <si>
    <t>RUA DOUTOR CESAR  ESQUINA COM A RUA DOS TRES MOSQUETEIROS</t>
  </si>
  <si>
    <t>RUA BENTA PEREIRA ESQUINA COM RUA ANA LINS</t>
  </si>
  <si>
    <t>RUA GABRIEL DOS SANTOS ESQUINA COM A RUA CANDIDO ESPINHEIRA</t>
  </si>
  <si>
    <t>RUA DOUTOR ALBUQUERQUE LINS ESQUINA COM R BARONESA DE ITU</t>
  </si>
  <si>
    <t>RUA PEIXOTO WERNECK PROXIMO DA ESQUINA COM A RUA BENEDITO SALGADO DA SILVA</t>
  </si>
  <si>
    <t>RUA JOSE GIL ESQUINA COM AVENIDA FRANCISCO MUNHOZ FILHO</t>
  </si>
  <si>
    <t>SANTA MARCELINA</t>
  </si>
  <si>
    <t>RUA ANTONIETA ESQUINA ENTRE AS RUAS RELIQUIA E RUA LUCILA</t>
  </si>
  <si>
    <t>RUA DO CARVALHO BRASILEIRO ESQUINA COM  A TRAVESSA FRANCISCO MANARA</t>
  </si>
  <si>
    <t>TERCEIRA DIVISÃO</t>
  </si>
  <si>
    <t>RUA PALESTRA ITALIA DEFRONTE A RUA CARAIBA                PALESTRA ITALIA</t>
  </si>
  <si>
    <t>RUA DOUTOR AUGUSTO DE MIRANDA ESQUINA COM A RUA PADRE CHICO</t>
  </si>
  <si>
    <t>RUA DOS CONTINENTES 210 DEFRONTE A  RUA MARCIANO CAPELLA</t>
  </si>
  <si>
    <t>CIDADE A.E.CARVALHO</t>
  </si>
  <si>
    <t>RUA DOS CONTINENTES ESQUINA COM RUA MARCIANO CAPELLA</t>
  </si>
  <si>
    <t>AVENIDA DAS MAGNOLIAS  ESQUINA COM RUA DAS MALVAS</t>
  </si>
  <si>
    <t>RUA DOUTOR WILTON PAES DE ALMEIDA 320</t>
  </si>
  <si>
    <t>RUA CARLOS WEBER ESQUINA COM A RUA MANUEL BOLTO</t>
  </si>
  <si>
    <t>RUA PAULO FRANCO ESQUINA COM A RUA BRENTANO</t>
  </si>
  <si>
    <t>RUA DOUTOR JOAO FAIRBANKS ESQUINA COM A RUA DO BOSQUE</t>
  </si>
  <si>
    <t>ESTRADA DE VILA JAGUARA ESQUINA COM A RUA GUAIPA</t>
  </si>
  <si>
    <t>AVENIDA JAGUARE ESQUINA COM A AVENIDA KENKITI SIMOMOTO</t>
  </si>
  <si>
    <t>RUA PADRE GABRIEL DE CAMPOS PROXIMO PROXIMO A ESQUINA COM AVENIDA PADRE FRANCISCO DE MOURA ROLIM</t>
  </si>
  <si>
    <t>RUA IRMAO NICOLAU DA FONSECA PROXIMO A ESQUINA COM AVENIDA WALDEMAR TIETZ</t>
  </si>
  <si>
    <t>RUA GONCALVES DE LIMA PROXIMO A ESQUINA COM A ESTRADA DOS FIDELIS</t>
  </si>
  <si>
    <t>RUA BRIGADEIRO GAVIAO PEIXOTO DEFRONTE A RUA LAURINDO DE BRITO</t>
  </si>
  <si>
    <t>GAVIÃO PEIXOTO</t>
  </si>
  <si>
    <t>RUA JOSE BENEDITO MACEDO ESQUINA COM A RUA MANOEL JOAQUIM PERA</t>
  </si>
  <si>
    <t>BUTANTÃ</t>
  </si>
  <si>
    <t>RUA PEDRO PECCININI DEFRONTE A RUA HUGO CAROTINI</t>
  </si>
  <si>
    <t>JARDIM CAXINGUI</t>
  </si>
  <si>
    <t>RUA SIMOES DELGADO  NO FINAL DA RUA SEM SAIDA</t>
  </si>
  <si>
    <t>RUA DOUTOR CESAR ESQUINA COM A RUA VOLUNTARIOS DA PATRIA</t>
  </si>
  <si>
    <t>AVENIDA IMPERATRIZ LEOPOLDINA ESQUINA COM A RUA GUAIPA</t>
  </si>
  <si>
    <t>AVENIDA MORUMBI ESQUINA COM A RUA JOAQUIM CANDIDO DE AZEVEDO MARQUES</t>
  </si>
  <si>
    <t>TRAVESSA FLAMINIO BELLINI CARRI 212</t>
  </si>
  <si>
    <t>RUA 06 ESQUINA COM A RUA 25 PAVILHA AMC NO INTERIOR DO CEAGESP</t>
  </si>
  <si>
    <t>RUA DO ENSINO DEFRONTE A RUA ANECY ROCHA</t>
  </si>
  <si>
    <t>AVENIDA PADRE LEBRET PROXIMO A AVENIDA JULES RIMET</t>
  </si>
  <si>
    <t>RUA DOUTOR GABRIEL DOS SANTOS ESQUINA COM A RUA EMILIO MENEZES</t>
  </si>
  <si>
    <t>AVENIDA ITAQUERA PROXIMO 4480</t>
  </si>
  <si>
    <t>RUA AUGUSTO FERREIRA RAMOS ESQUINA COM RUA  PADRE LUIZ ROSSI</t>
  </si>
  <si>
    <t>AVENIDA HERMILIO ALVES 1361 PROXIMO A RUA DEMERVAL LOBAO</t>
  </si>
  <si>
    <t>RUA JOSE GUEDES ESQUINA COM RUA MAJOR BOAVENTURA</t>
  </si>
  <si>
    <t>RUA MACIEL MONTEIRO 264 DEFRONTE A RUA GALILEU MENON</t>
  </si>
  <si>
    <t>RUA CONSELHEIRO BROTERO ESQUINA COM ALAMEDA BARROS</t>
  </si>
  <si>
    <t>AVENIDA PACAEMBU ESQUINA COM RUA PARAGUACU</t>
  </si>
  <si>
    <t>AVENIDA HIGIENOPOLIS ESQUINA COM A RUA CONSELHEIRO BROTERO</t>
  </si>
  <si>
    <t>FAAP</t>
  </si>
  <si>
    <t>RUA PARAGUACU ESQUINA COM A RUA TRAIPU</t>
  </si>
  <si>
    <t>RUA TUPI  ESQUINA COM RUA DOUTOZR VEIGA FILHO</t>
  </si>
  <si>
    <t>RUA TUPI ESQUINA COM RUA DOUTOR JOSE MANOEL</t>
  </si>
  <si>
    <t>RUA SALETE ESQUINA COM A RUA DOUTOR CESAR</t>
  </si>
  <si>
    <t>RUA RUBENS DO AMARAL ESQUINA COM RUA HORACIO BANDIERI</t>
  </si>
  <si>
    <t>RUA LUIZ GALHANONE 335</t>
  </si>
  <si>
    <t>RUA CIRCULADOR DO BOSQUE 827 COM RUA CIRCULAR DO BOSQUE</t>
  </si>
  <si>
    <t>RUA CARLOS VICARI ESQUINA COM A RUA JOAQUIM FERREIRA</t>
  </si>
  <si>
    <t>RUA CARAIBAS ESQUINA COM A RUA PADRE CHICO</t>
  </si>
  <si>
    <t>RUA BARAO DA PASSAGEM ESQUINA COM A RUA RACINE</t>
  </si>
  <si>
    <t>BELA ALIANÇA</t>
  </si>
  <si>
    <t>RUA ROCHA LIMA ESQUINA COM A RUA CAROLINA SOARES</t>
  </si>
  <si>
    <t>RUA MARIO WALLACE SIMONSEN COCHRANE ESQUINA COM A RUA DOUTOR FAUSTO DE ALMEIDA PRADO PENTEADO</t>
  </si>
  <si>
    <t>RUA ALESSO BALDOVINETTI ESQUINA COM A RUA ANTONIO VERA CRUZ</t>
  </si>
  <si>
    <t>RUA SANTANA DO RIACHO ESQUINA COM A RUA CENTRAL DE SANTA HELENA</t>
  </si>
  <si>
    <t>RUA DOUTOR ALFREDO DI VERNIERI ESQUINA COM A RUA PAULO ANGELO LANZARINI</t>
  </si>
  <si>
    <t>RUA JOAO TIBIRICA 705 DEFRONTE A ESCADARIA</t>
  </si>
  <si>
    <t>RUA DOMINGOS BARBIERI ESQUINA COM A RUA HUGO CAROTINI</t>
  </si>
  <si>
    <t>RUA CONSELHEIRO BROTERO ESQUINA COM A RUA DOUTOR VEIGA FILHO</t>
  </si>
  <si>
    <t>RUA PALESTRA ITALIA ESQUINA COM A RUA CARAIBAS</t>
  </si>
  <si>
    <t>AVENIDA SAPOPEMBA 29910 PROXIMO DA ESQUINA COM A RUA CAROLINA</t>
  </si>
  <si>
    <t>RUA AMELIA AUGUSTA RODRIGUES ESQUINA COM A RUA MARECHAL RENATO PAQUET</t>
  </si>
  <si>
    <t>ESTRADA DE ITAPECERICA 4036 AO LADO DO TERMINAL DE ONIBUS CAPAO REDONDO</t>
  </si>
  <si>
    <t>CAPÃO REDONDO</t>
  </si>
  <si>
    <t>RUA PREBIXIM ESQUINA COM A RUA PORTO MARTINS</t>
  </si>
  <si>
    <t>BROOKLIN</t>
  </si>
  <si>
    <t>RUA CARLOS WEBER ESQUINA COM A RUA BRENTANO</t>
  </si>
  <si>
    <t>RUA LAGOA TAI GRANDE ESQUINA COM A RUA SAO GONCALO DO PIAUI</t>
  </si>
  <si>
    <t>RUA VISCONDE DE INHAUMA ESQUINA COM A PRACA GUARACI</t>
  </si>
  <si>
    <t>ALAMEDA DOS GUATAS ESQUINA COM A AVENIDA MOACI</t>
  </si>
  <si>
    <t>RUA HENRIQUE MARTINS ESQUINA COM A AVENIDA BRIGADEIRO LUIS ANTONIO</t>
  </si>
  <si>
    <t>VILA NOVA CONCEIÇÃO</t>
  </si>
  <si>
    <t>RUA GENERAL FONSECA TELES ESQUINA COM A AVENIDA BRIGADEIRO LUIS ANTONIO</t>
  </si>
  <si>
    <t>RUA SAO FRANCISCO DE ASSIS ESQUINA COM A TRAVESSA SANTA JOAQUINA</t>
  </si>
  <si>
    <t>TRAVESSA SANTA JOAQUINA ESQUINA COM A RUA JOAQUIM OLIVEIRA FREITAS</t>
  </si>
  <si>
    <t>RUA JOSE DA SILVA GUIMARAES DEFRONTE A RUA ANTONIO FERNANDES PINHEIRO</t>
  </si>
  <si>
    <t>RUA DAS HERAS ESQUINA COM A RUA BARAO DO PIRAI</t>
  </si>
  <si>
    <t>ALAMEDA DOS PIRATINIS ESQUINA COM A AVENIDA IRAI</t>
  </si>
  <si>
    <t>RUA DOS CARIRIS 357 NA CURVA</t>
  </si>
  <si>
    <t>PINHEIROS</t>
  </si>
  <si>
    <t>RUA CARIJOS ESQUINA COM A AVENIDA SANTA MARINA</t>
  </si>
  <si>
    <t>AVENIDA SANTA MARINA ESQUINA COM A RUA MENFIS NA ENTRADA DA PASSARELA</t>
  </si>
  <si>
    <t>RUA PROFESSORA ALVARO DE SOUSA REIS ESQUINA COM A RUA JOAO DE SOUTO MAIOR</t>
  </si>
  <si>
    <t>RUA GUAICURUS ESQUINA COM A RUA TIBERIO</t>
  </si>
  <si>
    <t>RUA DOUTOR VIRGILIO DE CARVALHO PINTO ESQUINA COM A RUA TEODORO SAMPAIO</t>
  </si>
  <si>
    <t>AVENIDA SANTA MARINA 443</t>
  </si>
  <si>
    <t>RUA JOAQUIM ANTUNES ESQUINA COM A ZRUA CARDEAL ARCOVERDE</t>
  </si>
  <si>
    <t>RUA GUAICURUS ESQUINA COM A RUA DO CORTUME</t>
  </si>
  <si>
    <t>RUA SCIPIAO ESQUINA COM A RUA GUAICURUS</t>
  </si>
  <si>
    <t>RUA SUMIDOURO 520 PB PINHEIROS</t>
  </si>
  <si>
    <t>RUA ARTUR AZEVEDO ESQUINA COM A RUA FRANCISCO LEITAO</t>
  </si>
  <si>
    <t>RUA ARTUR DE AZEVEDO ESQUINA COM A RUA CONEGO EUGENIO LEITE</t>
  </si>
  <si>
    <t>RUA ITAPERIMA ESQUINA COM A RUA NHEGAIBAS</t>
  </si>
  <si>
    <t>AVENIDA VILA EMA ESQUINA COM RUA SANTA ELISA</t>
  </si>
  <si>
    <t>AVENIDA ZELINA ESQUINA COM A RUA BARAO DO PIRAI</t>
  </si>
  <si>
    <t>RUA RIO DO PEIXE ESQUINA COM AVENIDA ZELINA</t>
  </si>
  <si>
    <t>RUA DOUTOR ROBERTO FEIJO PROXIMO A ESQUINA COM A PRACA SANTA HELENA</t>
  </si>
  <si>
    <t>RUA RAINULCULOS ENFRENTE AO NUMERO 102 VILA ALPINA</t>
  </si>
  <si>
    <t>RUA JOAO ALVES PIMENTA 210 PROXIMO DA ESQUINA DA RUA JOAO ALVES PIMENTA</t>
  </si>
  <si>
    <t>RUA COMENDADOR FEIZ ZARZUR ESQUINA COM A RUA JOSE RODRIGUES</t>
  </si>
  <si>
    <t>AVENIDA PIASSANGUABA ESQUINA COM ALAMEDA DOS AUETIS</t>
  </si>
  <si>
    <t>AVENIDA IRERE ESQUINA COM ALAMEDA DOS PIRATININS</t>
  </si>
  <si>
    <t>RUA JUA ENTRE A RUA CARAMURU E A RUA BERTIOGA</t>
  </si>
  <si>
    <t>RUA LORETO ESQUINA COM RUA ARTUR DIAS</t>
  </si>
  <si>
    <t>RUA DOUTOR MAURICIO LACERDA ESQUINA COM A RUA DOM VICOSO</t>
  </si>
  <si>
    <t>RUA EDGAR PEREIRA ESQUINA COM A AVENIDA DIEDERICHSEN</t>
  </si>
  <si>
    <t>RUA FREI ROLIM ESQUINA COM RUA ARTUR DIAS</t>
  </si>
  <si>
    <t>AVENIDA JABAQUARA ESQUINA COM RUA SAO SEBASTIAO</t>
  </si>
  <si>
    <t>RUA JOSE GOMES DA SILVA ESQUINA COM A RUA MARIO AUGUSTO FERRAO</t>
  </si>
  <si>
    <t>RUA JESUINO ARRUDA ESQUINA COM A RUA DOUTOR RENATO PAES DE BARROS</t>
  </si>
  <si>
    <t>RUA GASPAR MOREIRA ESQUINA COM A RUA ESTEVAO LOPES</t>
  </si>
  <si>
    <t>RUA ALVARENGA ESQUINA COM A RUA ESTEVAO LOPES</t>
  </si>
  <si>
    <t>RUA GASTAO DO REGO MONTEIRO ESQUINA COM A RUA ALDO BONADEI</t>
  </si>
  <si>
    <t>RUA JOAO BATISTA PEREIRA ESQUINA COM A RUA MOACIR MIGUEL DA SILVA</t>
  </si>
  <si>
    <t>RUA FERNAO DIAS PRACA PADRE SEPTIMO RAMOS ARANTES</t>
  </si>
  <si>
    <t>RUA JOSE DOS REIS CARVALHO ESQUINA COM A RUA FERREIRA BARBOSA</t>
  </si>
  <si>
    <t>AVENIDA ELISIO TEIXEIRA ESQUINA COM A RUA FRANCISCO NUNES SIQUEIRA</t>
  </si>
  <si>
    <t>AVENIDA OTACILIO TOMANIK ESQUINA COM A RUA DANIEL JOSE PEREIRA</t>
  </si>
  <si>
    <t>RIO PEQUENO</t>
  </si>
  <si>
    <t>RUA WILLIS ROBERTO BANKS 48 PROXIMO DA ESQUINA COM A RUA MONSENHOR CASTRO NEY</t>
  </si>
  <si>
    <t>RUA TOMAS DA MOTA 170</t>
  </si>
  <si>
    <t>RUA GUAICURUS ESQUINA COM A RUA CARIJOS</t>
  </si>
  <si>
    <t>RUA ESPARTACO ESQUINA COM A RUA GUIACURUS</t>
  </si>
  <si>
    <t>AVENIDA SAO GABRIEL ESQUINA COM A RUA GENERAL MENA BARRETO</t>
  </si>
  <si>
    <t>AVENIDA PEDROSO DE MORAES ESQUINA COM A RUA ARTUR DE AZEVEDO</t>
  </si>
  <si>
    <t>RUA ANTONIO BITTENCOURT ESQUINA COM A RUA DOUTOR MURAI</t>
  </si>
  <si>
    <t>AVENIDA VILA EMA ESQUINA COM RUA JOAQUIM DE OLIVEIRA</t>
  </si>
  <si>
    <t>RUA ITARIRI ESQUINA COM A RUA VIDAL NEGREIROS</t>
  </si>
  <si>
    <t>RUA DONA LUISA JULIA ESQUINA COM A RUA LEOPOLDO COUTO DE MAGALHAES JUNIOR</t>
  </si>
  <si>
    <t>RUA AUGUSTO FARIA ESQUINA COM A RUA MOACIR MIGUEL DA SILVA</t>
  </si>
  <si>
    <t>RUA CORONEL FERREIRA LEAL ESQUINA COM A RUA ADRIANO THEODOSIO SERRA</t>
  </si>
  <si>
    <t>RUA DR LEVINDO PAIVA DUQUE ESQUINA COM A RUA AUGUSTO FARINA</t>
  </si>
  <si>
    <t>RUA JOAO CACHOEIRA PROXIMO DA ESQUINA COM A AVENIDA PRESIDENTE JUSCELINO KUBITSCHEK</t>
  </si>
  <si>
    <t>VILA OLÍMPIA</t>
  </si>
  <si>
    <t>RUA JOAO CACHOEIRA ESQUINA COM A RUA PROFESSOR JOAO BRITO</t>
  </si>
  <si>
    <t>RUA TEODORO SAMPAIO ESQUINA COM RUA LISBOA   PRACA BENEDITO CALIXTO</t>
  </si>
  <si>
    <t>RUA MOURATO COELHO ESQUINA COM A RUA TEODORO SAMPAIO</t>
  </si>
  <si>
    <t>RUA TEODORO SAMPO 1723 PROXIMO A O VIADUTO MATEUS GROU</t>
  </si>
  <si>
    <t>RUA SIMAO ALVARES ESQUINA COM A RUA TEODORO SAMPAIO</t>
  </si>
  <si>
    <t>RUA GUIRATINGA ESQUINA COM A RUA JACI</t>
  </si>
  <si>
    <t>RUA GUIRATINGA ESQUINA COM AVENIDA ITABORAI</t>
  </si>
  <si>
    <t>RUA ELISA SILVERIA ESQUINA COM A RUA OTTO DE BARROS</t>
  </si>
  <si>
    <t>RUA JOSE DA ROCHA MENDES ESQUINA COM RUA SERGIO CARDOSO</t>
  </si>
  <si>
    <t>RUA DONA MARIA PERA ESQUINA COM A RUA MASSARANDUBA</t>
  </si>
  <si>
    <t>AVENIDA JABAQUARA 123</t>
  </si>
  <si>
    <t>AVENIDA CASEMIRO DA ROCHA ESQUINA COM A RUA DOS MIOSOTIS</t>
  </si>
  <si>
    <t>RUA ITAPIRU ESQUINA COM RUA GENERAL CHAGAS SANTOS</t>
  </si>
  <si>
    <t>RUA ITAPURU ESQUINA COM A RUA DIAS TOLEDO</t>
  </si>
  <si>
    <t>ALAMEDA DOS UBIATANS ESQUINA COM A RUA NEREU RAMOS</t>
  </si>
  <si>
    <t>RUA CAVOUR ESQUINA COM RUA TORQUIATO TASSO</t>
  </si>
  <si>
    <t>RUA CANANEIA ESQUINA COM A RUA ETTORE XIMENES</t>
  </si>
  <si>
    <t>RUA ARTUR AZEVEDO ESQUINA COM A RUA LISBOA</t>
  </si>
  <si>
    <t>RUA BORGES DEFRONTE A RUA ANGELA DO AMARAL RANGEL</t>
  </si>
  <si>
    <t>RUA IMBIRAS 795 ESQUINA COM A RUA CARLOS ADALBERTO ILHA MACEDO</t>
  </si>
  <si>
    <t>RUA CANOBIM ESQUINA COM RUA GERTRUDES</t>
  </si>
  <si>
    <t>RUA MAJOR DANTAS CORTEZ ESQUINA COM A RUA CAMATEI</t>
  </si>
  <si>
    <t>RUA BORGES ESQUINA COM A TRAVESSA PADRE JOAO AUGUSTO MONTEIRO</t>
  </si>
  <si>
    <t>RUA MURILO FURTADO ESQUINA COM RUA FELIPE ANTUNES</t>
  </si>
  <si>
    <t>RUA PEDRO VIDAL ESQUINA COM A RUA NAPOLES</t>
  </si>
  <si>
    <t>AVENIDA IMIRIM ESQUINA COM RUA JOAO PORTUGAL</t>
  </si>
  <si>
    <t>RUA SANTA FE DO SUL 248 ESQUINA COM A AVENIDA BELISARIO PENA</t>
  </si>
  <si>
    <t>RUA SIMONE MARTINI PROXIMO DA ESQUINA COM A RUA MARAJA ACU</t>
  </si>
  <si>
    <t>PARQUE SAVOY</t>
  </si>
  <si>
    <t>AVENIDA SAO MIGUEL ESQUINA COM A RUA MARIA LEOCADIA</t>
  </si>
  <si>
    <t>PONTE RASA</t>
  </si>
  <si>
    <t>AVENIDA SAO MIGUEL ESQUINA COM A RUA MONTE JAGUARI</t>
  </si>
  <si>
    <t>RUA RAFAEL DE OLIVEIRA ESQUINA COM A RUA JERONIMA DIAS</t>
  </si>
  <si>
    <t>RUA GUARANESIA ESQUINA COM A RUA PROFESSORA MARIA JOSE BARONE FERNANDES</t>
  </si>
  <si>
    <t>RUA SEVERA PROXIMO A ESQUINA COM A RUA MARGARINO TORRES</t>
  </si>
  <si>
    <t>RUA KOBE 799 PROXIMO A RUA ALBERTO MOREIRA BATISTA FILHO</t>
  </si>
  <si>
    <t>RUA MARIA DE CARVALHO CASTRO ESQUINA COM A RUA PADRE AGOSTINHO PONCETTI</t>
  </si>
  <si>
    <t>RUA MANOEL DE SOVERAL ESQUINA COM A RUA DOUTOR ZUQUIM</t>
  </si>
  <si>
    <t>RUA DOUTOR ARTUR GUIMARAES PROXIMO DA ESQUINA COM A RUA VOLUNTARIOS DA PATRIA</t>
  </si>
  <si>
    <t>RUA SARGENTO MOR JOAO DE SOUZA ESQUINA COM A RUA DO MANIFESTO</t>
  </si>
  <si>
    <t>RUA INDUSTRIAL DEFRONTE A RUA DAS PAPOULAS</t>
  </si>
  <si>
    <t>RUA VISCONDE DE CAETE ESQUINA COM A RUA TAMATAIA</t>
  </si>
  <si>
    <t>RUA COSTA AGUIAR ESQUINA COM RUA TABOR</t>
  </si>
  <si>
    <t>RUA CIPRIANO BARATA ESQUINA COM A RUA LEAIS PAULISTANOS</t>
  </si>
  <si>
    <t>RUA VISCONDE DE ALCANTARA ESQUINA COM A RUA DOUTOR VICENTI GIACAGLIANI</t>
  </si>
  <si>
    <t>RUA ORLANDO ESQUINA COM A RUA SAVIGNI</t>
  </si>
  <si>
    <t>RUA AMADIS ESQUINA COM A RUA ALVARO FRAGOSO</t>
  </si>
  <si>
    <t>RUA CATUABA ESQUINA COM RUA RUA TAPAGI</t>
  </si>
  <si>
    <t>RUA DO MANIFESTO ESQUINA COM A RUA CISPLATINA</t>
  </si>
  <si>
    <t>IPIRANGA</t>
  </si>
  <si>
    <t>RUA SILVA BUENO ESQUINA COM A RUA CISPLATINA</t>
  </si>
  <si>
    <t>RUA  ANTONIO FREDERICO ESQUINA COM A RUA VEMAG</t>
  </si>
  <si>
    <t>RUA APIRANGA ESQUINA COM RUA DOS IGARAPES</t>
  </si>
  <si>
    <t>AVENIDA DO IMPERADOR ESQUINA COM RUA NIGELA</t>
  </si>
  <si>
    <t>ARAUCÁRIAS</t>
  </si>
  <si>
    <t>RUA BRYONIA ESQUINA COM A RUA TIAO CARREIRO</t>
  </si>
  <si>
    <t>VILA JACUÍ</t>
  </si>
  <si>
    <t>RUA CORNELIO DE ARZAO ESQUINA COM A RUA DOM BRAS DA SILVEIRA</t>
  </si>
  <si>
    <t>FAZENDA ITAIM</t>
  </si>
  <si>
    <t>RUA SEBASTIAO LOPES GRANDIO ESQUINA COM A RUA ITAJUBE</t>
  </si>
  <si>
    <t>AVENIDA AMADOR BUENO DA VEIGA ESQUINA COM A RUA SAO CELSO</t>
  </si>
  <si>
    <t>RUA CORIM ESQUINA COM A RUA MUNICIPAL</t>
  </si>
  <si>
    <t>RUA JACQUES DU CERCEAU 42    NO FINAL DA RUA A DIREITA</t>
  </si>
  <si>
    <t>RUA CAMATOTILHO ESQUINA COM A RUA MAJERICAO</t>
  </si>
  <si>
    <t>CIDADE LÍDER</t>
  </si>
  <si>
    <t>RUA XINGUTANEA PROXIMO A ESQUINA COM A RUA MIRASSELVA</t>
  </si>
  <si>
    <t>RUA IARUCU ESQUINA COM A RUA GUIRA</t>
  </si>
  <si>
    <t>VILA CAMPANELA</t>
  </si>
  <si>
    <t>RUA JANUARIO DA COSTA ESQUINA COM A RUA ASTOLFO MARQUES</t>
  </si>
  <si>
    <t>RUA HENRY JOLY ESQUINA COM RUA CLAUDIO PTOLOMEU</t>
  </si>
  <si>
    <t>RUA SONHO GAUCHO ESQUINA COM A RUA GEORGE RIEMANN</t>
  </si>
  <si>
    <t>BURGO PAULISTA</t>
  </si>
  <si>
    <t>RUA  LUIS GONZAGA DE SYOS ESQUINA COM A  RUA ARAJIPE</t>
  </si>
  <si>
    <t>RUA ALBURY ESQUINA RUA AKRON</t>
  </si>
  <si>
    <t>RUA MATILDE LA GIUDICE ESQUINA COM A RUA ALCIDES ROCHA MIRANDA</t>
  </si>
  <si>
    <t>AVENIDA AGUIA DE HAIA PROXIMA A ESQUINA DA AVENIDA IMPERADOR</t>
  </si>
  <si>
    <t>LIMOEIRO</t>
  </si>
  <si>
    <t>RUA FERNANDO CORTEZ ESQUINA COM A RUA FRANCISCO PIZARRO</t>
  </si>
  <si>
    <t>RUA ITAPIRUNA DEFRONTE A RUA SIRENA</t>
  </si>
  <si>
    <t>RUI BARBOSA</t>
  </si>
  <si>
    <t>RUA LAGOA DE PEDRAS DEFRONTE A RUA MONSENHOR TABOSA</t>
  </si>
  <si>
    <t>AVENIDA CANGAIBA DEFRONTE COM A RUA JACINTO LIMA SANTOS</t>
  </si>
  <si>
    <t>RUA OURO FINO ESQUINA COM RUA IBERE DA COSTA FRANCO</t>
  </si>
  <si>
    <t>RUA MARINHO ARCANJO DOS SANTOS</t>
  </si>
  <si>
    <t>RUA MARQUES DE SANTO AMARO 432 DEFRONTE A PRACA MARIO BULCAO</t>
  </si>
  <si>
    <t>RUA PIRAQUARA ESQUINA COM A RUA PARATIBA</t>
  </si>
  <si>
    <t>RUA BAIA GRANDE 722</t>
  </si>
  <si>
    <t>AVENIDA MATAPI ESQUINA COM AVENIDA ARICANDUVA</t>
  </si>
  <si>
    <t>AVENIDA NOVA CANTAREIRA ESQUINA COM A RUA GASPAR SOARES</t>
  </si>
  <si>
    <t>RUA LAGOA DA CRUZ DEFRONTE A RUA CORONEL PATRICIO CORREA DA CAMARA DEFRONTE A PRACA ANTONIO SOARES ALVES</t>
  </si>
  <si>
    <t>RUA GRANITO ESQUINA COM RUA GUACUMA</t>
  </si>
  <si>
    <t>RUA CASTA BARROS ESQUINA COM A RUA MORAPENA</t>
  </si>
  <si>
    <t>RUA MATUPIRI ESQUINA COM A RUA TRES PEDRAS</t>
  </si>
  <si>
    <t>RUA VIOLANTINO DOS SANTOS ESQUINA COM A RUA ROBERTO KOCH</t>
  </si>
  <si>
    <t>RUA ELI ESQUINA COM A  RUA ANTONIO FONSECA</t>
  </si>
  <si>
    <t>AVENIDA BELARMINO FERREIRA ESQUINA COM A RUA ABOR</t>
  </si>
  <si>
    <t>AVENIDA DOS LATINO 307</t>
  </si>
  <si>
    <t>RUA BELISARIO PENA ESQUINA COM A RUA JOAQUIM RODRIGUES DA COSTA</t>
  </si>
  <si>
    <t>PRACA SANTO EDUARDO ESQUINA COM A RUA CURUCA</t>
  </si>
  <si>
    <t>RUA DIAMANTINA ESQUINA COM A RUA AMAMBAI</t>
  </si>
  <si>
    <t>RUA GUABIROBA DE MINAS ESQUINA COM RUA LUCAS RUIZ</t>
  </si>
  <si>
    <t>RUA ABENAQUIS DEFRONTE COM TRAVESSA DEVA</t>
  </si>
  <si>
    <t>RUA SANTA RITA DO JACUTINGA ESQUINA COM A RUA TITO CAPINAM</t>
  </si>
  <si>
    <t>RUA GERONIMO BARBOSA DA SILVA 1328 DEFRONTE A RUA HERACLITO SANDANO</t>
  </si>
  <si>
    <t>RUA AMPARO DA SERRA PROXIMO A ESQUINA COM RUA FERNANDEZ DE NAVARRETE</t>
  </si>
  <si>
    <t>AVENIDA TREVO DE SANTA MARIA PROXIMO A RUA DR JORGE ASSUNCAO</t>
  </si>
  <si>
    <t>LARANJA DA CHINA</t>
  </si>
  <si>
    <t>RUA ARROIO TEIXEIRA PROXIMO DA ESQUINA COM A AVENIDA CALIM EID</t>
  </si>
  <si>
    <t>ESTRADA DO IMPERADOR ESQUINA COM A RUA EDMUNDO DE PAULA COELHO</t>
  </si>
  <si>
    <t>RUA ALOANDIA ESQUINA COM A RUA IGAROI</t>
  </si>
  <si>
    <t>RUA LUCIO DE ARRUDA LEME ESQUINA COM A RUA JAPARAIQUARA</t>
  </si>
  <si>
    <t>RUA CRESCENTE ESQUINA COM RUA SETE ESTRELAS</t>
  </si>
  <si>
    <t>AVENIDA PIRES DO RIO DEFRONTE A RUA ACUTIREMBIU</t>
  </si>
  <si>
    <t>SAUDADE</t>
  </si>
  <si>
    <t>RUA COSTA BARROS ESQUINA COM A RUA BARAO DE TRAMANDAI</t>
  </si>
  <si>
    <t>ALAMEDA AFONSO SCHIMIDT</t>
  </si>
  <si>
    <t>RUA EUGENIO GRIECO 281 PROXIMO A RUA CAVALO DE PAU</t>
  </si>
  <si>
    <t>RUA PEREIRA BRAVA ENTRE A AVENIDA A E A AVENIDA NORDESTINA</t>
  </si>
  <si>
    <t>RUA AVIADORA ANESIA PNHEIRO MACHADO PROXIMO DA ROTARIA COM A RUA COMPOSITOR LUIZ CARLOS VINHAS</t>
  </si>
  <si>
    <t>ADVENTISTA</t>
  </si>
  <si>
    <t>AVENIDA LEONCIDO DE MAGALHAES 1587 DEFRONTE A RUA TIBIRI</t>
  </si>
  <si>
    <t>RUA ANTONIO JOAO DE MEDEIROS ESQUINA COM A RUA ALTO JURUA</t>
  </si>
  <si>
    <t>RUA MUNICIPAL 751 ESQUINA COM A RUA IMPATA</t>
  </si>
  <si>
    <t>AVENIDA CHIBARAS ESQUINA COM A ALAMEDA IRAE</t>
  </si>
  <si>
    <t>RUA XAVIER CURADO ESQUINA COM A RUA XAVIER DE ALMEIDA</t>
  </si>
  <si>
    <t>RUA CHAMANTA DEFRONTE A PRACA WILHELM BERNAUER</t>
  </si>
  <si>
    <t>RUA PROFESSORA EUNICE BECHARA DE OLIVEIRA ESQUINA COM A AVENIDA COMENDADOR SANTANNA</t>
  </si>
  <si>
    <t>RUA EDIPO FELICIANO ESQUINA COM A RUA MARRELA</t>
  </si>
  <si>
    <t>RUA ERNESTO EVANS ESQUINA COM RUA FRANCISCO POLILO NETO</t>
  </si>
  <si>
    <t>RUA ROBERTO KOCH ESQUINA COM A RUA UBARANA</t>
  </si>
  <si>
    <t>RUA MIL OITOCENTOS E VINTE E DOIS ESQUINA COM A RUA BRIGADEIRO JORDAO</t>
  </si>
  <si>
    <t>RUA MADRE CABRINI DEFRONTE A AVENIDA LINS DE VASCONCELOS PROX A ENTRADA DA ESCOLA...</t>
  </si>
  <si>
    <t>AVENIDA ZELINA ESQUINA COM R BARAO DE JUPARANA</t>
  </si>
  <si>
    <t>RUA BARTOLOMEU DOS SANTOS DEFRONTE A RUA FELIPE SANTIAGO</t>
  </si>
  <si>
    <t>RUA SAIOA 1333</t>
  </si>
  <si>
    <t>RUA DIEGO CALADO EQUINA COM A AVENIDA ANTONIO BERNARDO SILVESTRE</t>
  </si>
  <si>
    <t>AVENIDA MARECHAL TITO ESQUINA COM AVENIDA EUCLIDES FONSECA</t>
  </si>
  <si>
    <t>AVENIDA SAO MIGUEL ESQUINA COM A RUA ANGELINA LAPENA PARENTE</t>
  </si>
  <si>
    <t>AVENIDA PROFESSOR ALIPIO DE BARROS PROXIMO DA ESQUINA COM A RUA  CARLO BIBIENA</t>
  </si>
  <si>
    <t>JARDIM HELENA</t>
  </si>
  <si>
    <t>AVENIDA IBIRAPUERA ESQUINA COM AVENIDA JURUCE</t>
  </si>
  <si>
    <t>RUA DOS IMARES ESQUINA COM A ALAMEDA DOS MARACATINS</t>
  </si>
  <si>
    <t>BANDEIRANTES</t>
  </si>
  <si>
    <t>RUA ARIZONA ESQUINA COM A RUA GUARAIUVA</t>
  </si>
  <si>
    <t>RUA GUARAIUVA ESQUINA COM A RUA FLORIDA</t>
  </si>
  <si>
    <t>RUA CONCEICAO DE MONTE ALEGRE ESQUINA COM A RUA FLORIDA</t>
  </si>
  <si>
    <t>RUA BARAO DE SANTA BRANCA ESQUINA COM A RUA REPUBLICA DO IRAQUE</t>
  </si>
  <si>
    <t>RUA BARAO DE BELA VISTA ESQUINA COM A RUA BARAO DE GOIANIA</t>
  </si>
  <si>
    <t>RUA INDIANA ESQUINA COM A RUA ALFREDO ARANHA DE MIRANDA</t>
  </si>
  <si>
    <t>AVENIDA NOVA ARCADIA PROXIMO A ESQUINA COM A ESTRADA DA BARONESA</t>
  </si>
  <si>
    <t>BICA</t>
  </si>
  <si>
    <t>RUA DIEGO CALADO 149   SABESP BICA DE ENCHIMENTO RAPIDO</t>
  </si>
  <si>
    <t>AVENIDA ELIS MAAS ESQUINA COM AVENIDA COMENDADOR SANT ANNA</t>
  </si>
  <si>
    <t>RUA CIRILO MACHADO ESQUINA COM A AVENIDA VISCONDE DO RIO GRANDE</t>
  </si>
  <si>
    <t>MORRO DO ÍNDIO</t>
  </si>
  <si>
    <t>RUA PEDRO VIVIANI ESQUINA COM A RUA NELSON PINTO</t>
  </si>
  <si>
    <t>PRACA MANOEL MAIOTTI PROXIMO A RUA MERCEDES NASSER SABBAG</t>
  </si>
  <si>
    <t>RUA DEOCLECIANO DE OLIVEIRA FILHO ESQUINA COM RUA DURVAL GUERRA DE AZEVEDO</t>
  </si>
  <si>
    <t>AVENIDA DOS IPES 1384</t>
  </si>
  <si>
    <t>RUA FLOR DE VERDADE 78 DEFRONTE A RUA CARDO LIMAO</t>
  </si>
  <si>
    <t>RIO VERDE</t>
  </si>
  <si>
    <t>RUA ARCIPRESTE EZEQUIAS 734 DEFRONTE A RUA DEBRET</t>
  </si>
  <si>
    <t>RUA GENERAL FELICIANO FALCAO 208 ESQUINA COM A RUA CAPITAO PACHECO E CHAVES</t>
  </si>
  <si>
    <t>RUA BOM PASTOR ESQUINA COM A RUA PADRE MARCHETTI</t>
  </si>
  <si>
    <t>AVENIDA QUARTO CENTENARIO 111 NO PORTAO DO PARQUE IBIRAPUERA</t>
  </si>
  <si>
    <t>RUA DO ORFANATO ESQUINA COM A RUA DO ORATORIO</t>
  </si>
  <si>
    <t>RUA MADRE SOFIA MARCHETTI ESQUINA COM RUA HARRY SOFIA MARCHETTI</t>
  </si>
  <si>
    <t>VILA CARMOSINA</t>
  </si>
  <si>
    <t>RUA DOMINGOS PAIVA ESQUINA COM A RUA CORONEL MURSA</t>
  </si>
  <si>
    <t>RUA MANJERONA ESQUINA COM A RUA BALTAZAR SANTANA</t>
  </si>
  <si>
    <t>AVENIDA DOS IPES 848 PROXIMO A ESQUINA COM RUA ERVA DE FOGO</t>
  </si>
  <si>
    <t>RUA ARICANGA 397</t>
  </si>
  <si>
    <t>RUA JACUPEMA ESQUINA COM A RUA ANA GROU</t>
  </si>
  <si>
    <t>RUA SANTO HIGINO PROXIMO A RUA JOSE ZAPPI</t>
  </si>
  <si>
    <t>RUA CUBATAO ESQUINA COM A RUA SAMPAIO VIANA</t>
  </si>
  <si>
    <t>RUA DAS GIESTAS ESQUINA COM RUA IBITIRAMA</t>
  </si>
  <si>
    <t>RUA DOMINGOS PAIVA ESQUINA COM A RUA VISCONDE DE PARAIBA</t>
  </si>
  <si>
    <t>RUA GOMES CARDIM ESQUINA COM A RUA CAVALHEIRO</t>
  </si>
  <si>
    <t>BRESSER</t>
  </si>
  <si>
    <t>RUA MARIA MARCOLINA ESQUINA COM A RUA MINISTRO FIRMINO WHITAKER</t>
  </si>
  <si>
    <t>RUA VISCONDE DE ABAETE 120</t>
  </si>
  <si>
    <t>RUA HUET BACELAR ESQUINA COM A RUA MINISTRO CORIOLANO DE ALMEIDA JUNIOR</t>
  </si>
  <si>
    <t>RUA TOMAS IZZO ESQUINA COM A PRACA GONCALVES JUNIOR</t>
  </si>
  <si>
    <t>RUA INGAI DEFRONTE A RUA DONA GENOVEVA DASCOLI</t>
  </si>
  <si>
    <t>RUA DO HIPODROMO ESQUINA COM A RUA DOUTOR JOAO ALVES DE LIMA</t>
  </si>
  <si>
    <t>AVENIDA CELSO GARCIA PROXIMO A ESQUINA DA RUA JOSE DE ALENCAR</t>
  </si>
  <si>
    <t>RUA MARIA MARCOLINA ESQUINA COM A AVENIDA RANGEL PESTANA</t>
  </si>
  <si>
    <t>RUA GUANHAES ESQUINA COM RUA PROFESSOR GUSTAVO PIRES DE ANDRADE</t>
  </si>
  <si>
    <t>RUA DO MANIFESTO ESQUINA COM A RUA DOM JOSE ALARCON</t>
  </si>
  <si>
    <t>RUA OLIVEIRA ALVES ESQUINA COM A RUA SILVA BUENO</t>
  </si>
  <si>
    <t>RUA SANTA BEATRIZ ESQUINA COM AVENIDA DR FRANCISCO MESQUITA</t>
  </si>
  <si>
    <t>RUA LUCAS OBES ESQUINA COM A RUA AGOSTINHO GOMES</t>
  </si>
  <si>
    <t>RUA AGOSTINHO GOMES DEFRONTE A RUA DOS ITUANOS</t>
  </si>
  <si>
    <t>RUA HERMETO LIMA ESQUINA COM A RUA SAO CARLOS BARTOLOMEU</t>
  </si>
  <si>
    <t>CURVA DE ACESSO ENTRE AVENIDA TUCURUVI E RUA DOMINGOS CALHEIROS</t>
  </si>
  <si>
    <t>RUA JOAO ROSA ESQUINA COM A RUA CAPRICHO</t>
  </si>
  <si>
    <t>RUA SAO DOMINGOS DO CAPIM ESQUINA COM A RUA BARRA DA CRAIBEIRA</t>
  </si>
  <si>
    <t>RUA SABOEIRANA ESQUINA COM RUA OLGA SILVEIRA</t>
  </si>
  <si>
    <t>RUA MIGUEL DE CABEDO ESQUINA COM A RUA SERRA DAS DIVISOES</t>
  </si>
  <si>
    <t>RUA JABOTI MEMBECA ESQUINA COM RUA  ERVA MULARINHA</t>
  </si>
  <si>
    <t>RUA LICURI 19 PROXIMO A RUA GAPUICIPO</t>
  </si>
  <si>
    <t>RUA CONDADO DO NORTE ESQUINA COM RUA OSVALDO DE JESUS MESSINA</t>
  </si>
  <si>
    <t>AVENIDA ESTEVAO DE CARVALHO ESQUINA COM A PRACAA GUAJARA MIRIM</t>
  </si>
  <si>
    <t>AVENIDA PARAGUASSU PAULISTA ESQUINA COM A RUA MAJOR GOMES RIBEIRO</t>
  </si>
  <si>
    <t>RUA CASTANHAL ESQUINA COM A RUA LUZILANDIA</t>
  </si>
  <si>
    <t>RUA DOUTOR JOAQUIM AUGUSTO DE CAMARGO PROXIMO DA RUA DR JOAOUIM AUGUSTO DE CAMARGO</t>
  </si>
  <si>
    <t>RUA ENGENHEIRO GUIMARAES 15 VALADAO PROXIMO A AVENIDA PROFESSOR ALCEBIADES DELAMARE</t>
  </si>
  <si>
    <t>AVENIDA DAS MAGNOLIAS ESQUINA COM A RUA DOS IPES</t>
  </si>
  <si>
    <t>RUA VOTUVERAVA 131 ESQUINA RUA CONSEGUINA</t>
  </si>
  <si>
    <t>AVENIDA DO ORATORIO ESQUINA COM A RUA SOLAR DOS PINHEIROS</t>
  </si>
  <si>
    <t>PARQUE SÃO LUCAS</t>
  </si>
  <si>
    <t>RUA PAULO BARRETO PROXIMO DA RUA GUERINO GIOVANI LEARDINI</t>
  </si>
  <si>
    <t>RUA PAULO BARRETO 248</t>
  </si>
  <si>
    <t>RUA AZEVEDO CRUZ 07 PROXIMO DA ESQUINA COM A RUA SANCLERLANDIA</t>
  </si>
  <si>
    <t>RUA MARIA AMALIA LOPES DE AZEVEDO ESQUINA COM A RUA ANTONIO PESTANA</t>
  </si>
  <si>
    <t>RUA QUIRINOPOLIS ESQUINA COM RUA ROZO LAGOA</t>
  </si>
  <si>
    <t>RUA SARGENTO ADVINCOLA DEFRONTE A RUA CAPITAO JOSE PARADA GONCALVES</t>
  </si>
  <si>
    <t>RUA GERALDO MARINO DEFRONTE COM RUA VITANTONIO MASTROROSA</t>
  </si>
  <si>
    <t>JARDIM DAMASCENO</t>
  </si>
  <si>
    <t>RUA VALORBE ESQUINA COM RUA FRAUENFELD</t>
  </si>
  <si>
    <t>RUA GUILHEI WATANABE ESQUINA COM A RUA SALIM IZAR</t>
  </si>
  <si>
    <t>RUA DOUTOR JOAO BATISTA BERNARDES DE LIMA PROXIMO DA ESQUINA COM A RUA FREI BENVINDO DESTEFANI</t>
  </si>
  <si>
    <t>RUA ELEONORA ESQUINA COM A RUA ALAIDE PEREIRA</t>
  </si>
  <si>
    <t>RUA DOMINGOS GIGLIO ESQUINA COM A RUA JOAQUIM HELENE</t>
  </si>
  <si>
    <t>RUA BENEDITO PEREIRA ESQUINA COM A RUA BENEDITO GAMA RICARDO</t>
  </si>
  <si>
    <t>RUA DOMINGOS VEGA 705 PROXIMO A ESQUINA DA RUA ENCRUZILHADA DO SUL</t>
  </si>
  <si>
    <t>RUA JOAO DE OLIVEIRA CARMO ESQUINA COM A RUA ELIAS VITORINO DE SOUZA</t>
  </si>
  <si>
    <t>RUA DO HORTO ESQUINA COM PASSAGEM PARTICULAR PROXIMA A RUA CARLOS DA SILVA LACAZ</t>
  </si>
  <si>
    <t>AVENIDA DEPUTADO CANTIDIO SAMPAIO ESQUINA COM A RUA JOAO CORREA CASTRO</t>
  </si>
  <si>
    <t>RUA EMBAIXADOR OSVALDO TAVARES ESQUINA COM A RUAESPERANTINOPOLIS</t>
  </si>
  <si>
    <t>AVENIDA DO ORATORIO ESQUINA COM A RUA HENRIQUE GALVAO</t>
  </si>
  <si>
    <t>PARQUE SANTA MADALENA</t>
  </si>
  <si>
    <t>RUA EDVARD DE VITA GODOY PROXIMO DA ESQUINA COM A RUA EDVARD DE VITA GODOY   PB PIRITUBA</t>
  </si>
  <si>
    <t>RUA LUIS CUNHA 621 DEFRONTE A RUA SAO FRANCISCO DE BORJA</t>
  </si>
  <si>
    <t>RUA PASTORIAL DE ALMENARA 60 PROXIMO DA ESQUINA COM A ESTRADA DE TAIPAS</t>
  </si>
  <si>
    <t>RUA GALVAO BUENO TRIGUEIRINHO 347 DEFRONTE A RUA DA ASPEREZA</t>
  </si>
  <si>
    <t>NOVA JARAGUÁ</t>
  </si>
  <si>
    <t>RUA GUARAMEMBE PROXIMO A RUA MANICOBA</t>
  </si>
  <si>
    <t>JARDIM UMARIZAL</t>
  </si>
  <si>
    <t>RUA TIRO AO POMBO 402 ESQUINA COM A RUA COLUMBIA NO INTERIOR DO CONDOMINIO JOAO PAULO I TERCEIRA FASE NA PORTARIA</t>
  </si>
  <si>
    <t>RUA RUI DE MORAIS APOCALIPSE 312 NO INTERIOR DO CONDOMINIO DOUTOR BOGHOS BOJHOSSIAN AO LADO DO BLOCO 18 ENTRE AS VAGAS DE ESTACIONAMENTO 51 E 43</t>
  </si>
  <si>
    <t>RUA SEBASTIAO DE PINA 517 DEFRONTE A RUA BENEDITO LACERDA</t>
  </si>
  <si>
    <t>ESTRADA DO CAMPO LIMPO 1977 PROXIMO A ESQUINA COM A RUA ADAO COSTA MENDES</t>
  </si>
  <si>
    <t>RUA CARDOSO MOREIRA PROXIMO A RUA CAMPOS ELISIOS</t>
  </si>
  <si>
    <t>RUA CARDOSO MOREIRA PROXIMO A RUA JOAO FRANCO</t>
  </si>
  <si>
    <t>AVENIDA MIGUEL DE CASTRO 907 DEFRONTE A AVENIDA JOAQUIM DE NAZARETH</t>
  </si>
  <si>
    <t>RUA ELISEU REINALDO MORAES VIEIRA 290 AO LADO DA CAIXA DAGUA DA ESCOLA</t>
  </si>
  <si>
    <t>AVENIDA DR EZEQUIEL CAMPOS DIAS PROXIMO A RUA FREI ANTONIO DA PIEDADE</t>
  </si>
  <si>
    <t>RUA NICOLA ROLLO PROXIMO A RUA NELSON GAMA DE OLIVEIRA</t>
  </si>
  <si>
    <t>RUA MONSENHOR JOAO LAURIANO ESQUINA COM A RUA LOURENCO RODRIGUES SOUZA</t>
  </si>
  <si>
    <t>RUA VIEIRA DE MELO ESQUINA COM AVENIDA NOVA CANTAREIRA</t>
  </si>
  <si>
    <t>AVENIDA JOAO PAULO I ESQUINA COM RUA TENORIO CAVALCANTE</t>
  </si>
  <si>
    <t>RUA ANTONIO MARQUES JULIAO  DEFRONTE A RUA ERVA CHUMBO</t>
  </si>
  <si>
    <t>RUA ANTONIO FLORENCIO DOS SANTOS ESQUINA COM A RUA DO ORATORIO</t>
  </si>
  <si>
    <t>RUA JOSE ANTONIO FONTES ESQUINA CORREA DE OLIVEIRA</t>
  </si>
  <si>
    <t>RUA DOS TRES IRMAOS ESQUINA COM A RUA AMELIA COOREA FONTES  GUIMARAES</t>
  </si>
  <si>
    <t>AVENIDA ROBERTO LORENZ 482</t>
  </si>
  <si>
    <t>RUA SILVIO TRAMONTANO ESQUINA COM AVENIDA MORUMBI</t>
  </si>
  <si>
    <t>PARAISÓPOLIS</t>
  </si>
  <si>
    <t>AVENIDA DO ORATORIO ESQUINA COM A RUA CARLOS CESAR</t>
  </si>
  <si>
    <t>RUA FIRMINO ALVES ESQUINA COM A PRACA JOSE RODRIGUES DE LIMA</t>
  </si>
  <si>
    <t>RUA PROFESSOR RUI VIANNA BRAGA ESQUINA COM A RUA FRANCISCO FETT</t>
  </si>
  <si>
    <t>AVENIDA ANTONIO ESTEVAO DE CARVALHO ESQUINA COM RUA VIDEIRA</t>
  </si>
  <si>
    <t>RUA EVARISTO ROQUE ESQUINA COM A RUA SOARES DOS REIS</t>
  </si>
  <si>
    <t>RUA MONTE AZUL PAULISTA PROXIMO DA ESQUINA COM A RUA ANDRE BAGI</t>
  </si>
  <si>
    <t>RUA BASILIO LEVI ESQUINA COM A RUA WALTER BRITTO BELLETTI</t>
  </si>
  <si>
    <t>RUA PROFESSORA NINA STOCCO DEFRONTE A RUA ANTONIO GOMES CORREA</t>
  </si>
  <si>
    <t>AVENIDA BRASILINA VIEIRA SIMOES ESQUINA COM A AVENIDA FUAD LUTFALA</t>
  </si>
  <si>
    <t>RUA GUIHEI VATANABE 506 PROXIMO A ESQUINA COM A AVENIDA JORGE JOAO SAAD</t>
  </si>
  <si>
    <t>RUA ANTONIO CABRAL DEFRONTE A RUA CANATIBA</t>
  </si>
  <si>
    <t>AVENIDA HEBE CAMARGO DEFRONTE A RUA DOUTOR JOSE PEDRO DE CARVALHO LIMA</t>
  </si>
  <si>
    <t>JARDIM VITÓRIA RÉGIA</t>
  </si>
  <si>
    <t>RUA TELMO COELHO FILHO PROXIMO A ENTRADA DO PARQUE RAPOSO TAVARES</t>
  </si>
  <si>
    <t>AVENIDA NELSOM PALMA TRAVASSOS 174</t>
  </si>
  <si>
    <t>RUA ANTONIO MANOGRASSO ESQUINA COM A RUA ALDEMAR</t>
  </si>
  <si>
    <t>RUA GOMES ESQUINA COM A AVENIDA VILA EMA</t>
  </si>
  <si>
    <t>AVENIDA IPIRANGA ESQUINA COM A RUA ARAUJO</t>
  </si>
  <si>
    <t>RUA RIO DE JANEIRO ESQUINA COM A RUA MARANHAO</t>
  </si>
  <si>
    <t>RUA MARAMBAIA 107 ESQUINA COM A RUA JOAO RUDGE</t>
  </si>
  <si>
    <t>RUA EDUARDO GUTIERREZ DEFRONTE A RUA CUSTODIO CARDOSO</t>
  </si>
  <si>
    <t>VILA CARDOSO FRANCO</t>
  </si>
  <si>
    <t>RUA SETE DE ABRIL 27 DEFRONTE A RUA CONSELHEIRO CRISPIANO</t>
  </si>
  <si>
    <t>AVENIDA ARQUITETO VILANOVA ARTIGAS ESQUINA COM A RUA FELICE TOSE</t>
  </si>
  <si>
    <t>AVENIDA SAPOPEMBA ESQUINA COM A RUA LEITE FURTADO</t>
  </si>
  <si>
    <t>RUA BUCUITUBA PROXIMO A ESQUINA COM A RUA DOMINGOS DA BOCAINA</t>
  </si>
  <si>
    <t>RUA PINTO DA LUZ ESQUINA COM A RUA JOSE DIPOL</t>
  </si>
  <si>
    <t>RUA ISABEL ESQUINA COM RUA FREI MANOEL DO DESTERRO</t>
  </si>
  <si>
    <t>AVENIDA AGUIA DE HAIA ESQUINA COM RUA NELSON TARTUCCE</t>
  </si>
  <si>
    <t>AVENIDA JOSE HIGINO NEVES ENTRE A RUA PEDRO DE SEABRA E AVENIDA ACHIOLE DA FONSECA</t>
  </si>
  <si>
    <t>JUSCELINO KUBITSCHEK</t>
  </si>
  <si>
    <t>RUA LESSING ESQUINA COM A RUA BUCUITUBA</t>
  </si>
  <si>
    <t>RUA SOLIDONIO LEITE ESQUINA COM A RUA GOMES</t>
  </si>
  <si>
    <t>RUA TUPIXAS ESQUINA COM A SOLIDONIO LEITE</t>
  </si>
  <si>
    <t>RUA LEONETA ENFRENTE AO NUMERO 63 CHACARA BELENZINHO</t>
  </si>
  <si>
    <t>AVENIDA SAPOPEMBA ENFRENTE AO NUMERO 5804 SAPOPEMBA</t>
  </si>
  <si>
    <t>RUA DOMINGOS DE CARLO ESQUINA COM A RUA OLIVIA DE OLIVEIRA</t>
  </si>
  <si>
    <t>AVENIDA PADRE OLIVETANOS ESQUINA COM RUA FREI MANOEL DO DESTERRO</t>
  </si>
  <si>
    <t>RUA MANUEL JORGE RIBEIRO 66 DEFRONTE COM A RUA CIRENE JORGE RIBEIRO</t>
  </si>
  <si>
    <t>RUA CAJURU ESQUINA COM A RUA SAO LEOPOLDO</t>
  </si>
  <si>
    <t>RUA CLAUDIA ESQUINA COM AVENIDA AMADOR BUENO DA VEIGA</t>
  </si>
  <si>
    <t>AVENIDA DUQUE DE CAXIAS ESQUINA COM O LARGO DO AROUCHE</t>
  </si>
  <si>
    <t>AVENIDA IPIRANGA ESQUINA COM AVENIDA SAO LUIS</t>
  </si>
  <si>
    <t>AVENIDA IPIRANGA ESQUINA COM A RUA CONSELHEIRO NEBIAS</t>
  </si>
  <si>
    <t>AVENIDA SANTO AMARO ESQUINA COM ARUA AFONSO BRAZ</t>
  </si>
  <si>
    <t>VILA HELENA</t>
  </si>
  <si>
    <t>RUA ESTADOS UNIDOS ESQUINA AVENIDA 9 DE JULHO</t>
  </si>
  <si>
    <t>RUA ITAPICURU ESQUINA COM A RUA MINISTRO GODOY</t>
  </si>
  <si>
    <t>RUA MARIA ANTONIA ESQUINA COM A RUA DOUTOR VILA NOVA</t>
  </si>
  <si>
    <t>RUA ABILIO SOARES ESQUINA COM A RUA CUBATAO</t>
  </si>
  <si>
    <t>PRACA PEDRO LESSA</t>
  </si>
  <si>
    <t>AVENIDA CASPER LIBERO ESQUINA COM A RUA CORONEL BATISTA DA LUZ</t>
  </si>
  <si>
    <t>PRACA DA REPUBLICA DEFRONTE A RUA ARAUJO</t>
  </si>
  <si>
    <t>RUA MAJOR SERTORIO ESQUINA COM A RUA BENTO FREITAS</t>
  </si>
  <si>
    <t>RUA TEIXEIRA DA SILVA ESQUINA COM A AVENIDA PAULISTA</t>
  </si>
  <si>
    <t>RUA DOUTOR EDUARDO AMARO ESQUINA COM A RUA VERGUEIRO</t>
  </si>
  <si>
    <t>AVENIDA DOUTOR ARNALDO 455</t>
  </si>
  <si>
    <t>RUA GRAVATAI ESQUINA COM A RUA CAIO PRADO</t>
  </si>
  <si>
    <t>RUA DO LAVRADOR NO FINAL DA RUA</t>
  </si>
  <si>
    <t>RUA MILTON DA CRUZ ESQUINA COM A AVENIDA MANUEL PIMENTEL</t>
  </si>
  <si>
    <t>RUA PICO DO JABRE ESQUINA COM A RUA RIO HIPIANGUI</t>
  </si>
  <si>
    <t>RUA ROSAS DE MAIO PROXIMO A ESQUINA COM A RUA FLOR DA LUA</t>
  </si>
  <si>
    <t>RUA ROSAS DE MAIO DEFRONTE A RUA LAVANDA</t>
  </si>
  <si>
    <t>RUA AROABA ESQUINA COM A AVENIDA IMPERATRIZ LEOPOLDINA</t>
  </si>
  <si>
    <t xml:space="preserve">TRAVESSA CECILIO BAEZ 66 NO FINAL DA RUA </t>
  </si>
  <si>
    <t>AVENIDA ORDEM E PROGRESSO DEFRONTE A ESTACAO DE BOMBEIRO DA CASA VERDE</t>
  </si>
  <si>
    <t>RUA SIBILA 28 NO FINAL DA RUA</t>
  </si>
  <si>
    <t>RUA BATISTA FERGUSIO PROXIMO A ESQUINA DA RUA RIO NILO</t>
  </si>
  <si>
    <t>RUA ALFREDO MOTTA ESQUINA COM A RUA ANTONIO PEREIRA</t>
  </si>
  <si>
    <t>RUA HAMILTON PRADO ESQUINA COM A RUA JOAO DIAS TEIXEIRA</t>
  </si>
  <si>
    <t>AVENIDA DOUTOR ENEAS CARVALHO DE AGUIAR 255 AO LADO DO PORTADO DO INSTITUTO CENTRAL DO HC</t>
  </si>
  <si>
    <t>RUA BALTAZAR RABELO 167  NO INTERIOR DA UBS SAO REMO</t>
  </si>
  <si>
    <t>RUA GUAIPA ESQUINA COM A RUA CORONEL BOTELHO</t>
  </si>
  <si>
    <t>RUA JOAO RUDGE 435 PROXIMO A RUA MARAMBAIA</t>
  </si>
  <si>
    <t>RUA DIOGO ORTIZ ESQUINA COM A PRACA ANGELO RIVETTI</t>
  </si>
  <si>
    <t>RUA PEDRO BONILHA ESQUINA COM A RUA SILVIO BONILHA</t>
  </si>
  <si>
    <t>RUA PEDRA DO BAUR ESQUINA COM A RUA SANTA ROMANA</t>
  </si>
  <si>
    <t>RUA PEDRO CUBAS ESQUINA COM RUA MANOEL DE CARVALHO</t>
  </si>
  <si>
    <t>RUA ALICANTE DEFRONTE A RUA VINTE E SEIS DE ABRIL PB VILA ESPERANCA</t>
  </si>
  <si>
    <t>RUA DO HIPODROMO ESQUINA COM A RUA IPANEMA</t>
  </si>
  <si>
    <t>RUA 21 DE ABRIL ESQUINA COM A RUA HIPODROMO</t>
  </si>
  <si>
    <t>AVENIDA AMADOR BUENO DA VEIGA ESQUINA COM A RUA COCHINU</t>
  </si>
  <si>
    <t>RUA SAO ROBERTO ESQUINA COM A RUA PIXURIM</t>
  </si>
  <si>
    <t>RUA DR FOMN DEFRONTE A RUA JOAO TOBIAS</t>
  </si>
  <si>
    <t>RUA ALAGOAS 1020</t>
  </si>
  <si>
    <t>RUA CAJURU ESQUINA COM A CORONEL ALBINO BAIRAO</t>
  </si>
  <si>
    <t>RUA CESARIO ALVIN ESQUINA COM A RUA VISCONDE DE PARNAIBA</t>
  </si>
  <si>
    <t>RUA IPANEMA ESQUINA COM A RUA BRESSER ENFRENTE AO PS SALVALOS</t>
  </si>
  <si>
    <t>RUA JACQUES FELIX ESQUINA COM A RUA BRAZ CARDOSO</t>
  </si>
  <si>
    <t>RUA APARECIDA DA COSTA MELO ESQUINA AVENIDA AMADOR BUENO DA VEIGA</t>
  </si>
  <si>
    <t>RUA BORGES DE FIGUEIREDO ESQUINA COM A RUA MONSENHOR JOAO FELIPO</t>
  </si>
  <si>
    <t>RUA GROENLANDIA ESQUINA COM A RUA VENEZA</t>
  </si>
  <si>
    <t>RUA GIRONDA ESQUINA AVENIDA SAO GABRIEL</t>
  </si>
  <si>
    <t>RUA CONSELHEIRO JOAO ALFREDO ESQUINA COM A AVENIDA DO ESTADO</t>
  </si>
  <si>
    <t>RUA CONSELHEIRO JOAO ALFREDO ESQUINA COM A RUA CANAVIEIRAS</t>
  </si>
  <si>
    <t>AVENIDA ORDEM E PROGRESSO 1065</t>
  </si>
  <si>
    <t>LARGO DO PARI PROXIMO DA ESQUINA COM A AVENIDA DO ESTADO</t>
  </si>
  <si>
    <t>RUA VERA ESQUINA COM A AVENIDA AMADOR BUENO DA VEIGA</t>
  </si>
  <si>
    <t>AVENIDA AMADOR BUENO DA VEIGA ESQUINA COM A RUA MANDU</t>
  </si>
  <si>
    <t>RUA DJALMA DUTRA ESQUINA COM A RUA SAO CAETANO</t>
  </si>
  <si>
    <t>RUA BRIGADEIRO TOBIAS 535 ESQUINA COM A AVENIDA SENADOR QUEIROZ</t>
  </si>
  <si>
    <t>RUA AFONSO DE FREITAS ESQUINA COM A AVENIDA BERNARDINO DE CAMPOS</t>
  </si>
  <si>
    <t>RUA CONSELHEIRO CARRAO ESQUINA COM RUA DOS INGLESES</t>
  </si>
  <si>
    <t>RUA VIEIRA MARTINS ESQUINA COM A RUA BRESSER</t>
  </si>
  <si>
    <t>RUA ASSUNGUI ESQUINA COM A RUA ALMEIDA GOIS</t>
  </si>
  <si>
    <t>ALAMEDA SARUTAIA ESQUINA COM AVENIDA BRIGADEIRO LUIS ANTONIO</t>
  </si>
  <si>
    <t>AVENIDA SAO JOAO ESQUINA COM A RUA VITORIA</t>
  </si>
  <si>
    <t>PRACA DOMINGUES DE ALMEIDA JUNIOR ESQUINA COM A RUA PROFESSOR EURIPEDES SIMOES DE PAULA</t>
  </si>
  <si>
    <t>RUA RIO DE JANEIRO ESQUINA COM A RUA PERNAMBUCO</t>
  </si>
  <si>
    <t>RUA MUNIZ DE SOUZA ESQUINA COM A RUA MIGUEL TELES JUNIO</t>
  </si>
  <si>
    <t>RUA ITAPEVA ESQUINA COM A RUA ROCHA</t>
  </si>
  <si>
    <t>RUA SAMUEL DAS NEVES ESQUINA COM A AVENIDA NOVE DE JULHO</t>
  </si>
  <si>
    <t>RUA MILLER ESQUINCA COM A RUA CONSELHEIRO BELISARIO</t>
  </si>
  <si>
    <t>ALAMEDA RIBEIRAO PRETO ESQUINA COM RUA ALMIRANTE MARQUES LEAO</t>
  </si>
  <si>
    <t>RUA DONA BRIGIDA ESQUINA COM AVENIDA LINS DE VASCONCELOS</t>
  </si>
  <si>
    <t>RUA OSCAR FREIRE ESQUINA COM ALAMEDA CASA BRANCA</t>
  </si>
  <si>
    <t>RUA COLONIA DA GLORIA 637</t>
  </si>
  <si>
    <t>ALAMEDA FRANCA ESQUINA COM ALAMEDA CASA BRANCA</t>
  </si>
  <si>
    <t>ALAMEDA JAU ESQUINA COM A RUA PEIXOTO GOMIDE</t>
  </si>
  <si>
    <t>RUA DOM LUIS DE BRAGANCA ESQUINA COM RUA GUAPUA</t>
  </si>
  <si>
    <t>RUA GUAPIACU ESQUINA COM RUA MONTE CARMELO</t>
  </si>
  <si>
    <t>AVENIDA VAUTHIER ESQUINA COM A RUA HANNEMANN</t>
  </si>
  <si>
    <t>ALAMEDA DOS TUPINIQUINS ESQUINA COM ALAMEDA DOS TUPINIQUINS</t>
  </si>
  <si>
    <t>RUA REPUBLICA DO IRAQUE ESQUINA COM A RUA PASCAL</t>
  </si>
  <si>
    <t>RUA DOS INGLESES PROXIMA A ESQUINA DA RUA DOS ALEMAES</t>
  </si>
  <si>
    <t>RUA MACHADO DE ASSIS ESQUINA COM A RUA GASPAR LOURENCO</t>
  </si>
  <si>
    <t>RUA CRISTOVAO PEREIRA ESQUINA COM A RUA CONCEICAO MARCONDES SILVA</t>
  </si>
  <si>
    <t>RUA ACRUAS ESQUINA COM A RUA ALVARO NUNES</t>
  </si>
  <si>
    <t>AVENIDA JANDIRA DEFRONTE A RUA JUQUIS</t>
  </si>
  <si>
    <t>RUA CONSELHEIRO DANTAS ESQUINA COM A RUA CARNOT</t>
  </si>
  <si>
    <t>RUA CONSELHEIRO DANTAS ESQUINA COM A AVENIDA VAUTIER</t>
  </si>
  <si>
    <t>PRACA ILO OTTANI ESQUINA COM A RUA DOUTOR VIRGILIO DO NASCIMENTO</t>
  </si>
  <si>
    <t>RUA JURUA PROXIMO A ESQUINA COM A RUA ITAQUI</t>
  </si>
  <si>
    <t>RUA CHICO PONTES 106 ESQUINA COM RUA JOSE PEREIRA JORGE</t>
  </si>
  <si>
    <t>RUA SILVA TELES ESQUINA COM A RUA CASEMIRO DE ABREU</t>
  </si>
  <si>
    <t>RUA CASEMIRO DE ABREU ESQUINA COM A RUA PARAIBA</t>
  </si>
  <si>
    <t>RUA ORIENTE ESQUINA COM A RUA MARIA MARCOLINA</t>
  </si>
  <si>
    <t>RUA URBANO DUARTE  ESQUINA COM A RUA MANGARATU</t>
  </si>
  <si>
    <t>AVENIDA ENENHEIRO. CAETANO ALVARES ESQUINA COM RUA FRUTUOSO DIAS</t>
  </si>
  <si>
    <t>RUA COMENDADOR NESTOR PEREIRA 122 ESQUINA TRAVESSA PISCINA</t>
  </si>
  <si>
    <t>AVENIDA MANDAQUI 122 PROXIMO A RUA NICOLINO STOFFA</t>
  </si>
  <si>
    <t>LIMÃO</t>
  </si>
  <si>
    <t>PRACA DO CENTENARIO ESQUINA COM RUA DO BARORE</t>
  </si>
  <si>
    <t>RUA MILLER ESQUINA COM A RUA ORIENTE</t>
  </si>
  <si>
    <t>AVENIDA LINS DE VASCONCELOS ESQUINA COM A RUA DR DE ARAUJO</t>
  </si>
  <si>
    <t>RUA DOS PINHEIROS ESQUINA COM RUA DONA MARIA CAROLINA</t>
  </si>
  <si>
    <t>AVENIDA CASA VERDE ESQUINA COM RUA FREDERICO PENTEADO JUNIOR</t>
  </si>
  <si>
    <t>AVENIDA BRIGADEIRO FARIA LIMA  2232</t>
  </si>
  <si>
    <t>RUA PROFESSOR GUILHERME MILLWARD ESQUINA COM  RUA PEDRO BRUNO</t>
  </si>
  <si>
    <t>AVENIDA PROFESSOR LINEU PRESTES NO CANTEIRO CENTRAL DEFRONTE AO INSTITUTO DE QUIMICA</t>
  </si>
  <si>
    <t>CIDADE UNIVERSITÁRIA</t>
  </si>
  <si>
    <t>RUA PAULINA VERGUEIRO RUDGE 1 ESQUINA COM RUA URBANO DUARTE</t>
  </si>
  <si>
    <t>RUA ANTONIO JOAO ESQUINA COM RUA RIBEIRO DE SOUZA</t>
  </si>
  <si>
    <t>AVENIDA CORIFEU DE AZEVEDO MARQUES PROXIMO A ESQUINA DA AVENIDA DO RIO PEQUNO</t>
  </si>
  <si>
    <t>RUA JOAO SERRANO ESQUINA COM RUA CORONEL JOAQUIM DE FREITAS</t>
  </si>
  <si>
    <t>AVENIDA CASA VERDE 2312 ESQUINA COM RUA MANOEL ALVARES</t>
  </si>
  <si>
    <t>RUA DAS TANGERINAS 375 ESQUNA COM AVENIDA ENGENHEIRO CAETANO ALVARES</t>
  </si>
  <si>
    <t>AVENIDA SEBASTIAO EUGENIO DE CAMARGO PROXIMO DA ESQUINA COM A RUA PROFESSOR TEOTONIO MONTEIRO DE BARROS FILHO</t>
  </si>
  <si>
    <t>RUA CARLOS COMENALE 200 NA ESCADA DE ACESSO A RUA ENGENHEIRO MONLEVADE</t>
  </si>
  <si>
    <t>RUA ALVARO LUIS ROBERTO DE ASSUNCAO ESQUINA COM A AVENIDA VEREADOR JOSE DINIZ</t>
  </si>
  <si>
    <t>RUA PASCAL ESQUINA COM A AVENIDA VEREADOR JOSE DINIZ</t>
  </si>
  <si>
    <t>AVENIDA JOSE MARIA WHITAKER 953</t>
  </si>
  <si>
    <t>AVENIDA GENERAL ATALIBA LEONEL ESQUINA COM A RUA AZIR ANTONIO SALTON</t>
  </si>
  <si>
    <t>RUA VIRI DEFRONTE AO CENTRO POLIESPORTIVO</t>
  </si>
  <si>
    <t>RUA ARROIO CAMPO BOM DEFRONTE A EMFE CLOTILDE</t>
  </si>
  <si>
    <t>GLEBA DO PÊSSEGO</t>
  </si>
  <si>
    <t>RUA ROQUE PETRELA 320 NO INTERIOR DA TRAVESSA NO FINAL</t>
  </si>
  <si>
    <t>VILA CORDEIRO</t>
  </si>
  <si>
    <t>AVENIDA WASHINGTON LUIS ESQUINA COM A RUA VISCONDE DE AGUIAR TOLEDO</t>
  </si>
  <si>
    <t>AVENIDA GUILHERMER ESQUINA COM A RUA DEZ DE SETEMBRO</t>
  </si>
  <si>
    <t>VILA GUILHERME</t>
  </si>
  <si>
    <t>RUA JOSE BERNARDO PINTO ESQUINA COM A RUA DOZE DE SETEMBRO</t>
  </si>
  <si>
    <t>COROA</t>
  </si>
  <si>
    <t>AVENIDA GUILHERME DEFRONTE A RUA HENRIQUE FELIPE DA COSTA</t>
  </si>
  <si>
    <t>RUA MARIA CANDIDA DEFRONTE RUA GALATEA</t>
  </si>
  <si>
    <t>ALAMEDA JOAQUIM EUGENIO DE LIMA PROXIMO DA ESQUINA COM A ALAMEDA RIBEIRAO PRETO    NO FINAL DA CALCADA DO POSTO IPIRANGA</t>
  </si>
  <si>
    <t>RUA AGOSTINHO CANTU ESQUINA COM A RUA PIRAJUSSARA</t>
  </si>
  <si>
    <t>RUA DOMINGOS DE MORAIS ESQUINA COM A RUA CARLOS PETITI</t>
  </si>
  <si>
    <t>RUA DOUTORR NETO DE ARAUJO ESQUINA COM A RUA DONA AVELIN A</t>
  </si>
  <si>
    <t>RUA CARLOS PETIT ESQUINA COM A RUA VERGUEIRO</t>
  </si>
  <si>
    <t>AVENIDA VITAL BRASIL ESQUINA COM A AVENIDA VITAL BRASIL</t>
  </si>
  <si>
    <t>AVENIDA VALDEMAR FERREIRA ESQUINA COM A RUA PIRAJUSSARA</t>
  </si>
  <si>
    <t>RUA GANDAVO ESQUINA COM A RUA MARSELHESA</t>
  </si>
  <si>
    <t>VIADUTO VEREADOR JOSE DINIZ PROXIMO A AVENIDA VEREADOR JOSE  DINIZ DEBAIXO DO VIADUTO</t>
  </si>
  <si>
    <t>AVENIDA NASCER DO SOL ENTRE AS RUAS JUCA E RUA IGARAPE DA MISSAO</t>
  </si>
  <si>
    <t>RUA JOAO TEODORO ESQUINA COM A RUA MONSENHOR DE ANDRADE</t>
  </si>
  <si>
    <t>RUA RODRIGO VIEIRA 487 PROXIMO DA RUA JANSEN</t>
  </si>
  <si>
    <t>RUA ITURAMA DEFRONTE A RUA LATERAL DA PRACA NOSSA SENHORA DA OLIVEIRA</t>
  </si>
  <si>
    <t>RUA JOSE RANGEL DE CAMARGO ESQUINA COM A RUA OURO GROSSO</t>
  </si>
  <si>
    <t>RUA SARABATANA DEFRONTE A RUA CARPINA</t>
  </si>
  <si>
    <t>PRACA NINA RODRIGUES DEFRONTE A RUA OTTO DE ALENCAR</t>
  </si>
  <si>
    <t>AVENIDA GASPAR VAZ DA CUNHA 92 PROXIMO DA ESQUINA COM A AVENIDA DEPUTADO EMILIO CARLOS</t>
  </si>
  <si>
    <t>RUA DOUTOR ELISIO DE CASTRO ESQUINA COM A RUA SALVADOR SIMOES</t>
  </si>
  <si>
    <t>RUA ANTILHAS ESQUINA COM A RUA URUGUAI</t>
  </si>
  <si>
    <t>RUA QUINTINO BOCAIUVA ESQUINA COM A RUA BENJAMIM CONSTANT</t>
  </si>
  <si>
    <t>RUA ZULMIRA 301 DEFRONTE A RUA CLAUDINO INACIO</t>
  </si>
  <si>
    <t>AVENIDA BRIGADEIRO LUIS ANTONIO ESQUINA COM A  RUA DONA MARIA PAULO EM FRENTE AO POSTO DE GAS</t>
  </si>
  <si>
    <t>RUA TREZE DE MAIO ESQUINA COM AVENIDA BRIGADEIRO LUIS ANTONIO</t>
  </si>
  <si>
    <t>AVENIDA PADRE ANTONIO ARLINDO VIEIRA ESQUINA COM A RUA ANTONIO CORREA PINTO DEFRONTE A RUA BERTOLINA MARIA</t>
  </si>
  <si>
    <t>RUA PRISCILA DUARTE ESQUINA COM A RUA JUVENAL GALENO</t>
  </si>
  <si>
    <t>RUA MANOEL COELHO DA SILVA ESQUINA COM RUA VIRGILIO CICCO</t>
  </si>
  <si>
    <t>RUA PAULO DE AVELAR ESQUINA COM A RUA MANAJERU</t>
  </si>
  <si>
    <t>RUA AMERICO RIBEIRO ESQUINA COM AVENIDA DO CURSINO</t>
  </si>
  <si>
    <t>RUA ELIAS DA COSTA DEFRONTE COM RUA LAVRAS DO SUL</t>
  </si>
  <si>
    <t>RUA ABAIBAS ESQUINA COM RUA SANTA AUTA</t>
  </si>
  <si>
    <t>AVENIDA CLAVASIO ALVES DA SILVA ESQUINA COM RUA GODOFREDO GONCALVES</t>
  </si>
  <si>
    <t>RUA PROFESSOR DARIO RIBEIRO ESQUINA COM RUA LUIS GOMES</t>
  </si>
  <si>
    <t>RUA PROFESSOR CLOVIS RIBEIRO 310 DEFRONTE A RUA CESAR PENHA RAMOS</t>
  </si>
  <si>
    <t>RUA DR LUIS AUGUSTO PEREIRA DE QUEIROS ESQUINA COM A RUA EUGENIO FALK</t>
  </si>
  <si>
    <t>AVENIDA GASPAR VAZ DA CUNHA ESQUINA COM A AVENIDA DEPUTADO EMILIO CARLOS</t>
  </si>
  <si>
    <t>RUA GENERAL JERONIMO FURTADO ESQUINA COM A RUA MANUEL FERNANDES SILVA</t>
  </si>
  <si>
    <t>RUA CUNHA PORTO ESQUINA COM A RUA DOUTOR AZEVEDO LIMA</t>
  </si>
  <si>
    <t>RUA ADELAIDE BOSCHETTI 21 ESQUINA COM RUA PADRE MARCOS SIMONI</t>
  </si>
  <si>
    <t>RUA GEOLANDIA DEFRONTE  A RUA MANOEL VIDAL</t>
  </si>
  <si>
    <t>RUA GEOLANDIA ESQUINA COM A RUA JOAO DE SOUTO MAIOR</t>
  </si>
  <si>
    <t>RUA ITAMONTE ESQUINA COM A RUA JOSE MANOEL COSTA</t>
  </si>
  <si>
    <t>AVENIDA JOAO SIMAO DE CASTRO ESQUINA COM RUA ALONSO PERES</t>
  </si>
  <si>
    <t>AVENIDA TUCURUVI ESQUINA COM RUA BARAQUECABA</t>
  </si>
  <si>
    <t>RUA ALBERTO D AVERSA 300 NO FINAL DA RUA SEM SAIDA</t>
  </si>
  <si>
    <t>RUA ARISTIDES JOFRE ESQUINA COM RUA CESAR PENHA RAMOS</t>
  </si>
  <si>
    <t>RUA DOUTOR FLEURY SILVEIRA ESQUINA COM RUA MANOEL DIAS DO CAMPO</t>
  </si>
  <si>
    <t>RUA RIBEIRO DO AMARAL ESQUINA COM AVENIDA NAZARE</t>
  </si>
  <si>
    <t>AVENIDA BRASIL ESQUINA COM A RUA EQUADOR</t>
  </si>
  <si>
    <t>RUA ARGENTINA ESQUINA AVENIDA BRASIL</t>
  </si>
  <si>
    <t>RUA VENEZUELA ESQUINA COM A RUA GROENLANDIA</t>
  </si>
  <si>
    <t>RUA JOAQUIM ANTUNES ESQUINA COM ALAMEDA GABRIEL MONTEIRO DA SILVA</t>
  </si>
  <si>
    <t>RUA ANGATUBA 50</t>
  </si>
  <si>
    <t>PRACA ITALICO ANCONA LOPES DEFRONTE A ESQUINA DA RUA ANTONIO DE COUROS E RUA BARTOLOMEU FARIA</t>
  </si>
  <si>
    <t>AVENIDA CLAVASIO ALVES DA SILVA ESQUINA COM RUA AFFONSO SALZANO</t>
  </si>
  <si>
    <t>RUA PAULO DE FARIA ESQUINA COM A RUA TORRES TIBAGI</t>
  </si>
  <si>
    <t>RUA PALMIRA BARBOSA ESQUINA COM A RUA TUPI PAULISTA</t>
  </si>
  <si>
    <t>RUA ATALIBA VIEIRA ESQUINA COM A  AVENIDA NOSSA SENHORA LORETO</t>
  </si>
  <si>
    <t>RUA ADALGIZA ESQUINA COM A RUA CIRENE DE OLIVEIRA LAET</t>
  </si>
  <si>
    <t>RUA CANINDE ACU 212</t>
  </si>
  <si>
    <t>RUA LUIZ CARLOS DE CASTRO ESQUINA COM A RUA SACALINA</t>
  </si>
  <si>
    <t>RUA JOAO DE SOUTO MAIOR ESQUINA COM A RUA REVERENDO ISRAEL VIEIRA FERREIRA</t>
  </si>
  <si>
    <t>RUA MANUEL FERNANDES SILVA    NO FINAL DA RUA</t>
  </si>
  <si>
    <t>RUA IGARITE ESQUINA COM RUA IRMA EMERRENCIANA</t>
  </si>
  <si>
    <t>RUA JOSE FIGLIOLINI  PROXIMO DA ESQUINA COM A RUA IRMA EMERENCIANA</t>
  </si>
  <si>
    <t>RUA IRMA EMERENCIANA ESQUINA COM A RUA PIRES DA FONSECA</t>
  </si>
  <si>
    <t>RUA DUARTE ESQUINA COM A RUA IRMAOS PILA</t>
  </si>
  <si>
    <t>RUA TENENTE SOTOMANO ESQUINAQ COM A RUA JORNADAS DA PARAIBA</t>
  </si>
  <si>
    <t>AVENIDA MAZZEI ESQUINA COM A RUA CONEGO LADEIRA</t>
  </si>
  <si>
    <t>AVENIDA GUSTAVO ADOLFO ESQUINA COM A RUA CANAPOLIS</t>
  </si>
  <si>
    <t>AVENIDA ANTENOR NAVARRO 559 PROXIMO A PRACA AUGUSTA VITORIA</t>
  </si>
  <si>
    <t>AVENIDA JARDIM JAPAO ESQUINA COM A RUA ITAMONTE</t>
  </si>
  <si>
    <t>AVENIDA NOSSA SENHORA DO LORETO ESQUINA COM  AVENIDA GUSTAVO ADOLFO</t>
  </si>
  <si>
    <t>AVENIDA LUIS STAMATIS ESQUINA COM A AVENIDA MENDES DA ROCHA</t>
  </si>
  <si>
    <t>RUA AMIUTE ESQUINA COM A RUA CRUZ DE MALTA</t>
  </si>
  <si>
    <t>AVENIDA TUCURUVI DEFRONTE COM AVENIDA DOUTOR ANTONIO MARIA DE LAET</t>
  </si>
  <si>
    <t>RUA ALTO PARAGUAI 282 DEFRONTE A RUA RAFAEL D SANTORO</t>
  </si>
  <si>
    <t>RUA PRIMEIRO DE JANEIRO ESQUINA COM RUA MIRASSOL</t>
  </si>
  <si>
    <t>RUA GUIRATINGA ESQUINA COM RUA DEFRONTE RUA DOUTOR FRANCISCO JOSE LONGO</t>
  </si>
  <si>
    <t>RUA BOSQUE DA SAUDE DEFRONTE A RUA PORANGABA</t>
  </si>
  <si>
    <t>RUA ANDREA DI BARTOLO ESQUINA RUA SIMAO LOPES</t>
  </si>
  <si>
    <t>RUA ANTONIO BARREIRO ESQUINA COM A RUA DOM BERANRDO NOGUEIRA</t>
  </si>
  <si>
    <t>AVENIDA CONCEICAO ESQUINCA COM A RUA CACADOR</t>
  </si>
  <si>
    <t>RUA FELIPE CARDOSO ESQUINA COM RUA MARTINS PERES</t>
  </si>
  <si>
    <t>AVENIDA NAZARE ESQUINA COM A RUA ANTONIO MARCONDES</t>
  </si>
  <si>
    <t>RUA DOS CARMELITAS ESQUINA COM RUA FREDERICO ALVARENGA</t>
  </si>
  <si>
    <t>RUA JOSE GETULIO ESQUINA COM A RUA TAMANDARE</t>
  </si>
  <si>
    <t>PRACA FERNANDO COSTA ESQUINA COM A RUA DOUTOR BITTENCOURT RODRIGUES</t>
  </si>
  <si>
    <t>RUA SHINIMBU ESQUINA COM A RUA BARAO DE IGUAPE</t>
  </si>
  <si>
    <t>RUA DOIS DE JULHO ESQUINA COM RUA SILVA BUENO</t>
  </si>
  <si>
    <t>RUA ITATUBA ESQUINA COM A RUA MARQUES DE MARICA</t>
  </si>
  <si>
    <t>RUA PAO DO LUMIAR 498</t>
  </si>
  <si>
    <t>RUA FRANCISCO FURTADO ESQUINA COM RUA MORUBIXARA</t>
  </si>
  <si>
    <t>RUA MORUBIXABA 422</t>
  </si>
  <si>
    <t>RUA MANOEL LOPES DA CUNHA DEFRONTE A RUA ALDO MANUCIO</t>
  </si>
  <si>
    <t>RUA MARIZ SARMENTO 226 PROXIMO A RUA DOMICIANO RIBEIRO</t>
  </si>
  <si>
    <t>AVENIDA RODOLFO PIRANI ESQUINA COM A RUA DOM DIOGO FURTADO</t>
  </si>
  <si>
    <t>RUA RODOLFO PIRANI DEFRONTE A RUA JOSE RODRIGUES DA MOTTA</t>
  </si>
  <si>
    <t>RUA PADRE FERNANDO DE MONSERRATE 745 PROXIMO A ESQUINA DA PRACA SERAFINO CORREIA</t>
  </si>
  <si>
    <t>RUA QUARESMA DELGADO ESQUINA COM A AVENIDA SALVADOR JORGE VELHO</t>
  </si>
  <si>
    <t>RUA NINA SIMONE ESQUINA COM A RUA ADUTORA DO RIO CLARO</t>
  </si>
  <si>
    <t>RUA EMBAIXADOR IDELFONSO FALCAO ESQUINA COM A AVENIDA RAGUEB CHOHFI</t>
  </si>
  <si>
    <t>RUA FRANCISCO LOBO ESQUINA COM A RUA FRANCISCO MARQUES</t>
  </si>
  <si>
    <t>AVENIDA RAGUEB CHOFI 79 NA ROTATORIA CALCADA DO EXTRA</t>
  </si>
  <si>
    <t>RUA LEAO COROADO ESQUINA COM RUAS DAS TABOCAS</t>
  </si>
  <si>
    <t>RUA ROLANTE ESQUINA COM A RUA ROQUE PALMIERI</t>
  </si>
  <si>
    <t>RUA MARCUS VINICIUS FERNANDES PROXIMO DA ESQUINA COM A RUA FRANCSICO VIDAL</t>
  </si>
  <si>
    <t>RUA MORRO DA CAPOABA ESQUINA COM AVENIDA JOSE DE MORAES CABRAL</t>
  </si>
  <si>
    <t>PRACA RODRIGUES BEJARANO 1 ENTRE RUA LOURENCO DA VEIGA E RUA PACUIBA</t>
  </si>
  <si>
    <t>RUA ALICE DILON BRAGA ESQUINA COM RUA RUI BARBOSA LIMA</t>
  </si>
  <si>
    <t>RUA GUPEVA ESQUINA COM RUA GUIRAPA</t>
  </si>
  <si>
    <t>RUA VARZELANDIA ESQUINA COM A RUA DO TANGO</t>
  </si>
  <si>
    <t>PEDRO JOSÉ NUNES</t>
  </si>
  <si>
    <t>AVENIDA ANGELICA ESQUINA COM A RUA PARA</t>
  </si>
  <si>
    <t>RUA DO CONVETO ESQUINA COM RUA TIBURCIO DE SOUZA</t>
  </si>
  <si>
    <t>RUA JOHN HARRISON ESQUINA COM A RUA GEORGE SCHIMTH</t>
  </si>
  <si>
    <t>RUA JOHN HARRISON ESQUINA COM A RUA JOAO PEREIRA</t>
  </si>
  <si>
    <t>RUA DRONSFIELD ESQUINA COM A RUA SHELDON</t>
  </si>
  <si>
    <t>RUA JOHN HARRISON ESQUINA COM A RUA DOMINGOS RODRIGUES</t>
  </si>
  <si>
    <t>RUA GUAICURUS ESQUINA COM A RUA CATAO</t>
  </si>
  <si>
    <t>RUA PAUNA ESQUINA COM A RUA CEL VIRGILIO DOS SANTOS</t>
  </si>
  <si>
    <t>RUA MAJOR PALADINO 300 DEFRONTE AO ACESSO DA AV ENG ROBERTO ZUCOLO</t>
  </si>
  <si>
    <t>RUA MAJOR PALADINO ESQUINA COM A RUA SILVA AIROSA</t>
  </si>
  <si>
    <t>RUA PIANU ESQUINA COM A RUA ENGENHEIRO SA ROCA</t>
  </si>
  <si>
    <t>RUA CERRO CORA PROXIMO DA ESQUINA COM A RUA  PIO XI</t>
  </si>
  <si>
    <t>RUA ROBERTO DE LAMENAIS ESQUINA COM A RUA ELVIRA DA ROCHA LIMA DE TOLEDO</t>
  </si>
  <si>
    <t>RUA JOAQUIM DE OLIVEIRA FREITAS PROXIMO DA ESQUINA COM A TRAVESSA RADAMES</t>
  </si>
  <si>
    <t>RUA MIGUEL LILLO ENTRE A RUA NONOAI E RUA JOSE GOMES FARIA</t>
  </si>
  <si>
    <t>RUA CATAO PROXIMO A ESQUINA COM A RUA JOAQUIM MACHADO</t>
  </si>
  <si>
    <t>RUA ROMA ESQUINA COM A RUA AURELIA</t>
  </si>
  <si>
    <t>RUA CLELIA ESQUINA COM A RUA TIBERIO</t>
  </si>
  <si>
    <t>RUA PORTO DE MOZ 209 DEFRONTE A RUA CARANDAZAL</t>
  </si>
  <si>
    <t>RODOVIA ANCHIETA ESQUINA COM A RUA RENO</t>
  </si>
  <si>
    <t>RUA FRANCISCO PRINCIPE ESQUINA COM A RUA LUCIO PERY</t>
  </si>
  <si>
    <t>RUA RESENDE COSTA PROXIMO A ESQUINA COM A RUA  VISCONDE DE CAMAMU</t>
  </si>
  <si>
    <t>RUA COMANDANTE TAYLOR ESQUINA COM RUA SILVA BUENO</t>
  </si>
  <si>
    <t>RUA PELEGRINO VARANI ESQUINA COM A RUA MARIO NAVARRO DA COSTA</t>
  </si>
  <si>
    <t>RUA JASMIN DO IMPERADOR 13 ENTRE AS AS RUAS ROSA SILVESTRE E RUA BETULA NEGRA</t>
  </si>
  <si>
    <t>RUA COLORADO DEFRONTE A RUA SANTA AGUEDA</t>
  </si>
  <si>
    <t>RUA TEODOSIO DA ROCHA ESQUINA COM A RUA SALVADOR DE PAIVA</t>
  </si>
  <si>
    <t>RUA MANOEL RODRIGUES SANTIAGO 1456 PROXIMO A RUA MARIO SAMARCO AO LADO DA ENTRADA DO CONDOMINIO</t>
  </si>
  <si>
    <t>RUA VIEIRA DE MORAES ESQUINA COM AVENIDA VEREADOR JOSE DINIZ</t>
  </si>
  <si>
    <t>AVENIDA SAPOPEMBA 26900</t>
  </si>
  <si>
    <t>ESTRADA DAS LAGRIMAS 3621 NO INTERIOR DO CONDOMINIO DEFRONTE AOS BLOCOS 05 E 06</t>
  </si>
  <si>
    <t>RUA INACIO BERNARDES ESQUINA COM A RUA LEO DE AFONSECA</t>
  </si>
  <si>
    <t>AVENIDA DOS GURIS ESQUINA COM AVENIDA TENENTE LAUDELINO FERREIRA DO AMARAL</t>
  </si>
  <si>
    <t>RUA FLORES DA PRIMAVEIRA</t>
  </si>
  <si>
    <t>RUA ESCORPIAO 550 BLOCO 50</t>
  </si>
  <si>
    <t>RUA ESCORPIAO 550 BLOCO 22</t>
  </si>
  <si>
    <t>RUA ESCORPIAO 550 BLOCO 10</t>
  </si>
  <si>
    <t>RUA MANUEL PINHEIRO 400 ALTURA DA RUA CLARINETA</t>
  </si>
  <si>
    <t>RUA VITORINO DE CARVALHO 285 DEFRONTE A RUA CAROPA</t>
  </si>
  <si>
    <t>RUA FAUSTOLO ESQUINA COM A RUA CRASSO</t>
  </si>
  <si>
    <t>RUA ROMA ESQUINA COM A RUA ESPARTACO</t>
  </si>
  <si>
    <t>RUA WILLIANS SPEERS ESQUINA COM A RUA ALVES BRANCO</t>
  </si>
  <si>
    <t>RUA HARMONIA ESQUINA COM A RUA PATIZAL</t>
  </si>
  <si>
    <t>RUA PONTA DA PINHEIRA PROXIMO A RUA LAGOA CAJUBA</t>
  </si>
  <si>
    <t>AVENIDA MIGUEL IGNACIO CURI 360</t>
  </si>
  <si>
    <t>ARENA CORINTHIANS</t>
  </si>
  <si>
    <t>AVENIDA MIGUEL IGNACIO CURI 2490</t>
  </si>
  <si>
    <t>AVENIDA SAO MIGUEL PROXIMO DA ESQUINA DA RUA TALES CASTANHO DE ANDRADE</t>
  </si>
  <si>
    <t>RUA DOS MASSEIROS ESQUINA COM A RUA CRESCENTE</t>
  </si>
  <si>
    <t>RUA CARROSSEL 134 PROXIMO A ESQUINA COM RUA SETE ESTRELAS</t>
  </si>
  <si>
    <t>AVENIDA MARIA LUIZA AMERICANO PROXIMO DA ESQUINA COM AVENIDA DOUTOR FRANCISCO MUNHOZ FILHO</t>
  </si>
  <si>
    <t>AVENIDA PARANAGUA ESQUINA COM A RUA SIMAO BUENO DA SILVA</t>
  </si>
  <si>
    <t>RUA ONOFRE JORGE VELHO ESQUINA COM AVENIDA ANTONIO DE SOUSA QUEIROZ</t>
  </si>
  <si>
    <t>RUA AIDA ESQUINA COM A RUA CAMPANTE</t>
  </si>
  <si>
    <t>RUA CLEMENTE PEREIRA ESQUINA COM RUA MIL OITOCENTOS E VINTE E DOIS</t>
  </si>
  <si>
    <t>RUA LIMA E SILVA ESQUINA COM A RUA DAS JUNTAS PROVISORIAS</t>
  </si>
  <si>
    <t>RUA IBIRACU ESQUINA COM A RUA CAMINHA DE AMORIM</t>
  </si>
  <si>
    <t>AVENIDA SAO MIGUEL ESQUINA COM AVENIDA AGUIA DE HAIA</t>
  </si>
  <si>
    <t>RUA DOUTOR LUIS AUGUSTO DE QUEIROS ARANHA ESQUINA COM A RUA  AEFUCA</t>
  </si>
  <si>
    <t>RUA PROFESSOR SOUSA BARROS AO LADO DA PRACA OCTAVIO BRAGA AO LADO DA SAIDA DO ESTACIONAMENTO DO HIPERMERCADO</t>
  </si>
  <si>
    <t>ALAMEDA DOS GUAIOS PROXIMO A ESQUINA COM A AVENIDA DOS CECIS</t>
  </si>
  <si>
    <t>AVENIDA NACOES UNIDAS 21012 PROXIMO A ESQUINA COM A RUA ENGENHEIRO ANTONIO FAGGION</t>
  </si>
  <si>
    <t>VILA MIRANDA</t>
  </si>
  <si>
    <t>RUA FRANKLIN MAGALHAES ESQUINA COM A RUA ANTONIO LOUREIRO</t>
  </si>
  <si>
    <t>RUA JOAO TURIANO ESQUINA COM A RUA JOSE DE ALCANTARA</t>
  </si>
  <si>
    <t>RUA FORTUNATO ESQUINA COM A RUA JAGUARIBE</t>
  </si>
  <si>
    <t>RUA INAJATUBA ESQUINA COM A AVENIDA LINO DE ALMEIDA PIRES</t>
  </si>
  <si>
    <t>RUA CAIUBI ESQUINA COM A RUA JOSE DE FREITAS GUIMARAES</t>
  </si>
  <si>
    <t>RUA DOS BURITIS DEFRONTE A RUA DOS LINGUSTROS</t>
  </si>
  <si>
    <t>RUA CONDE DE MOREIRA LIMA 440</t>
  </si>
  <si>
    <t>PRACA MARECHAL DEODORO DEFRONTE A ESTACAO  MARECHAL DEODORO  DO METRO</t>
  </si>
  <si>
    <t>AVENIDA MARQUES DE SAO VICENTE 77</t>
  </si>
  <si>
    <t>RUA BARRA FUNDA ESQUINA COM A ALAMEDA EDUARDO PRADO</t>
  </si>
  <si>
    <t>RUA ANTONIO DE BARROS DEFRONTE A RUA EVARISTO VAZ DE ARRUDA</t>
  </si>
  <si>
    <t>RUA BENTO BARROSO PEREIRA PROXIMO A RUA JOSE BARROS MAGALDI</t>
  </si>
  <si>
    <t>AVENIDA PEDROSO DE MORAES ESQUINA COM A RUA CARDEAL ARCOVERDE</t>
  </si>
  <si>
    <t>RUA CARDEAL ARCOVERDE ESQUINA COM A RUA FRADIQUE COUTINHO</t>
  </si>
  <si>
    <t>RUA MORATO COELHO ESQUINA COM A RUA CARDEAL ARCOVERDE</t>
  </si>
  <si>
    <t>RUA CARDEAL ARCOVERDE PROXIMO A ESQUINA COM A RUA CONEGO EUGENIO LEITE</t>
  </si>
  <si>
    <t>RUA JOSE PAULINO ESQUINA COM A RUA JULIO CONCEICAO</t>
  </si>
  <si>
    <t>ALAMEDA NOTHMANN ESQUINA COM RUA DAS PALMEIRAS</t>
  </si>
  <si>
    <t>AVENIDA CRUZEIRO DO SUL  ESTACAO CARANDIRU DO METRO</t>
  </si>
  <si>
    <t>RUA DOS AMERICANOS 280</t>
  </si>
  <si>
    <t>RUA DOS AMERICANOS ESQUINA COM A RUA CONEGO VICENTE MIGUEL MARINO</t>
  </si>
  <si>
    <t>RUA DOS ITALIANOS ESQUINA COM A RUA SOLON</t>
  </si>
  <si>
    <t>RUA ALAMEDA BARROS ESQUINA COM A RUA MARTIM FRANCISCO</t>
  </si>
  <si>
    <t>R HENRIQUE SCHAUMANN ESQUINA COM A RUA CARDEAL ARCOVERDE</t>
  </si>
  <si>
    <t>RUA CARDEAL ARCOVERDE ESQUINA COM A RUA ALVES GUIMARAES</t>
  </si>
  <si>
    <t>RUA JOAO RAMALHO ESQUINA COM A RUA CARDOSO DE ALMEIDA</t>
  </si>
  <si>
    <t>RUA GENERAL MANOEL VARGAS PROXIMO DA ESQUINA DA RUA NELSON FERNANDES  PRACA DACIO PIRES CORREA</t>
  </si>
  <si>
    <t>RUA JULIO RODRIGUES DO NASCIMENTO PROXIMO A ESQUINA COM  AVENIDA DOS PEDROSOS</t>
  </si>
  <si>
    <t>AVENIDA DAS NACOES UNIDAS ESQUINA COM A  RUA PROFESSOR LEME DA FONSECA</t>
  </si>
  <si>
    <t>RUA GALENO DE CASTRO ESQUINA COM A RUA LUIS ALVES CARVALHO</t>
  </si>
  <si>
    <t>JURUBATUBA</t>
  </si>
  <si>
    <t>RUA MANOEL DE BRITO NOGUEIRA ESQUINA COM A RUA OLIVIA GUEDES PENTEADO</t>
  </si>
  <si>
    <t>RUA ENGENHEIRO FRANCISCO PITTA BRITO ESQUINA COM A RUA DOUTOR SEBASTIAO LAPPETINA RUSSO</t>
  </si>
  <si>
    <t>AVENIDA MARIO LOPES LEOA ACESSO A AVENIDA DAS NACOES UNIDAS</t>
  </si>
  <si>
    <t>RUA SALGUEIRO DO CAMPO 560 DEFRONTE A RUA MARGARIDA FATIMA BRAZ GONCALVES</t>
  </si>
  <si>
    <t>RUA CARDOSO DE ALMEIDA ESQUINA COM A RUA MACAPA</t>
  </si>
  <si>
    <t>AVENIDA CECI 2600</t>
  </si>
  <si>
    <t>ESTRADA DAS LAGRIMAS 3621 NO INTERIOR DO CONDOMINIO DEFRONTE AO BLOCO 02</t>
  </si>
  <si>
    <t>AVENIDA ARMANDO ARRUDA 1765 1743 PRACA</t>
  </si>
  <si>
    <t>RUA LUCRECIA MACIEL ESQUINA COM A AVENIDA DIEDERICHSEN</t>
  </si>
  <si>
    <t>RUA VICENTE FERNANDES PINTO ESQUINA COM A RUA FRANCISCO HURTADO</t>
  </si>
  <si>
    <t>RUA DOMINGOS DE SANTA MARIA ESQUINA COM A RUA BARRA DO PARATECA</t>
  </si>
  <si>
    <t>ESTRADA DOM JOAO NERY 3510 PROXIMO A RUA SABINOPOLIS</t>
  </si>
  <si>
    <t>AVENIDA SANTA CATARINA ESQUINA COM A RUA TENENTE CORONEL ANTONIO BRAGA</t>
  </si>
  <si>
    <t>RUA DOUTOR ARMANDO DA SILVA PRADO ESQUINA COM TRAVESSA CIDADE COLONIAL</t>
  </si>
  <si>
    <t>AVENIDA DO CURSINO ESQUINA COM A RUA GUSTAV KLIMT</t>
  </si>
  <si>
    <t>RUA FRANCISCO MESQUITA ESQUINA COM A RUA DOS DEMOCRATAS</t>
  </si>
  <si>
    <t>RUA MARACA ESQUINA COM A RUA BOTELHO</t>
  </si>
  <si>
    <t>AVENIDA SALIM ANTONIO CURIATI ESQUINA COM AVENIDA ENGENHEIRO ALBERTO DE ZAGOTTIS</t>
  </si>
  <si>
    <t>RUA PROFESSOR ARTUR PRIMAVESI 152 PROXIMO A RUA ANTONO FERNANDES AGUILLAR</t>
  </si>
  <si>
    <t>RUA CARNAUBA ESQUINA COM A RUA ANTONIO LAMAS</t>
  </si>
  <si>
    <t>RUA ANTONIO LAMAS ESQUINA COM A ESTRADA DAS LAGRAMIS</t>
  </si>
  <si>
    <t>RUA GAL RAPOSO PROXIMO DA MARGINAL TIETE</t>
  </si>
  <si>
    <t>AVENIDA ANGELICA ESQUINA COM A RUA DOUTOR VEIGA FILHO</t>
  </si>
  <si>
    <t>RUA MARTA ESQUINA COM A RUA TAGIPURU</t>
  </si>
  <si>
    <t>RUA VOLUNTARIOS DA PATRIA 344</t>
  </si>
  <si>
    <t>RUA BAHIA ESQUINA COM A RUA PIAUI</t>
  </si>
  <si>
    <t>RUA LOPES TROVAO ESQUINA COM A RUA TENENTE PENA</t>
  </si>
  <si>
    <t>RUA VITORINO CARMILO ESQUINA COM A RUA DOUTOR CARVALHO DE MENDONCA</t>
  </si>
  <si>
    <t>RUA CAPISTRANO DE ABREU ESQUINA COM A RUA SOUSA LIMA</t>
  </si>
  <si>
    <t>RUA CANUTO DA VAL ESQUINA COM A RUA MARTIM FRANCISCO</t>
  </si>
  <si>
    <t>ALAMEDA EDUARDO PRADO ESQUINA COM A ALAMEDA BARAO DE PIRACICABA</t>
  </si>
  <si>
    <t>ALAMEDA NOTHMANN ESQUINA COM ALAMEDA BARAO DE LIMEIRA</t>
  </si>
  <si>
    <t>RUA DAS PALMEIRAS ESQUINA COM A RUA APA</t>
  </si>
  <si>
    <t>RUA GOITACAZ ESQUINA COM RUA TUPI</t>
  </si>
  <si>
    <t>RUA JULIO CONCEICAO ESQUINA COM A RUA ANHAIA</t>
  </si>
  <si>
    <t>AVENIDA GENERAL OLIMPIO DA SILVEIRA ESQUINA COM AVENIDA PACAEMBU</t>
  </si>
  <si>
    <t>RUA PRATES DEFRONTE A RUA MAMORE</t>
  </si>
  <si>
    <t>RUA MARECHAL CAETANO DE FARIA PROX A RUA JORGE FALEIROS</t>
  </si>
  <si>
    <t>AVENIDA CARLOS LIVIERO ESQUINA COM A RUA EUGENIO KUSNET</t>
  </si>
  <si>
    <t>AVENIDA DO CAFE ESQUINA COM A RUA DIEDERICHEN</t>
  </si>
  <si>
    <t>RUA MENINO DE ENGENHO ESQUINA COM TRAVESSA ANTONIO LORENZI</t>
  </si>
  <si>
    <t>RUA GIACOMO COZZARELLI ESQUINA COM A RUA GIOVANNI DA CONEGLIANO</t>
  </si>
  <si>
    <t>AVENIDA MIGUEL STEFANO ESQUINA COM RUA ABEYLARD QUEIROZ</t>
  </si>
  <si>
    <t>RUA JOSE ANTONIO VALADARES PROXIMO A ESQUINA COM A  RUA LEONIDAS FREIRE</t>
  </si>
  <si>
    <t>RUA VANDERLEI  ESQUINA COM A RUA MINISTRO GODOY</t>
  </si>
  <si>
    <t>RUA TRAIPU 709 ESQUINA COM RUA ITAMARATI</t>
  </si>
  <si>
    <t>AVENIDA GENERAL OLIMPIO DA SILVEIRA ESQUINA COM A RUA TUPI</t>
  </si>
  <si>
    <t>AVENIDA ANTONIO TENREIRO ESQUINA COM ESTRADA ANTIGA DO MAR</t>
  </si>
  <si>
    <t>RUA DO JORNAL DO COMERCIO 29 EM FRENTE A RUA BLANCHE MARCHESI</t>
  </si>
  <si>
    <t>VILA MISSIONÁRIA</t>
  </si>
  <si>
    <t>RUA DOS CALANGOS PROXIMO A ESQUINA COM A  RUA JUVENTINO TAVARES</t>
  </si>
  <si>
    <t>AVENIDA CORREGO TIJUCO PRETO ESQUINA COM A RUA CARMINE MONETTI</t>
  </si>
  <si>
    <t>RUA JOAO BATISTA DE GODOI ESQUINA COM A A RUA RENE CARNEIRO FERNANDES</t>
  </si>
  <si>
    <t>RUA JOAO BATISTA DE GODOI 1200 AO LADO DO ECOPONTO</t>
  </si>
  <si>
    <t>RUA MONSENHOR SALIM ESQUINA COM A RUA ALVARO DE OLIVEIRA SILVAZ</t>
  </si>
  <si>
    <t>RUA JOSE DA CRUZ CAMARGO PROXIMO DA ESQUINA COM A RUA SERGIO ANTUNES DE ANDRADE</t>
  </si>
  <si>
    <t>RUA CUNHA GAGO ESQUINA COM A RUA CARDEAL ARCO VERDE</t>
  </si>
  <si>
    <t>AVENIDA CANAL DE TUTOIA ESQUINA COM AVENIDA ACADEMIA DE SAO PAULO</t>
  </si>
  <si>
    <t>RUA GENERAL ALENCASTRO GUIMARAES 130 ESQUINA COM RUA DOUTOR ROBERTO TARLE</t>
  </si>
  <si>
    <t>AVENIDA JOSE MARIA DE FARIA ESQUINA COM A RUA MATEO FORTE</t>
  </si>
  <si>
    <t>RUA CONSELHEIRO RIBAS ESQUINA COM A RUA DOS COROADOS</t>
  </si>
  <si>
    <t>RUA MANUEL FAGUNDES DE SOUZA ESQUINA COM A RUA JOSE PERES CAMPELO</t>
  </si>
  <si>
    <t>RUA SABAUNA ESQUINA COM A RUA GUAICURUS</t>
  </si>
  <si>
    <t>AVENIDA CORREGO TIJUCO PRETO 1137</t>
  </si>
  <si>
    <t>RUA PALMEIRA TUCUIM PROXIMO DA ESQUINA COM A RUA MANUEL BUENO DA FONSECA</t>
  </si>
  <si>
    <t>RUA DONA ESPONINA AFONSECA ESQUINA COM A RUA BARBOSA LOPES</t>
  </si>
  <si>
    <t>RUA ALVES PONTUAL ESQUINA COM AVENIDA JOAO DIAS</t>
  </si>
  <si>
    <t>RUA CEL LUIZ BARROSO ESQUINA COM A RUA CONDE DE ITU</t>
  </si>
  <si>
    <t>RUA FLOR DE NATAL 485 PROXIMO DA ESQUINA COM A RUA MANGUALBE</t>
  </si>
  <si>
    <t>AVENIDA HUNGRIA NA CALCADA DO PREDIO DA CDHU</t>
  </si>
  <si>
    <t>RUA BENEDITO LEITE ESQUINA COM A RUA MANOEL R QUERINO</t>
  </si>
  <si>
    <t>RUA NEREU BERTINE MAGALHAES 86       ATRAS DA PORTAO DA RESIDENCIA</t>
  </si>
  <si>
    <t>AVENIDA SANTO AMARO ESQUINA COM RUA MARECHAL DEODORO</t>
  </si>
  <si>
    <t>RUA ALBERTO LUZ ESQUINA COM A AVENIDA DO RIO BONITO</t>
  </si>
  <si>
    <t>AVENIDA INTERLAGOS PROXIMO A ESQUINA COM A AVENIDA SENADOR TEOTONIO VILELA    SABESP</t>
  </si>
  <si>
    <t>RUA SAO LUDGERO ESQUINA COM A RUA ALVES PONTUAL</t>
  </si>
  <si>
    <t>AVENIDA CARLOS OBERHUBER 572 PROXIMO DA ESQUINA COM A AVENIDA ORFEO PARAVENTE</t>
  </si>
  <si>
    <t>RUA ACACIO FONTOURO 23 PROXIMO A RUA MONTE CABURAI</t>
  </si>
  <si>
    <t>RUA MANOEL CARLOS DE FIGUEIREDO PROXIMO A ESQUINA COM A RUA DOUTOR FLAVIO AMERICO MAURANO</t>
  </si>
  <si>
    <t>RUA BARAO DE CASTRO SILVEIRA 65</t>
  </si>
  <si>
    <t>ESTRAS DOS MENDES 1566 ENTRE AS RUAS DARCY LIMA DA GLORIA E RUA SINFONIA ITALIANA</t>
  </si>
  <si>
    <t>VILA NATAL</t>
  </si>
  <si>
    <t>RUA LUIS ROMERO SANSON PROXIMO DA ESQUINA COM A AVENIDA BERTA WAITMAN</t>
  </si>
  <si>
    <t>RUA JOAO AMOS COMENIUS ESQUINA COM A RUA DOUTOR ANTONIO SIMOES DE CARVALHO</t>
  </si>
  <si>
    <t>RUA HENRIQUE MUZZIO 656 AO LADO DA VIELA ENTR AS RUAS FRANCISCO IBARRA E MARIANO LARSER</t>
  </si>
  <si>
    <t>RUA CHARLES AVISON ESQUINA COM RUA GEORGE CONUS</t>
  </si>
  <si>
    <t>RUA PEDRA MARFIM ESQUINA COM A ESTRADA DO BARRO BRANCO</t>
  </si>
  <si>
    <t>AVENIDA FERNANDO AMARO MIRANDA ESQUINA COM A RUA JOSE FRANCISCO DE MORAIS</t>
  </si>
  <si>
    <t>AVENIDA DR LUIS ARROBAS MARTINS ESQUINA COM AVENIDA DO RIO BONITO</t>
  </si>
  <si>
    <t>AVENIDA ENGENHEIRO JOSE SALLES PROXIMO A RUA BRASILIA PIRES DE OLIVEIRA</t>
  </si>
  <si>
    <t>RUA BENTO RODRIGUES BASTOS ESQUINA COM AVENIDA DO RIO BONITO</t>
  </si>
  <si>
    <t>RUA ANTONIO MARIANO ESQUINA COM A RUA GALIZA</t>
  </si>
  <si>
    <t>AVENIDA BERNA ESQUINA COM  A RUA LAUZANE</t>
  </si>
  <si>
    <t>RUA POMPELO 70  NO FINAL DA RUA</t>
  </si>
  <si>
    <t>RUA MONSENHOR SALIM ESQUINA COM A RUA IVAMPA DUARTE LISBOA</t>
  </si>
  <si>
    <t>RUA DOMINGOS BARBIERI 313 DEFRONTE A ESCOLA PROXIMO A ESQUINA COM A RUA ANTONIO MARIANI</t>
  </si>
  <si>
    <t>RUA DESEMBARGADOR FERREIRA DE FRANCA NA PRACA CORONEL CUSTODIO FERNANDES PINHEIRO QUASE DEFRTONE A  RUA  OURANIA</t>
  </si>
  <si>
    <t>AVENIDA DONA BELMIRA MARIN DEFRONTE A RUA OLINDO DE CARVALHO</t>
  </si>
  <si>
    <t>RUA TAIACU ESQUINA COM A RUA VARGEM GRANDE DO SUL</t>
  </si>
  <si>
    <t>ESTRADA DO PORTO ESQUINA COM A RUA DORCAS ADOLFO DA SILVA</t>
  </si>
  <si>
    <t>RUA FERREIRA DE ARAUJO 201</t>
  </si>
  <si>
    <t>RUA ANNA CAMPOS MELLAO ESQUINA RUA COSTA CARVALHO</t>
  </si>
  <si>
    <t>RUA MANOEL DE LIMA ESQUINA COM A RUA FRANCISCO IZIDRO</t>
  </si>
  <si>
    <t>AVENIDA MARQUES DE SAO VICENTE ESQUINA COM A RUA TRES</t>
  </si>
  <si>
    <t>SANTA MARINA</t>
  </si>
  <si>
    <t>RUA SILVINO DE OLIVEIRA PINTO ESQUINA COM A RUA CAETANO MENINO</t>
  </si>
  <si>
    <t>AVENIDA GEORGE SAVILLE DODD ESQUINA COM A RUA MALVINAS</t>
  </si>
  <si>
    <t>RUA CAIO GRACCO ESQUINA COM A RUA TITO</t>
  </si>
  <si>
    <t>RUA DUILIO ESQUINA COM A RUA CORIOLANO</t>
  </si>
  <si>
    <t>RUA CORIOLANO ESQUINA COM A RUA CAIO GRACCO</t>
  </si>
  <si>
    <t>RUA FAUSTOLO ESQUINA COM A RUA DIULIO</t>
  </si>
  <si>
    <t>AVENIDA DA UNIVERSIDADE ESQUINA COM A TRAVESSA 11</t>
  </si>
  <si>
    <t>RUA GIUSEPE TARTINI ESQUINA COM A RUA OITO</t>
  </si>
  <si>
    <t>RUA CELSO DE AZEVEDO MARQUES ESQUINA COM A RUA JUVENTUS</t>
  </si>
  <si>
    <t>RUA PANTOJO ESQUINA COM A RUA IMBO</t>
  </si>
  <si>
    <t>RUA ISIDORO MATHEUS ESQUINA COM A AVENIDA MORVAN DIAS DE FIGUEIREDO</t>
  </si>
  <si>
    <t>RUA HUMBERTO 245</t>
  </si>
  <si>
    <t>RUA INDOCHINA 288 PROXIMO A RUA SAO PEDRO DE NOVA FRIBURGO</t>
  </si>
  <si>
    <t>RUA JOSE RODRIGUES DE OLIVEIRA FILHO 207 DEFRONTE A RUA GEMEA DANTAS</t>
  </si>
  <si>
    <t>AVENIDA DO JANGADEIRO ESQUINA COM A RUA ICANHEMA</t>
  </si>
  <si>
    <t>AVENIDA SENADOR TEOTONIO VILELA ESQUINA COM A AVENIDA DO JANGADEIRO</t>
  </si>
  <si>
    <t>RUA CASTANHO MIRIM ESQUINA COM A RUA CAMBIRISA</t>
  </si>
  <si>
    <t>AVENIDA DONA BELMIRA MARIN ESQUINA COM A RUA ARTUR SARAIVA BARBOZA</t>
  </si>
  <si>
    <t>RUA SILVIO DE SOUZA ESQUINA COM AVENIDA VILA EMA</t>
  </si>
  <si>
    <t>RUA DOS CAMPINEIROS ESQUINA COM RUA TOBIAS BARRETO</t>
  </si>
  <si>
    <t>RUA JOSE ZAPPI ESQUINA COM A PRACAA  PADRE DAMIAO</t>
  </si>
  <si>
    <t>RUA COELHO NETO ESQUINA COM A RUA CAPITAO PACHECO E CHAVES</t>
  </si>
  <si>
    <t>RUA HERVAL ESQUINA COM RUA DOUTOR CLEMENTINO</t>
  </si>
  <si>
    <t>RUA HERVAL ESQUINA COM AVENIDA ALVARO RAMOS</t>
  </si>
  <si>
    <t>AVENIDA GUILHERME COTCHING PROXIMA A PRACA SANTO EDUARDO</t>
  </si>
  <si>
    <t>RUA VALTER NAZARENO GIOVANETTI ESQUINA COM RUA URUCURITUBA</t>
  </si>
  <si>
    <t>AVENIDA DO ORATORIO ESQUINA COM A RUA DO BOLICHE</t>
  </si>
  <si>
    <t>RUA CARLOS JOSE MICHELON DEFRONTE A RUA FRANCISCO LEOPOLDO E SILVA</t>
  </si>
  <si>
    <t>RUA CARMOPOLIS DE MINAS ESQUINA COM A RUA PROFESSORA MARIA JOSE BARONE FERNANDES</t>
  </si>
  <si>
    <t>RUA CORONEL JOVIANO BRANDAO ESQUINA COM AVENIDA PAES DE BARROS</t>
  </si>
  <si>
    <t>RUA GOPIARA 393  NO FINAL DA RUA</t>
  </si>
  <si>
    <t>AVENIDA PAES DE BARROS ESQUINA COM A RUA GUAIMBE</t>
  </si>
  <si>
    <t>RUA ANTONIO BITTENCOURT 188 EM FRENTE A RUA NHEGAIBAS</t>
  </si>
  <si>
    <t>RUA DOMINGOS AFONSO PROXIMA A  ESQUINA COM RUA ANTERO DE QUENTAL</t>
  </si>
  <si>
    <t>RUA CAXIUNHA ESQUINA COM A RUA ITIUBA</t>
  </si>
  <si>
    <t>RUA GUAIMBE ESQUINA COM A RUA PADRE RAPOSO</t>
  </si>
  <si>
    <t>AVENIDA CASSANDOCA ESQUINA COM A RUA ITAQUERI</t>
  </si>
  <si>
    <t>RUA LUIS GERALDO DA SILVA DEFRONTE A RUA JOAO FIALHO DE CARVALHO</t>
  </si>
  <si>
    <t>RUA GENERAL RENATO VARANDAS DE AZEVEDO ESQUINA COM A RUA GENERAL JOSE DE OLIVEIRA RAMOS</t>
  </si>
  <si>
    <t>AVENIDA DO ARVOREIRO DEFRONTE A AVENIDA ORVALHO DO SOL</t>
  </si>
  <si>
    <t>RUA RAQUEL MARTINS PROXIMO DA ESQUINA COM A AVENIDA CARLOS ALBERTO BASTOS MACHADO</t>
  </si>
  <si>
    <t>ESTRADA DA COCAIA ESQUINA COM AVENIDA PREFEITO PAULO LAURO</t>
  </si>
  <si>
    <t>RUA NOSSA SENHORA DO OUTEIRO ESQUINA COM A RUA JOAO FAVACHO</t>
  </si>
  <si>
    <t>AVENIDA MARIA COELHO AGUIAR 1435 NO ACESSO PARA A RUA ANTONIO DA MATA JUNIOR</t>
  </si>
  <si>
    <t>AVENIDA PARADA PINTO 3480 NO INTERIOR DO CONDOMINIO VITORIA REGIA II DEFRONTE AO BLOCO 8</t>
  </si>
  <si>
    <t>AVENIDA PARADA PINTO 3420 PROXIMO A ESQUINA COM RUA ALCIDES GODOI</t>
  </si>
  <si>
    <t>RUA ARTUR MOTA ESQUINA COM A RUA ELOI CERQUEIRA</t>
  </si>
  <si>
    <t>RUA VISCONDE DE INHOMIRIM ESQUINA COM A RUA DIAS LEME</t>
  </si>
  <si>
    <t>RUA ZANLIA ROLIM PROXIMO DA ESQUINA COM A AVENIDA EDE</t>
  </si>
  <si>
    <t>AVENIDA EDE ESQUINA COM RUA BENTURELLI</t>
  </si>
  <si>
    <t>RUA LOUREDO DA SERRA ESQUINA COM AVENIDA SANTA INES A CERCA DE 200 METROS DO PB HORTO FLORESTAL</t>
  </si>
  <si>
    <t>HORTO FLORESTAL</t>
  </si>
  <si>
    <t>RUA BASILIO ALVES MORANGO ESQUINA COM A RUA FRANCISCO ALVES BEZERRA</t>
  </si>
  <si>
    <t>AVENIDA CORONEL SEZEFREDO FAGUNDES ESQUINA COM RUA PROFESSOR ARTUR DE CAMPOS GONCALVES DEFRONTE COM RUA DOUTOR NELSON DA VEIGA</t>
  </si>
  <si>
    <t>RUA CORONEL SEZEFREDO FAGUNDES ESQUINA COM RUA MAJOR ARI GOMES</t>
  </si>
  <si>
    <t>RUA JOAO BOEMER COM A RUA ITAPIRACABA</t>
  </si>
  <si>
    <t>AVENIDA CELSO GARCIA ESQUINA COM A RUA MARCOS ARRUDA</t>
  </si>
  <si>
    <t>PRACA MAJOR GHILHERME RUDGE ESQUINA COM A AVENIDA CELSO GARCIA</t>
  </si>
  <si>
    <t>AVENIDA SALIM FARAH MALUF ESQUINA COM AVENIDA CELSO GARCIA</t>
  </si>
  <si>
    <t>AVENIDA CELSO GARCIA DEFRONTE A RUA DOUTOR CLEMENTINO</t>
  </si>
  <si>
    <t>AVENIDA ALCANTARA MACHADO ESQUINA COM A RUA BRESSER</t>
  </si>
  <si>
    <t>RUA DOS TRILHOS ESQUINA COM A RUA VISCONDE DE LAGUNA</t>
  </si>
  <si>
    <t>RUA SARGENTO JOAO JOAQUIM DIAS PROXIMA AVENIDA SANTA INES</t>
  </si>
  <si>
    <t>RUA CADETE RUYTEMBERG ROCHA DEFRONTE A RUA RUA SOLDADO BENTINHO</t>
  </si>
  <si>
    <t>RUA FERNANDES VIEIRAESQUINA COM  RUA HERVAL</t>
  </si>
  <si>
    <t>RUA ARINAIA ESQUINA COM A RUA PARAUPAVA</t>
  </si>
  <si>
    <t>RUA PIMENTA BUENO ESQUINA COM  A RUA HERVAL</t>
  </si>
  <si>
    <t>RUA ANTONIO GOMES ESQUINA COM A AVENIDA LUIS FERREIRA DA SILVA</t>
  </si>
  <si>
    <t>AVENIDA MAZZEI ESQUINA COM A RUA PADRE LEAO PERUCHE</t>
  </si>
  <si>
    <t>AVENIDA PARADA PINTO PROXIMA AVENIDA GENERAL ISIDORO DIAS LOPES</t>
  </si>
  <si>
    <t>RUA PAULO ANDRIGUETTI 1513 ENTRE A RUA MARIO YBARRA DE ALMEIDA E A RUA SILVA TELES</t>
  </si>
  <si>
    <t>RUA SILVA GUIMARAES  ESQUINA COM A RUA SIMAO PEDROSO</t>
  </si>
  <si>
    <t>RUA ALCANTARA ESQUINA COM A RUA AMAMBAI</t>
  </si>
  <si>
    <t>RUA ALCANTARA DE FRONTE A RUA ITAUNA</t>
  </si>
  <si>
    <t>RUA ALCANTARA ESQUINA COM A AVENIDA NADIR DIAS</t>
  </si>
  <si>
    <t>RUA PROFESSORA MARIA JOSE BARONE FERNANDES ESQUINA COM A RUA DOUTOR AFONSO VERGUEIRO</t>
  </si>
  <si>
    <t>RUA JOAQUIM CARLOS ESQUINA COM A LOCAL DA MARGINAL</t>
  </si>
  <si>
    <t>RUA MAJOR BARACCA 989 ESQUINA COM A RUA SEVERIANO MELO</t>
  </si>
  <si>
    <t>AVENIDA ROLAND GARROS ESQUINA COM  RUA MAJOR BARACCA</t>
  </si>
  <si>
    <t>RUA NATAL MARTINETO 124</t>
  </si>
  <si>
    <t>PRACA COMANDANTE EDUARDO DE OLIVEIRA PROXIMO A RUA LILIENTAL</t>
  </si>
  <si>
    <t>RUA GINO ESQUINA COM A AVENIDA RENATA</t>
  </si>
  <si>
    <t>AVENIDA CASPER LIBERO 367 ENTRE A RUA WASHINGTON LUIS E AVENIA SENADOR QUEIROS</t>
  </si>
  <si>
    <t>RUA BRESSER ESQUINA COM A RUA VINTE E UM DE ABRIL</t>
  </si>
  <si>
    <t>RUA JORGE MOREIRA ESQUINA COM A AVENIDA DOM PEDRO I</t>
  </si>
  <si>
    <t>RUA SILVA BUENO ESQUINA COM A RUA DOS SOROCABANOS</t>
  </si>
  <si>
    <t>RUA CARNEIRO LEAO ESQUINA COM A RUA VISCONDE DE PARNAIBA</t>
  </si>
  <si>
    <t>RUA CIPRIANO BARATA ESQUINA COM A RUA TABOR</t>
  </si>
  <si>
    <t>RUA HENRY FORD ESQUINA COM A RUA SARAPUI</t>
  </si>
  <si>
    <t>RUA AZEVEDO SOARES ESQUINA COM RUA CORONEL MENDONCA</t>
  </si>
  <si>
    <t>AVENIDA PRESIDENTE WILSON ESQUINA COM A RUA SERRA DE PARACAINA</t>
  </si>
  <si>
    <t>RUA DOS SOROCABANOS ESQUINA COM RUA COSTA AGUIAR</t>
  </si>
  <si>
    <t>RUA BRESSER  PROXIMO A ESQUINA DA RUA VINTE E UM DE ABRIL</t>
  </si>
  <si>
    <t>RUA CAPITAO FAUSTINO DE LIMA ESQUINA COM A RUA CLAUDINO PINTO</t>
  </si>
  <si>
    <t>PRACA CORONEL FERNANDO PRESTES ESQUINA COM A AVENIDA TIRADENTES 2500 SAIDA DO METRO</t>
  </si>
  <si>
    <t>RUA HENRIQUE DUMONT PROXIMO A ESQUINA COM A RUA CANTAGALO</t>
  </si>
  <si>
    <t>RUA DO HIPODROMO ESQUINA COM A RUA CORONEL ANTONIO MARCELO</t>
  </si>
  <si>
    <t>RUA DO HIPODROMO ESQUINA COM A RUA WALDEMAR SEYSSEI P ARRELIA</t>
  </si>
  <si>
    <t>RUA MEDEIROS FURTADO ESQUINA COM A RUA OURICURI</t>
  </si>
  <si>
    <t>RUA MAJ OTAVIANO ESQUINA COM A RUA CORONEL ANTONIO MARCELO</t>
  </si>
  <si>
    <t>RUA EMILIO MALET ESQUINA COM RUA COELHO LISBOA</t>
  </si>
  <si>
    <t>RUA PLATINA ESQUINA COM FRANCISCO MARENGO</t>
  </si>
  <si>
    <t>RUA CARAGUATAI ESQUINA COM A RUA VISTA ALEGRE</t>
  </si>
  <si>
    <t>RUA MAFALDA ESQUINA COM AVENIDA RENATA</t>
  </si>
  <si>
    <t>RUA MACIEL PARENTE 52 DEFRONTE AO BLOCO 04</t>
  </si>
  <si>
    <t>RUA LINDOLFO COLOR ESQUINA COM A RUA JAIME DE AVELAR</t>
  </si>
  <si>
    <t>RUA GERALDO CORREIA 460</t>
  </si>
  <si>
    <t>RUA ANAMBES ESQUINA COM A RUA ARAPOCA</t>
  </si>
  <si>
    <t>RUA TERRA ROXA ESQUINA COM A RUA IPIGUA</t>
  </si>
  <si>
    <t>RUA BOM SUCESSO 1000 ESQUINA COM A VIELA DA CIDADE DA MAE DO CEU</t>
  </si>
  <si>
    <t>RUA VISCONDE DE INHOMERIM ESQUINA COM A RUA MADRE DE DEUS</t>
  </si>
  <si>
    <t>RUA PADRE ADELINO ESQUINA COM RUA BONSUCESSO</t>
  </si>
  <si>
    <t>RUA IPOJUCA ESQUINA COM A RUA  PADRE ADELINO</t>
  </si>
  <si>
    <t>RUA RESTINGA ESQUINA COM A LOCAL DA AVENIDA SALIM FARAH MALUF</t>
  </si>
  <si>
    <t>RUA ANGA ESQUINA COM A RUA NEBULOSA</t>
  </si>
  <si>
    <t>RUA SAIGON PROXIMO A ESQUINA COM A RUA SAO TICIANO</t>
  </si>
  <si>
    <t>RUA BRIGADEIRO TOBIAS 750</t>
  </si>
  <si>
    <t>AVENIDA TIRADENTES 940 AO LADO DE UMA ENTRADA DA ESTACAO LUZ DO METRO PROXIMO A PASSARELA</t>
  </si>
  <si>
    <t>RUA CARNEIRO RIBEIRO PROX A RUA LUIZ BURGAIM</t>
  </si>
  <si>
    <t>RUA CONSELHEIRO BROTERO ESQUINA COM A RUA BARRA FUNDA</t>
  </si>
  <si>
    <t>RUA DA GLORIA ESQUINA COM A RUA DOS ESTUDANTE</t>
  </si>
  <si>
    <t>RUA CARNEIRO LEAO DEFRONTE A RUA CLAUDINO PINTO</t>
  </si>
  <si>
    <t>RUA CONSELHEIRO NEBIAS ESQUINA COM A RUA DOS GUSMOES</t>
  </si>
  <si>
    <t>RUA JULIO CONCEICAO ESQUINA COM A RUA DOS ITALIANOS</t>
  </si>
  <si>
    <t>RUA NEWTON PRADO ESQUINA COM A RUA JULIO CONCEICAO</t>
  </si>
  <si>
    <t>AVENIDA TIRADENTES PROXIMO A ESQUINA DA RUA JORGE MIRANDA</t>
  </si>
  <si>
    <t>RUA DOUTOR RODRIGO SILVA DEFRONTE A RUA ALVARES MACHADO</t>
  </si>
  <si>
    <t>RUA MARINA CRESPI 206</t>
  </si>
  <si>
    <t>RUA AZEVEDO BRITO ESQUINA COM A AVENIDA FLOR DE VILA FORMOSA</t>
  </si>
  <si>
    <t>RUA DOS LAVAPES 634</t>
  </si>
  <si>
    <t>AVENIDA IPIRANGA ESQUINA COM A AVENIDA RIO BRANCO</t>
  </si>
  <si>
    <t>AVENIDA DO ESTADO 681 NO INTERIOR DA SABESP</t>
  </si>
  <si>
    <t>RUA ANTONIO ESTIGARRIBIA ESQUINA COM A RUA LAGOA AZUL</t>
  </si>
  <si>
    <t>RUA JOAO PIRES COELHO ESQUINA COM A RUA AUGOSTINHO PEREIRA</t>
  </si>
  <si>
    <t>RUA MARANHAO ESQUINA COM A AVENIDA ANGELICA</t>
  </si>
  <si>
    <t>AVENIDA LINS DE VASCONCELOS ESQUINA COM A RUA ARANTES</t>
  </si>
  <si>
    <t>RUA DO MANIFESTO ESQUINA COM A RUA GENERAL LECOR</t>
  </si>
  <si>
    <t>RUA JOAQUIM PIZZA ESQUINA COM A RUA MAZZINI</t>
  </si>
  <si>
    <t>RUA TAMANDARE ESQUINA COM A  RUA CONSELHEIRO FURTADO</t>
  </si>
  <si>
    <t>RUA PROFESSOR EURIPEDES SIMOES DE PAULA ESQUINA COM A RUA SANTA ROSA</t>
  </si>
  <si>
    <t>AVENIDA DO ESTADO EM FRENTE A RUA LOUSADA</t>
  </si>
  <si>
    <t>PRACA DOUTOR MARIO MARGARIDO ESQUINA RUA GLICERIO</t>
  </si>
  <si>
    <t>RUA BOA VISTA ESQUINA RUA FLORENCIO DE ABREU</t>
  </si>
  <si>
    <t>RUA GENERAL LECOR ESQUINA COM A RUA MIL OITOCENTOS E VINTE E DOIS</t>
  </si>
  <si>
    <t>RUA PATRIMONIO ESQUINA COM A RUA AURIVERDE</t>
  </si>
  <si>
    <t>RUA FREI ANTONIO DE GUADALLUPE ESQUINA COM AVENIDA ZELINA ESQUINA</t>
  </si>
  <si>
    <t>AVENIDA ZELINA 142</t>
  </si>
  <si>
    <t>RUA FRANCISCO POLITO ESQUINA COM A RUA JOSE DOS REIS</t>
  </si>
  <si>
    <t>RUA JUSTINIANO ESQUINA COM A RUA MARIA DO CARMO</t>
  </si>
  <si>
    <t>RUA MARIA TAVARES ESQUINA COM RUA DAS CAMPANULAS</t>
  </si>
  <si>
    <t>RUA FRANCISCO RABELO ESQUINA COM A RUA MARQUES DE SANTO AMARO</t>
  </si>
  <si>
    <t>RUA VIANA DO CASTELO ESQUINA COM RUA BALTAR</t>
  </si>
  <si>
    <t>RUA BARAO DE ITAPOA ESQUINA COM A RUA PORTO SABAUNA</t>
  </si>
  <si>
    <t>RUA CONEGO XAVIER   NA ENTRADA DO HOSPITAL HELIOPOLIS</t>
  </si>
  <si>
    <t>RUA BENEDITO GUEDES DE OLIVEIRA ESQUINA COM RUA DALVO MATOS DEDECCA</t>
  </si>
  <si>
    <t>RUA DOS PIONEIROS PROXIMA A TRAVESSA MARIA ISABEL BALTAR DA ROCHA</t>
  </si>
  <si>
    <t>AVENIDA LINS DE VASCONCELOS ESQUINA COM A RUA DOM DUARTE LEOPOLDO</t>
  </si>
  <si>
    <t>RUA JUSTO AZAMBUJA ESQUINA COM A RUA DOS LAVAPES</t>
  </si>
  <si>
    <t>RUA AZEVEDO JUNIOR ESQUINA COM A RUA CAPITAO FASUTINO DE LIMA</t>
  </si>
  <si>
    <t>RUA CIPRIANO BARATA ESQUINA COM RUA GONCALVES LEDO</t>
  </si>
  <si>
    <t>RUA SILVA BUENO ESQUINA COM A RUA LORD COCKRANE</t>
  </si>
  <si>
    <t>RUA MERU ESQUINA COM RUA MARECHAL MALLET</t>
  </si>
  <si>
    <t>PRACA REPUBLICA LITUANA</t>
  </si>
  <si>
    <t>RUA GALVAO BUENO ESQUINA COM A RUA FAGUNDES</t>
  </si>
  <si>
    <t>RUA BOM PASTOR ESQUINA COM A RUA  GONCALVES LEDO</t>
  </si>
  <si>
    <t>RUA SCUVERO ESQUINA COM A RUA DOS PARECIS</t>
  </si>
  <si>
    <t>RUA EULALIA ASSUNCAO ESQUINA COM A RUA FRANCISCO JUSTINO DE AZEVEDO</t>
  </si>
  <si>
    <t>RUA LORD COCKRANE ESQUINA COM A RUA BOM PASTOR</t>
  </si>
  <si>
    <t>RUA ANTONIO MARCONDES ESQUINA COM A RUA XAVIER DE ALMEIDA</t>
  </si>
  <si>
    <t>RUA TENENTE OTAVIO GOMES ESQUINA COM A RUA CONSELHEIRO FURTADO</t>
  </si>
  <si>
    <t>RUA TAICURE ESQUINA COM RUA BARAO DE TRAMANDAI</t>
  </si>
  <si>
    <t>RUA BALTAR ESQUINA COM RUA DUAS BARRAS</t>
  </si>
  <si>
    <t>RUA LINO COUTINHO ESQUINA RUA DOIS DE JULHO</t>
  </si>
  <si>
    <t>RUA JOSE DOS REIS EM FRENTE A RUA IBITIRAMA</t>
  </si>
  <si>
    <t>RUA SENADOR CARLOS TEIXEIRA DE CARVALHO ESQUINA COM  A RUA TEODURETO SOUTO</t>
  </si>
  <si>
    <t>RUA DAS HERAS ESQUINA COM RUA CAMPOS NOVOS</t>
  </si>
  <si>
    <t>RUA OSCAR HORTA ESQUINA COM A RUA ODORICO MENDES</t>
  </si>
  <si>
    <t>RUA POA ESQUINA COM RUA SAO LUIS</t>
  </si>
  <si>
    <t>RUA MANDERA ESQUINA COM RUA  NAIRU</t>
  </si>
  <si>
    <t>PRACA MARIO ORTIZ ENTRE A RUA PINDAMONHANGABA E A RUA PARAIBUNA AO LADO DA ESTACAO DE BOMBEIROS VILA PRUDENTE</t>
  </si>
  <si>
    <t>RUA BOM PASTOR ESQUINA COM A RUA SILVA BUENO</t>
  </si>
  <si>
    <t>RUA DOUTOR VICENTE GIACAGLINI ESQUINA COM RUA MARIA DO CARMO</t>
  </si>
  <si>
    <t>RUA PADRE MARCHETTI ESQUINA COM RUA XAVIER DE ALMEIDA</t>
  </si>
  <si>
    <t>RUA GUACUMA ESQUINA COM RUA MIGUEL LINO DE MORAIS</t>
  </si>
  <si>
    <t>AVENIDA NAZARE ESQUINA COM A RUA PADRE MARCHETTI</t>
  </si>
  <si>
    <t>RUA VIANA DO CASTELO ESQUINA COM RUA ANTENAS</t>
  </si>
  <si>
    <t>RUA DO MANIFESTO ESQUINA COM A RUA ALMIRANTE LOBO</t>
  </si>
  <si>
    <t>RUA AMADIS ESQUINA COM A RUA ANTONIO FREDERICO</t>
  </si>
  <si>
    <t>AVENIDA VEREADOR JOSE DINIZ ESQUINA COM A RUA BERNARDINO DE CAMPOS</t>
  </si>
  <si>
    <t>RUA ANTONIO MARCONDES ESQUINA COM A RUA HONORIO DOS SANTOS</t>
  </si>
  <si>
    <t>RUA BOM PASTOR ESQUINA COM A RUA DOS ITUANOS</t>
  </si>
  <si>
    <t>RUA BERNARDINO DE CAMPOS ESQUINA COM A RUA ANTONIO MACEDO SOARES</t>
  </si>
  <si>
    <t>RUA COSTA BARROS ESQUINA COM A RUA GASPAR BARRETO</t>
  </si>
  <si>
    <t>RUA PADRE RAIMUNDO DA SILVA ESQUINA COM A RUA JOAQUIM DA ROCHA</t>
  </si>
  <si>
    <t>RUA CARUSO ESQUINA COM RUA GASPAR BARRETO</t>
  </si>
  <si>
    <t>AVENIDA PROFESSOR LUIZ IGNACIO DE ANHAIA MELLO ACESSO PARA AVENIDA DO ESTADO  PARALELO A AVENIDA DO ESTADO</t>
  </si>
  <si>
    <t>AVENIDA PROFESSOR LUIZ IGNACIO DE ANHAIA MELLO  ESQUINA COM A RUA AMPARO</t>
  </si>
  <si>
    <t>RUA INACIO LUIS DA COSTA ESQUINA COM  A RUA ABRAHAM LINCOLN</t>
  </si>
  <si>
    <t>AVENIDA DOUTOR SALOMAO DE VASCONCELOS ESQUINA COM A TRAVESSA VALDOMIRO M DOS SALNTOS</t>
  </si>
  <si>
    <t>RUA JUNO ESQUINA COM A RUA GANGES</t>
  </si>
  <si>
    <t>RUA JOSE PINHEIRO 118</t>
  </si>
  <si>
    <t>RUA CANINDE ESQUINA COM A RUA PEDRO VICENTE</t>
  </si>
  <si>
    <t>RUA SAO MANOEL 24 PROXIMO A RUA DOUTOR LUIS DE SIMONI</t>
  </si>
  <si>
    <t>AVENIDA CANGAIBA ESQUINA COM RUA RAIMUNDO MATTIUZZO</t>
  </si>
  <si>
    <t>RUA SAO FLORENCIO 1376</t>
  </si>
  <si>
    <t>RUA ROCHA FRAGA  ESQUINA COM AVENIDA DOUTOR SALOMAO VASCONCELOS</t>
  </si>
  <si>
    <t>RUA PRIMEIRO SORRISO 290 DEFRONTE A RUA DOS QUICHUAS</t>
  </si>
  <si>
    <t>RUA MARACANA GUACU ESQUINA COM A RUA OLGA ARTACHO</t>
  </si>
  <si>
    <t>PARQUE ECOLÓGICO DO TIETÊ</t>
  </si>
  <si>
    <t>RUA XAVANTE ESQUINA COM A RUA ORIENTE</t>
  </si>
  <si>
    <t>RUA IRVING BERLIM PROX A AVENIDA BARREIRA GRANDE</t>
  </si>
  <si>
    <t>RUA SILVA PINTO ESQUINA COM A RUA PROFESSOR CESARE LOMBROSO</t>
  </si>
  <si>
    <t>RUA ITAQUI ESQUINA COM A RUA CANINDE</t>
  </si>
  <si>
    <t>RUA DAS OLARIAS DEFRONTE A RUA JURUA</t>
  </si>
  <si>
    <t>RUA ARAGUAIA ESQUINA COM A RUA CANINDE</t>
  </si>
  <si>
    <t>RUA DOUTOR VIRGILIO DO NASCIMENTO ESQUINA COM A RUA RUI BONITO</t>
  </si>
  <si>
    <t>RUA EDUARDO CHAVES ESQUINA COM A RUA GUAPORE</t>
  </si>
  <si>
    <t>RUA DOS GUSMOES ESQUINA COM A RUA DO TRIUNFO</t>
  </si>
  <si>
    <t>RUA JOLI ESQUINA COM A RUA MARIA JOAQUINA</t>
  </si>
  <si>
    <t>RUA IRVING BERLIN ACESSO DA RUA GIUSEPPE VALENTINI</t>
  </si>
  <si>
    <t>RUA BIGUACU ESQUINA COM A RUA JUNO</t>
  </si>
  <si>
    <t>RUA PRIMICIAS DEFRONTE A RUA MANOEL BOGONHA</t>
  </si>
  <si>
    <t>RUA NOVA SERRANA PROXIMO A RUA SAO PROSPERO</t>
  </si>
  <si>
    <t>RUA ADRIANO CINTRA ESQUINA COM A RUA  IOLANDO RIBEIRO BOAVENTURA</t>
  </si>
  <si>
    <t>RUA MONSENHOR FRANCISCO DE PAULA ESQUINA COM A RUA EDGAR DE SOUZA</t>
  </si>
  <si>
    <t>RUA CAVOA ESQUINA COM A RUA ESPIRITO SANTO DOURADO</t>
  </si>
  <si>
    <t>RUA JOSE FERREIRA CRESPO ESQUINA COM A RUA ALFREDO ALBERTINI</t>
  </si>
  <si>
    <t>RUA CABO GASTAO GAMA ESQUINA COM A RUA SARGENTO AIRES SILVA DIAS</t>
  </si>
  <si>
    <t>RUA MANOEL LEONCIO RODRIGUEZ ESQUINA COM A RUA ANA ESPINOSSA</t>
  </si>
  <si>
    <t>AVENIDA NORDESTINA ESQUINA COM RUA GABRIEL DE CASTRO LOBO</t>
  </si>
  <si>
    <t>RUA JOAO LOPES DE LIMA ESQUINA COM A RUA LEONARDO DE OLIVEIRA</t>
  </si>
  <si>
    <t>AVENIDA  RIO DAS PEDRAS 4181 PROXIMO A RUA ESTADO DO CEARA</t>
  </si>
  <si>
    <t>RUA SALVADOR DE MEDEIROS 196 ENTRE A RUA CAPITAO FRANCISCO ISAIAIS DE CARVALHO E RUA MIGUEL ANGELO LAPENA</t>
  </si>
  <si>
    <t>RUA PEDRO SOARES DE ANDRADE 836 PROXIMO A ESQUINA COM RUA MARIA SUZANO POLILO</t>
  </si>
  <si>
    <t>RUA SOLDADO EIDOARTE DA SILVA PONTES ESQUINA COM A RUA SOLDADO CELIO DO NASCIMENTO</t>
  </si>
  <si>
    <t>RUA ITAQUI ESQUINA COM A RUA RIO BONITO</t>
  </si>
  <si>
    <t>RUA CAPITAO JOAO CESARIO ESQUINA COM A RUA COMENDADOR CANTINHO</t>
  </si>
  <si>
    <t>AVENIDA CARLOS DE CAMPOS ESQUINA COM A RUA RIO BONITO</t>
  </si>
  <si>
    <t>RUA ANTONIO PAGANINI 136 RUA ROGERIO ARMELIM GUANAES</t>
  </si>
  <si>
    <t>RUA IRAPUCARA ESQUINA COM RUA BETARI</t>
  </si>
  <si>
    <t>RUA DOUTOR VIRGILIO MACHADO ESQUINA COM A RUA DOUTOR ANDRADE</t>
  </si>
  <si>
    <t>RUA JOSE FRANCISCO SANTOS ESQUINA COM A RUA JOSINO MENDES DE ALVARENGA FREIRE</t>
  </si>
  <si>
    <t>RUA JOSE PEREIRA CARDOSO 97 DEFRONTE A RUA ARLINDO MIRAGAIA</t>
  </si>
  <si>
    <t>AVENIDA DOUTOR JOSE ARTUR NOVA ESQUINA COM A RUA ENGENHEIRO DE SALES OLIVEIRA</t>
  </si>
  <si>
    <t>RUA GRAPIRA ESQUINA COM A RUA JACUPEMA  PRACA DO GALEAO</t>
  </si>
  <si>
    <t>AVENIDA NORDESTINA  POSTO DE BOMBEIRO SAO MIGUEL</t>
  </si>
  <si>
    <t>RUA MANOEL JOAO DA SILVA ESQUINA COM A RUA FRANCISCO BARRO</t>
  </si>
  <si>
    <t>AVENIDA DEZENOVE DE JANEIRO ESQUINA COM A RUA CARINA</t>
  </si>
  <si>
    <t>RUA GREGORIO RAMALHO ESQUINA COM A RUA VICTORIO SANTIM</t>
  </si>
  <si>
    <t>PARADA XV</t>
  </si>
  <si>
    <t>RUA MARACANA GUACU ESQUINA COM A RUA GUIRA ACANGATARA</t>
  </si>
  <si>
    <t>RUA ESTEBAN ARACIEL ESQUINA COM A RUA PARIS</t>
  </si>
  <si>
    <t>RUA MIRANDINHA ESQUINA COM A AVENIDA AMADOR BUENO DA VEIGA</t>
  </si>
  <si>
    <t>RUA BAQUIA ESQUINA COM A RUA JERICINO</t>
  </si>
  <si>
    <t>AVENIDA ITAQUENA ESQUINA COM A RUA MOTA COQUEIRO</t>
  </si>
  <si>
    <t>RUA JUNO ESQUINA COMA RUA TAMAINDE</t>
  </si>
  <si>
    <t>RUA BELCHIOR DE GODOI ESQUINA COM A AVENIDA BASILIO PEREIRA DE MELO</t>
  </si>
  <si>
    <t>RUA OEIRAS ESQUINA COM A RUA BARAO DE ITAMARACA</t>
  </si>
  <si>
    <t>RUA GANGES ESQUINA COM A RUA PATAXO</t>
  </si>
  <si>
    <t>ALAMEDA CLEVELAND 748 DEFRONTE A ALAMEDA RIBEIRO DA SILVA</t>
  </si>
  <si>
    <t>RUA DOS ANDRADAS ESQUINA COM A RUA GENERAL OSORIO</t>
  </si>
  <si>
    <t>RUA GUAPORE ESQUINA COM A AVENIDA TIRADENTES</t>
  </si>
  <si>
    <t>RUA DOUTOR ALMEIDA NOGUEIRA ESQUINA COM A RUA BETARI</t>
  </si>
  <si>
    <t>RUA SUZANA DE MELO ESQUINA COM A AVENIDA INAJA GUACU</t>
  </si>
  <si>
    <t>RUA URUBAIANA ESQUINA COM AVENIDA PIRES DO RIO</t>
  </si>
  <si>
    <t>RUA DOUTOR MIGUEL DO VAL 263 DEFRONTE COM RUA PAULO VICENTE</t>
  </si>
  <si>
    <t>RUA ZAMBEZE PROXIMO A ESQUINA COM A AVENIDA ARICANDUVA LOCAL</t>
  </si>
  <si>
    <t>AVENIDA PRESIDENTE CASTELO BRANCO ENTRA A RUA ANTONIO HAJJARE A AVENIDA DO ESTADO</t>
  </si>
  <si>
    <t>RUA BARAO DE PIRACICABA ESQUINA COM AVENIDA DUQUE DE CAXIAS</t>
  </si>
  <si>
    <t>RUA VITORIA ESQUINA COM A RUA SANTA EFIGENIA</t>
  </si>
  <si>
    <t>RUA GENERAL FLORES ESQUINA COM A RUA JARAGUA</t>
  </si>
  <si>
    <t>RUA BARRA DO TIBAJI ESQUINA COM A RUA DOS ITALIANOS</t>
  </si>
  <si>
    <t>AVENIDA DOUTOR JOSE ARTUR NOVA ESQUINA COM A RUA GONCALVES RIBEIRO</t>
  </si>
  <si>
    <t>RUA JACIRA ARTACHO PROXIMO DA ESQUINA COM A AVENIDA CANGAIBA</t>
  </si>
  <si>
    <t>RUA AMADEU GAMBERINI ESQUINA COM A AVENIDA NORDESTINA</t>
  </si>
  <si>
    <t>RUA DOUTOR EDGARD PINTO CESAR ESQUINA COM A RUA GUAIANA TI</t>
  </si>
  <si>
    <t>AVENIDA RIO BRANCO ESQUINA COM A RUA VITORIA</t>
  </si>
  <si>
    <t>AVENIDA ARQUITETO VILANOVA ARTIGAS NO INTERIOR DO POSTO DE BOMBEIRO SAPOPEMBA</t>
  </si>
  <si>
    <t>AVENIDA ALEXANDRE MACKENZIE PROXIMO DA ESQUINA COM A RUA DIOGO PIRES</t>
  </si>
  <si>
    <t>RUA EVOLUCAO ESQUINA COM A RUA ENGENHEIRO SILVA BRAGA</t>
  </si>
  <si>
    <t>AVENIDA CORONEL JOSE PIRES DE ANDRADE ESQUINA COM A RUA DESCAMPADO</t>
  </si>
  <si>
    <t>RUA SALGUEIRO ESQUINA COM A RUA URUCARA</t>
  </si>
  <si>
    <t>RUA NORMA PIERUCCINI GIANNOTTI  ESQUINA COM A RUA CRUZEIRO</t>
  </si>
  <si>
    <t>RUA JAGUARIAIVA 20 PROXIMO A AVENIDA ANTONIO ESTEVAO DE CARVALHO</t>
  </si>
  <si>
    <t>AVENIDA PROFESSOR LUIS IGNACIO DE ANHAIA MELO ESQUINA COM RUA FRANCISCO FETT</t>
  </si>
  <si>
    <t>RUA ESTADO DO CEARA ESQUINA COM RUA FERNANDO MARTINS</t>
  </si>
  <si>
    <t>RUA JOSE GOMES FALCAO 304 TRAVESSA DA AVENIDA MARQUES DE SAO VICENTE</t>
  </si>
  <si>
    <t>RUA SOLON ESQUINA COM RUA VISCONDE DE TAUNAY</t>
  </si>
  <si>
    <t>RUA LOBATO ESQUINA COM A RUA ATENEU PAULISTA</t>
  </si>
  <si>
    <t>RUA ROBERTO EDUARDO VILA EMA ESQUINA COM AVENIDA VILA EMA</t>
  </si>
  <si>
    <t>AVENIDA ANTONIO ESTEVAO DE CARVALHO ESQUINA COM A PRACA DIVINOLANDIA</t>
  </si>
  <si>
    <t>RUA PAMPA ESQUINA COM A RUA LEUCINA</t>
  </si>
  <si>
    <t>AVENIDA PADRE ARLINDO VIEIRA DEFRONTE A RUA SAO MAGNO</t>
  </si>
  <si>
    <t>AVENIDA DOS PEDROSOS ESQUINA COM A AVENIDA PADRE ARLINDO VIEIRA</t>
  </si>
  <si>
    <t>RUA GIOVANNI DA CONEGLIANO ESQUINA COM A RUA JOAO RICARDO DA SILVA</t>
  </si>
  <si>
    <t>RUA PROFESSOR ALMEIDA PORTO ESQUINA COM A RUA IRMAO PIO</t>
  </si>
  <si>
    <t>AVENIDA JOAO PEIXOTO VIEGAS PROXIMO A RUA MANOEL VAZ</t>
  </si>
  <si>
    <t>AVENIDA SANTO ALBANO ESQUINA COM RUA MARTINHO GUEDES</t>
  </si>
  <si>
    <t>RUA MAX BERG ESQUINA COM A RUA MARQUES DE LAJES</t>
  </si>
  <si>
    <t>AVENIDA CUPECE  ESQUINA COM A RUA SASSAKI</t>
  </si>
  <si>
    <t>RUA POMAR ESQUINA COM A RUA ANGATURAMA</t>
  </si>
  <si>
    <t>RUA SEBASTIANO MAZZONI ESQUINA COM A RUA SIMAO LOPES</t>
  </si>
  <si>
    <t>RUA MARCOS FERNANDES ESQUINA COM RUA AQUILES DE ALMEIDA</t>
  </si>
  <si>
    <t>PRACA ANCHIETA DUZENTOS METROS DA RUA VERGUEIRO SENTIDO BAIRRO</t>
  </si>
  <si>
    <t>RUA LUIZ DA COSTA RAMOS ESQUINA COM A RUA TEREZA FRANCO</t>
  </si>
  <si>
    <t>AVENIDA JONIA ESQUINA COM A RUA HELADE</t>
  </si>
  <si>
    <t>JARDIM AEROPORTO</t>
  </si>
  <si>
    <t>RUA DO ESPIGAO ESQUINA COM A RUA LEONEL DA GAMA BELES</t>
  </si>
  <si>
    <t>JARDIM MIRIAM</t>
  </si>
  <si>
    <t>RUA ALEXANDRE DOS SANTOS NO FINAL DA RUA</t>
  </si>
  <si>
    <t>RUA SAO JOAO CLIMACO 275 EM FRENTE AO POSTO ALE E A RUA TITO OLIANI</t>
  </si>
  <si>
    <t>RUA LISA ANSORGE ESQUINA COM RUA CAOPIA</t>
  </si>
  <si>
    <t>RUA DO SHOPPING INTERLAGOS PROXIMO A AVENIDA INTERLAGOS</t>
  </si>
  <si>
    <t>RUA CACHOEIRA DOURADA ESQUINA COM A RUA VINTE E CINCO DE JULHO ENFRENTE AO POSTO SHELL</t>
  </si>
  <si>
    <t>AVENIDA HORACIO LAFER ESQUINA COM A  RUA LOPES NETO</t>
  </si>
  <si>
    <t>RUA COMENDADOR MIGUEL CALFAT ESQUINA COM A RUA CLODOMIRO AMAZONAS</t>
  </si>
  <si>
    <t>AVENIDA CHEDID JAFET 239 COM RUA VIA FUNCHAL</t>
  </si>
  <si>
    <t>RUA DUARTE DA COSTA ESQUINA COM A RUA PIO XI</t>
  </si>
  <si>
    <t>RUA SEBASTIAO MENA ESQUINA COM A RUA IRAJUBA</t>
  </si>
  <si>
    <t>RUA ABRICO DO PARA ESQUINA COM A RUA PACARI DA MATA</t>
  </si>
  <si>
    <t>RUA FRUTA DE GUARIBA ESQUINA COM A  RUA JUVENA</t>
  </si>
  <si>
    <t>RUA IGUATEMI ESQUINA COM A RUA VIRADOURO</t>
  </si>
  <si>
    <t>RUA TUPANATINGA ESQUINA COM A RUA OTAVIO ALVES DUNDAS</t>
  </si>
  <si>
    <t>RUA ITOBI  ESQUINA COM A RUA CARDOSO DE ALMEIDA</t>
  </si>
  <si>
    <t>AVENIDA SANTO AMARO ESQUINA COM A RUA DOUTOR BORGES FILHO</t>
  </si>
  <si>
    <t>AVENIDA SANTO AMARO ESQUINA COM RUA CARACAS</t>
  </si>
  <si>
    <t>RUA MANOEL GUEDES ESQUINA COM A RUA JOAQUIM FLORIANO</t>
  </si>
  <si>
    <t>RUA TRES LAGOAS DEFRONTE COM A RUA SIPARUNA</t>
  </si>
  <si>
    <t>RUA ATILIO PIFFER 7 ESQUINA COM RUA IAPO</t>
  </si>
  <si>
    <t>RUA ANTONIO LOPES MARIN 150 PROXIMO A RUA ATILIO PIFFER</t>
  </si>
  <si>
    <t>RUA JOSE RANGEL CAMARGO ESQUINA COM RUA AGUAS VIRTUOSAS</t>
  </si>
  <si>
    <t>RUA JOSE RANGEL CAMARGO ESQUNA COM RUA GUARIZINHO</t>
  </si>
  <si>
    <t>RUA TITO ESQUINA COM A RUA IBIQUARA</t>
  </si>
  <si>
    <t>PRACA TCHECO ESQUINA COM A AVENIDA RICARDO MEDINA FILHO</t>
  </si>
  <si>
    <t>RUA PONTA PORA 11122 ESQUINA COM A PRACA SAO CRISPIN</t>
  </si>
  <si>
    <t>RUA TONELEROS ESQUINA COM A VOTUPOCA</t>
  </si>
  <si>
    <t>RUA ANTONIO RAPOSO PROXIMO A ESQUINA COM A RUA DOZE DE OUTUBRO</t>
  </si>
  <si>
    <t>RUA FAUSTOLO ESQUINA COM A RUA NOSSA SENHORA DA LAPA</t>
  </si>
  <si>
    <t>RUA MONTEIRO DE MELO RUA CORIOLANO</t>
  </si>
  <si>
    <t>RUA HUNGARA 307 ESQUINA COM A RUA OSVALDO FERREIRA DE CAMARGO  TRAVESSA</t>
  </si>
  <si>
    <t>RUA CROATA 279 ESQUINA COM A RUA OSVALDO FERREIRA DE CAMARGO</t>
  </si>
  <si>
    <t>RUA SERGIPE ESQUINA COM RUA SABARA</t>
  </si>
  <si>
    <t>RUA CORIOLANO ESQUINA COM A RUA MONTEIRO DE MELO</t>
  </si>
  <si>
    <t>RUA NEA ESQUINA COM A RUA PROFESSOR VASCONCELOS SARMENTO</t>
  </si>
  <si>
    <t>RUA MUNICIPAL ESQUINA COM A RUA PROFESSOR VASCONCELOS SARMENTO</t>
  </si>
  <si>
    <t>RUA HENRIQUE MARTINS ESQUINA COM A  RUA OLIVEIRA PIMENTEL</t>
  </si>
  <si>
    <t>AVENIDA ANGELICA ESQUINA COM A RUA PIAUI     PRACA BUENO AIRES</t>
  </si>
  <si>
    <t>AVENIDA HIGIENOPOLIS ESQUINA COM A RUA ARACAJU</t>
  </si>
  <si>
    <t>RUA PROFESSOR FILADELFO AZEVEDO ESQUINA COM A RUA JACQUES FELIX</t>
  </si>
  <si>
    <t>RUA ALMEIDA BRANDAO ESQUINA COM A RUA GIL RIBEIRO</t>
  </si>
  <si>
    <t>RUA DOUTOR EUGENIO CASTILLO ESQUINA COM AVENIDA SAPOPEMBA</t>
  </si>
  <si>
    <t>PRACA PORTO FERREIRA ESQUINA COM RUA PINTO MONTEIRO</t>
  </si>
  <si>
    <t>RUA SAO DONACIANO ESQUINA COM A RUA ALTO GARCAS</t>
  </si>
  <si>
    <t>RUA GUARANESIA ESQUINA COM A RUA MAXINE</t>
  </si>
  <si>
    <t>RUA SABARA ESQUINA COM A RUA ALAGOAS</t>
  </si>
  <si>
    <t>AVENIDA CARLOS LIVIEIRO ESQUINA COM A RUA ARAGAI</t>
  </si>
  <si>
    <t>RUA ANGELO PEROBELLI ESQUINA AVENIDA DO CURSINO</t>
  </si>
  <si>
    <t>RUA MANHARACU ESQUINA COM A  RUA EDUARDO CARVALHO</t>
  </si>
  <si>
    <t>RUA PROFESSOR SYLLA MATTOS ESQUINA COM A RUA PADRE ARLINDO DANTAS</t>
  </si>
  <si>
    <t>AVENIDA EUCLIDES ESQUINA COM A RUA GODOFREDO BRAGA</t>
  </si>
  <si>
    <t>AVENIDA BARROS ESQUINA COM A RUA MARQUES DE LAGES</t>
  </si>
  <si>
    <t>RUA NELSON WASHINGTON PEREIRA ESQUINA COM A RUA RISHIN MATSUDA</t>
  </si>
  <si>
    <t>RUA FOZ DO JUTAI ESQUINA COM  AVENIDA MIGUEL STEFANO</t>
  </si>
  <si>
    <t>RUA MANOEL GARCIA 1 ESQUINA COM RUA PROFESSOR CASTRO ALVES</t>
  </si>
  <si>
    <t>RUA CRUZEIRO ESQUINA COM A RUA EDUARDO VIANA</t>
  </si>
  <si>
    <t>RUA COLATINA 310 PROXIMO A RUA IBIA</t>
  </si>
  <si>
    <t>RUA JAGUARETE ESQUINA COM A RUA JOAO RUDGE</t>
  </si>
  <si>
    <t>AVENIDA DOUTOR BERNARDINO BRITO FONSECA DE CARVALHO ENTRE A RUA ANTONIO CARNEIRO LEAO E RUA AJARANI</t>
  </si>
  <si>
    <t>RUA BELCHIOR CARNEIRO ESQUINA COM A RUA FELIX GHUILHEM</t>
  </si>
  <si>
    <t>RUA MOXEI ESQUINA COM A RUA ENGENHEIRO AUBERTIN</t>
  </si>
  <si>
    <t>RUA BOM PASTOR ESQUINA COM A RUA XAVIER CURADO</t>
  </si>
  <si>
    <t>RUA CIDADE DE SANTOS ESQUINA COM ARUA TUPIRITAMA</t>
  </si>
  <si>
    <t>AVENIDA MOACI ESQUINA COM A RUA LYDIA SIMOES CABRAL</t>
  </si>
  <si>
    <t>AVENIDA NAZARE ESQUINA COM A RUA ENGENHEIRO RANULFO PINHEIRO LIMA</t>
  </si>
  <si>
    <t>RUA XAVIER CURADO ESQUINA COM A RUA LINO COUTINHO</t>
  </si>
  <si>
    <t>RUA OLIVEIRA ALVES ESQUINA COM A RUA LINO COUTINHO</t>
  </si>
  <si>
    <t>RUA OLIVEIRA ALVES ESQUINA COM A RUA AGOSTINHO GOMES</t>
  </si>
  <si>
    <t>RUA CIPRIANO BARATA ESQUINA COM A RUA DOS PATRIOTAS</t>
  </si>
  <si>
    <t>RUA AFONSO BRAZ 340 ESQUINA RUA DIOGO JACOME</t>
  </si>
  <si>
    <t>RUA CONDE VICENTE AZEVEDO ESQUINA COM A RUA OLIVEIRA MELO</t>
  </si>
  <si>
    <t>RUA NAME ESQUINA COM A RUA NHATUMANI</t>
  </si>
  <si>
    <t>RUA BENEDITO OTONI ESQUINA COM A RUA MARCIANO CAPELA</t>
  </si>
  <si>
    <t>AVENIDA ANTONIO DIOGO ESQUINA COM A RUA JULIO SAYAGO</t>
  </si>
  <si>
    <t>RUA ESPARTACO ESQUINA COM A RUA FABIA</t>
  </si>
  <si>
    <t>RUA CORIOLANO ESQUINA COM A RUA ESPARTACO</t>
  </si>
  <si>
    <t>RUA MORRO DO CLEMENTE PROXIMO A RUA ARRAIAL DE SAO BARTOLOMEU</t>
  </si>
  <si>
    <t>RUA MAURICIO CASTILHO 20 ESQUINA COM RUA PADRE SENEPA</t>
  </si>
  <si>
    <t>RUA GIOVANNI QUADRI ESQUINA COM A RUA PROFESSOR LEONCIO GURGEL</t>
  </si>
  <si>
    <t>JOSÉ BONIFÁCIO</t>
  </si>
  <si>
    <t>RUA DESEMBARGADOR CARNEIRO RIBEIRO ESQUINA COM RUA DESEMBARGADOR ROCHA PORTELA</t>
  </si>
  <si>
    <t>RUA BEHRING ESQUINA COM A RUA JOAQUIM CARLOS</t>
  </si>
  <si>
    <t>RUA ENGENHEIRO FOX ESQUINA COM A RUA ANTONIO FIDELIS</t>
  </si>
  <si>
    <t>RUA JOSE MONTEIRO ESQUINA COM A RUA COIMBRA</t>
  </si>
  <si>
    <t>AVENIDA HELIO PELEGRINO 720</t>
  </si>
  <si>
    <t>RUA DOUTOR CARLOS BOTELHO ESQUINA COM A  RUA BRESSER</t>
  </si>
  <si>
    <t>RUA MARCOS ARRUDA ESQUINA COM A  RUA CACHOEIRA</t>
  </si>
  <si>
    <t>CATUMBI</t>
  </si>
  <si>
    <t>RUA JOAO BOEMER ESQUINA COM A AVENIDA CELSO GARCIA</t>
  </si>
  <si>
    <t>RUA GONCALVES DIAS ESQUINA COM A RUA JOSE KAUER</t>
  </si>
  <si>
    <t>RUA CESARIO ALVIN ESQUINA COM A RUA 21 DE ABRIL</t>
  </si>
  <si>
    <t>RUA SCIPIAO ESQUINA COM A RUA CLELIA</t>
  </si>
  <si>
    <t>RUA DOUTOR CARLOS GUIMARAES ESQUINA COM A AVENIDA CELSO GARCIA</t>
  </si>
  <si>
    <t>RUA CATUMBI ESQUINA COM A RUA IVINHEMA</t>
  </si>
  <si>
    <t>RUA TOMMASO GIORDINI 381</t>
  </si>
  <si>
    <t>RUA SEBASTIAO AFONSO ESQUINA COM AVENIDA CUPECE</t>
  </si>
  <si>
    <t>AVENIDA CUPECE 4834 PROXIMO A RUA ELIZABETH LINEY</t>
  </si>
  <si>
    <t>AVENIDA DOS BANDEIRANTES ESQUINA COM A RUA GUARAIUVA</t>
  </si>
  <si>
    <t>RUA RIBEIRO CLARO ESQUINA COM A AVENIDA DOUTOR CARDOSO DE MELO</t>
  </si>
  <si>
    <t>HÉLIO PELEGRINO</t>
  </si>
  <si>
    <t>AVENIDA DOS EUCALIPTOS ESQUINA COM A ALAMEDA DOS ARAPANES</t>
  </si>
  <si>
    <t>RUA QUATA ESQUINA COM AVENIDA SANTO AMARO</t>
  </si>
  <si>
    <t>AVENIDA CUPECE ESQUINA COM A RUA RIO GRANDE SO SUL</t>
  </si>
  <si>
    <t>RUA CIDADE DE SANTOS ESQUINA COM RUA DOUTOR MARIO DE CAMPOS</t>
  </si>
  <si>
    <t>RUA CRISTOVAO PEREIRA 1009</t>
  </si>
  <si>
    <t>RUA JORGE DE ALMEIDA QUIRINO ESQUINA COM A RUA NICOLAU MAFFEI</t>
  </si>
  <si>
    <t>RUA CONDE LA HURE</t>
  </si>
  <si>
    <t>RUA FRANCISCO ALBANI ESQUINA COM ARUA ALFONSO BERGAZ</t>
  </si>
  <si>
    <t>RUA INAUINI  ESQUINA COM A RUA JUCARAL</t>
  </si>
  <si>
    <t>RUA DOUTOR LUIS AIRES ESQUINA COM A RUA MACIEL MONTEIRO</t>
  </si>
  <si>
    <t>RUA FREI FRANCISCO PROXIMO A  ESQUINA DA RUA FREI ANDRE BLANCO</t>
  </si>
  <si>
    <t>RUA BARRA DE GUABIRABA DEFRONTE A RUA COTIPA</t>
  </si>
  <si>
    <t>RUA CHUVA E SOL ESQUINA COM A RUA CHEIRO MINEIRO DE FLOR</t>
  </si>
  <si>
    <t>PARQUE GUARANI</t>
  </si>
  <si>
    <t>AVENIDA NAZARE NO INTERIOR DO POSTO DE BOMBEIRO IPIRANGA</t>
  </si>
  <si>
    <t>RUA CASA DO ATOR 409 NO INTERIOR DA TRAVESSA NO FUNDO</t>
  </si>
  <si>
    <t>RUA ANTONIO CASTILHO ALONSO PROXIMO A ESQUINA COM A RUA CASA DO ATOR</t>
  </si>
  <si>
    <t>RUA GAIVOTA ESQUINA COM AVENIDA JURITI</t>
  </si>
  <si>
    <t>ALAMEDA DOS ARAPANES ESQUINA COM AVENIDA AGAMI</t>
  </si>
  <si>
    <t>RUA TOMAZZO FERRARA 112 ENFRENTE AO PONTO DE ONIBUS DAS LOTACOES</t>
  </si>
  <si>
    <t>RUA SAO SERAPIAO ESQUINA COM A RUA NAME</t>
  </si>
  <si>
    <t>RUA GRAMAL PROXIMO A RUA CRISTALANDIA DO PIAUI</t>
  </si>
  <si>
    <t>RUA MUNICIPAL ESQUINA  COM RUA SANTO HENRIQUE</t>
  </si>
  <si>
    <t>RUA DEMERVAL LESSA ESQUINA COM A RUA DESEMBARGADOR ROCHA PORTELA</t>
  </si>
  <si>
    <t>RUA GUILHERME VALENCIA ESQUINA COM A RUA ANTONIO CRESPO</t>
  </si>
  <si>
    <t>RUA DOM JOSE BOTELHO ESQUINA COM A RUA VIRGINIA FERNE</t>
  </si>
  <si>
    <t>RUA ESTALEIRADOR ESQUINA COM ESTRADA DE POA</t>
  </si>
  <si>
    <t>RUA VELHO CAMALEAO PROXIMO DA ESQUINA COM A RUA CLAREAR</t>
  </si>
  <si>
    <t>RUA EUGENIO ALBINI ESQUINA COM RUA SILVIO BARBINI</t>
  </si>
  <si>
    <t>RUA CATAO ESQUINA COM A RUA COROLIANO</t>
  </si>
  <si>
    <t>RUA PINTASSILGO ESQUINA COM A AVENIDA GRAUNA</t>
  </si>
  <si>
    <t>RUA ESPARTACO ESQUINA COM A RUA TITO</t>
  </si>
  <si>
    <t>RUA DIOGO JACOME ESQUINA COM A RUA INDIAROBA</t>
  </si>
  <si>
    <t>RUA VESPASIANO ESQUINA COM A RUA CORIOLANO</t>
  </si>
  <si>
    <t>RUA MAURICIO DE CASTILHO ESQUINA COM A RUA PAULO BREGARO</t>
  </si>
  <si>
    <t>RUA CORIOLANO ESQUINA COM A RUA AURELIA</t>
  </si>
  <si>
    <t>RUA BRIGADEIRO JORDAO ESQUINA COM A RUA AGOSTINHO GOMES</t>
  </si>
  <si>
    <t>RUA ONOFRE DA SILVA ESQUINA COM A RUA COROA IMPERIAL</t>
  </si>
  <si>
    <t>RUA CRISTOVAO PEREIRA PROXIMO DA ESQUINA COM A RUA BERNARDINO DE CAMPOS</t>
  </si>
  <si>
    <t>RUA JOSE FLAVIO PEREIRA PROXIMO DA ESQUINA COM A RUA MESSIAS AUGUSTA DA SILVA</t>
  </si>
  <si>
    <t>RUA PAPA GREGORIO MAGNO ESQUINA COM A RUA BEM AVENTURADO ALBERICO CRESCITELLI</t>
  </si>
  <si>
    <t>RUA WILSON CANTONI PROXIMO DA ESQUINA COM A AVENIDA ARAUJO LIMA</t>
  </si>
  <si>
    <t>RUA PANGUA 552 ESQUINA COM A RUA MUNICIPAL</t>
  </si>
  <si>
    <t>AVENIDA AFONSO MARIANO FAGUNDES ESQUINA COM A AVENIDA IRERE</t>
  </si>
  <si>
    <t>ESTRADA DO ALVARENGA ESQUINA COM A RUA MATA VIRGEM</t>
  </si>
  <si>
    <t>RUA TUTOIA ESQUINA COM AVENIDA BRIGADEIRO LUIS ANTONIO</t>
  </si>
  <si>
    <t>RUA CAPITAO MACEDO ESQUINA COM A RUA MARSELHESA</t>
  </si>
  <si>
    <t>RUA DOMINGOS DE MORAIS 1837</t>
  </si>
  <si>
    <t>RUA LOEFGREEN ESQUINA COM A RUA DOMINGOS DE MORAIS</t>
  </si>
  <si>
    <t>RUA DOM ANTONIO DE MELO ESQUINA COM A RUA SAO CAETANO</t>
  </si>
  <si>
    <t>PRACA ARACARIGUAMA ESQUINA COM A RUA FELIX DELLA ROSA</t>
  </si>
  <si>
    <t>RUA ROIZ PACA ESQUINA COM A RUA MARIO</t>
  </si>
  <si>
    <t>RUA MINISTRO GODOY ESQUINA COM RUA DOUTOR HOMEM DE MELO</t>
  </si>
  <si>
    <t>AVENIDA BERNADINO DE CAMPOS 109 PARAISO</t>
  </si>
  <si>
    <t>RUA MINISTRO SINEZIO ROCHA ESQUINA COM A RUA LIVREIRO TIRSI</t>
  </si>
  <si>
    <t>RUA VERGUEIRO ENTRE A RUA DOUTOR JOAO DE MORAIS E RUA DO PARAISO</t>
  </si>
  <si>
    <t>ALAMEDA JOAQUIM EUGENIO DE LIMA ESQUINA COM A AVENIDA PAULISTA</t>
  </si>
  <si>
    <t>ALAMEDA SANTOS ESQUINA COM AVENIDA BRIGADEIRO LUIS ANTONIO</t>
  </si>
  <si>
    <t>RUA SAO GIL ESQUINA COM RUA SEPETIBA</t>
  </si>
  <si>
    <t>TRAVESSA PARANHOS PEDERNEIRAS ESQUINA COM A RUA BELCHIOR DE ORDAS 319 EDIFICIO ALGARVE</t>
  </si>
  <si>
    <t>RUA SANTA VERIDIANA ESQUINA COM A RUA HENRIQUE LEITAO</t>
  </si>
  <si>
    <t>RUA EUCLIDES DE ANDRADE DEFRONTE A ESQUINA DA RUA DOUTOR JOAO PASSOS</t>
  </si>
  <si>
    <t>RUA CORONEL JORDAO ESQUINA COM A RUA MANOEL DURAES</t>
  </si>
  <si>
    <t>RUA SOUZA LIMA ESQUINA COM A RUA DOUTOR SERGIO MEIRA</t>
  </si>
  <si>
    <t>RUA GUMERCINDO SARAIVA 96</t>
  </si>
  <si>
    <t>RUA BRAULIO DE MENDOCA FILHO 11 NO FINAL DA RUA</t>
  </si>
  <si>
    <t>TRAVESSA DA RUA DAS CASUARINAS NO FINAL</t>
  </si>
  <si>
    <t>RUA ISAIS MALENTECHI 67 NO FINAL DA RUA</t>
  </si>
  <si>
    <t>RUA AUGUSTO ROLIM LOUREIRO 71</t>
  </si>
  <si>
    <t>AVENIDA JURANDIR DEFRONTE RUA JOAQUIM NUNES MACHADO</t>
  </si>
  <si>
    <t>RUA LEDUGERIO DE FREITAS BARBOSA ESQUINA COM A RUA JURUPARI</t>
  </si>
  <si>
    <t>RUA ALVARO DE MENEZES DEFRONTE A RUA PROFESSOR JOAO MARINHO</t>
  </si>
  <si>
    <t>AVENIDA JORGE CORBISIER ESQUINA COM A RUA RAIZ DA SERRA</t>
  </si>
  <si>
    <t>RUA DAS OTICICAS COM A PRACA NICOLAU WEBER</t>
  </si>
  <si>
    <t>RUA SARGGENTO TOMAS NO FINAL DA RUA A DIREITA</t>
  </si>
  <si>
    <t>RUA FREIRE FARTO ESQUINA COM A RUA DESEMBARGADOR ALIMPIO BASTOS</t>
  </si>
  <si>
    <t>AVENIDA CECI ESQUINA COM ALAMEDA DOS QUINIMURAS</t>
  </si>
  <si>
    <t>AVENIDA RUBEM BERTA PROXIMO DA ESQUINA DA AVENIDA JOSE MARIA WHITAKER</t>
  </si>
  <si>
    <t>AVENIDA INDIANOPOLIS ESQUINA COM ALAMEDA DOS GUATAS</t>
  </si>
  <si>
    <t>RUA DEPUTADO JOAO BRAVO CALDEIRA ESQUINA COM A RUA ANTONIO GEBARA</t>
  </si>
  <si>
    <t>RUA MARCELINA PROXIMO A ESQUINA COM A RUA AURELIA</t>
  </si>
  <si>
    <t>RUA AURELIA ESQUINA COM A RUA MARIO</t>
  </si>
  <si>
    <t>RUA JERONIMO DA VEIGA 456</t>
  </si>
  <si>
    <t>AVENIDA DOMINGOS DE MORAIS NA FRENTE DO PB VILA MARIANA</t>
  </si>
  <si>
    <t>RUA SALTO GRANDE ESQUINA COM RUA PADRE AGOSTINHO MENDICUTE</t>
  </si>
  <si>
    <t>RUA PEREIRA LEITE ESQUINA COM RUA HEITOR PENTEADO</t>
  </si>
  <si>
    <t>AVENIDA 9 DE JULHO ESQUINA COM A RUA GROELANDIA</t>
  </si>
  <si>
    <t>AVENIDA BRASIL ESQUINA COM A RUA CANADA</t>
  </si>
  <si>
    <t>RUA MAESTRO CHIAFARELLI PROXIMO COM A RUA HONDURAS</t>
  </si>
  <si>
    <t>RUA GURUPA ESQUINA COM A RUA QUEIMADA GRANDE</t>
  </si>
  <si>
    <t>RUA NORUEGA ESQUINA COM A RUA ALEMANHA</t>
  </si>
  <si>
    <t>AVENIDA BRIGADEIRO FARIA LIMA ESQUINA RUA IRAMAIA</t>
  </si>
  <si>
    <t>RUA ESTADOS UNIDOS ESQUINA COM ALAMEDA JOAQUIM EUGENIO DE LIMA</t>
  </si>
  <si>
    <t>RUA ITAPICURU ESQUINA COM A RUA DOUTOR FRANCO DA ROCHA</t>
  </si>
  <si>
    <t>RUA PIRES DA MOTA ESQUINA COM A RUA GUALACHOS</t>
  </si>
  <si>
    <t>ALAMEDA JOAQUIM EUGENIO DE LIMA ESQUINA COM A RUA JOSE MARIA LISBOA</t>
  </si>
  <si>
    <t>RUA CARDOSO DE ALMEIDA ESQUINA COM A RUA PARAGUASSU</t>
  </si>
  <si>
    <t>ALAMEDA JOAQUIM EUGENIO DE LIMA ESQUINA COM A RUA SAO CARLOS DO PINHAL</t>
  </si>
  <si>
    <t>RUA MINISTRO GODOY ESQUINA RUA TURIASSU</t>
  </si>
  <si>
    <t>RUA DOUTOR HOMEM DE MELO ESQUINA COM A RUA MINERVA</t>
  </si>
  <si>
    <t>RUA TURIASSU DEFRONTE A RUA MINERVA</t>
  </si>
  <si>
    <t>RUA ALCEU WANOSY ESQUINA COM A PROFESSOR ARISTIDES DE MACEDO</t>
  </si>
  <si>
    <t>RUA DOMINGOS DE MORAES 439 ESQUINA COM O LARGO DONA ANA ROSA</t>
  </si>
  <si>
    <t>RUA CHUI ESQUINA COM RUA CORREIA DIAS</t>
  </si>
  <si>
    <t>RUA BOTUCATU ESQUINA COM A RUA ESTADO DE ISRAEL</t>
  </si>
  <si>
    <t>RUA DOUTOR DIOGO DE FARIA 634 ENTRE AS RUA NAPOLEAO DE BARROS E BOTUCATU</t>
  </si>
  <si>
    <t>RUA DOUTOR EDUARDO AMARO ESQUINA COM A RUA APENINOS</t>
  </si>
  <si>
    <t>RUA BOTUCATU ESQUINA COM A RUA SENA MADUREIRA</t>
  </si>
  <si>
    <t>RUA MARIO AMARAL ESQUINA COM A RUA MANOEL DA NOBREGA</t>
  </si>
  <si>
    <t>RUA CAPITAO MACEDO ESQUINA COM A RUA BOTUCATU</t>
  </si>
  <si>
    <t>ALAMEDA SANTOS ESQUINA COM A RUA MANOEL DA NOBREGA</t>
  </si>
  <si>
    <t>ALAMEDA DOS TACAUNAS 802</t>
  </si>
  <si>
    <t>RUA ABILIO SOARES ESQUINA COM A RUA CORONEL OSCAR PORTO</t>
  </si>
  <si>
    <t>AVENIDA DOS BANDEIRANTES ESQUINA COM A RUA JOSE FAVA</t>
  </si>
  <si>
    <t>RUA CAPITAO MACEDO ESQUINA COM A RUA DOS OTONIS</t>
  </si>
  <si>
    <t>RUA SAO CAETANO ESQUINA COM A RUA DUTRA RODRIGUES</t>
  </si>
  <si>
    <t>RUA PAUSTER ESQUINA COM A RUA CANINDE</t>
  </si>
  <si>
    <t>RUA PORANGATU PROXIMO A ESQUINA DA RUA SOBRAL JUNIOR</t>
  </si>
  <si>
    <t>RUA SAO LAZARO ESQUINA COM A RUA JOAO TEODORO</t>
  </si>
  <si>
    <t>RUA SOUZA LIMA ESQUINA COM A RUA BARRA FUNDA</t>
  </si>
  <si>
    <t>RUA SOLON ESQUINA COM A RUA ANHAIA</t>
  </si>
  <si>
    <t>RUA LUIGI GRECO ESQUINA COM A RUA BORACEIA</t>
  </si>
  <si>
    <t>RUA JULIO CONCEICAO ESQUINA COM A RUA TALMUD THORA</t>
  </si>
  <si>
    <t>RUA LOPES CHAVES DEFRONTE A RUA DOUTOR SERGIO MIEIRA</t>
  </si>
  <si>
    <t>RUA LUBAVITCH ESQUINA COM A RUA DA GRACA</t>
  </si>
  <si>
    <t>RUA MAUA PROXIMO DA ESQUINA COM A RUA ANTONIO PAIS</t>
  </si>
  <si>
    <t>RUA NEWTON PRADO ESQUINA COM A RUA SILVA PINTO</t>
  </si>
  <si>
    <t>RUA DOUTOR CARVALHO DE MENDONCA ESQUINA COM A RUA GENERAL JULIO MARCONDES SALGADO</t>
  </si>
  <si>
    <t>RUA ECONOMIZADORA ESQUINA COM A RUA SAO CAETANO</t>
  </si>
  <si>
    <t>RUA CRUZEIRO ESQUINA COM A RUA CONEGO VICENTE MIGUEL MARINO</t>
  </si>
  <si>
    <t>RUA DA GRACA  ESQUINA COM A RUA JULIO CONCEICAO</t>
  </si>
  <si>
    <t>RUA BARAO DE DUPRAT ESQUINA COM A RUA ILHA DAS FLORES</t>
  </si>
  <si>
    <t>RUA MARCONI ESQUINA COM A RUA BARAO DE ITAPETININGA</t>
  </si>
  <si>
    <t>RUA DOS CLERIGOS ESQUINA COM A RUA SAO LAZARO</t>
  </si>
  <si>
    <t>RUA AMAZONAS ESQUINA COM A RUA TRES RIOS</t>
  </si>
  <si>
    <t>RUA LOPES DE OLIVEIRA ESQUINA COM A RUA CAMERINO</t>
  </si>
  <si>
    <t>RUA DOS CLERIGOS ESQUINA COM A RUA POSSIDONIO INACIO</t>
  </si>
  <si>
    <t>RUA TRES RIOS ESQUINA COM A RUA AFONSO PENA</t>
  </si>
  <si>
    <t>RUA DO AREAL DEFRONTE A RUA TENENTE PENA</t>
  </si>
  <si>
    <t>AVENIDA PAULISTA ESQUINA COM A  RUA CONSOLACAO SENTIDO RUA BELA CINTRA E RUA DIREITA</t>
  </si>
  <si>
    <t>AVENIDA SANTOS DUMONT ESQUINA COM A RUA JORGE VELHO</t>
  </si>
  <si>
    <t>RUA MAJOR SERTORIO ESQUINA COM A RUA ARAUJO</t>
  </si>
  <si>
    <t>RUA MARQUES DE ITU ESQUINA COM A RUA BENTO FREITASZ</t>
  </si>
  <si>
    <t>PRACA DOUTOR JOAO MENDES MEIO DA PRACA</t>
  </si>
  <si>
    <t>RUA DOS ESTUDANTES ESQUINA COM A RUA CONSELHEIRO FURTADO</t>
  </si>
  <si>
    <t>RUA DA GLORIA ESQUINA COM A PRACA ALMEIDA JUNIOR</t>
  </si>
  <si>
    <t>RUA CORONEL JOSE EUSEBIO ESQUINA COM A TRAVESSA DONA PAULA</t>
  </si>
  <si>
    <t>RUA LIBERO BADARO DEFRONTE A RUA DOUTOR FALCAO FILHO</t>
  </si>
  <si>
    <t>RUA FORTE DOS FRANCESES ESQUINA COM A RUA FORTE DE ARAXA</t>
  </si>
  <si>
    <t>PRACA CORONEL FERNANDO PRESTES     EM FRENTE AO QUARTEL DO COMANDO GERAL</t>
  </si>
  <si>
    <t>RUA SAO BARTOLOMEU ESQUINA COM A RUA CARDOSO DE ALMEIDA</t>
  </si>
  <si>
    <t>RUA GOIAS 193 AO LADO DA PRACA CINQUENTENARIO DE ISRAEL</t>
  </si>
  <si>
    <t>RUA 24 DE MAIO DEFRONTE A GALERIA R MONTEIRO</t>
  </si>
  <si>
    <t>AVENIDA VIEIRA DE CARVALHO ESQUINA COM A RUA AURORA</t>
  </si>
  <si>
    <t>RUA HELVETIA PROXIMO A ESQUINA COM A AVENIDA SAO JOAO</t>
  </si>
  <si>
    <t>RUA ANOTONIO MAGALHAES ESQUINA COM A RUA MANOEL DE ALMEIDA</t>
  </si>
  <si>
    <t>RUA VITORINO CARMILO ESQUINA COM ALAMEDA NOTHMANN</t>
  </si>
  <si>
    <t>RUA JOSE GONCALVES GOMIDE ESQUINA COM RUA DO IMPERADOR</t>
  </si>
  <si>
    <t>RUA DOUTOR  ALBUQUERQUE LINS ESQUINA COM A RUA BARRA FUNDA</t>
  </si>
  <si>
    <t>RUA DO IMPERADOR ESQUINA COM A  RUA CORONEL JORDAO</t>
  </si>
  <si>
    <t>RUA GALVAO BUENO ESQUINA COM A RUA AMERICO DE  CAMPOS</t>
  </si>
  <si>
    <t>RUA FRANCISCO BAYARDO ESQUINA COM A RUA TUCUNA</t>
  </si>
  <si>
    <t>AVENIDA GUILHERME ESQUINA COM A RUA CHICO PONTES</t>
  </si>
  <si>
    <t>RUA CONEGO ANTONIO MANZI ESQUINA COM RUA ALFREDO BEZERRA DOS SANTOS</t>
  </si>
  <si>
    <t>RUA AUGUSTO SEVERO 87 ENTRE A RUA CARLOS DE SOUSA NAZARE E AVENIDA SENADOR QUEIROZO</t>
  </si>
  <si>
    <t>RUA FELIPE DE OLIVEIRA ESQUINA COM A RUA ANITA GARIBALDI</t>
  </si>
  <si>
    <t>RUA RIBEIRO DE LIMA ESQUINA COM A RUA JOSE PAULINO</t>
  </si>
  <si>
    <t>AVENIDA LIBERDADE ENFRENTE A ESTACAO LIBERDADE DO METRO</t>
  </si>
  <si>
    <t>RUA MOZELOS ESQUINA COM RUA CESARIO LANGE</t>
  </si>
  <si>
    <t>RUA DO AROUCHE ESQUINA COM A RUA AURORA</t>
  </si>
  <si>
    <t>RUA DOS ITALIANOS ESQUINA COM A RUA TENENTE PENA</t>
  </si>
  <si>
    <t>ALAMEDA GLETE ESQUINA COM RUA VITORINO CARMILO</t>
  </si>
  <si>
    <t>RUA VITORINO CAMILO ESQUINA COM A RUA CONSELHEIRO BROTERO</t>
  </si>
  <si>
    <t>RUA CONSELHEIRO BROTERO ESQUINA COM RUA DOUTOR SERGIO MEIRA</t>
  </si>
  <si>
    <t>RUA IPEIROIG ESQUINA COM A RUA CAIUBI</t>
  </si>
  <si>
    <t>RUA FAUSTOLO ESQUINA COM A RUA DUILIO</t>
  </si>
  <si>
    <t>RUA BANDEIRANTES ESQUINA COM A RUA AFONSO PENA</t>
  </si>
  <si>
    <t>RUA AIMORES ESQUINA COM A RUA CARMO CINTRA</t>
  </si>
  <si>
    <t>RUA DA GRACA ESQUINA COM A RUA SILVA PINTO</t>
  </si>
  <si>
    <t>RUA TALMUD THORA ESQUINA COM A RUA MARMORE</t>
  </si>
  <si>
    <t>RUA ANTONIO CARLOS ESQUINA COM A RUA HADDOCK LOBO</t>
  </si>
  <si>
    <t>RUA BELA CINTRA 686</t>
  </si>
  <si>
    <t>RUA WANDERLEI ESQUINA COM A RUA AIMBERE</t>
  </si>
  <si>
    <t>RUA MININISTRO GASTAO MESQUITA ESQUINA COM A RUA DOS CAETES</t>
  </si>
  <si>
    <t>RUA DA GLORIA ESQUINA COM A RUA BARAO DE IGUAPE</t>
  </si>
  <si>
    <t>RUA FREI ANTONIO SANTANA GALVAO ESQUINA COM A AVENIDA TIRADENTES</t>
  </si>
  <si>
    <t>RUA 24 DE MAIO ESQUINA COM A RUA DOM JOSE DE BARROS</t>
  </si>
  <si>
    <t>RUA FLORENCIO DE ABREU 373 ESQUINA COM O VIADUTO SOBRE A RUA CARLOS DE SOUSA NAZARE</t>
  </si>
  <si>
    <t>RUA JOAO TEODORO ESQUINA COM A AVENIDA TIRADENTES NO CANTEIRO CENTRAL AO LADO DO BATALHAO TOBIAS DE AGUIAR</t>
  </si>
  <si>
    <t>AVENIDA TIRADENTES ESQUINA COM A RUA JOAO TEODORO NA CALCADA DAS LOJAS DE UNIFORME</t>
  </si>
  <si>
    <t>RUA ONZE DE AGOSTO ESQUINA COM A PRACA DOUTO JOAO MENDES</t>
  </si>
  <si>
    <t>RUA DA CONSOLACAO ESQUINA COM A RUA DOUTOR BRAULIO GOMES</t>
  </si>
  <si>
    <t>RUA CORONEL XAVIER TOLEDO PROXIMO DA ESQUINA COM O VIADUTO DO CHA</t>
  </si>
  <si>
    <t>AVENIDA IPIRANGA ESQUINA COM A AVENIDA SAO JOAO</t>
  </si>
  <si>
    <t>RUA BRIGADEIRO HENRIQUE FONTENELLE ESQUINA COM A RUA ABRAHAM LINCOLN</t>
  </si>
  <si>
    <t>AVENIDA JOAO DOS SANTOS ABREU 858 DEFRONTE A TRAVESSA RODA VIVA</t>
  </si>
  <si>
    <t>RUA VOLUNTARIOS DA PATRIA ESQUINA COM A RUA ALFREDO PUJOL</t>
  </si>
  <si>
    <t>AVENIDA GENERAL ATALIBA LEONEL EM FRENTE A PENITENCIARIA FEMININA SANTANA</t>
  </si>
  <si>
    <t>RUA DOUTOR OLAVO EGIDIO ESQUINA COM A RUA JOVITA</t>
  </si>
  <si>
    <t>RUA DOUTOR ZUQUIM ESQUINA COM RUA DOUTOR OLAVO EGIDIO</t>
  </si>
  <si>
    <t>AVENIDA CRUZEIRO DO SUL EM FRENTE A ESTACAO SANTANA</t>
  </si>
  <si>
    <t>RUA SOLDADO ANTONIO CAETANO SOUSA FILHO ESQUINA COM ALAMEDA PRIMEIRO SARGENTO BASILIO NOGUEIRA DA COSTA</t>
  </si>
  <si>
    <t>ALAMEDA SUBTENENTE FRANCISCO HIERRO ESQUINA RUA SOLDADO ANTONIO BENTO DE ABREU</t>
  </si>
  <si>
    <t>RUA CABO JOSE DA SILVA ESQUINA COM ALAMEDA SEGUNDO SARGENTO NEVIO BARACHO DOS SANTOS</t>
  </si>
  <si>
    <t>ALAMEDA SEGUNDO SARGENTO GERALDO BERTI 96 DEFRONTE COM A RUA SOLDADO SEBASTIAO FELICIO</t>
  </si>
  <si>
    <t>AVENIDA DAS GUEIXAS ESQUINA COM A RUA NARITA</t>
  </si>
  <si>
    <t>RUA SOLDADO OSVALDO LELLIS ESQUINA COM RUA SOLDADO FRANCISCO GOMES DE SOUZA</t>
  </si>
  <si>
    <t>TRAVESSA ALEXIS 26 DEFRONTE A PRACA PAULO STUART WRIGHT</t>
  </si>
  <si>
    <t>RUA DAMIANA DA CUNHA ESQUINA COM ALAMEDA AFONSO ACHMIDT</t>
  </si>
  <si>
    <t>RUA ENGENHEIRO MAC LEAN ESQUINA COM  RUA MARIO ARAUJO</t>
  </si>
  <si>
    <t>RUA BARAO DE LUCENA ESQUINA COM RUA ANA RIBEIRO</t>
  </si>
  <si>
    <t>RUA FAUSTO LEX 626 PROXIMO A ESQUINA DA RUA MATOS DUARTE</t>
  </si>
  <si>
    <t>AVENIDA RAIMUNDO PEREIRA DE MAGALHAES ESQUINA COM A RUA SOLDADO JOAO DE OLIVEIRA</t>
  </si>
  <si>
    <t>RUA LUCIA CAIAFA PROXIMO A ESQUINA COM A RUA MAJOR PROCOPIO</t>
  </si>
  <si>
    <t>RUA MENDONCA UCHOA ESQUINA COM RUA GENERAL ULHOA CINTRA</t>
  </si>
  <si>
    <t>RUA TOMAZ ANTONIO VILLANI 178 DEFRONTE COM A RUA HENRIQUE ALMEIDA</t>
  </si>
  <si>
    <t>RUA PARAPUA ENTRE AS RUAS PINTO CARVALHO E JACUTIBA</t>
  </si>
  <si>
    <t>AVENIDA ITABERABA ESQUINA COM RUA BAIAO PARENTE</t>
  </si>
  <si>
    <t>RUA EMILIO LAMBERT 141 NO FINAL DELA</t>
  </si>
  <si>
    <t>RUA DOUTOR VAZ DO AMARAL ESQUINA COM RUA MESTRAS PIAS FILIPPINI</t>
  </si>
  <si>
    <t>RUA CATANDUVAS DO SUL 468</t>
  </si>
  <si>
    <t>RUA NOSSA SENHORA DO LIVRAMENTO 255 DEFRONTE A RUA DIABASE</t>
  </si>
  <si>
    <t>RUA BARNABE COUTINHO 711</t>
  </si>
  <si>
    <t>RUA SIMAO VELHO DEFRONTE AO ACESSO A AVENIDA MIGUEL CONEJO</t>
  </si>
  <si>
    <t>AVENIDA BARTOLOMEU FARIA ESQUINA COM RUA MANOEL DE ARZAO</t>
  </si>
  <si>
    <t>RUA MARIO PANCINI ESQUINA COM A RUA DA BONANCA</t>
  </si>
  <si>
    <t>RUA VALDEMAR MARTINS PROXIMO A ESQUINA COM AVENIDA CASA VERDE</t>
  </si>
  <si>
    <t>ALAMEDA AFONSO SCHMIDT ESQUINA COM RUA DONA ELFRIDA</t>
  </si>
  <si>
    <t>RUA VALDEMAR MARTINS ESQUINA COM AVENIDA CASA VERDE</t>
  </si>
  <si>
    <t>RUA MIRANTE ESQUINA COM AVENIDA LEONCIO DE MAGALHAES</t>
  </si>
  <si>
    <t>RUA GRACIEMA NOBRE DE CAMPOS ESQUINA COM RUA IGUAPE</t>
  </si>
  <si>
    <t>RUA DONA LUIZA TOLLE ESQUINA COM RUA AUGUSTO TOLLE</t>
  </si>
  <si>
    <t>RUA DOUTOR LIZ NAZARENO DE ASSUMPCAO ESQUINA COM ORLANDO DA COSTA MEIRA</t>
  </si>
  <si>
    <t>RUA MARIQUINHA VIANA PROXIMO A ESQUINA COM AVENIDA ENGENHEIRO CAETANO ALVARES</t>
  </si>
  <si>
    <t>RUA SARGENTO MOR RAMALHO ESQUINA COM A RUA PEDRO CACUNDA</t>
  </si>
  <si>
    <t>RUA ANGELO ALOISIO 122 EDIFICIO BARRETOS</t>
  </si>
  <si>
    <t>RUA ALMIR RODRIGUES 303 ESQUINA COM AS RUAS BARTOLOMEU CORDOVIL E DOUTOR IVAN PINHEIRO</t>
  </si>
  <si>
    <t>PRACA MORRO DO CHAPEU 415 PROXIMO AVENIDA ANTENOS NAVARRO</t>
  </si>
  <si>
    <t>RUA VICENTE SOARES DA COSTA 139 DEFRONTE COM RUA SILVERIO GONCALVES</t>
  </si>
  <si>
    <t>RUA ROZO LAGOA 349 ENTRE A RUA QUIRINO E RUA MANOEL DE OLIVEIRA P. JUNIOR</t>
  </si>
  <si>
    <t>RUA VALDEMAR MARTINS DEFRONTE COM RUA FRANCISCO DIOGO</t>
  </si>
  <si>
    <t>RUA ACANGAPIRANGA ESQUINA COM A RUA DOUTOR JOAO TONIOLO</t>
  </si>
  <si>
    <t>RUA EDUARDO VITOR DE LAMARE ESQUINA COM A RUA BRIGADEIRO CORREIA DE MELO</t>
  </si>
  <si>
    <t>RUA LUCIA CAIAFA DEFRONTE A RUA JOSE ALBANO</t>
  </si>
  <si>
    <t>AVENIDA RAIMUNDO PEREIRA DE MAGALHAES 3490 PROXIMO A ESQUINA DA RUA LORD CLEMENTE ATTLEE</t>
  </si>
  <si>
    <t xml:space="preserve">RUA ELZA GUIMARAES ENTRE A RUA ACHILES ANTUNES DE LEMOS E A TRAVESSA ANTONIO VERSO </t>
  </si>
  <si>
    <t>RUA FELISBERTO FREIRE 555 PROXIMO A ESQUINA COM RUA ALMIR RODRIGUES</t>
  </si>
  <si>
    <t>RUA ALEXANDRE DE MIRANDA ESQUINA COM RUA CESAR PENHA CAMPOS</t>
  </si>
  <si>
    <t>RUA MARECHAL HERMES DA FONSECA 237 ENTRE A RUA ENGENHEIRO MAC LEAN E A TRAVESSA CARLOS FABBRI</t>
  </si>
  <si>
    <t>RUA EZEQUIEL FREIRE ESQUINA COM A RUA DOUTOR OLAVO EGIDIO</t>
  </si>
  <si>
    <t>RUA CRISTOVAO ARRAES  ESQUINA COM RUA BENJAMIN PEREIRA</t>
  </si>
  <si>
    <t>RUA NUNES GARCIA ESQUINA COM RUA VOLUNTARIOS DA PATRIA</t>
  </si>
  <si>
    <t>AVENIDA DEPUTADO EMILIO CARLOS ESQUINA COM RUA GUARABIRA</t>
  </si>
  <si>
    <t>RUA SANTA TEREZA ENTRE A RUA CRAVO VERMELHO E A RUA DALIAS AMARELAS</t>
  </si>
  <si>
    <t>AVENIDA PARADA PINTO ESQUINA COM RUA VINTE DE JULHO</t>
  </si>
  <si>
    <t>AVENIDA JARDIM JAPAO 918</t>
  </si>
  <si>
    <t>RUA FRANKLIN DO AMARAL 1372 ESQUINA COM RUA PEDRO VITORINO</t>
  </si>
  <si>
    <t>AVENIDA GENERAL ATALIBA LEONEL ESQUINA COM RUA JOVITA</t>
  </si>
  <si>
    <t>AVENIDA JARDIM JAPAO 784</t>
  </si>
  <si>
    <t>RUA DONA ELFRIDA 751</t>
  </si>
  <si>
    <t>RUA PROFESSOR MARCONDES DOMINGUES ESQUINA COM AVENIDA GENERAL ATALIBA LEONEL</t>
  </si>
  <si>
    <t>RUA PROFESSORA JACIRA DE CARVALHO ESQUINA COM A AVENIDA GUAPIRA</t>
  </si>
  <si>
    <t>RUA IRMA EMERECIANA ESQUINA COM A AVENIDA LUIS STAMATIS</t>
  </si>
  <si>
    <t>RUA CONSELHEIRO SARAIVA ESQUINA COM A ZRUA MACHADO PEDROSA</t>
  </si>
  <si>
    <t>RUA JOVITA ESQUINA COM RUA DOUTOR OLAVO EGIDIO</t>
  </si>
  <si>
    <t>RUA MARECHAL HERMES DA FONSECA ESQUINA COM RUA TIJUCA PAULISTA</t>
  </si>
  <si>
    <t>RUA IGARITE ESQUINA COM RUA ITAPUA</t>
  </si>
  <si>
    <t>RUA DOUTOR GABRIEL PIZA ESQUINA COM RUA JOVITA</t>
  </si>
  <si>
    <t>RUA WILSON DUPONT 30 PROXIMO A ESQUINA COM RUA CONEGO MANOEL VAZ</t>
  </si>
  <si>
    <t>RUA DUARTE DE AZEVEDO ESQUINA COM A RUA JOSE LEAL DA SILVA</t>
  </si>
  <si>
    <t>RUA CARLOS DOS SANTOS ESQUINA COM A RUA CRISCIUMA</t>
  </si>
  <si>
    <t>AVENIDA AGENOR COUTO DE MAGALHAES 420 DEFRONTE A RUA PROFESSOR FERREIRA DA SILVA</t>
  </si>
  <si>
    <t>AVENIDA AMADOR BUENO DA VEIGA ESQUINA COM A RUA MAJOR RUDGE</t>
  </si>
  <si>
    <t>RUA ARROIO TRIUNFO ENTRE A RUA MARCIO BECK MACHADO E A RUA ARROIO ARAPONGAS</t>
  </si>
  <si>
    <t>AVENIDA DRACENA 556 ESQUINA COM A RUA DIOGO PIRES</t>
  </si>
  <si>
    <t>RUA CACHOEIRA DO CAMPO GRANDE ESQUINA COM A TRAVESSA CESARE ZOILO</t>
  </si>
  <si>
    <t>RUA ADOLFO DE SOUZA CARNEIRO ESQUINA COM A RUA FRANCISCO BASILIO DE MELO</t>
  </si>
  <si>
    <t>RUA MARSELHA 701</t>
  </si>
  <si>
    <t>RUA ENGENHEIRO VITOR FREIRE 327</t>
  </si>
  <si>
    <t>RUA GENERAL BITTENCOURT ESQUINA COM RUA JOAO LOPES AMORIM</t>
  </si>
  <si>
    <t>RUA ANTONIO CAVAZAN ESQUINA COM RUA ARMANDO COELHO SILVA</t>
  </si>
  <si>
    <t>AVENIDA IMIRIM ESQUINA COM RUA MANUEL PITTA</t>
  </si>
  <si>
    <t>RUA ALBERT EINSTEIN ESQUINA COM AV GIOVANI GRONCHI</t>
  </si>
  <si>
    <t>RUA SAO BRAULIO 417</t>
  </si>
  <si>
    <t>RUA SCHILING ESQUINA COM A RUA CARLOS WEBER</t>
  </si>
  <si>
    <t>RUA ZILDA ESQUINA COM AVENIDA ENGENHEIRO CAETANO ALVARES</t>
  </si>
  <si>
    <t>RUA DOS NENUFARES ESQUINA COM RUA DAS BEGONIAS</t>
  </si>
  <si>
    <t>RUA  NANUQUE 242 ESQ COM A RUA SHILLING</t>
  </si>
  <si>
    <t>RUA NICOLA NICODEMO ESQUINA COM AVENIDA LASAR SEGALL</t>
  </si>
  <si>
    <t>AVENIDA PROFESSOR GIOIA MARTINS ESQUINA COM A RUA PROFESSOR DIAS CASTEJON</t>
  </si>
  <si>
    <t>RUA PAULO BIFANO ALVES ESQUINA COM AVENIDA BOTURUSSU</t>
  </si>
  <si>
    <t>RUA CANTAGALO ESQUINA COM A RUA NOVA JERUSALEM</t>
  </si>
  <si>
    <t>RUA OLAVO EGIDIO DE SOUZA ARANHA ESQUINA COM A RUA NONOAI</t>
  </si>
  <si>
    <t>PRACA DA FELICIDADE PROXIMO A RUA RUBENS GRISOLIA</t>
  </si>
  <si>
    <t>RUA VINTE E UM DE SETEMBRO PROX A AVENIDA JOAO BATISTA</t>
  </si>
  <si>
    <t>RUA  DOUTOR AZAEL LOBO ESQUINA COM A RUA BOAVENTURA RODRIGUES DA SILVA</t>
  </si>
  <si>
    <t>RUA FABIO JOSE BEZERRA ESQUINA COM A RUA SAO JOAQUIM DA BARRA</t>
  </si>
  <si>
    <t>RUA DONA LUIZA TOLE ESQUINA COM A RUA ANTONIO PEREIRA DE SOUZA</t>
  </si>
  <si>
    <t>ESTRADA DO ALVARENGA 389 PROXIMO A RUA JOAO DE ARAUJO</t>
  </si>
  <si>
    <t>AVENIDA ENGENHEIRO EUSEBIO STEVAUX ESQUINA COM AVENIDA INTERLAGOS</t>
  </si>
  <si>
    <t>RUA PROFESSOR CORREIA BRITO ESQUINA COM ESTRADA DO ALVARENGA</t>
  </si>
  <si>
    <t>ESTRADA DO ALVARENGA 1485 ESQUINA COM RUA ENGENHEIRO FLAVIO DA COSTA</t>
  </si>
  <si>
    <t>RUA JUARANA ESQUINA COM RUA DO CANAVIAL</t>
  </si>
  <si>
    <t>RUA TAPERIBA ESQUINA COM AVENIDA CELSO DOS SANTOS</t>
  </si>
  <si>
    <t>RUA FERNANDO PESSOA 404 DEFRONTE COM A RUA GIL VICENTE</t>
  </si>
  <si>
    <t>RUA AGUAS VIRTUOSAS ESQUINA COM AVENIDA ENGENHEIRO CAETANO ALVARES</t>
  </si>
  <si>
    <t>RUA ZILDA ESQUINA COM RUA CESAR PENHA RAMOS</t>
  </si>
  <si>
    <t>RUA MANDIBA ESQUINA COM RUA EPAMINONDAS MELO DO AMARAL</t>
  </si>
  <si>
    <t>AVENIDA EPAMINONDAS MELO DO AMARAL ESQUINA COM RUA ADAO MARTINS DE ALMEIDA CASTILHO</t>
  </si>
  <si>
    <t>RUA JOERG BRUDER PROXIMO A ESQUINA COM A  RUA OSCAR RODRIGUES CAJADO FILHO</t>
  </si>
  <si>
    <t>AVENIDA CARLOS QUEIROZ TELLES PROXIMO A RUA DIEGO DE CASTILHO</t>
  </si>
  <si>
    <t>RUA DR JOSE GUSTAVO BUSH PROXIMO A RUA PROFESSOR ALEXANDRE CORREIA</t>
  </si>
  <si>
    <t>RUA ROQUE PETRELLA ESQUINA COM A RUA GABRIEL DE LARA</t>
  </si>
  <si>
    <t>RUA PROFESSOR DAIJIRO MATSUDA ESQUINA COM A RUA IRAUNA</t>
  </si>
  <si>
    <t>RUA NOVA YORK ESQUINA COM A RUA GUARARAPES</t>
  </si>
  <si>
    <t>AVENIDA SANTA MONICA 593 NO INTERIOR DO CONDOMINIO PARQUE RESIDENCIAL SANTA MONICA AO LADO DO BLOCO 6A VAGA DE CARRO 821</t>
  </si>
  <si>
    <t>RUA FIDELIS ALVES DA COSTA 593 INTERIOR DO RESIDENCIAL SANTA MONICA PORTARIA 2 BLOCO 14 VAGA DO ESTACIONAMENTO 722</t>
  </si>
  <si>
    <t>RUA VIEIRA DA SILVA ESQUINA COM A RUA JACERU</t>
  </si>
  <si>
    <t>AVENIDA JOSE HIGINO NEVES</t>
  </si>
  <si>
    <t>RUA JOSE DE RICCI ESQUINA COM A RUA ANTONIO PEREIRA SIMOES</t>
  </si>
  <si>
    <t>RUA IGARAPE AGUA AZUL 85 DEFRONTE A RUA NASCER DO SOL</t>
  </si>
  <si>
    <t>NO INTERIOR DO CEAGESP NA CALCADA DO PAVILHAO HFA</t>
  </si>
  <si>
    <t>RUA GENERAL PEREIRA DA CUNHA 300</t>
  </si>
  <si>
    <t>RUA DOUTOR CLOVIS GARCIA 97</t>
  </si>
  <si>
    <t>VILA SÃO PEDRO</t>
  </si>
  <si>
    <t>RUA  VITO BOVINO PROXIMO A RUA DR CELSO MENZEN DE GODOI</t>
  </si>
  <si>
    <t>RUA SHOBEE KUMAGAI ESQUINA A RUA FRANCISCO ANTONIO MIRANDA</t>
  </si>
  <si>
    <t>VIA PROFESSOR SIMAO FAIGUENBOIN 24134</t>
  </si>
  <si>
    <t>RUA DIAS VIEIRA 564 ESQUINA COM A RUA ANDRE SARAIVA</t>
  </si>
  <si>
    <t>RUA ALZIRA ALVES DOS SANTOS PROXIMO A RUA VALMIQUI</t>
  </si>
  <si>
    <t>RUA GUARAIUVA ESQUINA COM A RUA GEORGIA</t>
  </si>
  <si>
    <t>RUA BREJO ALEGRE PROXIMO DA ESQUINA COM A RUA INES PEREIRA</t>
  </si>
  <si>
    <t>RUA ARMANDO MARTINDO DEFRONTE A RUA SEVERINO VILAR FILHO</t>
  </si>
  <si>
    <t>RUA EDGAR DE SOUZA ESQUINA COM RUA CORONEL PEDRO DIAS DE CAMPOS</t>
  </si>
  <si>
    <t>RUA BRIGADEIRO ELOY PESSOAS ESQUINA COM A RUA WILLIAN LINDSAY</t>
  </si>
  <si>
    <t>RUA JOAO DE ARAUJO ESQUINA COM A RUA BRASIL</t>
  </si>
  <si>
    <t>AVENIDA NOSSA SENHORA DO SABARA ESQUINA COM A RUA JOAQUIM NEVES MONTEIRO</t>
  </si>
  <si>
    <t>RUA TOBIAS DE BARROS 168 NO FINAL DA RUA</t>
  </si>
  <si>
    <t>RUA RUI PINTO ESQUINA COM A RUA ASCENCIO RIBEIRO</t>
  </si>
  <si>
    <t>RUA DOUTOR WILTON PAES DE ALMEIDA 248 ESQUINA COM A AVENIDA AMARILIS</t>
  </si>
  <si>
    <t>RUA MINISTRO ROBERTO CARDEOSO ALVES ESQUINA COM A RUA GRAMBELL</t>
  </si>
  <si>
    <t>RUA SANTO ALBERTO ESQUINA COM A RUA JOAO DA SILVA MORAES</t>
  </si>
  <si>
    <t>AVENIDA NOSSA SENHORA DO SABARA PROXIMO A RUA JOSE MARTINS COELHO</t>
  </si>
  <si>
    <t>VILA SABARÁ</t>
  </si>
  <si>
    <t>RUA DOUTOR PAULO AIRES NETO ESQUINA COM A RUA NYARA</t>
  </si>
  <si>
    <t>RUA SAO FRANCISCO XAVIER ESQUINA COM A RUA SAO ESTANISLAU</t>
  </si>
  <si>
    <t>AVENIDA NOSSA SENHORA DO SABARA ESQUINA COM A RUA ARISTEU DIAS LEME</t>
  </si>
  <si>
    <t>RUA AMOIPIRA ESQUINA COM AVENIDA NOSSA SENHORA DO SABARA</t>
  </si>
  <si>
    <t>RUA GENERAL CHARLES DE GAULLE ESQUINA COM A RUA ABRAHAM LINCOLM</t>
  </si>
  <si>
    <t>RUA PROFESSORA ALTINA MAYNARD ARAUJO 536 DEFRONTE A RUA PROFESSOR AGNALDO SIMOES</t>
  </si>
  <si>
    <t>RUA RODEIO PROXIMO DA ESQUINA COM A AVENIDA ARICANDUVA</t>
  </si>
  <si>
    <t>AVENIDA SARGENTO GERALDO SANTANA 683 NO INTERIOR DO CONDOMINIO BOSQUES DO SUL</t>
  </si>
  <si>
    <t>RUA CAPITAO CALMAN DE MORICZ TECSO 65 NO FINAL DA RUA</t>
  </si>
  <si>
    <t>RUA ELIAS ANTONIO ZOGBI ESQUINA COM A RUA BENEDITO FERNANDES</t>
  </si>
  <si>
    <t>RUA MANUEL MURGUIA DEFRONTE A RUA JOAO GOMES BATISTA</t>
  </si>
  <si>
    <t>RUA BOA FAMILIA 99 PROXIMO A ESQUINA COM A RUA IJACI</t>
  </si>
  <si>
    <t>AVENIDA ALBERTO DE FARIA CARDOSO ESQUINA COM A RUA MARINHA DE MOURA PIMENTA</t>
  </si>
  <si>
    <t>AVENIDA OTACILIO TOMANIK ESQUINA COM A TRAVESSA IAPU</t>
  </si>
  <si>
    <t>RUA ELIAS ANTONIO ZOGBI 140 ESQUINA COM A AVENIDA VITOR MANZINI</t>
  </si>
  <si>
    <t>AVENIDA ESCOLA POLITECNICA NO RETORNO DA PRACA JORNALISTA EDUARDO CASTOR BORGONOVIA</t>
  </si>
  <si>
    <t>RUA CAPITAO MILITAO ESQUINA COM A RUA SILVIO DE SOUSA</t>
  </si>
  <si>
    <t>RUA CORDOVA ESQUINA COM A RUA MONSENHOR JOAQUIM DE CAMPOS</t>
  </si>
  <si>
    <t>AVENIDA PEDRO DE AVOS ESQUINA COM A RUA DIAS DE ALMEIDA</t>
  </si>
  <si>
    <t>RUA PASCOAL VALVA ESQUINA COM A AVENIDA SENADOR VITORIO FREIRE</t>
  </si>
  <si>
    <t>DIADEMA</t>
  </si>
  <si>
    <t>AVENIDA ARICANDUVA 12136 AO LADO DA PORTARIA DO CONDOMINIO FLORES PARQUE DO CARMO</t>
  </si>
  <si>
    <t>AVENIDA NOSSA SENHORA DO SABARA ESQUEINA COM A RUA GREGORIO FERREIRA</t>
  </si>
  <si>
    <t>RUA DO ORATORIO ESQUINA COM RUA PROFESSOR RAUL BRIQUET</t>
  </si>
  <si>
    <t>AVENIDA PAES DE BARROS ESQUINA COM A RUA JAPURUCHITA    NA CALCADA DO POSTO</t>
  </si>
  <si>
    <t>RUA MANAUS ESQUINA COM A RUA BARRETOS</t>
  </si>
  <si>
    <t>AVENIDA VILA EMA ESQUINA COM A RUA ANTONIO GOMES</t>
  </si>
  <si>
    <t>AVENIDA PIRES DO RIO DEFRONTE COM A RUA CHARRUA PENICHE</t>
  </si>
  <si>
    <t>RUA ORLANDO FRATUCELLI 55 PROXIMO A ESQUINA COM  AVENIDA PIRES DO RIO</t>
  </si>
  <si>
    <t>AVENIDA CELSO GARCIA 2725 POSTO BELEM</t>
  </si>
  <si>
    <t>AVENIDA GUILHERME GIORGI ESQUINA COM RUA BOREAL</t>
  </si>
  <si>
    <t>RUA ANTONIO DE BARROS DEFRONTE A RUA AGUAPEI</t>
  </si>
  <si>
    <t>RUA MANOEL FERREIRA PIRES DE FRONTE COM AVENIDA CIPRIANO RODRIGUES</t>
  </si>
  <si>
    <t>RUA CORREIA DE LACERDA ESQUINA COM A AVENIDA ALBERTO CAMUS</t>
  </si>
  <si>
    <t>AVENIDA CARNEIRO RIBEIRO ESQUINA COM A RUA LINDOLFO COLLOR</t>
  </si>
  <si>
    <t>AVENIDA ESCRAGNOLLE DORIA ESQUINA COM AVENIDA MONSENHOR ANTONIO CASTRO</t>
  </si>
  <si>
    <t>RUA SILVIO BRANT CORREIA ESQUINA COM ADOLFO SCHNABEL</t>
  </si>
  <si>
    <t>RUA ORFANATO ESQUINA COM A RUA MARQUES DE PRAIA GRANDE</t>
  </si>
  <si>
    <t>RUA ALMIRANTE CALHEIROS ESQUINA COM A RUA ANDRE VIDAL</t>
  </si>
  <si>
    <t>RUA CAMPO LARGO ESQUINA COM A RUA NATAL</t>
  </si>
  <si>
    <t>RUA PROFESSOR MARIA JOSE BARONE FERNANDES ESQUINA COM A RUA TOMAS SPEERS</t>
  </si>
  <si>
    <t>RUA JOSE DE ALCANTARA ESQUINA COM A AVENIDA BARRO BRANCO</t>
  </si>
  <si>
    <t>RUA CARLO MANNELI ESQUINA COM A RUA GUABIROBA  DE MINAS</t>
  </si>
  <si>
    <t>RUA SUZANO DE MELO ESQUINA COM A AVENIDA MONSENHOR AGNELO</t>
  </si>
  <si>
    <t>AVENIDA DOUTOR EDUARDO COTCHING 166 PROXIMO DA ESQUINA COM A RUA ARGONAUTAS</t>
  </si>
  <si>
    <t>AVENIDA JOAO XXII ESQUINA COM A AVENIDA ANTONIO MANOGRASSO</t>
  </si>
  <si>
    <t>RUA CURUENA NO FINAL DA RUA</t>
  </si>
  <si>
    <t>RUA JOSE FRANCO SILVA 23 DEFRONTE A ESTRADA DAS CACHOEIRAS</t>
  </si>
  <si>
    <t>AVENIDA MARECHAL FIUZA DE CASTRO 435 NO INTERIOR DO CONDOMINIO DE PREDIOS</t>
  </si>
  <si>
    <t>RUA EMILIO DE SOUZA DOCCA ESQUINA COM A RUA CORIOLANO DURAND</t>
  </si>
  <si>
    <t>AVENIDA CUPECE ESQUINA COM A RUA JACINTO PAES</t>
  </si>
  <si>
    <t>RUA EVANGELINA ESQUINA COM A RUA RENATO RINALDI</t>
  </si>
  <si>
    <t>RUA JOSE DA ROCHA VITA ESQUINA COM A AVENIDA SAPOPEMBA</t>
  </si>
  <si>
    <t>RUA DA MOOCA ESQUINA COM A RUA TAQUARI</t>
  </si>
  <si>
    <t>RUA GELASIO PIMENTA ESQUINA COM A RUA SANTA BLANDINA</t>
  </si>
  <si>
    <t>RUA CONDE PRATES ESQUINA COM A RUA ETIOPIA</t>
  </si>
  <si>
    <t>RUA ITAJAI ESQUINA COM A RUA HIPIAS</t>
  </si>
  <si>
    <t>RUA ITAJAI ESQUINA COM A RUA DO HIPODROMO</t>
  </si>
  <si>
    <t>RUA FRANCISCA DE PAULA DEFRONTE A RUA VIRGGINIA</t>
  </si>
  <si>
    <t>MAJOR BASILIO DEFRONTE A RUA SIQUEIRA BUENO</t>
  </si>
  <si>
    <t>RUA DA MOOCA PROXIMO DA ESQUINA COM A RUA BARRETOS</t>
  </si>
  <si>
    <t>RUA IRMA PAULA LOEBENSTEIN ESQUINA COM A RUA SEBASTIAO PEREIRA DE SOUSA</t>
  </si>
  <si>
    <t>RUA HERVAL ESQUINA COM A RUA MARQUES DE ABRANTES</t>
  </si>
  <si>
    <t>RUA OSWALDO AROUCA ESQUINA COM A RUA BENEDITO GALVAO</t>
  </si>
  <si>
    <t>RUA DO ORATORIO ESQUINA COM RUA VISCONDE DE INHOMERIM</t>
  </si>
  <si>
    <t>RUA CUIABA ESQUINA COM RUA ANTUNES MACIEL</t>
  </si>
  <si>
    <t>RUA ALVARO RAMOS ESQUINA COM A RUA PADRE ADELINO</t>
  </si>
  <si>
    <t>AVENIDA ENGENHEIRO HEITOR ANTONIO EIRAS GARCIA 772</t>
  </si>
  <si>
    <t>RUA AMARAL LEMOS 348 ESQUINA COM A RUA PROFESSORA JULIETA CALDAS FERRAZ</t>
  </si>
  <si>
    <t>RUA RAMONDETTI GIACOMO 157 COM RUA TEN NERCIO LEONI</t>
  </si>
  <si>
    <t>AVENIDA ZELINA 236 ESQUINA COM RUA MAL MALLET</t>
  </si>
  <si>
    <t>RUA JOAO AFONSO PARALELO A AVENIDA PROFESSOR LUIZ IGNACIO ANHAIA MELO</t>
  </si>
  <si>
    <t>RUA APINACO ESQUINA GALILEU GAIA</t>
  </si>
  <si>
    <t>RUA GALILEU GAIA ESQUINA COM A RUA AMADEU CORNADO MARTI</t>
  </si>
  <si>
    <t>RUA PLANETA PROXIMO DA ESQUINA COM A AVENIDA SAPOPEMBA</t>
  </si>
  <si>
    <t>AVENIDA MATEO BEI ESQUINA COM A RUA DOUTOR RAUL MANDO SAYAO FILHO</t>
  </si>
  <si>
    <t>RUA FELISBELA GONCALVES 73</t>
  </si>
  <si>
    <t>RUA JOSE DOS REIS ESQUINA COM A RUA INACIO</t>
  </si>
  <si>
    <t>AVENIDA CUPECE PROXIMO A AVENIDA SENADOR VITORINO  FREIRE</t>
  </si>
  <si>
    <t>RUA DOMINICIANO LEITE RIBEIRO ESQUINA COM RUA MARINGA</t>
  </si>
  <si>
    <t>RUA TUTOIA ESQUINA COM A RUA TOMAS CARVALHAL</t>
  </si>
  <si>
    <t>RUA AUREA ESQUINA COM AVENIDA CONSELHEIRO RODRIGUES ALVES</t>
  </si>
  <si>
    <t>RUA JOSE ANTONIO COELHO ESQUINA COM A RUA ARTUR DE ALMEIDA</t>
  </si>
  <si>
    <t>RUA CLIMACO BARBOSA PROXIMO DA ESQUINA COM A RUA BARAO DE JAGUARA</t>
  </si>
  <si>
    <t>RUA BARAO DE JARAGUA ESQUINA COM A RUA JERONIMO DE ALBUQUERQUE</t>
  </si>
  <si>
    <t>RUA REGO FREITAS ESQUINA COM A RUA EPITACIO PESSOA</t>
  </si>
  <si>
    <t>RUA ALMEIDA TORRES ESQUINA COM A RUA ALBINA BARBOSA</t>
  </si>
  <si>
    <t>RUA TENENTE AZEVEDO DEFRONTE A RUA JOAQUIM PIZA</t>
  </si>
  <si>
    <t>RUA ALCANTARA ESQUINA COM A RUA GURANESIA</t>
  </si>
  <si>
    <t>RUA MARQUES DE ITU ESQUINA COM A ZRUA REGO FREITAS</t>
  </si>
  <si>
    <t>RUA BARAO DE TATUI ESQUINA COM RUA JAGUARIBE</t>
  </si>
  <si>
    <t>RUA ABILIO SOARES 1874 ESQUINA AVENIDA PEDRO ALVARES CABRAL</t>
  </si>
  <si>
    <t>RUA CESARIO RAMALHO ESQUINA COM A RUA DOS ALPES</t>
  </si>
  <si>
    <t>RUA CORNELIO DE ARZAO ESQUINA COM A RUA BENTO RODRIGUES CALDEIRA</t>
  </si>
  <si>
    <t>RUA PADRE VIRGILIO CAMPELLO ESQUINA COM A RUA MARCO ANTONIO SETTI</t>
  </si>
  <si>
    <t>PREDIO DA BIENAL NO INTERIOR DO PARQUE DO IBIRAPUERA</t>
  </si>
  <si>
    <t>RUA NELSON PROXIMO A ESQUINA COM A RUA SAPIENZA</t>
  </si>
  <si>
    <t>RUA PAULO TAPAJOS ESQUINA COM A RUA PADRE VIRGILIO CAMPELO</t>
  </si>
  <si>
    <t>AVENIDA ANTONIO DE SOUZA NOSCHESE ESQUINA COM A RUA AUREO DE ALMEIDA CAMARGO</t>
  </si>
  <si>
    <t>RUA PAES BARRETO ESQUINA COM AVENIDA NADIR DIAS DE FIGUEIREDO</t>
  </si>
  <si>
    <t>PRACA JOAQUIM JOSE DA NOVA ESQUINA COM AVENIDA ALBERTO BYINGTON</t>
  </si>
  <si>
    <t>RUA CESARIO RAMALHO ESQUINA COM A RUA JUSTO AZAMBUJA</t>
  </si>
  <si>
    <t>RUA MARIA CANDIDA ESQUINA COM A PRACA OSCAR SILVA</t>
  </si>
  <si>
    <t>LARGO DO AROUCHE ESQUINA COM A RUA REGO FREITAS</t>
  </si>
  <si>
    <t>RUA MARINHO ARCANJO DOS SANTOS ESQUINA COM TRAVESSA BAIA DE EMBORAI</t>
  </si>
  <si>
    <t>RUA TENENTE OTAVIANO GOMES ESQUINA COM A RUA TAMANDARE</t>
  </si>
  <si>
    <t>AVENIDA AURO SOARES DE MOURA ANDRADE DEFRONTE AO TERMINAL BARRA FUNDA</t>
  </si>
  <si>
    <t>RUA MORGADO DE MATEUS ESQUINA COM A RUA HUMBERTO I</t>
  </si>
  <si>
    <t>RUA DOUTOR MOISES KAHAN PROXIMO A ESQUINA DA AVENIDA THOMAS EDISON</t>
  </si>
  <si>
    <t>RUA CARAVALEAS ESQUINQ COM A RUA DOUTOR ASTOLFO ARAUJO    CALCADA DO INSTITUTO DANTE PAZANELLI</t>
  </si>
  <si>
    <t>RUA DOUTOR AMANCIO DE CARVALHO ESQUINA COM A RUA PELOTAS</t>
  </si>
  <si>
    <t>RUA MINISTRO GODOY PROXIMO A ESQUINA COM A AVENIDA FRANCISCO</t>
  </si>
  <si>
    <t>AVENIDA AURO SOARES DE MOURA ANDRADE ESQUINA COM A RUA WILFRIDES ALVES DE LIMA</t>
  </si>
  <si>
    <t>RUA DOUTOR PAULO NOGUEIRA FILHO ESQUINA COM A AVENIDA CORIFEU DE AZEVEDO MARQUES</t>
  </si>
  <si>
    <t xml:space="preserve">AVENIDA OTACILIO TOMANIK 213 </t>
  </si>
  <si>
    <t>RUA SOBRAL JUNIOR 279 PROXIMO DA ESQUINA COM A RUA IACANGA</t>
  </si>
  <si>
    <t>AVENIDA NOSSA SENHORA DA ASSUNCAO ESQUINA COM A RUA GENERAL FRANCISCO BORGES DE FARIA</t>
  </si>
  <si>
    <t>PRACA SA PINTO ESQUINA COM A RUA TONELERO</t>
  </si>
  <si>
    <t>AVENIDA SAO REMO ESQUINA COM A RUA BALTAZAR RABELO</t>
  </si>
  <si>
    <t>RUA VOTUPOCA PROXIMO DA ESQUINA COM A RUA MOTA PAIS</t>
  </si>
  <si>
    <t>NA ENTRADA 01 DO PREDIO DO CONJUNTO DAS QUIMICAS USP NA AVENIDA PROFESSOR LINEU PRESTES</t>
  </si>
  <si>
    <t>RUA BLAS DO PRADO 356 ENTRE AS RUAS MARCO RUTINI E RUA DOM LUIS DE SAXE</t>
  </si>
  <si>
    <t>TRAVESSA OSWALDO ZAMBON FILHO NO FINAL DA TRAVESSA A DIREITA</t>
  </si>
  <si>
    <t>PARQUE PALMAS DO TREMEMBÉ</t>
  </si>
  <si>
    <t>RUA CORONEL MELO OLIVEIRA ESQUINA COM A AVENIDA POMPEIA</t>
  </si>
  <si>
    <t>RUA NOVAIS JUNIOR ESQUINA COM A RUA COTOXO</t>
  </si>
  <si>
    <t>RUA SCIPIAO ESQUINA COM A RUA FAUSTOLO</t>
  </si>
  <si>
    <t>AVENIDA ALFONSO BOVERO ESQUINA COM A AVENIDA POMPEIA</t>
  </si>
  <si>
    <t>RUA CRISTIANO VIANA FINAL DA RUA ESCADAO CARDEAL ARCO VERDE</t>
  </si>
  <si>
    <t>RUA OURANIA 120</t>
  </si>
  <si>
    <t>RUA CRISTIANO VIANA ESQUINA COM A RUA GABRIEL DE BRITO</t>
  </si>
  <si>
    <t>RUA SOLDADO JOSE ANTONIO MOREIRA 498 PROXIMO A RUA SOLDADO JOAO RODRIGUES</t>
  </si>
  <si>
    <t>AVENIDA DAS CEREJEIRAS DENTRO DA PRACA TOKIO</t>
  </si>
  <si>
    <t>RUA SOLDADO DIONISIO CHAGAS ESQUINA COM AVENIDA TENENENTE AMARO FELICISSIMO</t>
  </si>
  <si>
    <t>RUA TUCUNA 1235</t>
  </si>
  <si>
    <t>RUA DOS ALIADOS 557 PROXIMO DA ESQUINA COM A PRACA MARIA JOSE FELIPE</t>
  </si>
  <si>
    <t>RUA PONTA PORA 606 DEFRONTE A RUA CAMBURIU</t>
  </si>
  <si>
    <t>RUA PONTA PORA 895</t>
  </si>
  <si>
    <t>RUA BELMONTE ESQUINA COM A RUA DOS ALIADOS</t>
  </si>
  <si>
    <t>RUA CONSELHEIRO OLEGARIO 184 DEFRONTE A RUA CONSELHEIRO CANDIDO DE OLIVEIRA</t>
  </si>
  <si>
    <t>RUA PROF CIRIDIAO BUARQUE 74</t>
  </si>
  <si>
    <t>RUA ALCINDO GUANABARA DEFRONTE A RUA LAURINDO RABELO</t>
  </si>
  <si>
    <t>RUA EULALIA BASTOS ESQUINA COM AVENIDA NOVA CANTAREIRA</t>
  </si>
  <si>
    <t>RUA CERRO CORA 176 AO LADO DA PRACA SILVESTRE RABELO</t>
  </si>
  <si>
    <t>AVENIDA NOVA CANTAREIRA ESQUINA COM A RUA PAULO MALDI</t>
  </si>
  <si>
    <t>RUA PIRITUBA ESQUINA COM A RUA PERO NETO</t>
  </si>
  <si>
    <t>RUA MANUEL JUSTINIANO QUINTAO ESQUINA COM RUA MARIO MALDONADO</t>
  </si>
  <si>
    <t>RUA DOS SILVAS ESQUINA COM RUA PARAPUA</t>
  </si>
  <si>
    <t>AVENIDA MARECHAL EURICO GASPAR DUTRA PROXIMO A ESQUINA COM AS RUAS MONTE BELO E BARARQUE</t>
  </si>
  <si>
    <t>RUA MARIA DO CARMO SENE 92 DEFRONTE AO EDIFICIO GALATICA</t>
  </si>
  <si>
    <t>RUA ANTONIETA ALTENFELDER PROXIMO A RUA MARIA CECILIA RANGEL</t>
  </si>
  <si>
    <t>RUA ATALIBA VIEIRA ESQUINA COM A RUA JOAO DE SOUTO MAIOR</t>
  </si>
  <si>
    <t>RUA ANTONIO PALMIERIESQUINA COM A AVENIDA SENHORA DO LORETO</t>
  </si>
  <si>
    <t>RUA AMARO DE MORAIS 11 ESQUINA COM A RUA JOAO BATISTA DE MENDONCA</t>
  </si>
  <si>
    <t>AVENIDA NOVA CANTAREIRA ESQUINA COM RUA BARRA MANSA</t>
  </si>
  <si>
    <t>AVENIDA NOVA CANTAREIRA ESQUINA COM RUA GAURAMA</t>
  </si>
  <si>
    <t>NA CURVA DE ACESSO ENTRE AS AVENIDAS NOVA CANTAREIRA E TUCURUVI</t>
  </si>
  <si>
    <t>AVENIDA NOVA CANTAREIRA 2338 PROXIMO A ESQUINA COM AVENIDA CORONEL SEZEFREDO FAGUNDES</t>
  </si>
  <si>
    <t>RUA FRANCISCO DE BRITO ESQUINA COM AVENIDA NOVA CANTAREIRA</t>
  </si>
  <si>
    <t>RUA MANOEL GAYA ESQUINA COM RUA DAS IMBIRAS</t>
  </si>
  <si>
    <t>RUA JOAO LUIS BOZZI ESQUINA COM A RUA LILIENTAL</t>
  </si>
  <si>
    <t>AVENIDA SANTA INES 3200 DENTRO DO POSTO DE BOMBEIROS HORTO FLORESTAL</t>
  </si>
  <si>
    <t>RUA MOTA PAIS ESQUINA COM A RUA RODRIGUES DE CAMPOS LEITE</t>
  </si>
  <si>
    <t>RUA NATINGUI PROXIMO A RUA ISABEL DE CASTELA</t>
  </si>
  <si>
    <t>RUA TENENTE LANDY ESQUINA RUA WILLIANS SPEERS</t>
  </si>
  <si>
    <t>RUA CRISTOVAO SALAMANCA PROXIMO A RUA GARCIA BARCO</t>
  </si>
  <si>
    <t>RUA DR SABOIA MEDEIROS 53</t>
  </si>
  <si>
    <t>AVENIDA BRASIL PROXIMO A ESQUINA COM A RUA GUADELUPE</t>
  </si>
  <si>
    <t>RUA GUAICURUS DEFRONTE A RUA DUILIO</t>
  </si>
  <si>
    <t>RUA DARDANELOS ESQUINA COM RUA UCAIARI</t>
  </si>
  <si>
    <t>RUA JOAO CORDEIRO 67 DEFRONTE A RUA BRENO CAVALHAES</t>
  </si>
  <si>
    <t>RUA JOSE DE IBARRA ESQUINA COM A RUA ALFREDO ZUNKELLER</t>
  </si>
  <si>
    <t>AVENIDA DIOGENES RIBEIRO DE LIMA PROXIMO A ESQUINA COM A RUA PASSO DA PATRIA</t>
  </si>
  <si>
    <t>RUA MORAIS NAVARRO 383</t>
  </si>
  <si>
    <t>RUA MANUEL ALEXANDRE DEFRONTE A RUA PROFESSOR PAUL HUGON</t>
  </si>
  <si>
    <t>RUA KABUL ESQUINA COM RUA ARAUTO</t>
  </si>
  <si>
    <t>RUA COMANDANTE FERREIRA CARNEIRO ESQUINA COM RUA COMANDANTE FERREIRA CARNEIRO</t>
  </si>
  <si>
    <t>AVENIDA ELISIO TEIXEIRA LEITE ESQUINA COM RUA PAULO RAIMONDI</t>
  </si>
  <si>
    <t>RUA NELSON ANTONIO CAMPANELLI ESQUINA COM A RUA ALFREDO PARDINI</t>
  </si>
  <si>
    <t>RUA MONSENHOR JOAO LAURIANO ESQUINA COM AVENIDA ITABERABA</t>
  </si>
  <si>
    <t>RUA PROFESSOR JOAO MACHADO PROXIMO DA ESQUINA COM A RUA ESTACIO FERREIRA</t>
  </si>
  <si>
    <t>RUA DRONSFIELD ESQUINA COM A RUA DOZE DE OUTUBRO</t>
  </si>
  <si>
    <t>RUA CLEMENTE ALVARES ESQUINA COM A RUA GEORGE SCHIMITH</t>
  </si>
  <si>
    <t>RUA DRONSFIELD ESQUINA COM A RUA JOAO PEREIRA</t>
  </si>
  <si>
    <t>RUA DRONSFIELD ESQUINA COM A RUA GEORGE SCHMITH</t>
  </si>
  <si>
    <t>RUA JOSE SOARES BRANDAO ESQUINA COM A RUA MANUEL MADRUGA</t>
  </si>
  <si>
    <t>RUA JOAO DE LAET DEFRONTE A RUA DONATO LUONGO</t>
  </si>
  <si>
    <t>RUA CLELIA ESQUINA COM A RUA NOSSA SENHORA DA LAPA</t>
  </si>
  <si>
    <t>RUA SAO LEOTELIO ESQUINA COM RUA REVERENDO ISRAEL VIEIRA FERREIRA</t>
  </si>
  <si>
    <t>AVENIDA AGUA FRIA 1923 ENTRADA DA APMBB</t>
  </si>
  <si>
    <t>AVENIDA EDU CHAVES 767 EM FRENTE A RUA FERNANDO ELIAS</t>
  </si>
  <si>
    <t>RUA CECILIA MEIRELES ESQUNA COM A RUA ROMEU PANDOLPHO</t>
  </si>
  <si>
    <t>RUA CARLOS ALBERTO LUIZ ESQUINA COM A RUA DA ESPERANCA</t>
  </si>
  <si>
    <t>RUA ALBERTINA VIEIRA DA SILVA GORDO ESQUINA COM A RUA JOAO DE LAET</t>
  </si>
  <si>
    <t>AVENIDA ITABERABA ESQUINA PROXIMO A ESQUINA COM A RUA QUITO</t>
  </si>
  <si>
    <t>RUA REGO FREITAS ESQUINA COM A RUA DA CONSOLACAO</t>
  </si>
  <si>
    <t>RUA OLIVINA ESQUINA COM AVENIDA LINS DE VASCONCELOS</t>
  </si>
  <si>
    <t>AVENIDA LINS DE VASCONCELOS ESQUINA COM A RUA HEITOR PEIXOTO</t>
  </si>
  <si>
    <t>AVENIDA LINS DE VASCONCELOS ESQUINA COM A RUA CALIXTO DA MOTA</t>
  </si>
  <si>
    <t>RUA OLIVEIRA PEIXOTO ESQUINA COM A RUA PAIS DE ANDRADE</t>
  </si>
  <si>
    <t>AVENIDA DA ACLIMACAO ESQUINA COM A RUA ESMERALDA</t>
  </si>
  <si>
    <t>RUA MARACAI ESQUINA COM A RUA MUNIZ DE SOUZA</t>
  </si>
  <si>
    <t>RUA STA CRUZ ESQUINA COM RUA BITENCOURT SAMPAIO</t>
  </si>
  <si>
    <t>RUA VITOR DUBUGRAS PROXIMO A ESQUINA COM A RUA JOSE UBALDO LOMONACO</t>
  </si>
  <si>
    <t>RUA PROFESSORA CAROLINA RIBEIRO ESQUINA COM RUA DOMINGO SOTO</t>
  </si>
  <si>
    <t>RUA CARNAUBA ESQUINA COM A RUA PIAUNA</t>
  </si>
  <si>
    <t>RUA DOUTOR MARIO VICENTE ESQUINA COM AVENIDA DOUTOR RICARDO JAFET</t>
  </si>
  <si>
    <t>RUA PEIXOTO GOMIDE ESQUINA COM A RUA JOSE MARIA LISBOA</t>
  </si>
  <si>
    <t>RUA PADRE JOAO MANOEL ESQUINA COM A RUA BARAO DE CAPANEMA</t>
  </si>
  <si>
    <t>RUA ANTONIO GOMES DE OLIVEIRA 192 ENTRE AS RUAS JOAO FERNANDES BRAGA E RUA PRAIA DO TUMIARU</t>
  </si>
  <si>
    <t>RUA MARIA FREITAS ESQUINA COM  AVENIDA JOAO PESSOA</t>
  </si>
  <si>
    <t>AVENIDA BASILEIA PROXIMO DA ESQUINA COM A RUA CONSELHEIRO MOREIRA DE BARROS</t>
  </si>
  <si>
    <t>RUA BELO JARDIM ESQUINA COM A RUA ALPINA</t>
  </si>
  <si>
    <t>JARDIM MUTINGA</t>
  </si>
  <si>
    <t>RUA PLINIO COLAS ESQUINA COM AVENIDA GUACA</t>
  </si>
  <si>
    <t>RUA EMIDIO CARBONARI 343</t>
  </si>
  <si>
    <t>AVENIDA LAUZANE PAULISTA ESQUINA COM A PRACA SANTO ESTEVAO DE BRITEIROS</t>
  </si>
  <si>
    <t>AVENIDA PAULA FERREIRA ESQUINA COM A RUA JOAO ANDRADE</t>
  </si>
  <si>
    <t>AVENIDA MUTINGA DEFRONTE A RUA JERONIMO TELES JUNIOR</t>
  </si>
  <si>
    <t>AVENIDA MUTINGA ESQUINA COM A RUA MARIA SALIM ROMEU</t>
  </si>
  <si>
    <t>RUA ADELE ZARZUR DEFRONTE A RUA ARNALDO ALVERNAZ NUNES</t>
  </si>
  <si>
    <t>RUA DOUTOR VALENTIM 246 AO LADO DA VIELA</t>
  </si>
  <si>
    <t>RUA PROFESSORA FERREIRA DA SILVA ESQUINA COM A RUA LUIS CUNHA</t>
  </si>
  <si>
    <t>RUA BELO JARDIM ESQUINA COM A RUA FREDERICO LECOR</t>
  </si>
  <si>
    <t>AVENIDA SANTA INES ESQUINA COM RUA IVOLANDIA</t>
  </si>
  <si>
    <t>RUA ERVA CAPITAO ESQUINA COM A RUA CORONEL JOSE RUFINO FREIRE</t>
  </si>
  <si>
    <t>RUA PADRE MARIANO RONCHI ESQUINA COM A RUA CANNER</t>
  </si>
  <si>
    <t>AVENIDA RAIMUNDO PEREIRA DE GUIMALHAES 2500</t>
  </si>
  <si>
    <t>AVENIDA ZUMKELLER ESQUINA COM AVENIDA DIREITOS HUMANOS</t>
  </si>
  <si>
    <t>RUA FRANCISCO PEROTI ESQUINA COM A RUA MAJOR ALMEIDA QUEIROZ</t>
  </si>
  <si>
    <t>RUA JOSE DE MORAES 4 ESQUINA COM RUA INACIO LUIS DA COSTA</t>
  </si>
  <si>
    <t>RUA PADRE MARIANO FRIAS ESQUINA COM A RUA RUDI SCHALY</t>
  </si>
  <si>
    <t>RUA CELESTINO MARINELLI  PROXIMO A ESQUINA COM A RUA JOSE ATALIBA ORTIZ</t>
  </si>
  <si>
    <t>RUA XAVANTINA ESQUINA COM RUA NOBREGA DE SOUZA COUTINHO</t>
  </si>
  <si>
    <t>RUA STEFANO MAUSER ESQUINA COM A RUA DOUTOR VALENTIM DE QUEIROZ</t>
  </si>
  <si>
    <t>RUA JOTACA PROXIMO DA ESQUINA COM A RUA RIO VERDE</t>
  </si>
  <si>
    <t>RUA JOAO ALVARES FRANCA ESQUINA COM A RUA NHANDUTIBA</t>
  </si>
  <si>
    <t>RUA INDIO PERY ESQUINA COM A RUA ALMIRANTE PARAGUACU DE SA</t>
  </si>
  <si>
    <t>TRAVESSA CEU VAZIO ESQUINA COM A RUA JOAO MIGUEL FERREIRA</t>
  </si>
  <si>
    <t>RUA UMBURANA DEFRONTE COM A PRACA PANAMERICANA</t>
  </si>
  <si>
    <t>AVENIDA PEDROSO DE MORAES ESQUINA COM R ALBERTO FARIA</t>
  </si>
  <si>
    <t>RUA FUNCHAL 160</t>
  </si>
  <si>
    <t>RUA MINISTRO JESUINO CARDOSO ESQUINA COM RUA RAMOS BATISTA</t>
  </si>
  <si>
    <t>RUA SALVADOR SIMOES ESQUINA COM A RUA ARCIPRESTE ANDRADE</t>
  </si>
  <si>
    <t>RUA DOM AQUINO 190 PROXIMO A ESQUINA COM RUA ANFITRIAO</t>
  </si>
  <si>
    <t>AVENIDA BOGAERT ESQUINA COM AVENIDA DEPUTADO RUBENS GRANJA</t>
  </si>
  <si>
    <t>AVENIDA ITABERABA 1709 DEFRONTE COM A RUA SANTA LUCIA FELIPPINI</t>
  </si>
  <si>
    <t>RUA MABURIM ESQUINA COM RUA RIZIERI NEGRINI</t>
  </si>
  <si>
    <t>AVENIDA ITABERABA ESQUINA COM RUA DOM GASPAR DE MENDONCA</t>
  </si>
  <si>
    <t>RUA ICAMAQUA ESQUINA COM A RUA SAO CLETO</t>
  </si>
  <si>
    <t>RUA CLARA PARENTE ESQUINA COM A RUA MONTES CLAROS</t>
  </si>
  <si>
    <t>AVENIDA ITABERABA 1902   NO INTERIOR DA PRACA</t>
  </si>
  <si>
    <t>AVENIDA VICENTE JOSE DE CARVALHO PROXIMA A BIFUCARCAO COM A RUA DO HORTO</t>
  </si>
  <si>
    <t xml:space="preserve">RUA JOSE CORREIA DE LIMA  NO INTERIOR DO CONDOMINIO  PROXIMO A RUA FRANCESCO TURINI </t>
  </si>
  <si>
    <t>AVENIDA RAIMUNDO PEREIRA DE MAGALHAES 4658</t>
  </si>
  <si>
    <t>AVENIDA BENEDITO ANDRADE ESQUINA COM A RUA IRENE RUDNER</t>
  </si>
  <si>
    <t>RUA GENEZIO ARRUDA 237 PROXIMO A RUA SOLDADO JOAO DE OLIVEIRA</t>
  </si>
  <si>
    <t>RUA FABIO FERREIRA VELOSO 171 PROXIMO DA ESQUINA COM A RUA JOAO ALVES PIMENTA</t>
  </si>
  <si>
    <t>RUA ENCRUZILHADA DO SUL PROXIMO DA ESQUINA DA RUA JOAQUIM DE SOUZA BRITO</t>
  </si>
  <si>
    <t>RUA CORONEL JOAQUIM FERREIRA DE SOUZA 208 DEFRONTE COM GUARITA 221</t>
  </si>
  <si>
    <t>RUA GENERAL ISIDORO DIAS LOPES ENTRE A AVENIDA PARADA PINTO E RUA INDIO PERI</t>
  </si>
  <si>
    <t>RUA BERNADINO DE AGUIAR ESQUINA COM A RUA ENGENHEIRO EDGAR AUTRAN</t>
  </si>
  <si>
    <t>RUA SANTA VERONICA 284</t>
  </si>
  <si>
    <t>RUA PROFESSOR ARTUR RAMOS ESQUINA COM A RUA DOUTOR MARIO FERRAZ</t>
  </si>
  <si>
    <t>AVENIDA PAULA FERREIRA ESQUINA COM A RUA QUERINO GIOVANI LEORNARDI</t>
  </si>
  <si>
    <t>RUA JOSE ATALIBA ORTIZ ESQUINA COM A RUA ELVIRA ROCHA LIMA DE TOLEDO</t>
  </si>
  <si>
    <t>RUA DOUTOR ANTONIO RUGGIERO JUNIOR ESQUINA COM A RUA JURUBIM</t>
  </si>
  <si>
    <t>ALAMEDA JOAQUIM EUGENIO DE LIMA ESQUINA COM ALAMEDA JAU</t>
  </si>
  <si>
    <t>RUA PAMPLONA ESQUINA COM A RUA JOSE MARIA LISBOA</t>
  </si>
  <si>
    <t>RUA ALFREDO PUJOL DEFRONTE A RUA MARECHAL HERMES DA FONSECA</t>
  </si>
  <si>
    <t>RUA HONDURAS ESQUINA PRACA DAS GUIANAS</t>
  </si>
  <si>
    <t>RUA SALVADOR SIMOES ESQUINA COM A RUA OLIVAL COSTA</t>
  </si>
  <si>
    <t>RUA JOAO RAMALHO ESQUINA COM A RUA CAIOWAA</t>
  </si>
  <si>
    <t>RUA LANDGRAFFT ESQUINA COM A RUA JOAO FELIPE SILVA</t>
  </si>
  <si>
    <t>AVENIDA PRESIDENTE ALTINO ESQUINA COM A RUA BRASILIA MARCONDES BUARQUE NA PRACA HENRIQUE DUMONT VILARES</t>
  </si>
  <si>
    <t>TRAVESSA MURACATI ESQUINA COM A RUA INACIO LUIS DA COSTA PISTA LOCAL DA RODOVIA ANHANGUERA</t>
  </si>
  <si>
    <t>RUA CRISTOVAO FERNANDES NO FINAL DA RUA</t>
  </si>
  <si>
    <t>AVENIDA ULTRAMARINO PROXIMO DA ESQUINA COM A AVENIDA PARADA PINTO</t>
  </si>
  <si>
    <t>AVENIDA 09 DE JULHO ESQUINA COM A RUA CHILE</t>
  </si>
  <si>
    <t>RUA DOM BOSCO ESQUINA COM A RUA LUIS GAMA</t>
  </si>
  <si>
    <t>AVENIDA VALDEMAR TIETZ DEFRONTE A RUA PADRE TOMAIS DE VILANOVA</t>
  </si>
  <si>
    <t>AVENIDA SAPOPEMBA ESQUINA COM A RUA SARGENTO IRACITAN COIMBRA</t>
  </si>
  <si>
    <t>RUA GONCALVES DE MENDONCA 268 ESQUINA COM A RUA CUBAS DE MENDOCA</t>
  </si>
  <si>
    <t>RUA JOLI ESQUINA COM A RUA DOUTOR CARLOS BOTELHO</t>
  </si>
  <si>
    <t>RUA PRUDENTE DE MORAES DEFRONTE A RUA MARTIM BURCHARD</t>
  </si>
  <si>
    <t>AVENIDA NAGIB FARAH MALUF ESQUINA COM A AVENIDA PROFESSOR JOAO BATISTA CONTI</t>
  </si>
  <si>
    <t>TRAVESSA SEM SAIDA DA RUA ALBA PROXIMO A RUA AJURITIBA FUNDOS DE UM CONDOMINIO DE PREDIOS</t>
  </si>
  <si>
    <t>RUA HERCULANO DE FREITAS 333</t>
  </si>
  <si>
    <t>RUA RODOVALHO DA FONSECA 304 PROXIMO DA ESQUINA COM A RUA CORONEL EMIDIO PIEDADE</t>
  </si>
  <si>
    <t>AVENIDA SALIM FARAH MALUF PROXIMO DA ESQUINA COM A RUA ULISSES CRUZ</t>
  </si>
  <si>
    <t>ESTRADA DO GUARAPIRANGA PROXIMO A RUA REPUBLICA DE SALVADOR</t>
  </si>
  <si>
    <t>RUA PEIXOTO WERNECK ESQUINA COM AVENIDA ALDEIA MANOEL ANTONIO</t>
  </si>
  <si>
    <t>RUA EDUARDO ALVES PROXIMO DA ESQUINA COM A RUA EVALDO CALABREZ</t>
  </si>
  <si>
    <t>RUA SANTO OVIDIO ESQUINA COM A RUA PROFESSOR LEONCIO GURGE</t>
  </si>
  <si>
    <t>AVENIDA ENGENHEIRO GEORGE CORBISIER PROXIMO DA ESQUINA COM A RUA OASIS</t>
  </si>
  <si>
    <t>AVENIDA ENGENHEIRO ARMANDO DE ARRUDA PEREIRA 919 DEFRONTE A ESTACAO CONCEICAO</t>
  </si>
  <si>
    <t>RUA DOUTOR VITO ROLIM DE FREITAS 330</t>
  </si>
  <si>
    <t>RUA SARGENTO GERALDO SANTANNA 998</t>
  </si>
  <si>
    <t>AVENIDA GENERAL DALTRO FILHO 220 DEFRONTE AO HOSPITAL SABOYA</t>
  </si>
  <si>
    <t>AVENIDA WASHINGTON LUIZ 6055</t>
  </si>
  <si>
    <t>RUA ANTONIO ALVES LIMA NETO 116 NO FINAL DA RUA PARTICULAR ACESSO CONTROLADO</t>
  </si>
  <si>
    <t>RUA CANJERANAS 310 ESQUINA COM A RUA NHANDIROBAS</t>
  </si>
  <si>
    <t>RUA ANTONIO DE AGUIAR ESQUINA COM A RUA ITAMBACURI</t>
  </si>
  <si>
    <t>AVENIDA MARARI ESQUINA COM TRAVESSA GRANDE MADRUGADA</t>
  </si>
  <si>
    <t>PRACA DO ESPINHAO ESQUINA COM RUADOMICIANO LEITE RIBEIRO</t>
  </si>
  <si>
    <t>RUA BAXUVA ESQUINA COM A RUA ENGENHEIRO TOMAS WHATELY</t>
  </si>
  <si>
    <t>RUA JOAO TURRIANO ESQUINA COM A RUA SANTA RITA D OESTE</t>
  </si>
  <si>
    <t>RUA DINAH GONCALVES BRANDAO ESQUINA COM A RUA JOSE FRANCISCO BRANDAO</t>
  </si>
  <si>
    <t>RUA DOUTOR BERTO CONDE ESQUINA COM A RUA DOUTOR MAURICIO DE LACERDA</t>
  </si>
  <si>
    <t>RUA VITORIA DO ESPIRITO SANTO 83</t>
  </si>
  <si>
    <t>AVENIDA CARLOS DA SILVA BORGES ESQUINA COM RUA CESAR LADEIRA</t>
  </si>
  <si>
    <t>AVENIDA JOAO DIAS PROXIMO A PRACA SANTO INACIO DE LOIOLA</t>
  </si>
  <si>
    <t>ALAMEDA DOS GUAINUMBIS ESQUINA COM AVENIDA JANDIRA</t>
  </si>
  <si>
    <t>AVENIDA DEPUTADO CANTIDIO SAMPAIO ESQUINA COM RUA HENRY CHARLES POTEL</t>
  </si>
  <si>
    <t>RUA SANTA CLARA ESQUINA COM A RUA CACHOEIRA</t>
  </si>
  <si>
    <t>AVENIDA RIO DAS PEDRAS ESQUINA COM A RUA ALZIRA MARUYAMA</t>
  </si>
  <si>
    <t>RUA PORTO XAVIER ESQUINA COM A RUA HEITOR</t>
  </si>
  <si>
    <t>RUA SANTA CLARA ESQUINA COM A RUA JOAO BOEMER</t>
  </si>
  <si>
    <t>RUA MONTE ALEGRE DO SUL 1232 PROXIMO DA ESQUINA DA AVENIDA DEPUTADO DOUTOR CANTIDIO SAMPAIO</t>
  </si>
  <si>
    <t>RUA GREGORIO TAGLE 303</t>
  </si>
  <si>
    <t>RUA JAIR ROSA PINTO DEFRONTE A RUA ANTONIO GADES</t>
  </si>
  <si>
    <t>AVENIDA RANGEL PESTANA PROXIMO A ESQUINA COM A RUA DA FIGUEIRA</t>
  </si>
  <si>
    <t>RUA WANDENKOLK ESQUINA COM A RUA VISCONDE DE PARNAIBA</t>
  </si>
  <si>
    <t>AVENIDA INDIANOPOLIS ESQUINA COM ALAMEDA NHAMBIQUARAS</t>
  </si>
  <si>
    <t>RUA OITEIRO 90</t>
  </si>
  <si>
    <t>RUA CAPITAO VALDIR ALVES DE SIQUEIRA ESQUINA COM A RUA PORCELANA</t>
  </si>
  <si>
    <t>ALAMEDA DOS NHAMBIQUARAS ESQUINA COM AVENIDA PIASSANGUABA</t>
  </si>
  <si>
    <t>AVENIDA MIRUNA ESQUINA COM A RUA ALBERTO WILLO</t>
  </si>
  <si>
    <t>PATEO DO COLEGIO OPOSTO A RUA ANCHIETA</t>
  </si>
  <si>
    <t>RUA HELVETIA ESQUINA COM A RUA GUAIANASES</t>
  </si>
  <si>
    <t>RUA BAHIA ESQUINA COM RUA PARA</t>
  </si>
  <si>
    <t>AVENIDA DOUTOR ARNALDO NO INTERIOR DA FACULDADE DE SAUDE PUBLICA DA USP</t>
  </si>
  <si>
    <t>RUA CORONEL DIOGO NO INTERIOR DA SABESP</t>
  </si>
  <si>
    <t>AVENIDA PADRE ARLINDO VIEIRA ESQUINA COM A RUA DOUTOR BENEDITO TOLOSA</t>
  </si>
  <si>
    <t>RUA NOSSA SENHORA DA APRESENTACAO ESQUINA COM A RUA JORGE DOS SANTOS</t>
  </si>
  <si>
    <t>RUA BIG BOYS DEFRONTE COM RUA NARA LEAO</t>
  </si>
  <si>
    <t>RUA PRATES ESQUINA COM A RUA JOSE PAULINO</t>
  </si>
  <si>
    <t>AVENIDA GENERAL OLIMPIO DA SILVEIRA 356 ENTRE A RUA DOUTOR ALBUQUERQUE LINS E RUA LOPES DE OLIVEIRA</t>
  </si>
  <si>
    <t>RUA DO BOSQUE ESQUINA COM A RUA DOS AMERICANOS</t>
  </si>
  <si>
    <t>LARGO SANTA CECILIA ESQUINA COM RUA DAS PALMEIRAS</t>
  </si>
  <si>
    <t>PRACA PANAMERICANA ESQUINA COM A RUA ARQUITETO JAIME FONSECA RODRIGUES</t>
  </si>
  <si>
    <t>RUA ENGENHEIRO SIDNEY A DE MORAES DEFRONTE AO POUPATEMPO ITAQUERA</t>
  </si>
  <si>
    <t>RUA MINISTRO FERREIRA ALVES ESQUINA COM A RUA DOUTOR AUGUSTO DE MIRANDA</t>
  </si>
  <si>
    <t>RUA CAPOTE VALENTE ESQUINA COM A RUA CARDEAL ARCOVERDE</t>
  </si>
  <si>
    <t>RUA LUIS MOLINA ESQUINA COM A RUA MONTESQUIEU</t>
  </si>
  <si>
    <t>AVENIDA ALBERT BARTHOLOMEU 267</t>
  </si>
  <si>
    <t>RUA UVILHA ESQUINA COM A RUA EMBIU</t>
  </si>
  <si>
    <t>RUA TORRES DA BARRA ESQUINA COM A AVENIDA MARQUES DE SAO VICENTE</t>
  </si>
  <si>
    <t>RUA PROFESSOR ARTUR PRIMAVESI PROXIMO DA ESQUINA COM A RUA ESTEVAM PEDROSO</t>
  </si>
  <si>
    <t>RUA IBITIRAMA DEFRONTE A RUA TUJUPI</t>
  </si>
  <si>
    <t>RUA ALMIRANTE LOBO ESQUINA COM A RUA LINO COUTINHO</t>
  </si>
  <si>
    <t>RUA AIMORES PROXIMO DA ESQUINA COM A RUA SILVA PINTO</t>
  </si>
  <si>
    <t>RUA AURORA PROXIMO DA ESQUINA COM A AVENIDA RIO BRANCO</t>
  </si>
  <si>
    <t>RUA ALEXANDRIA ENTRE A RUAS FREDERICO ALVARENGA E O PARQUE DOM PEDRO II</t>
  </si>
  <si>
    <t>RUA SANTA EFIGENIA ESQUINA COM A AVENIDA DUQUE DE CAXIAS</t>
  </si>
  <si>
    <t>RUA VENCESLAU BRAS DEFRONTE A RUA IRMA SIMPLICIANA</t>
  </si>
  <si>
    <t>RUA BERALDO MARCONDES PROXIMO DA ESQUINA COM A RUA SALVADOR MEDEIROS</t>
  </si>
  <si>
    <t>RUA VERGUEIRO 356</t>
  </si>
  <si>
    <t>AVENIDA JAIME TORRES ESQUINA COM A RUA ILHA DE CASTILHOS</t>
  </si>
  <si>
    <t>AVENIDA RAGUEB CHOHFI ESQUINA COM A RUA DOMINGOS DE MENDONCA</t>
  </si>
  <si>
    <t>RUA PROFESSORA OPHELIA MAZELA DE OLIVEIRA ESQUINA COM A RUA GUERREIRO</t>
  </si>
  <si>
    <t>RUA SERRA DE LUIS GOMES ESQUINA COM A RUA CONFLUENCIA DA FORQUILHA</t>
  </si>
  <si>
    <t>JARDIM ROMANO</t>
  </si>
  <si>
    <t>AVENIDA AFONSO DE SAMPAIO E SOUSA DEFRONTE AO CONDOMINIO DEZ CEREJEIRA</t>
  </si>
  <si>
    <t>RUA ANDRE DE ALMEIDA ESQUINA COM A RUA PASTOR ADARCY DE OLIVEIRA</t>
  </si>
  <si>
    <t>RUA CUSTODIO PAIVA ESQUINA COM A RUA DIAS BARBOSA</t>
  </si>
  <si>
    <t>RUA ZITUO KARASAWA 558 DEFRONTE A TRAVESSA ESPERANCA</t>
  </si>
  <si>
    <t>RUA ANTONIO PAVAO 185</t>
  </si>
  <si>
    <t>RUA MOACIR FAGUNDES PROXIMO DA ESQUINA COM A TRAVESSA ESPEDITO LUIS DA SILVA</t>
  </si>
  <si>
    <t>RUA FORMOSA 56 AO LADO DA ENTRADA DO METRO ANHANGABAU</t>
  </si>
  <si>
    <t>RUA BRIGADEIRO TOBIAS DEBAIXO DO VIADUTO SANTA EFIGENIA</t>
  </si>
  <si>
    <t>AVENIDA BRIGADEIRO LUIS ANTONIO ESQUINA COM AVENIDA PAULISTA</t>
  </si>
  <si>
    <t>RUA ANTONIO MULATI ESQUINA COM A RUA CORONEL LUIZ SCHIMITH</t>
  </si>
  <si>
    <t>RUA ARISTODEMO GAZOTTI ESQUINA COM A RUA MANUEL CAPOTO</t>
  </si>
  <si>
    <t>RUA DOS TIMBIRAS ESQUINA COM A RUA JOAQUIM GUSTAVO PRACA DA REPUBLICA</t>
  </si>
  <si>
    <t>AVENIDA SAO JOAO ESQUINA COM A RUA FORMOSA</t>
  </si>
  <si>
    <t>RUA OURINHOS ESQUINA COM RUA PIRASSUNUNGA</t>
  </si>
  <si>
    <t>AVENIDA TOMAS DE SOUSA ESQUINA COM A  RUA LUIS GIL</t>
  </si>
  <si>
    <t>ESTRADA DE ITAPECERICA ESQUINA COM RUA SEBASTIAO AZEVEDO</t>
  </si>
  <si>
    <t>RUA OSIRIS DE CAMARGO PROXIMO A RUA SOCRATES ABRAHAO</t>
  </si>
  <si>
    <t>RUA SANTO RIZZO ESQUINA COM A RUA ERNESTO GOLD</t>
  </si>
  <si>
    <t>AVENIDA DOS METALURGICOS 1441</t>
  </si>
  <si>
    <t>AVENIDA JOAO DIAS PROXIMO A RUA OSWALDO DE ANDRADE</t>
  </si>
  <si>
    <t>ESTRADA DE ITAPECERICA 2736 NO INTERIOR DO CONDOMINIO CRUZEIRO DO SUL</t>
  </si>
  <si>
    <t>RUA FRANCISCO DA CRUZ MELLAO 114</t>
  </si>
  <si>
    <t>TRAVESSA SINHA MOCA ESQUINA COM A TRAVESSA BARRACAO DE ZINCO</t>
  </si>
  <si>
    <t>RUA PARTICULAR TIMAO ESQUINA COM A AVENIDA SAPOPEMBA</t>
  </si>
  <si>
    <t>RUA CARLOS ALBERRTO VERNECK ESQUINA COM A RUA CORONEL JUVENAL DE CAMPOOS CASTRO</t>
  </si>
  <si>
    <t>RUA MIGUEL MOTA  DE FRONTE A RUA BOM JESUS</t>
  </si>
  <si>
    <t>AVENIDA ADELIA CHOFI ESQUINA COM A RUA ROQUE DA CUNHA</t>
  </si>
  <si>
    <t>AVENIDA SALVADOR JORGE VELHO 259 DEFRONTE A RUA FRANCISCO LOURENCO</t>
  </si>
  <si>
    <t>RUA PERSEU DEFRONTE A RUA LUIS BARBALHO BEZERRA</t>
  </si>
  <si>
    <t>AVENIDA DOUTOR JOAO RIBEIRO EM FRENTE A RUA PADRE ANTONIO BENEDITO</t>
  </si>
  <si>
    <t>RUA CRISTOVAO MOLINA  ESQUINA COM A RUA DANTE ALDERIGO</t>
  </si>
  <si>
    <t>RUA QUINTA SINFONIA ESQUINA COM A RUA DOCE CORACAO</t>
  </si>
  <si>
    <t>RUA DOUTOR BITENCOURRT RODRIGUES ESQUINA COM A RUA VENCESLAU BRAS</t>
  </si>
  <si>
    <t>RUA LIBERO BADARO DEFRONTE A RUA DOUTOR MIGUEL COUTO TRAVESSA DE ACESSO AO VALE DO ANHANGABAU</t>
  </si>
  <si>
    <t>RUA DA QUITANDA ESQUINA COM A RUA QUINZE DE NOVEMBRO</t>
  </si>
  <si>
    <t>RUA DO BOTICARIO ESQUINA COM A RUA ANTONIO DE GODOI</t>
  </si>
  <si>
    <t>PRACA RAMOS DE AZEVEDO PROXIMO DA ESQUINA COM A RUA CONSELHEIRO CRISPIANO</t>
  </si>
  <si>
    <t>AVENIDA PROFESSOR ASCENDINO REIS ESQUINCA COM A RUA DOUTOR DIOGO FARIA</t>
  </si>
  <si>
    <t>AVENIDA DOUTOR SYLVIO DE CAMPOS ESQUINA COM A RUA JOAQUIM ANTONIO ARRUDA</t>
  </si>
  <si>
    <t>RUA JOSEFINA ARNONI 115   ATRAS DO PORTAO DO CONDOMINIO</t>
  </si>
  <si>
    <t>RUA DIOGENES RIBEIRO DE LIMA 567</t>
  </si>
  <si>
    <t>RUA DO BUCOLISMO ESQUINA COM A RUA MONSENHOR ANDRADE</t>
  </si>
  <si>
    <t>RUA TEODORO SAMPAIO ESQUINA COM PRACA PADRE SEPTIMO RAMOS ARANTES</t>
  </si>
  <si>
    <t>RUA JOAQUIM NABUCO ESQUINA COM A RUA CAVALHEIRO</t>
  </si>
  <si>
    <t>RUA VINTE E UM DE ABRIL ESQUINA COM A RUA GOMES CARDIM</t>
  </si>
  <si>
    <t>RUA DEPUTADO LACERDA FRANCO ESQUINA COM A RUA TEODORO SAMPAIO</t>
  </si>
  <si>
    <t>AVENIDA BRIGADEIRO FARIA LIMA ESQUINA COM A AVENIDA REBOUCAS</t>
  </si>
  <si>
    <t>TRAVESSA IGARAPE PRIMAVERA DEFRONTE A  RUA NELSON ANDRE GARCIA</t>
  </si>
  <si>
    <t>COHAB JOVA RURAL</t>
  </si>
  <si>
    <t>RUA UM 223 PROXIMO A VIELA F</t>
  </si>
  <si>
    <t>RUA TEREZA CARRENO ESQUINA COM RUA BELA VISTA</t>
  </si>
  <si>
    <t>RUA DAS FLORES II 9</t>
  </si>
  <si>
    <t>RUA HONORATO PEREIRA 619</t>
  </si>
  <si>
    <t>PARQUE MORRO DOCE</t>
  </si>
  <si>
    <t>AVENIDA ALCINDO FERREIRA 300 ESQUINA COM A RUA FRANCISCO CARMONA</t>
  </si>
  <si>
    <t>AVENIDA PAULO GUILGUER REIMBERG 1401</t>
  </si>
  <si>
    <t>RUA GIUSEPE TARTINI 15 ENTRE OS BLOCOS A15 E A20</t>
  </si>
  <si>
    <t>RUA GIUSEPE TARTINI 15 ENTRE OS BLOCOS A2 E A3 NO INTERIOR DO ESTACIONAMENTO</t>
  </si>
  <si>
    <t>RIA GIUSEPE TARTINI 15 ENTR OS BLOVOS B1 E B9 NO INTERIOR DO ESTACIONAMENTO</t>
  </si>
  <si>
    <t>RUA GIUSEPE TARTINI 15 DEFRONTE AO BLOCO A10 AO LADO DA LIXEIRA DE RECICLAVEIS</t>
  </si>
  <si>
    <t>RUA JOAO DA GRACA DEFRONTE A RUA AURELIANO DE BERUETE</t>
  </si>
  <si>
    <t>AVENIDA PROFESSOR MELO MORAES DEFRONTE A TRAVESSA 8</t>
  </si>
  <si>
    <t>RUA CARLOS MARTEL ENFRETE A ESCOLA LEOVERGILIO MOREIRA</t>
  </si>
  <si>
    <t>RUA PARNAPOA ESQUINA COM A RUA ABUTUI</t>
  </si>
  <si>
    <t>RUA FREDERICO RENE DE JAEGHER PROXIMO DA ESQUINA DA AVENIDA SENADOR TEOTONIO VILELA</t>
  </si>
  <si>
    <t>RUA CASSIANO DOS SANTOS ESQUINA COM A RUA WALTER PEREIRA CORREIA</t>
  </si>
  <si>
    <t>RUA FREDERICO RENE DE JAEGHER ESQUINA COM A RUA ANTONIO MACHADO SANTANNA</t>
  </si>
  <si>
    <t>RUA MARIA CANDIDA ESQUINA COM AVENIDA JOAQUINA RAMALHO</t>
  </si>
  <si>
    <t>RUA ANTONIO FURQUIM DA LUZ ESQUINA COM AVENIDA YERVANT KISSAJIKIAN</t>
  </si>
  <si>
    <t>Rua DONA VERIDIANA ESQUINA COM RUA CANUTO DO VAL</t>
  </si>
  <si>
    <t>RUA ICANHEMA ESQUINA COM A PRACA ESCOLAR</t>
  </si>
  <si>
    <t>RUA JOSE NEVES ESQUINA COM RUA DOM JERONIMO OSORIO</t>
  </si>
  <si>
    <t>RUA DOUTOR RABELO DO AMARAL PROXIMO DA ESQUINA COM A AVENIDA JOAO CAIAFFA</t>
  </si>
  <si>
    <t>RUA MANGUARI 276</t>
  </si>
  <si>
    <t>AVENIDA DIOGO DA COSTA TAVARES ESQUINA COM A RUA GURIJUBA</t>
  </si>
  <si>
    <t>RUA DOM JOSE DE BARROS ESQUINA COM A AVENIDA SAO JOAO</t>
  </si>
  <si>
    <t>RUA ORINDIUVA ESQUINA COM A RUA ABEL RAMOS</t>
  </si>
  <si>
    <t>RUA DOS CARIS ESQUINA COM A RUA DOS PIRACAS</t>
  </si>
  <si>
    <t>RUA LUCRECIA MACIEL ESQUINA COM A RUA ENGENHEIRO EDSON DE TOLEDO</t>
  </si>
  <si>
    <t>RUA ANGELO DA SILVA ESQUINA COM A RUA PHILONILIA GONCALVES DOS SANTOS</t>
  </si>
  <si>
    <t>ESTRADA DOS MIRANDAS 342</t>
  </si>
  <si>
    <t>NA ENTRADA 02 DO PREDIO DO CONJUNTO DAS QUIMICAS USP NA AVENIDA PROFESSOR LINEU PRESTES</t>
  </si>
  <si>
    <t>RUA ARQUITETO JAIME FONSECA RODRIGUES ESQUINA COM A RUA AQUIRAMUN</t>
  </si>
  <si>
    <t>RUA DO SEMINARIO ESQUINA COM A RUA CAPITAO SALOMAO</t>
  </si>
  <si>
    <t>RUA DO PORTAO 01 DO CENTRO PARAOLIMPICO BRASILEIRO</t>
  </si>
  <si>
    <t>ALAMEDA BARROS ESQUINA COM A RUA SAO VICENTE DE PAULO</t>
  </si>
  <si>
    <t>AVENIDA LINS DE VASCONCELOS ESQUINA COM A AVENIDA PROFESSOR NOE AZEVEDO</t>
  </si>
  <si>
    <t>RUA CONSTANCA NO FINAL DA RUA</t>
  </si>
  <si>
    <t>RUA BELA CINTRA ESQUINA COM A RUA BONA ANTONIA DE QUEIROS</t>
  </si>
  <si>
    <t>RUA ITAJUBA ESQUINA COM A RUA ITAJUBA</t>
  </si>
  <si>
    <t>LARGO SENADOR RAUL CARDOSO 207</t>
  </si>
  <si>
    <t>RUA DOMINGOS ATAIDE PROXIMO DA ESQUINA COM A RUA CANTO DO RIO VERDE</t>
  </si>
  <si>
    <t>RUA GUARANI ESQUINA COM A RUA ANTONIO CORUJA</t>
  </si>
  <si>
    <t>RUA NEWTON PRADO ESQUINA COM A RUA MAMORE</t>
  </si>
  <si>
    <t>RUA JOSE ANTONIO COELHO ESQUINA COM A RUA CORONEL OSCAR PORTO</t>
  </si>
  <si>
    <t>RUA CONSELHEIRO RODRIGUES ALVES ESQUINA COM A RUA DOMINGOS DE MORAES</t>
  </si>
  <si>
    <t>RUA PADRE CHICO ESQUINA COM A AVENIDA POMPEIA</t>
  </si>
  <si>
    <t>AVENIDA SANTA MARINA ESQUINA COM A RUA COMENDADOR SOUZA</t>
  </si>
  <si>
    <t>AVENIDA CASA VERDE 1135 PROXIMO A RUA AGUAS VIRTUOSAS</t>
  </si>
  <si>
    <t>RUA MONTE ALEGRE ESQUINA RUA ITAPICURU</t>
  </si>
  <si>
    <t>RUA DA CONSOLACAO 1637 DEFRONTE AO PB CONSOLACAO</t>
  </si>
  <si>
    <t>RUA CANDIDO ESPINHEIRA ESQUINA COM A RUA CONSELHEIRO BROTERO</t>
  </si>
  <si>
    <t>ALAMEDA MINISTRO ROCHA AZEVEDO ESQUINA COM AVENIDA  PAULISTA</t>
  </si>
  <si>
    <t>ALAMEDA MINISTRO ROCHA AZEVEDO ESQUINA COM AVENIDA PAULISTA</t>
  </si>
  <si>
    <t>RUA PIAUI 107 NO INTERIOR DA VIELA VILINHA DE CASAS DEFRONTE A  CASA 5 NO FUNDO</t>
  </si>
  <si>
    <t>AVENIDA VERGUEIRO NO CANTEIRO CENTRAL PRACA DOUTOR TEODORO DE CARVALHO</t>
  </si>
  <si>
    <t>RUA SILVIO DELDUQUE ESQUINA COM AVENIDA AGUA FRIA</t>
  </si>
  <si>
    <t>AVENIDA NOVA CANTAREIRA ESQUINA COM RUA FRANCISCO ALVARES</t>
  </si>
  <si>
    <t>AVENIDA ANGELICA ESQUINA COM A RUA ALAGOAS</t>
  </si>
  <si>
    <t>AVENIDA HIGIENOPOLIS ESQUINA COM AVENIDA ANGELICA</t>
  </si>
  <si>
    <t>RUA SABARA ESQUINA COM AVENIDA HIGIENOPOLIS</t>
  </si>
  <si>
    <t>RUA ITACOLOMI ESQUINA COM A RUA SERGIPE</t>
  </si>
  <si>
    <t>RUA PAULA SOUSA ESQUINA COM A RUA DA CANTAREIRA</t>
  </si>
  <si>
    <t>RUA SILVA TELES ESQUINA COM A RUA JOAO BOEMER</t>
  </si>
  <si>
    <t>RUA ARACAJU ESQUINA COM A RUA PIAUI</t>
  </si>
  <si>
    <t>AVENIDA PACAEMBU ESQUINA COM RUA TUPI</t>
  </si>
  <si>
    <t>AVENIDA HIGIENOPOLIS ESQUINA COM RUA DOUTOR ALBUQUERQUE LINS</t>
  </si>
  <si>
    <t>RUA JOAO BOEMER 311 ZDEFRONTE A RUA BERHING</t>
  </si>
  <si>
    <t>RUA BRESSER ESQUINA COM A RUA SOUZA CALDAS</t>
  </si>
  <si>
    <t>RUA ALBION ESQUINA COM A RUA GOMES FREIRE</t>
  </si>
  <si>
    <t>RUA JOSE MALHADO FILHO ESQUINA COM RUA JUCA FLORIANO</t>
  </si>
  <si>
    <t>RUA BOTOCUDOS ESQUINA COM A RUA CONSELHEIRO OLEGARIO</t>
  </si>
  <si>
    <t>RUA ALVARENGA PEIXOTO DEFRONTE A RUA CAIAPOS</t>
  </si>
  <si>
    <t>RUA DOUTOR ALMEIDA LIMA 1398 DEFRONTE A RUA LUIZ GUIMARAES</t>
  </si>
  <si>
    <t>RUA ALMIRANTE BARROSO ESQUINA COM A RUA BRESSER</t>
  </si>
  <si>
    <t>RUA GUIOMAR DA ROCHA ESQUINA COM A RUA NORDESTE</t>
  </si>
  <si>
    <t>RUA PARAGUASSU ESQUINA COM A RUA MONTE ALEGRE</t>
  </si>
  <si>
    <t>RUA MACHADO DE ASSIS ESQUINA COM A RUA PAULA NEI</t>
  </si>
  <si>
    <t>RUA ECA DE QUEIROZ ESQUINA COM RUA OSCAR PORTO</t>
  </si>
  <si>
    <t>RUA JOSE ANTONIO COELHO DEFRONTE A RUA HUMBERTO I</t>
  </si>
  <si>
    <t>RUA MARQUES DE ITU ESQUINA COM A RUA DONA VERIDIANA</t>
  </si>
  <si>
    <t>RUA CORONEL OSCAR PORTO ESQUINA COM A RUA AFONSO DE FREITAS</t>
  </si>
  <si>
    <t>AVENIDA HIGIENOPOLIS ESQUINA COM A RUA ITACOLOMI</t>
  </si>
  <si>
    <t>RUA DOUTOR ALMEIDA LIMA ESQUINA COM A RUA CAVALHEIRO</t>
  </si>
  <si>
    <t>RUA FERNANDO ALMEIDA PRADO ESQUINA COM AVENIDA AGUA FRIA</t>
  </si>
  <si>
    <t>RUA CARMO CINTRA ESQUINA COM A RUA JOSE PAULINO</t>
  </si>
  <si>
    <t>AVENIDA ANGELICA ESQUINA COM RUA BARONESA DE ITU</t>
  </si>
  <si>
    <t>RUA HELVETIA ESQUINA COM RUA DAS PALMEIRAS</t>
  </si>
  <si>
    <t>RUA FORTUNATO ESQUINA COM A RUA FREDERICO ABRANCHES</t>
  </si>
  <si>
    <t>RUA CANHONEIRA MEARIM PROXIMO DA ESQUINA RUA HIROSHIMA</t>
  </si>
  <si>
    <t>AVENIDA GUILHERME COTCHING ESQUINA COM A RUA PROFESSORA MARIAJOSE BARONE FERNANDES</t>
  </si>
  <si>
    <t>RUA DOM LUIS FELILPE DE ORLEANS ESQUINA COM A RUA ITAUNA</t>
  </si>
  <si>
    <t>RUA SANTA IFIGENIA ESQUINA COM A RUA DOS GUSMOES</t>
  </si>
  <si>
    <t>RUA PAPIRO DO EGITO PROXIMO A RUA RIO VERDE</t>
  </si>
  <si>
    <t>PARQUE CRUZEIRO DO SUL</t>
  </si>
  <si>
    <t>AVENIDA MOEMA ESQUINA COM ALAMEDA DOS AICAS</t>
  </si>
  <si>
    <t>AVENIDA DIVINO SALVADOR ESQUINA COM AVENIDA MOREIRA GUIMARAES</t>
  </si>
  <si>
    <t>LARGO DO AROUCHE 260</t>
  </si>
  <si>
    <t>AVENIDA CECI ESQUINA COM A RUA CAMPINA DA TABORDA</t>
  </si>
  <si>
    <t>AVENIDA BOSQUE DA SAUDE ESQUINA COM RUA GUAIRA</t>
  </si>
  <si>
    <t>AVENIDA MIGUEL STEFANO ESQUINA COM RUA VUTURANA</t>
  </si>
  <si>
    <t>AVENIDA PIASSANGUABA ESQUINA COM ALAMEDA SORIMAS</t>
  </si>
  <si>
    <t>AVENIDA ARATAS ESQUINA COM ALAMEDA DOS MARACATINS</t>
  </si>
  <si>
    <t>AVENIDA INDIANOPOLIS ESQUINA COM AVENIDA RUBEM BERTA</t>
  </si>
  <si>
    <t>RUA BENTO FREITAS 115 PROXIMO A RUA AURORA</t>
  </si>
  <si>
    <t>RUA DOUTOR JOAO CLIMACO PEREIRA ESQUINA COM RUA DOUTOR ALCEU DE CAMPOS RODRIGUES</t>
  </si>
  <si>
    <t>AVENIDA PRESIDENTE JUSCELINO KUBITSCHEK ESQUINA COM RUA CLODOMIRO AMAZONAS</t>
  </si>
  <si>
    <t>RUA MANUEL GUEDES6 ESQUINA COM RUA CARLA</t>
  </si>
  <si>
    <t>RUA BENTO QUERINO ESQUINA COM A RUA FERNAO ALBERNAZ</t>
  </si>
  <si>
    <t>RUA IGUATEMI ESQUINA RUA ADOLFO TABACOW</t>
  </si>
  <si>
    <t>RUA SERIDO ESQUINA COM A RUA TUCUMA</t>
  </si>
  <si>
    <t>RUA CLODOMIRO AMAZONAS ESQUINA COM A RUA DAS FIANDEIRAS</t>
  </si>
  <si>
    <t>RUA PROFESSOR ATILIO INNOCETI  ESQUINA COM RUA ELVIRA FERRAZ</t>
  </si>
  <si>
    <t>RUA DAS MALVAS ESQUINA COM AVENIDA DAS ACACIAS</t>
  </si>
  <si>
    <t>RUA DOS MANACAS 14 ESQUINA COM A  PRACA PADRE LINDOLFO ESTEVES</t>
  </si>
  <si>
    <t>RUA JOAO CACHOEIRA ESQUINA COM A RUA DESEMBARGADOR AGUIAR VALIM</t>
  </si>
  <si>
    <t>RUA CONCEICAO DO ALMEIDA ESQUINA COM A RUA ASCENSO FERNANDES</t>
  </si>
  <si>
    <t>RUA PEDROSO DA SILVA ESQUINA COM RUA MUNIZ FALCAO</t>
  </si>
  <si>
    <t>RUA APARECIDA DE SAO MIGUEL ESQUINA COM A RUA ALTO DE SANTA HELENA</t>
  </si>
  <si>
    <t>RUA LOURENCO DA COSTA ESQUINA COM A RUA SILVEIRA NOBREGA</t>
  </si>
  <si>
    <t>RUA CANINA ESQUINA COM AVENIDA MARECHAL TITO</t>
  </si>
  <si>
    <t>RUA ALMIRANTADO ESQUINA COM A RUA SAO FELIX DE CANTALICIO</t>
  </si>
  <si>
    <t>RUA IPIRA ESQUINA COM A AVENIDA MENDONCA DRUMMOND</t>
  </si>
  <si>
    <t>RUA PEDRO TALARICO ESQUINA COM A RUA FERNAO ALBERNAZ</t>
  </si>
  <si>
    <t>RUA JOAO MARTINS ESQUINA COM RUA MODESTO DE SOUSA</t>
  </si>
  <si>
    <t>RUA ANDRE BERNARDES ESQUINA COM A RUA MARIO NOGUEIRA</t>
  </si>
  <si>
    <t>RUA JORGE BRON 124 ESQUINA COM RUA ACORIZAL</t>
  </si>
  <si>
    <t>RUA MANOEL VIANA ESQUINA COM A RUA FREI FIDELIS MOTA</t>
  </si>
  <si>
    <t>ALAMEDA DOS NHAMBIQUARAS PROXIMO DA ESQUINA COM A RUA CABOQUENAS</t>
  </si>
  <si>
    <t>RUA BARAO DO RIO PARDO PROXIMO A RUA BRENO PINHEIRO</t>
  </si>
  <si>
    <t>RUA GRUPIARA SN</t>
  </si>
  <si>
    <t>RUA LADISLAU ROMAN ESQUINA COM A RUA JOSE RUBENS</t>
  </si>
  <si>
    <t>RUA DRAUSIO 27 PROXIMO DA ESQUINA COM A RUA MMDC</t>
  </si>
  <si>
    <t>RUA MAJOR DIOGO ESQUINA COM A RUA SAO DOMINGOS</t>
  </si>
  <si>
    <t>ALAMEDA BARAO DE PIRACICABA ESQUINA COM ALAMEDA GLETE</t>
  </si>
  <si>
    <t>RUA GENERAL OSORIO ESQUINA COM A RUA CONSELHEIRO NEBIAS</t>
  </si>
  <si>
    <t>RUA AURORA ESQUINA COM A RUA DO AROUCHE</t>
  </si>
  <si>
    <t>RUA MARTIM FRANCISCO ESQUINA COM A RUA DAS PALMEIRAS</t>
  </si>
  <si>
    <t>RUA ANHAIA ESQUINA COM A RUA JAVAES</t>
  </si>
  <si>
    <t>RUA ANHAIA ESQUINA COM A RUA JARAGUA</t>
  </si>
  <si>
    <t>RUA TREZE DE MAIO COM RUA SAO VICENTE</t>
  </si>
  <si>
    <t>RUA LADISLAU ROMAN ESQUINA COM A RUA RUBENS DE MORAES JARDIM</t>
  </si>
  <si>
    <t>RUA PURES 743 DEFRONTE A RUA CAIXANAS</t>
  </si>
  <si>
    <t>RUA MARGARIDA GALVAO ESQUINA COM A AVENIDA JOAQUIM CANDIDO DE AZEVEDO MARQUES</t>
  </si>
  <si>
    <t>ALAMEDA EDUARDO PRADO ESQUINA COM ALAMEDA BARAO DE LIMEIRA</t>
  </si>
  <si>
    <t>ALAMEDA BARAO DE LIMEIRA EQUINA COM A ALAMEDA GLETE</t>
  </si>
  <si>
    <t>ALAMEDA EDUARDO PRADO ESQUINA COM A RUA VITORINO CARMILLO</t>
  </si>
  <si>
    <t>ALAMEDA BARAO DE LIMEIRA ESQUINA COM A RUA VITORIA</t>
  </si>
  <si>
    <t>RUA GUAIANASES ESQUINA COM A RUA GENERAL OSORIO</t>
  </si>
  <si>
    <t>AVENIDA SAO JOAO ESQUINA COM O LARGO DO AROUCHE</t>
  </si>
  <si>
    <t>RUA DO BOSQUE 39 ESQUINA COM AVENIDA RUDGE</t>
  </si>
  <si>
    <t>ALAMEDA RIBEIRO DA SILVA ESQUINA COM A ALAMEDA DINO BUENO</t>
  </si>
  <si>
    <t>AVENIDA INCONFIDENCIA MINEIRA ESQUINA A AVENIDA RIO DAS PEDRAS</t>
  </si>
  <si>
    <t>RUA ENGENHEIRO GUILHERME CRISTIANO 1321</t>
  </si>
  <si>
    <t>RUA ITAUNA ESQUINA COM A RUA CURUCA</t>
  </si>
  <si>
    <t>AVENIDA GUILHERME COTCHING ESQUINA COM A RUA PROFESSORA MARIA JOSE BARONE FERNANDES</t>
  </si>
  <si>
    <t>RUA AMAMBAI ESQUINA COM A RUA MARGARINO TORRES</t>
  </si>
  <si>
    <t>AVENIDA VALDEMAR CARLOS PEREIRA ESQUINA COM A RUA AUGUSTO DE MENDONCA</t>
  </si>
  <si>
    <t>RUA MATEUS DE SIQUEIRA ESQUINA COM A RUA QUINTILIANO MOREIRA CESAR</t>
  </si>
  <si>
    <t>RUA CAIO PRADO 247</t>
  </si>
  <si>
    <t>RUA ARAXIA PROXIMO DA ESQUINA COM A AVENIDA PROFESSOR FRANCISCO MORATO</t>
  </si>
  <si>
    <t>RUA JOAO GOMES JUNIOR ESQUINA COM A RUA RAMIRO DE SANTA CRUZ</t>
  </si>
  <si>
    <t>RUA ARLINDO COLACO ESQUINA COM A RUA SERRA DOURADA</t>
  </si>
  <si>
    <t>RUA HELIO POVOA ESQUINA COM A RUA BALUARTE DEFRONTE AO POSTO DE BOMBEIROS VILA OLIMPIA</t>
  </si>
  <si>
    <t>RUA AMAREL GURGEL PROXIMO A RUA DA CONSOLACAO</t>
  </si>
  <si>
    <t>AVENIDA SENADOR CASEMIRO DA ROCHA 1257 PROXIMO DA ESQUINA COM A AVENIDA JOSE MARIA WHITAKER DEFRONTE AO CONDOMINIO JARDIM DAS ORQUIDEAS</t>
  </si>
  <si>
    <t>AVENIDA GUILHERME COTCHING ESQUINA COM A RUA ARARITAGUABA</t>
  </si>
  <si>
    <t>RUA VITORIA ESQUINA COM A RUA CONSELHEIRO NEBIAS</t>
  </si>
  <si>
    <t>RUA OFELIA ESQUINA COM A PISTA LOCAL DA MARGINA PINHEIROS</t>
  </si>
  <si>
    <t>RUA ARARIPINA ESQUINA COM A RUA CIRCULAR DO BOSQUE</t>
  </si>
  <si>
    <t>RUA VICENTE GOES E ARANHA ESQUINA COM A RUA LEONOR QUADROS</t>
  </si>
  <si>
    <t>AVENIDA DUQUESA DE GOIAS ESQUINA COM A TRAVESSA CORONEL ANTONIO ABATE FILHO</t>
  </si>
  <si>
    <t>RUA DOUTOR CELSO DARIO GUIMARAES 584 PROXIMO A ESQUINA COM A RUA OSVALDO LEITE RIBEIRO</t>
  </si>
  <si>
    <t>RUA SAO MATEUS 227 NA CURVA</t>
  </si>
  <si>
    <t>RUA CORGIE ASSAD ABDALLA</t>
  </si>
  <si>
    <t>RUA FLORIANO PEIXOTO ESQUINA COM A AVENIDA JULES RIMET DEFRONTE A PRACA ALFREDO GOMES</t>
  </si>
  <si>
    <t>RUA PIRES DA MOTA 411 PROXIMO A ESQUINA COM A RUA PAES DE ANDRADE</t>
  </si>
  <si>
    <t>RUA SERRA DE BOTUCATU PROXIMO DA ESQUINA COM A AVNIDA CONSELHEIRO CARRAO</t>
  </si>
  <si>
    <t>AVENIDA DOS FUNCIONARIOS PUBLICOS PROXIMO DA ESQUINA COM A ESTRADA DO EMBU GUACU</t>
  </si>
  <si>
    <t>JARDIM CAPELA</t>
  </si>
  <si>
    <t>RUA LUIZ SERAPHICO JUNIOR ESQUINA COM A RUA LAGUNA</t>
  </si>
  <si>
    <t>RUA ABADIANIA ESQUINA COM A RUA ASTORGA</t>
  </si>
  <si>
    <t>RUA AFONSO PENA PROXIMO DA ESQUINA COM A RUA JOAO KOPKE</t>
  </si>
  <si>
    <t>RUA GUERRA AGUIAR PROXIMO DA ESQUINA COM A RUA PEDRO VELHO</t>
  </si>
  <si>
    <t>RUA RINCAO PROXIMO DA ESQUINA COM A RUA DOUTOR HELADIO</t>
  </si>
  <si>
    <t>RUA SARGENTO JETER AUGUSTO PEREIRA ESQUINA COM RUA SUBTENENTE AVIADOR FRANCISCO HIERRO</t>
  </si>
  <si>
    <t>RUA SARGENTO JETER AUGUSTO PEREIRA ESQUINA COM AVENIDA JOSE MARIA FERNANDES</t>
  </si>
  <si>
    <t>AVENIDA JOSE MARIA FERNANDES 347</t>
  </si>
  <si>
    <t>RUA RODOLFO FERNANDES ESQUINA COMA RUA GENERAL FRANCISCO ADOLFO ROSAS</t>
  </si>
  <si>
    <t>AVENIDA PADRE OLIVETANOS PROXIMO DA ESQUINA COM RUA HELOISA CAMARGO</t>
  </si>
  <si>
    <t>AVENIDA DO ORATOTIA ESQUINA COM RUA PADRE BRUNO RICCO</t>
  </si>
  <si>
    <t>AVENIDA DO ESTADO ESQUINA COM A AVENIDA SANTOS DUMONT</t>
  </si>
  <si>
    <t>RUA HUGO CAROTINI ESQUINA COM A RUA PEDRO PECCININI</t>
  </si>
  <si>
    <t>RUA  DOUTOR HOMEM DE MELO PROXIMO A ESQUINA COM A RUA MONTE ALEGRE</t>
  </si>
  <si>
    <t>RUA COSTA BARROS 1976 BLOCO B NO INTERIOR DO CONDOMINIO RESIDENCIAL PORTAL DE VILA PRUDENTE RUA MAJUBA</t>
  </si>
  <si>
    <t>AVENIDA AGUIA DE HAIA ESQUINA COM A RUA TALES DE MILETO</t>
  </si>
  <si>
    <t>RUA PEREIRA AVELAR ENTRE A  RUA COSTA BARROS E RUA HERMETO LIMA</t>
  </si>
  <si>
    <t>RUA SAO PEDRO CANISIO ESQUINA COM A RUA BRENO ACIOLE</t>
  </si>
  <si>
    <t>AVENIDA CAPITAO ANSELMO BARCELOS ESQUINA COM A RUA BARRA DA FIGUEIRA</t>
  </si>
  <si>
    <t>RUA BARRA DA FIGUEIRA ESQUINA COM A RUA DOS ARGENTINOS</t>
  </si>
  <si>
    <t>RUA SARGENTO OSWALDO ESQUINA COM A RUA CORONEL SOUZA REIS</t>
  </si>
  <si>
    <t>RUA SERRA DAS DIVISOEES  DEFRONTE A RUA JUTAIRANA</t>
  </si>
  <si>
    <t>AVENIDA SAO MIGUEL ESQUINA COM RUA CANDIDO BORGES MONTEIRO</t>
  </si>
  <si>
    <t>PRACA  DA LUZ 1180 ESQUINA COM AVENIDA TIRADENTE</t>
  </si>
  <si>
    <t>AVENIDA SANTO AMARO ESQUINA COM A RUA GUARARAPES</t>
  </si>
  <si>
    <t>RUA SAO PEDRO DO PIAUI ESQUINA COM A RUA MIGUEL DESIATO</t>
  </si>
  <si>
    <t>RUA CORONEL RODOVALHO ESQUINA COM A RUA  GUAIAUNA</t>
  </si>
  <si>
    <t>AVENIDA DO ORATORIO ESQUINA COM A RUA LOTUS</t>
  </si>
  <si>
    <t>RUA CORDEIROPOLIS ESQUINA COM A RUA DIAS VIEIRA</t>
  </si>
  <si>
    <t>RUA MAJOR ANGELO ZANCHI PROXIMO A ESQUINA DA RUA GENERAL SOCRATES</t>
  </si>
  <si>
    <t>RUA VACANGA ESQUINA COM A RUA SALOME QUEIROGA</t>
  </si>
  <si>
    <t>RUA ANTONIO FLORENCIO DOS SANTOS ESQUINA COM A RUA LISA ANSORGE</t>
  </si>
  <si>
    <t>RUA TOUTINEGRA ESQUINA COM A RUA CORONDA</t>
  </si>
  <si>
    <t>AVENIDA PASTEUR ESQUINA COM A AVENIDA VALDEMAR CARLOS PEREIRA</t>
  </si>
  <si>
    <t>RUA NIBE PEROBELLI ESQUINA COM A RUA JOAO DELLA MANNA</t>
  </si>
  <si>
    <t>RUA CORONEL RODOVALHO 218 PROXIMO DA ESQUINA COM A RUA GENERAL SOCRATES</t>
  </si>
  <si>
    <t>RUA ALVARES ESQUINA COM A RUA VITORIA DO MEARIM</t>
  </si>
  <si>
    <t>RUA GASPAR BARRETO 85 DEFRONTE A RUA PRIMEIRA CRUZZ</t>
  </si>
  <si>
    <t>RUA PADRE BENEDITO DE CAMARGO ESQUINA COM A AVENIDA GABRIELA MISTRAL</t>
  </si>
  <si>
    <t>RUA SARGENTO MANOEL CHAGAS ESQUINA COM A RUA  SOLDADO EURIPEDES RODRIGUES LIMA</t>
  </si>
  <si>
    <t>RUA PADRE BENEDITO DE CAMARGO ESQUINA COM A RUA HENRIQUE SOUSA QUEIROS</t>
  </si>
  <si>
    <t>RUA ANTONIO LOBO ESQUINA COM RUA DR JOAOA RIBEIRO</t>
  </si>
  <si>
    <t>AVENIDA CONCEICAO 5070 ESQUINA COM RUA SOLDADO JOSE VIVANCIO SOLANO</t>
  </si>
  <si>
    <t>AVENIDA AGENOR COUTO DE MAGALHAES 1527</t>
  </si>
  <si>
    <t>AVENIDA AGENOR COUTO DE MAGALHAES PROXIMO DA ESQUINA COM A RUA DOUTOR ALMEIDA SOARES</t>
  </si>
  <si>
    <t>RUA ARMANDO FLAMARION COELHO 157 PROXIMO DA ESQUINA COM A RUA JONAS EUDOQUE DOS SANTOS</t>
  </si>
  <si>
    <t>AVENIDA MIGUEL DE CASTRO ESQUINA COM A PRACA YARA YAVELBER</t>
  </si>
  <si>
    <t>RUA NOVA PALMEIRA PROXIMO A ESQUINA COM A RUA BEQUIMAO</t>
  </si>
  <si>
    <t>RUA ARLINDO BETTIO PROXIMO A RUA LUCAS GONCALVES</t>
  </si>
  <si>
    <t>AVENIDA GABRIELA MISTRAL ESQUINACOM A RUA JOAO DE LUCCA</t>
  </si>
  <si>
    <t>RUA BOM PASTOR ESQUINA COM A RUA DO GRITO</t>
  </si>
  <si>
    <t>RUA PADRE RAIMUNDO DA SILVA ESQUINA COM A RUA MATA MACHADO</t>
  </si>
  <si>
    <t>RUA CASIMIRO DE ABREU ESQUINA RUA CATAGUAS</t>
  </si>
  <si>
    <t>RUA VIEIRA GODINHO ESQUINA COM A RUA JOSE VELOSO CARMO</t>
  </si>
  <si>
    <t>RUA NINETE ESQUINA COM A RUA PROFESSORA MARGARIDA NOGUEIRA DEL GUERRA</t>
  </si>
  <si>
    <t>RUA PADRE ALARICO ZACARIAS 83</t>
  </si>
  <si>
    <t>AVENIDA DEPUTADO EMILIO CARLOS ESQUINA COM RUA PASCOAL SOUZA</t>
  </si>
  <si>
    <t>RUA JOHN LANE 1 ESQUNA COM AVENIDA NOSSA SENHORA DO O</t>
  </si>
  <si>
    <t>RUA DOUTOR JOAO VIEIRA NEVES ESQUINA COM RUA SILVESTRO LEGA</t>
  </si>
  <si>
    <t>RUA CAMPO GRANDE ESQUINA COM A RUA CARLOS WEBER</t>
  </si>
  <si>
    <t>RUA MAJOR PALADINO ESQUINA COM A RUA ITAPURANDA</t>
  </si>
  <si>
    <t>AVENIDA ELISIO TEIXEIRA DEFRONTE A RUA ANTONIO DA SILVA LEITE</t>
  </si>
  <si>
    <t>RUA BARRA DO GARCA ESQUINA COM A RUA PEDRO GONCALVES PARENTE</t>
  </si>
  <si>
    <t>RUA AIQUARA ESQUINA COM A RUA CICERO DANTAS</t>
  </si>
  <si>
    <t>RUA ERVAL SECO PROXIMO DA ESQUINA COM A RUA IVATUVA</t>
  </si>
  <si>
    <t>RUA WENCESLAU GUIMARAES ESQUINA COM A RUA OLAVO EGIDIO DE SOUZA ARANHA</t>
  </si>
  <si>
    <t>RUA EDIMBURGO ESQUINA COM AVENIDA CANGAIBA</t>
  </si>
  <si>
    <t>RUA VICENTE DE CARVALHO ESQUINA COM A RUA JOSE BENTO</t>
  </si>
  <si>
    <t>RUA BOM PASTOR ESQUINA COM A RUA TABOR</t>
  </si>
  <si>
    <t>RUA COMANDANTE TAYLOR PROXIMO A RUA SIQUEIRA BULCAO</t>
  </si>
  <si>
    <t>AVENIDA JOAO DIAS ESQUINCA COM A RUA MANUEL PEREIRA GUIMARAES</t>
  </si>
  <si>
    <t>RUA BELA VISTA ESQUINA COM A RUA THOMAS DELONEY</t>
  </si>
  <si>
    <t>AVENIDA VIEIRA DE MORAES ESQUINA COM RUA ESTEVAO DE BAIAO</t>
  </si>
  <si>
    <t>RUA ELBA ESQUINA COM A RUA PROFESSOR ALBERTO CONTE</t>
  </si>
  <si>
    <t>AVENIDA WASHINGTON LUIS ESQUINA COM A RUA CRISPIM HESSEL</t>
  </si>
  <si>
    <t>NO INTERIOR DO CEAGESP NO PAVILHA LEA LOJA ESCRITORIOS E ADMINISTRACAO DEFRONTE A PADARIA</t>
  </si>
  <si>
    <t>RODOVIA RAPOSO TAVARES 3175 NA ENTRADA DO CONDOMINIO</t>
  </si>
  <si>
    <t>RUA SALES JUNIOR 555 NO FUNDO DA TRAVESSA JOAO ALVES MEIRA JUNIOR</t>
  </si>
  <si>
    <t>RUA LIBERO RIPOLI 129</t>
  </si>
  <si>
    <t>RUA MINISTRO ALVARO DE SOUZA LIMA 253 NO INTERIOR DO CONODOMINIO RESIDENCIAL VILAS DE SAO PAULO</t>
  </si>
  <si>
    <t>AVENIDA PROFESSOR ALCEU MAYNARD ARAUJO 344 NO INTERIOR DO CONDOMINIO</t>
  </si>
  <si>
    <t>RUA MINISTRO LUIZ GALOTTI 210 NO INTERIOR DA TRAVESSA RUA PARTICULAR A ESQUERDA</t>
  </si>
  <si>
    <t>RUA JULIETA ESPIRITO SANTO PINHEIRO 256</t>
  </si>
  <si>
    <t>TRAVESSA PAULO MENDES CAMPOS NO FINAL DA RUA</t>
  </si>
  <si>
    <t>AVENIDA CANDIDO PORTINARI ESQUINA COM A RUA JOANA GALVAO</t>
  </si>
  <si>
    <t>AVENIDA INTERLAGOS PROXIMO A RUA ENGENHEIRO DAGOBERTO SALLES FILHO</t>
  </si>
  <si>
    <t>RUA EDEN DEFRONTE A RUA PARNAIBA</t>
  </si>
  <si>
    <t>RUA BARTOLOMEU QUADROS ESQUINA COM A AVENIDA CANGAIBA</t>
  </si>
  <si>
    <t>RUA MAJOR ANGELO ZANCHI ESQUINA COM A RUA PERSIO AZEVEDO</t>
  </si>
  <si>
    <t>AVENIDA CANGAIBA 1549</t>
  </si>
  <si>
    <t>RUA JOAO VELOSO DE OLIVEIRA 27 ESQUINA COM A RUA MARTINS T TEOTONIO</t>
  </si>
  <si>
    <t>AVENIDA ENGENHEIRO HEITO ANTONIO EIRAS GARCIA ESQUINA COM A RUA LINDA ABUD SIUFI</t>
  </si>
  <si>
    <t>RUA BENVENUTO CELLINI 172 DEFRONTE A RUA CINCO FOLHAS</t>
  </si>
  <si>
    <t>RUA VICENTE DORSA NO FINAL DA RUA</t>
  </si>
  <si>
    <t>AVENIDA INTERLAGOS PROXIMO DA ESQUINA COM A AVENIDA YERVANT KISSAJIKIAN</t>
  </si>
  <si>
    <t>RUA CORONEL CARLOS AMBROGI 219</t>
  </si>
  <si>
    <t>AVENIDA ADOLFO PINHEIRO 520 DEFRONTE A PRACA SANTA CRUZ</t>
  </si>
  <si>
    <t>RUA CLEMENTE BERNINI 160</t>
  </si>
  <si>
    <t>AVENIDA MUTINGA PROXIMO DA ESQUINA COM A AVENIDA AGENOR COUTO DE MAGALHAES</t>
  </si>
  <si>
    <t>RUA RECANTO DOS HUNILDES 82 ENTRE A RUA VIOLETA DOS ALPES E A TRAVESSA ANTULE BRANCO</t>
  </si>
  <si>
    <t>RUA BARAO DA PASSAGEM ESQUINA COM A RUA VISCONDE DE PELOTAS</t>
  </si>
  <si>
    <t xml:space="preserve">RUA DOM MACARIO PROXIMO DA ESQUINA COM A AVENIDA OSVALDO ARANHA </t>
  </si>
  <si>
    <t>RUA ENJOLRAS VAMPRE DEFRONTE A RUA JUVENAL GALENO</t>
  </si>
  <si>
    <t>AVENIDA PRESIDENTE WILSON 2873</t>
  </si>
  <si>
    <t>RUA ALMIRANTE MARIATH ESQUINA COM A RUA COMANDANTE TAYLOR</t>
  </si>
  <si>
    <t>RUA CONDE DEU ESQUINA COM A RUA MANOEL CHRISTI MANZINI</t>
  </si>
  <si>
    <t>RUA CONDE DE ITU ESQUINA COM A AVENIDA ADOLFO PINHEIRO</t>
  </si>
  <si>
    <t>RUA DOUTOR ULPIANO DA COSTA MANSO ESQUINA COM A RUA JUNTA MIZUMOTO</t>
  </si>
  <si>
    <t>RUA OTAVIO PEDREIRO ROSA ESQUINA COM A RUA JOSE DE ANDRADE MACIEL</t>
  </si>
  <si>
    <t>RUA ANIBAL PEDRO GODINHO ESQUINA COM A RUA DOUTOR PAULO RIBEIRO COELHO</t>
  </si>
  <si>
    <t>RUA LAURO MULLER ESQUINA COM A RUA SCHILING</t>
  </si>
  <si>
    <t>RUA SCHILLING ESQUINA COM A RUA PAULO FRANCO</t>
  </si>
  <si>
    <t>RUA TIQUATIRA ESQUINA COM A RUA ASSUNGUI</t>
  </si>
  <si>
    <t>AVENIDA CASA VERDE ESQUINA COM A RUA IATAI</t>
  </si>
  <si>
    <t>RUA ARACAJU PROXIMO DA ESQUINA COM A RUA MARANHAO</t>
  </si>
  <si>
    <t>RUA PEIXOTO GOMIDE ESQUINA COM A RUA CARLOS COMANELE</t>
  </si>
  <si>
    <t>RUA BOLIVIA ESQUINA COM A RUA CANADA</t>
  </si>
  <si>
    <t>RUA EMBIRA NO CANTEIRO CENTRAL AO LADO DA PISTA DE CAMINHADA DEFRONTE A RUA CONCEICAO DA BREJAUBA</t>
  </si>
  <si>
    <t>AVENIDA MANOEL DOS SANTOS BRAGA ESQUINA COM A AVENIDA SAO MIGUEL</t>
  </si>
  <si>
    <t>RUA CAPITAO LUIS RAMOS DEFRONTE A RUA ANTONIO PONTES</t>
  </si>
  <si>
    <t>RUA CEMBIRA ESQUINA COM A RUA JOAQUIM GIL DE CARVALHO</t>
  </si>
  <si>
    <t>RUA MINISTRO JESUINO CARDOSO ESQUINA COM A RUA PROFESSOR ATILIO INNOCENTI</t>
  </si>
  <si>
    <t>ALAMEDA JOAQUIM EUGENIO DE LIMA PROXIMO DA ESQUINA COM A ALAMEDA SANTOS</t>
  </si>
  <si>
    <t>RUA GOMES NOGUEIRA ESQUINA COM A AVENIDA DOUTOR RICARDO JAFET</t>
  </si>
  <si>
    <t>ALAMEDA JAU ESQUINA COM A AVENIDA BRIGADEIRO LUIS ANTONIO</t>
  </si>
  <si>
    <t>RUA CRISOLITA RODRIGUES PEREIRA ESQUINA COM A RUA EVANGELINA FERREIRA DESTRO</t>
  </si>
  <si>
    <t>RUA PROFESSOR HASEGAWA 798</t>
  </si>
  <si>
    <t>RUA HENRIQUE MAZZEI PROXIMO DA ESQUINA COM A RUA RACATI NA PASSAGEM AO LADO DA PRACA</t>
  </si>
  <si>
    <t>AVENIDA CAETANO ALVARES ESQUINA COM A AVENIDA OTAVIANO ALVES DE LIMA PISTA LOCAL DA MARGINAL TIETE SENTIDO PINHEIROS</t>
  </si>
  <si>
    <t>RUA FERREIRA DE ALMEIDA ESQUINA COM A RUA DOM AMARAL MOUSINHO</t>
  </si>
  <si>
    <t>AVENIDA JOSE DE BRITO DE FREITAS ESQUINA COM A RUA JOSE FRUTUOSO DIAS</t>
  </si>
  <si>
    <t>AVENIDA PROFESSOR CELESTINO BOURROUL ESQUINA COM A RUA CONEGO ARAUJO MARCONDES</t>
  </si>
  <si>
    <t>RUA MOREIRA NETO PROXIMO A RUA ANTONIO PECANHA</t>
  </si>
  <si>
    <t>AVENIDA PROFESSOR NOE AZEVEDO ESQUINA COM A A AVENIDA LINS DE VASCONCELOS</t>
  </si>
  <si>
    <t>ALAMEDA GLETE ESQUINA COM AVENIDA SAO JOAO</t>
  </si>
  <si>
    <t>RUA SAO VICENTE DE PAULO ESQUINA COM A RUA BARONESA DE ITU</t>
  </si>
  <si>
    <t>RUA MARTINICO PRASO ESQUINA COM A RUA MARTIM FRANCISCO</t>
  </si>
  <si>
    <t>RUA ANTONIO CARLOS ESQUINA COM RUA DA CONSOLCAO</t>
  </si>
  <si>
    <t>RUA CRUCAI ESQUINA COM A RUA CAPITAO JULIO ANFREDO MONTES</t>
  </si>
  <si>
    <t>RUA AMBROSIO DE MACEDO 184 NO INTERIOR DA VILA DEFRONTE A CASA 04</t>
  </si>
  <si>
    <t>AVENIDA MARECHAL TITO DEFRONTE A AVENIDA DOS IPES PROXIMO AO VIADUTO</t>
  </si>
  <si>
    <t>AVENIDA ANTONIO MUNHOZ BONILHA DEFRONTE A RUA VICENTE FERREIRA LEITE</t>
  </si>
  <si>
    <t>RUA MARAA 46 PROXIMO A ESQUINA COM AZ AVENIDA CONCEICAO</t>
  </si>
  <si>
    <t>PRACA DAVID BEN GURION ESQUINA COM RUA ITAPEMIRIM</t>
  </si>
  <si>
    <t>RUA DOS RODRIGUES ESQUINA COM RUA SILVERIO DE CARVALHO</t>
  </si>
  <si>
    <t>RUA DOUTOR ALVARO ALVIM ESQUINA COM A RUA RIO GRANDE</t>
  </si>
  <si>
    <t>AVENIDA CONSELHEIRO RODRIGUES ALVES ESQUINA COM A RUA  HIDELBRANDO THOMAZ DE CARVALHO</t>
  </si>
  <si>
    <t>RUA JEAN JADIN PROXIMO A ESQUINA COM A RUA JAMES NARES</t>
  </si>
  <si>
    <t>AVENIDA DOS SEMANEIROS ESQUINA COM A RUA ANTONIO DE GOUVEIA GIUDICE</t>
  </si>
  <si>
    <t>AVENIDA CANGAIBA 4232 EM FRENTE AO ANTIGO PB CANGAIBA</t>
  </si>
  <si>
    <t>RUA MATEUS LOURENCO DE CARVALHO 387</t>
  </si>
  <si>
    <t>AVENIDA JARDIM JAPAO 400</t>
  </si>
  <si>
    <t>AVENIDA  EDU CHAVES 959</t>
  </si>
  <si>
    <t>RUA JOTA CARLOS PROXIMO A AVENIDA MENDES DA ROCHA</t>
  </si>
  <si>
    <t>RUA MARCONDES ESQUINA COM A RUA IRMA FILOMENA ESQUINA</t>
  </si>
  <si>
    <t>RUA FRANCISCO ALVES BEZERRA 441</t>
  </si>
  <si>
    <t>AVENIDA PRESIDENTE WILSON 5359 ESQUINA COM RUA LEOPOLDO FIGUEIREDO</t>
  </si>
  <si>
    <t>AVENIDA PRESIDENTE WILSON 274  PORTAO 11 DA ANTIGA ANTARTICA</t>
  </si>
  <si>
    <t>AVENIDA CARIOCA ESQUINA COM AVENIDA PRESIDENTE WILSON</t>
  </si>
  <si>
    <t>AVENIDA PRESIDENTE WILSON 3009</t>
  </si>
  <si>
    <t>AVENIDA PRESIDENTE WILSON 3056</t>
  </si>
  <si>
    <t>AVENIDA PRESIDENTE WILSON ESQUINA COM A RUA MATIAS DE ALBUQUERQUE</t>
  </si>
  <si>
    <t>AVENIDA PRESIDENTE WILSON 2953</t>
  </si>
  <si>
    <t>AVENIDA PRESIDENTE WILSON 4100 PROXIMO AO VIADUTO DA AVENIDA DO ESTADO</t>
  </si>
  <si>
    <t>AVENIDA PRESIDENTE WILSON 3544 ENTRE AS RUA PALMARES E RUA MATIAS ALBUQUERQUE</t>
  </si>
  <si>
    <t>AVENIDA PRESIDENTE WILSON ESQUINA COM A RUA DOS PATRIOTAS</t>
  </si>
  <si>
    <t>RUA URUTAGUA ESQUINA AVENIDA PRESIDENTE WILSON</t>
  </si>
  <si>
    <t>RUA VEMAG ESQUINA COM AVENIDA PRESIDENTE WILSON</t>
  </si>
  <si>
    <t>AVENIDA PRESIDENTE WILSON 6734</t>
  </si>
  <si>
    <t>AVENIDA PRESIDENTE WILSON 2735</t>
  </si>
  <si>
    <t>AVENIDA PRESIDENTE WILSON PROXIMO DA ESQUINA COM A RUA GUEMBE</t>
  </si>
  <si>
    <t>SAMBODROMO DO ANHEMBI AREA DE CONCENTRACAO TRAVESSA DA RUA PROFESSOR MILTON RODRIGUES</t>
  </si>
  <si>
    <t>RUA MAMORE ESQUINA COM A RUA DA GRACA</t>
  </si>
  <si>
    <t>RUA MANIGA ESQUINA COM A RUA OLGA SILVEIRA CAMPOS</t>
  </si>
  <si>
    <t>RUA BENTO TEIXEIRA ESQUINA COM A RUA ZELIA FRIA STREET</t>
  </si>
  <si>
    <t>RUA SIZENANDO NABUCO ESQUINA COM A RUA CRAVO DA INDIA</t>
  </si>
  <si>
    <t>NO INTERIOR DO CEAGESP NA CALCADA DO PAVILHAO HFE</t>
  </si>
  <si>
    <t>ESTRADA DO ARACATI DEFRONTE A RUA LICINO FELINI</t>
  </si>
  <si>
    <t>RUA SALVADO TOLEZANO PROXIMO DA ESQUINA COM A AVENIDA PARADA PINTO</t>
  </si>
  <si>
    <t>RUA ROQUE PEREIRA NO FINAL DA RUA</t>
  </si>
  <si>
    <t>RUA ITAMONTE ESQUINA COM A RUA HINTEM MARTINS</t>
  </si>
  <si>
    <t>RUA OSAKA ESQUINA COM A AVENIDA DAS CEREJEIRAS</t>
  </si>
  <si>
    <t>RUA MARIA JOSE DA CONCEICAO 791</t>
  </si>
  <si>
    <t>RUA DOUTOR MARIANO CURSINO DE MOURA PROXIMA A ESQUINA COM A AVENIDA ARICANDUVA</t>
  </si>
  <si>
    <t>AVENIDA DRACENA 836</t>
  </si>
  <si>
    <t>RUA EULO MARONI DEFRONTE A RUA SOFIA BERNARDI</t>
  </si>
  <si>
    <t>RUA EUBEBIA ESQUINA COM A RUA MAGNA GRECIA</t>
  </si>
  <si>
    <t>RUA DONA ELOA DO VALLE QUADROS ESQUINA COM A RUA NASCER DO SOL</t>
  </si>
  <si>
    <t>AVENIDA SAO JOSE DOS CORDEIROS ESQUINA COM A RUA CANDIBA</t>
  </si>
  <si>
    <t>RUA NICODEMOS DUTRA ROSA 19 ENTRE A RUA PAULO DE CAMARGO GARTNER E A RUA DOUTOR ILARINO JULIANO</t>
  </si>
  <si>
    <t>NO INTERIOR DO CEAGESP NA CALCADA DO  PAVILHAO HFD</t>
  </si>
  <si>
    <t>RUA EUSEBIO DE PAULA MARCONDES 1010 NO INTERIOR DO CONDOMINIO RESIDENCIAL JARDIM DABRIL</t>
  </si>
  <si>
    <t>RUA VERBO DIVINO PROXIMO A AVENIDA DAS NACOES UNIDAS</t>
  </si>
  <si>
    <t>RUA MAMONAS ASSASINA ESQUINA COM A RUA LUCAS GONCALVES</t>
  </si>
  <si>
    <t>AVENIDA OSVALDO VALLE CORDEIRO PROXIMO A ESQUINA COM A AVENIDA ALZIRO ZARUR</t>
  </si>
  <si>
    <t>AVENIDA PARANAGUA PROXIMO DA ESQUINA COM A RUA JOSE MUNIZ RIBEIRO</t>
  </si>
  <si>
    <t>RUA DONA ELOA DO VALLE QUADROS ESQUINA COM RUA DO AR</t>
  </si>
  <si>
    <t>AVENIDA PARANAGUA ESQUINA COM A RUA AUGUSTO MUNIZ RIBEIRO</t>
  </si>
  <si>
    <t>RUA FRANCISCO BRUNO ESQUINA COM RUA CONSELHEIRO MOREIRA DE BARROS</t>
  </si>
  <si>
    <t>RUA DAS CRIANCAS ESQUINA COM A RUA ANTONIO LEITE PENTEADO</t>
  </si>
  <si>
    <t>RUA BORGES DE FIGUEIREDO ESQUINA COM A RUA VISCONDE DE CAIRU</t>
  </si>
  <si>
    <t>RUA FELISBERTO FREIRE ESQUINA COM RUA MIGUEL DE LEMOS</t>
  </si>
  <si>
    <t>RUA JOAO MILLAM 288</t>
  </si>
  <si>
    <t>RUA TRIPOLI ESQUINA COM A RUA CARLOS WEBER</t>
  </si>
  <si>
    <t>RUA MARIA DA CONCEICAO FERNANDES ESQUINA COM A  RUA LAGOA DA PRATA</t>
  </si>
  <si>
    <t>RUA DIOGO CABRERA ESQUINA COM RUA CIRILO DE OLIVEIRA</t>
  </si>
  <si>
    <t>RUA CAPITAO MANOEL NOVAES ESQUINA COM A RUA CORONEL CARVALHO SOBRINHO</t>
  </si>
  <si>
    <t>AVENIDA IMIRIM ESQUINA COM RUA ANA RIBEIRO</t>
  </si>
  <si>
    <t>AVENIDA ASSIS RIBEIRO ESQUINA COM AVENIDA DR ASSIS RIBEIRO</t>
  </si>
  <si>
    <t>AVENIDA IMIRIM ESQUINA COM RUA DIOGO BUENO</t>
  </si>
  <si>
    <t>RUA SEBASTIAO DE FREITAS ESQUINA COM A AVENIDA GUAPIRA</t>
  </si>
  <si>
    <t>RUA NATALINO CARIBE ESQUINA COM AVENIDA ENGENHEIRO CAETANO ALVARES</t>
  </si>
  <si>
    <t>RUA SOLON ESQUINA COM A RUA GENERAL FLORES</t>
  </si>
  <si>
    <t>RUA UTARO KANAI ENTRE A RUA JULIO GOUVEIA E A RUA GENERAL JOAO SARMENTO PIMENTEL</t>
  </si>
  <si>
    <t>RUA EDUARDO SANCHEZ DEFRONTE A RUA MOISES DE CORENA</t>
  </si>
  <si>
    <t>RUA SAO JOSE DO DIVINO 2202</t>
  </si>
  <si>
    <t>RUA TEODORO CABRAL ESQUINA COM A RUA JOSE POMPEU</t>
  </si>
  <si>
    <t>RUA FRANCESCO USPER EM FRENTE AO LADO DO PREDIO DA SABESP</t>
  </si>
  <si>
    <t>RUA MINISTRO LUIZ SPARANO ESQUINA COM A RUA GASTAO DE ALMEIDA</t>
  </si>
  <si>
    <t>RUA PRESIDENTE BARAO DE GUAJARA ESQUINA COM A AVENIDA PRESIDENTE WILSON</t>
  </si>
  <si>
    <t>RUA VIRGILIO TAQUES BITENCOURT 268 PROXIMO A RUA PROFESSOR RENATO BRAGA</t>
  </si>
  <si>
    <t>RUA HERMELINA GONCALVES VADERS PROXIMO A RUA MANOEL CRUZ</t>
  </si>
  <si>
    <t>RUA NELSON DE OLIVEIRA 395 NA CURVA PROXIMO A RUA GENERAL EURYALE DE JESUS ZERBINI NA CALCADA DA SABESO</t>
  </si>
  <si>
    <t>RUA OSVALDO CARDOSO FRANCO ESQUINA COM RUA ABILIO FERREIRA BRANDAO</t>
  </si>
  <si>
    <t>RUA LOPES DA COSTA ESQUINA COM A RUA GUAJARAS</t>
  </si>
  <si>
    <t>RUA DA PAZ PROXIMO A RODOVIA FERNAO DIAS SENTIDO MINAS GERAIS</t>
  </si>
  <si>
    <t>RUA ARI DA ROCHA MIRANDA PROX A RUA MANOEL LISBOA MOURA</t>
  </si>
  <si>
    <t>RUA ANTONIO PEDRO TEIXEIRA ESQUINA COM RUA MARIA LUCIA DE TOLEDO TEIXEIRA</t>
  </si>
  <si>
    <t>RUA TRES LAGOAS 276 DEFRONTE A RUA SANTA ZITA</t>
  </si>
  <si>
    <t>AVENIDA DAS NACOES UNIDAS (VIA PROFESSOR SIMAO FAIGUENBOIM)  DEFRONTE A RUA ARNALDO MAGNICCARO  NO CANTEIRO CENTRAL DA AVENIDA</t>
  </si>
  <si>
    <t>RUA GABRIEL SOARES ESQUINA COM A AVENIDA TENENTE LAURO SODRE</t>
  </si>
  <si>
    <t>RUA GIUSEPE TARTINI 15 ENTRE OS BLOCOS B10 E B18 NO INTERIOR DO ESTACIONAMENTO</t>
  </si>
  <si>
    <t>RUA MINISTRO JUNQUEIRA AYRES ESQUINA COM A RUA ARMANDO VIEIRA</t>
  </si>
  <si>
    <t>RUA OROS NO FINAL DA RUA</t>
  </si>
  <si>
    <t>TRVESSA ANTONIO BURONI 147 57</t>
  </si>
  <si>
    <t>RUA CERRO CORA ESQUINA COM A RUA ARAIOSES</t>
  </si>
  <si>
    <t>AVENIDA JOAO CAIAFFA DEFRONTE A RUA CORONEL JUNQUEIRA FRANCO</t>
  </si>
  <si>
    <t>RUA ANTONIO BONPORTI 41 PROXIMO DA ESQUINA COM A RUA LUIZ PARISOTTO</t>
  </si>
  <si>
    <t>RUA JOSE ALVARES MACIEL PROXIMO DA ESQUINA COM A AVENIDA CORIFEU DE AZEVEDO MARQUES</t>
  </si>
  <si>
    <t>ROTATORIA DA AVENIDA PROFESSOR ALMEIDA PRADO COM A AVENIDA PROFESSOR LUCIANO GUALBERTO PROXIMO A ENTRADA DO IPT</t>
  </si>
  <si>
    <t>RUA CARLOS MAGALHAES 400</t>
  </si>
  <si>
    <t>RUA CELSO BARROS PROXIMO DA ESQUINA COM A RUA DO CHICO NUNES</t>
  </si>
  <si>
    <t>RUA DOUTOR JOSE AUGUSTO DE SOUZA E SILVA 436 PROXIMO DA RUA JERONIMO DE CAMPOS FREIRE</t>
  </si>
  <si>
    <t>RUA DEPUTADO LAERCIO CORTE NA ROTATORIA DE ACESSO A AVENIDA HEBE CAMARGO</t>
  </si>
  <si>
    <t>RUA SAO JOSE DAS ESPINHARAS PROXIMO DA ESQUINA COM A RUA ATAULFO ALVES</t>
  </si>
  <si>
    <t>RUA ETTORE ANDREAZZA 187 PROXIMO A PRACA</t>
  </si>
  <si>
    <t>RUA ALEXANDRE BENOIS PROXIMO A ESQUINA COM A RUA MARIA JOSE DA CONCEICAO</t>
  </si>
  <si>
    <t>RUA DOUTOR CARLOS DE OLIVEIRA COUTINHO ESQUINA COM A RUA DOUTOR GETULIO DE PAULA SANTOS</t>
  </si>
  <si>
    <t>RUA CALIFORNIA ESQUINA COM A RUA ARIZONA</t>
  </si>
  <si>
    <t>RUA PADRE CERDA PROXIMO DA ESQUINA COM A RUA MADRE MARIA ANGELICA RESENDE</t>
  </si>
  <si>
    <t>RUA CASQUEIRO ESQUINA COM A RUA JUAN GONZALES VILA</t>
  </si>
  <si>
    <t>RUA RIFAINA ESQUINA COM A RUA PEDRO SOARES DE ALMEIDA</t>
  </si>
  <si>
    <t>AVENIDA ANGELO CRISTIANINI ESQUINA COM A AVENIDA CUPECE</t>
  </si>
  <si>
    <t>VIELA DA PAZ NO FINAL</t>
  </si>
  <si>
    <t>AVENIDA ESTAÃ‡ÃƒO PROXIMO AO PORTAO Z DO AUTODROMO</t>
  </si>
  <si>
    <t>AVENIDA PROFESSOR LINEU PRESTES DEFRONTE A AVENIDA PROFESSOR ANTONIO BARROS ULHOA CINTRA</t>
  </si>
  <si>
    <t>RUA MADRE SOFIA MARCHETTI NO FINAL DA RUA</t>
  </si>
  <si>
    <t>AVENIDA FELIPE CARRILLO PUERTO 652</t>
  </si>
  <si>
    <t>PARQUE FERNANDA</t>
  </si>
  <si>
    <t>RUA PEDRO LEME ESQUINA COM A RUA CHAFARIZ DE PEDRA</t>
  </si>
  <si>
    <t>ESTRADA DE ITAPECERICA DEFRONTE A RUA DA MOENDA</t>
  </si>
  <si>
    <t>TRAVESSA CASTANHA DO PARA 49 NO INTERIOR DO PB CAPAO REDONDO</t>
  </si>
  <si>
    <t>RUA TEJO PROXIMO A RUA PEDRO DE TOLEDO</t>
  </si>
  <si>
    <t>RUA LUIS GONZAGA FREIRE 118</t>
  </si>
  <si>
    <t>RUA TIBURCIO DE SOUSA ESQUINA COM A RUA MANUEL ALVARES PIMENTEL</t>
  </si>
  <si>
    <t>RUA PADRE VIRGILIO CAMPELO ESQUINA COM A RUA PAULO TAPAJOS</t>
  </si>
  <si>
    <t>AVENIDA NOSSA SENHORA DO SABARA 4267 PROXIMO DA ESQUINA COM A RUA RAFAEL CORREIA SAMPAIO</t>
  </si>
  <si>
    <t xml:space="preserve">AVENIDA NOSSA SENHORA DE SABARA 4350 NO INTERIOR DO CONDOMINIO PARQUE RESIDENCIAL NOSSA SENHORA DO SABARA NA ALAMEDA PRINCIPAL A 80 METROS DA PORTARIA </t>
  </si>
  <si>
    <t>AVENIDA KENKITI SIMOMOTO PROXIMO DA ESQUINA COM A AVENIDA JOSE MARIA DA SILVA</t>
  </si>
  <si>
    <t>RUA AV  PREOFESSOR JOAO BATIST NA CONTI</t>
  </si>
  <si>
    <t>RUA BATALHA DE CATALAO 386</t>
  </si>
  <si>
    <t>NO INTERIOR DO CEAGESP NA CALCADA DO PAVILHAO HFM</t>
  </si>
  <si>
    <t>NO INTERIOR DO CEAGESP NA CALCADA DO PAVILHAO HFD</t>
  </si>
  <si>
    <t>NO INTERIOR DO CEAGESP NA CALCADA DO PAVILHAO APE</t>
  </si>
  <si>
    <t>RUA DOUTOR SILVIO DANTE BERTACCHI 832 834 DEFRONTE A RUA DOUTOR JOAO JOSE DE CARVALHO</t>
  </si>
  <si>
    <t>RUA AFONSO FURTADO DE CASTRO ESQUINA COM A AVENIDA DOS SERTANISTAS</t>
  </si>
  <si>
    <t>AVENIDA SAPOPEMBA 19721 ESTRADA DO RIO CLARO ESQUINA COM A TRAVESSA NOVA ESPERANCA</t>
  </si>
  <si>
    <t>ESTRADA PIRAJUSSAR VALO VELHO ESQUINA COM AVENIDA AUGUSTO BARBOSA TAVARES</t>
  </si>
  <si>
    <t>RUA ITAJUIBE PROXIMO DA ESQUINA COM A RUA BARRA DA CAPARA</t>
  </si>
  <si>
    <t>TRAVESSA CANHANI DA INDIA PROXIMO A ESQUINA COM A TRAVESSA CARVALHO DO MAR</t>
  </si>
  <si>
    <t>RUA OTUSCO PROXIMO A RUA ANGELO GIMENEZ</t>
  </si>
  <si>
    <t>AVENIDA CARLOS LACERDA 3093 PROXIMO A RUA OTUSCO</t>
  </si>
  <si>
    <t>RUA NOVA IRLANDA ESQUINA COM A RUA NOVA BRITANIA</t>
  </si>
  <si>
    <t>RUA SILVERIO DE CARVALHO ESQUINA COM A RUA SILVESTRE GONCALVES</t>
  </si>
  <si>
    <t>RUA BORBA PEREIRA DEFRONTE A RUA LAURINDO DE AZEVEDO MARQUES PROXIMO A ESQUINA COM A RUA CARUTAPERAZ</t>
  </si>
  <si>
    <t>AVENIDA BENTO GUELFI 3020 PROXIMO COM A ESQUINA DA AVENIDA SAPOPEMA NA CALCADA DA 1 CIA DO 38BPMM</t>
  </si>
  <si>
    <t>RUA EDUARDO VITORINO EM FRENTE A RUA VICENTE CESAR</t>
  </si>
  <si>
    <t>RUA CONTE LOPES ESQUINA COM A AVENIDA SAPOPEMBA</t>
  </si>
  <si>
    <t>AVENIDA SANTA MARINA PROXIMO DA RUA BALSA E AVENIDA NOSSA SENHORA DO O</t>
  </si>
  <si>
    <t>RUA ANTONIO PIRES 246</t>
  </si>
  <si>
    <t>RUA FRANCISCO CID 111 ESQUINA COM RUA ANTONIO DE COUROS</t>
  </si>
  <si>
    <t>RUA CAJATI 193 ESQUINA DA RUA JOAO SIQUEIRA BRITO</t>
  </si>
  <si>
    <t>RUA TENENTE HELI CAMARA 23 ESQUINA COM RUA DA BALSA</t>
  </si>
  <si>
    <t>RUA LAUDELINO FREIRE ESQUINA COM RUA OSCAR CAMILO</t>
  </si>
  <si>
    <t>RUA MANDISSUNUNGA</t>
  </si>
  <si>
    <t>RUA SAMUEL ARNOLD PROXIMO A RUA MARIA LUCIA DE TOLEDO LEITE DE MORAES</t>
  </si>
  <si>
    <t>AVENIDA NOSSA SENHORA DO O 1719 PROXIMO A ESQUINA COM A AVENIDA COMENDADOR MARTINELLI</t>
  </si>
  <si>
    <t>RUA FRANCISCO JOSE ALVES 104 DEFRONTE A TRAVESSA ANGUERA</t>
  </si>
  <si>
    <t>RUA OLIMPIA 325 PROXIMO A RUA HERMETO LIMA</t>
  </si>
  <si>
    <t>RUA SAO PROCOPIO ESQUINA COM A RUA BALTAR</t>
  </si>
  <si>
    <t>AVENIDA CORIFEU DE AZEVEDO MARQUES ESQUINA COM A RUA MAJOR RUBENS FLORENTINO</t>
  </si>
  <si>
    <t>RUA GIOVANI RECORDATI ESQUINA COM A RUA BRIGADEIRO HENRIQUE FONTINELLE</t>
  </si>
  <si>
    <t>AVENIDA ELISIO CORDEIRO DE SIQUEIRA ESQUINA COM A RUA PADRE JOAO BELL</t>
  </si>
  <si>
    <t>RUA RUBENS DE SOUZA ARAUJO PROXIMO A RUA JOSE BARRETO DOS SANTOS</t>
  </si>
  <si>
    <t>RUA CORONEL JOSE VENANCIO DIAS DEFRONTE A RUA FELICISSIMO DE SOUZA</t>
  </si>
  <si>
    <t>RUA JANUARIO D ANTONIO ESQUINA COM A RUA VASCONCELOS DOS SANTOS</t>
  </si>
  <si>
    <t>AVENIDA JOSE MARTINS LISBOA ESQUINA COM A RUA GUILHERME PISO</t>
  </si>
  <si>
    <t>RUA ZEFERINO FERRAZ PROXIMO DA ESQUINA COM A AVENIDA BARAO DE ALAGOAS</t>
  </si>
  <si>
    <t>RUA VALENTE DE NOVAIS ESQUINA COM A RUA TIBURCIO DE SOUZA</t>
  </si>
  <si>
    <t>RUA ROQUETE PINTO ESQUINA COM A AV FRANCISCO MORATO</t>
  </si>
  <si>
    <t>RUA SATURNINO PEREIRA ESQUINA COM A RUA SANTA SABINA</t>
  </si>
  <si>
    <t>RUA FASCINACAO 314</t>
  </si>
  <si>
    <t>AVENIDA PROFESSOR OSVALDO DE OLIVEIRA ESQUINA COM  A RUA BELO VALE</t>
  </si>
  <si>
    <t>AVENIDA ATLANTICA ESQUINA COM A RUA HERCULANO PENA</t>
  </si>
  <si>
    <t>RUA DOMINGOS JORGE PROXIMO A AVENIDA GUARAPIRANGA</t>
  </si>
  <si>
    <t>RUA CASSIO DE MOURA 180 POSTO DE BOMBEIROS VILA FORMOSA</t>
  </si>
  <si>
    <t>RUA ADOLFO EBER 01 NO FINAL DA RUA</t>
  </si>
  <si>
    <t>RUA BENTO DE BARROS 403</t>
  </si>
  <si>
    <t>RUA GIUSEPE TARTINI 15 ENTRE OS BLOCOS A4 E A5 NO INTERIOR DO ESTACIONAMENTO</t>
  </si>
  <si>
    <t>RUA TRES ESQUINA COM A RUA GIUSEPE TARTINI DEFRONTE AO BLOCO B14</t>
  </si>
  <si>
    <t>RUA COSTA BARROS 2200 DEFRONTE AO BLOCO 6C NO INTERIOR DO CONDOMINIO</t>
  </si>
  <si>
    <t>AVENIDA COSTA BARROS 1976 DEFRONTE AO BLOCO G NO INTERIOR DO CONDOMINIO</t>
  </si>
  <si>
    <t>AVENIDA SAPOPEMA 4571 ENTRE AS RUA LIMA E RUA EVARISTO LUZ AO LADO DE UMA VIELAM</t>
  </si>
  <si>
    <t>RUA FABIO ESQUINA COM A RUA ALVES DE ALMEIDA</t>
  </si>
  <si>
    <t>RUA TAVARES VILELA ESQUINA COM A RUA CENOBELINO SERRA</t>
  </si>
  <si>
    <t>AVENIDA PROF FRANCISCO MORATO 1982</t>
  </si>
  <si>
    <t>RUA ARRAIAL DE SANTA BARBARA DEFRONTE A RUA PEDRO MACIEL</t>
  </si>
  <si>
    <t>RUA ANTONIO SILVESTRE FERREIRA ESQUINA COM A RUA OTELO AUGUSTO RIBEIRO</t>
  </si>
  <si>
    <t>AVENIDA LUIS MATEUS - POSTO DE BOMBEIROS GUAIANAZES</t>
  </si>
  <si>
    <t xml:space="preserve">AVENIDA DE PINEDO ESQUINA COM A RUA </t>
  </si>
  <si>
    <t>RUA MURIBECA PROXIMO DA ESQUINA COM A AVENIDA DAS MAGNOLIAS</t>
  </si>
  <si>
    <t>RUA LUIS ROMANINI ESQUINA COM A RUA DOUTOR CARLOS CAMILO HADDAD</t>
  </si>
  <si>
    <t>AVENIDA IBIRAPUERA ESQUINA COM A AVENIDA DOS EUCALIPTOS</t>
  </si>
  <si>
    <t>AVENIDA DOUTOR CHUCRI ZAIDAN 230 PROXIMO DA ESQUINA COM A RUA EVANDRO CARLOS DE ANDRADE</t>
  </si>
  <si>
    <t>RUA BERGAMOTA ESQUINA COM A RUA DARDANELOS</t>
  </si>
  <si>
    <t>RUA AUGUSTO FERREIRA DE MORAIS ESQUINA COM A RUA FRANCISCO OTAVIANO</t>
  </si>
  <si>
    <t>AVENIDA DIOGENS RIBEIRO DE LIMA PROXIMO A RUA ARIQUEME</t>
  </si>
  <si>
    <t>RUA JOAO GOMES PEREIRA DEFRONTE A RUA AQUILES FONTANA</t>
  </si>
  <si>
    <t>ALAMEDA DOS TUPINAS ESQUINA COM A AVENIDA ITACIRA</t>
  </si>
  <si>
    <t>RUA MAURO ESQUINA COM A RUA TRENTINO ANTONIO TARDOCHI</t>
  </si>
  <si>
    <t>RUA ULISSES CRUZ ESQUINA COM A RUA HEITOR BARIANI</t>
  </si>
  <si>
    <t>RUA DOUTOR MAURO PAIS DE ALMEIDA</t>
  </si>
  <si>
    <t>AVENIDA ATLANTICA ESQUINA COM A AVENIDA DO RIO BRANCO</t>
  </si>
  <si>
    <t>AVENIDA JOAO BATISTA DI VITORIANO ESQUINA COM A RUA GREGORIO DE MORAIS</t>
  </si>
  <si>
    <t>RUA PROFESSOR ARNALDO JOAO SEMERARP 465</t>
  </si>
  <si>
    <t>RUA GUAICURUS 656</t>
  </si>
  <si>
    <t>RUA VICENTINA GOMES ESQUINA COM A RUA DOUTOR ELOI CHAVES</t>
  </si>
  <si>
    <t>RUA LEONOR QUADROS NA CALCADA EXTERNA DA PRACA DESEMBARGADOR VIEIRA NETO</t>
  </si>
  <si>
    <t>RUA SEBASTIAO RODRIGUES PROXIMO DA ESQUINA COM A RUA CAMINHA DE AMORIM</t>
  </si>
  <si>
    <t>RUA JOAQUIM MACHADO PROXIMO DA ESQUINA COM A RUA MONTEIRO DE MELO PRACA PROFESSOR MARIO OLAVO GUZZO</t>
  </si>
  <si>
    <t>AVENIDA JOSE MARIA DE FARIA ESQUINA COM A RUA GINO CESARO</t>
  </si>
  <si>
    <t>RUA PENSILVANIA ENTRE A RUA CIPRIANO LOPES FRANCA E A RUA CONCEICAO DE MONTE ALEGRE</t>
  </si>
  <si>
    <t>RUA CAMBURIU 514</t>
  </si>
  <si>
    <t>AVENIDA ROUXINOL ESQUINA COM A RUA INHAMBU</t>
  </si>
  <si>
    <t>RUA GAIVOTA ESQUINA COM A RUA IRAUNA</t>
  </si>
  <si>
    <t>RUA DO CORTUME NO FINAL DA RUA</t>
  </si>
  <si>
    <t>AVENIDA DAS NACOES UNIDAS 21314 PROXIMO A RUA DOUTOR ALVARO GOMES DOS REIS</t>
  </si>
  <si>
    <t>RUA MANOEL DA NOBREGA 97</t>
  </si>
  <si>
    <t>RUA ACHILLES MASETTI ENTRE AS RUAS TOMAS CARVALHAL E A RUA SAID ALACH</t>
  </si>
  <si>
    <t>AVENIDA CELSO GARCIA ESQUINA COM A RUA TUIUTI</t>
  </si>
  <si>
    <t>RUA PADRE ESTEVAO PERNET ESQUINA COM A RUA MONTE SERRAT</t>
  </si>
  <si>
    <t>RUA ICARAI CALCADA DA ESCOLA ESTADUAL</t>
  </si>
  <si>
    <t>RUA TUIUTI ESQUINA COM RUA PADRE ADELINO</t>
  </si>
  <si>
    <t>RUA GITA ESQUINA COM RUA CORACAO NOTURNO</t>
  </si>
  <si>
    <t>AVENIDA MINISTRO ALVARO DE SOUZA LIMA 599</t>
  </si>
  <si>
    <t>RUA ALBERTINA ALVES 155</t>
  </si>
  <si>
    <t>AVENIDA PROFESSOR ALCEU MAYNARD ARAUJO 344 NO INTERIOR DO CONDOMINIO CHAMPS ELYSEES</t>
  </si>
  <si>
    <t>AVENIDA ATLANTICA ESQUINA COM A RUA DIANA DE LIZ ESQUINA</t>
  </si>
  <si>
    <t>RUA SERVIA PROXIMO A RUA PRAIA DO SUL</t>
  </si>
  <si>
    <t>AVENIDA DO RIO BONITO ESQUINA COM A RUA DOUTOR BRASILIO MACHADO NETO</t>
  </si>
  <si>
    <t>AVENIDA ROBERTO KENNEDY ESQUINA COM RUA OLIVIA GUEDES PENTEADO</t>
  </si>
  <si>
    <t>RUA GAL BRAULIO GUIMARAES ESQUINA COM A RUA ENGENHEIRO FRANCISCO PITA BRITO</t>
  </si>
  <si>
    <t>RUA ITABAPOAMA ESQUINA COM RUA BEIJUI</t>
  </si>
  <si>
    <t>RUA COMENDADOR FERREIRA DE SOUZA ESQUINA COM A RUA HELIO COELHO</t>
  </si>
  <si>
    <t>RUA FIORAVANTE LOPES GARCIA 570 DEFRONTE A RUA REVERENDO ALMIR PEREIRA BAHIA</t>
  </si>
  <si>
    <t>AVENIDA MONSENHOR ANTONIO CASTRO ESQUINA COM A RUA VISCONDE DE JURUMIN</t>
  </si>
  <si>
    <t>RUA CORONEL SILVA CASTRO DEFRONTE A RUA MARIA SANTISSIMA</t>
  </si>
  <si>
    <t>RUA TACOMA ESQUINA COM A RUA GUARARAPES</t>
  </si>
  <si>
    <t>RUA DR FRANCISCO TOMAS DE CARVALHO PROXIMO A RUA PASQUALE GALUPI</t>
  </si>
  <si>
    <t>RUA AMELIA ESQUINA COM A RUA EUGENIO EGAS</t>
  </si>
  <si>
    <t>RUA SARGENTO LUIS RODRIGUES FILHO ESQUINA COM A RUA SARGENTO CIBER PORTO E MENDONCA</t>
  </si>
  <si>
    <t>RUA SAO JORGE ESQUINA COM A AVENIDA CELSO GARCIA</t>
  </si>
  <si>
    <t>AVENIDA CELSO GARCIA ESQUINA COM A RUA CANDIDO VALE</t>
  </si>
  <si>
    <t>RUA SANTA VIRGINIA ESQUINA COM A AVENIDA CELSO GARCIA</t>
  </si>
  <si>
    <t>RUA ALBION ESQUINA COM A RUA DOM JOAO V</t>
  </si>
  <si>
    <t>RUA CERRO CORA 2365 ESQUINA COM A RUA FILIPINAS</t>
  </si>
  <si>
    <t>RUA ANTONIO BORBA 346 DEFRONTE A RUA PROFESSOR PIRAJA DA SILVA</t>
  </si>
  <si>
    <t>RUA VISCONDE DE INDAIATUBA 312</t>
  </si>
  <si>
    <t>RUA UHLAND ESQUINA COM RUA FREI JOAO DE SANTA CLARA</t>
  </si>
  <si>
    <t>PRACA DOUTOR FRANCISCO PATTI  ESQUINA COM AVENIDA NOVA INDEPENDENCIA</t>
  </si>
  <si>
    <t>RUA VERGUEIRO ESQUINA COM A RUA ESTELA</t>
  </si>
  <si>
    <t>RUA TUIUTI ENTRE AS RUAS PINTAGUI E A RUA SABATINO NASTARI</t>
  </si>
  <si>
    <t>RUA PAULO GONCALVES ESQUINA COM RUA CONSELHEIRO MOREIRA DE BARROS</t>
  </si>
  <si>
    <t>AVENIDA BRIGADEIRO FARIA LIMA ESQUINA COM RUA BENEDITO CHAVES</t>
  </si>
  <si>
    <t>RUA TUCAMBIRA 92 ESQUINA RUA PADRE CARVALHO</t>
  </si>
  <si>
    <t>RUA AMARO CAVALHEIRO 257 ESQUINA RUA PAES LEME</t>
  </si>
  <si>
    <t>AVENIDA CRUZEIRO DO SUL ESQUINA COM A RUA  MARECHAL ODYLIO DENYS</t>
  </si>
  <si>
    <t>RUA VOLUNTARIOS DA PATRIA 401</t>
  </si>
  <si>
    <t>RUA SARGENTO BENEVIDES VALENTE MONTES 83 ZDEFRONTE A RUA SOLDADO PEDRO GRACIANO MOREIRA</t>
  </si>
  <si>
    <t>RUA CIMBIDIO ESQUINA COM A AVENIDA SAPOPEMBA</t>
  </si>
  <si>
    <t>RUA LAGUNA ESQUINA COM A RUA ANHEMBI</t>
  </si>
  <si>
    <t>RUA CONSELHEIRO MOREIRA DE BARROS PROX A ESQUINA DA RUA FREI VICENTE DO SALVADOR</t>
  </si>
  <si>
    <t>RUA JOSE FREIRE PROXIMO A ESQUINA COM A RUA JOSE ANTONIO FONTES</t>
  </si>
  <si>
    <t>RUA ANTONIO VIEIRA DE MEDEIROS 113</t>
  </si>
  <si>
    <t>CONTORNO DA PRACA ENTRE A RUA GOITI E RUA JOAPITANGA</t>
  </si>
  <si>
    <t>RUA MANOEL RIBAS ESQUINA COM A  RUA PAULO FRONTIM</t>
  </si>
  <si>
    <t>RUA PACARANA ESQUINA COM RUA TUCUXI</t>
  </si>
  <si>
    <t>RUA IRARA ESQUINA COM A RUA ZORRILHO</t>
  </si>
  <si>
    <t>RUA NOVA PETROPOLIS ESQUINA COM A RUA MANUEL RIBAS</t>
  </si>
  <si>
    <t>RUA COATA ESQUINA COM RUA TUCUXI</t>
  </si>
  <si>
    <t>AVENIDA GENERAL PROFILIO DA PAZ ESQUINA COM  A RUA PROFESSOR ALBERTINO ALVARO PINHEIRO</t>
  </si>
  <si>
    <t>RUA GERIVATIVA COM A RUA PIRAJUCARA</t>
  </si>
  <si>
    <t>RUA EUDORO LEMOS  NO MEIO DO CANTEIRO ENTRE A CRUZEIRO DO SUL E AO TERMINAL RODOVIARIO</t>
  </si>
  <si>
    <t>RUA DOUTOR CESAR 272 DEFRONTE A RUA FERNANDO SANDRESCHI</t>
  </si>
  <si>
    <t>RUA CORONEL CAMISAO ESQUINA COM A AVENIDA CORIFEU DE AZEVEDO MARQUES</t>
  </si>
  <si>
    <t>AVENIDA DOUTOR FREDERICO MARTINS DA COSTA CARVALHO ESQUINA COM A AVENIDA PROFESSOR LUIZ IGNACIO ANHAIA MELLO</t>
  </si>
  <si>
    <t>RUA JOAO CARLOS LEITE PENTEADO ESQUINA COM A RUA CACHOEIRA ALTA   BOMBEIROS ITAIM PAULISTA</t>
  </si>
  <si>
    <t>RUA SILVIA STEFANI LEGNAIOLI 32 DEFRONTE A RUA ALCUIN</t>
  </si>
  <si>
    <t>RIVIERA</t>
  </si>
  <si>
    <t>RUA AFRANIO PEIXOTO ESQUINA COM A AVENIDA VALETIN GENTIL</t>
  </si>
  <si>
    <t>RUA PEDRO FIGUEIRO ESQUINA COM A RUA TOSLTOI DE CARVALHO</t>
  </si>
  <si>
    <t>AVENIDA SAPOPEMBA 9988 PROXIMO DA ESQUINA COM A RUA MILTON DA CRUZ</t>
  </si>
  <si>
    <t>NO CANTEIRO DA PRACA FRANCISCO NARDI FILHO PROXIMO AO ACESSO A RODOVIA RAPOSO TAVARES</t>
  </si>
  <si>
    <t>RUA DOUTOR ZUQUIM ESQUINA COM A RUA CAPITAO RABELO</t>
  </si>
  <si>
    <t>RUA MARIA EUGENIO CELSO PROXIMO DA ESQUINA COM A RUA INES MONTEIRO</t>
  </si>
  <si>
    <t>RUA ALVES PONTUAL ESQUINA COM A RUA FLOREAL COSTA PIMENTA</t>
  </si>
  <si>
    <t>RUA PIRES DE OLIVEIRA ESQUINA COM A RUA MAESTRO JORDAO BERNARDINO DE SENE</t>
  </si>
  <si>
    <t>RUA NELSON DE OLIVEIRA ESQUINA COM A RUA ALBERTO POPOVICI</t>
  </si>
  <si>
    <t>RUA ANTONIO DE SENA 80  NO INTERIOR DO PREDIO DA SABESP</t>
  </si>
  <si>
    <t>RUA BENTO BRANCO DE ANDRADE FILHO 477 NA CALCADA DO SENAI</t>
  </si>
  <si>
    <t>AVENIDA MORUMBI DEFRONTE AO PORTAO UM DO PALACIO DOS BANDEIRANTES</t>
  </si>
  <si>
    <t>RUA DANTE CARRARO PROXIMO DA ESQUINA COM A AVENIDA REBOUCAS</t>
  </si>
  <si>
    <t>AVENIDA MAGALHAES DE CASTRO 956 PROXIMO DA ESQUINA COM A RUA PROFESSOR HORACIO BERLINK</t>
  </si>
  <si>
    <t>AVENIDA ENGENHEIRO HEITOR ANTONIO ERIAS GARCIA 1727</t>
  </si>
  <si>
    <t>RUA PADRE TOMAS DE VILANOVA ESQUINA COM A AVENIDA PADRE SENA FREITAS</t>
  </si>
  <si>
    <t>RUA PEDREIRA DE MAGALHAES ESQUINA COM A RUA PEIXOTO WENECK</t>
  </si>
  <si>
    <t>AVENIDA ANTONIO ESTEVAO DE CARVALHO ESQUINA COM A RUA DESEMBARGADOR ROCHA PORTELA</t>
  </si>
  <si>
    <t>RUA LICANIA ESQUINA COM A AVENIDA ANTONIO ESTEVAO DE CARVALHO</t>
  </si>
  <si>
    <t>RUA DESEMBARGADOR AUREO CERQUEIRA LEITE ESQUINA COM A RUA PADRE FRANCISCO VELOSO</t>
  </si>
  <si>
    <t>RUA LUIZ SERAPHICO JUNIOR PROXIMO A ESQUINA COM A RUA CARMO DO RIO VERDE</t>
  </si>
  <si>
    <t>RUA TALHA MAR ESQUINA COM A RUA HUGO ITALO MERIGO</t>
  </si>
  <si>
    <t>AVENIDA DEPUTADO CANTIDIO SAMPAIO PROXIMO A ESQUINA COM A RUA JOSE GERVASIO SOUZA</t>
  </si>
  <si>
    <t>AVENIDA RAIMUNDO PEREIRA DE MAGALHAES ESQUINA COM A RUA LITORAL PARANAENSE</t>
  </si>
  <si>
    <t>RUA PROFESSOR JOSE DECIO MACHADO GAIA ESQUINA COM A RUA OSLVALDO NELA</t>
  </si>
  <si>
    <t>AVENIDA MOYSES PROXIMO A RUA MARIA PRESTES MAIA</t>
  </si>
  <si>
    <t>RUA ITAPAIUNA DEFRONTE A RUA DEPUTADO JOAO SUSSUMU HIRATA</t>
  </si>
  <si>
    <t>RUA ANABALOG BAKOS ESQUINA COM A RUA BARTOLOMEU ANTUNES</t>
  </si>
  <si>
    <t>RUA JOAO LOPES MACIEL 24-</t>
  </si>
  <si>
    <t>AVENIDA DOUTRO JOSE ARTUR NOVA 69 AO LADO DA LINHA FERREA</t>
  </si>
  <si>
    <t>RUA MALMEQUER DO CAMPO ESQUINA COM RUA SUITE DE NATAL</t>
  </si>
  <si>
    <t>FAZENDA CAGUAÇU</t>
  </si>
  <si>
    <t>AVENIDA JACU PESSEGO PROXIMO A RUA TOMOICHI SHIMZU</t>
  </si>
  <si>
    <t>RUA GEORGINA SA LEITE ORCESSI 106 DEFRONTE COM RUA ORIGENES</t>
  </si>
  <si>
    <t>RUA DOUTOR MIGUEL DO VAL ESQUINA COM AVENIDA PIRES DO RIO</t>
  </si>
  <si>
    <t>RUA REFINARIA MATARIPE ESQUINA COM A RUA FELIPE PEDROSO</t>
  </si>
  <si>
    <t>RUA HUMBERTO SCIGLIANO ALTURA DO 340</t>
  </si>
  <si>
    <t>AVENIDA VITAL BRASIL ESQUINA COM A RUA PIRAJUSSARA</t>
  </si>
  <si>
    <t>RUA PEDROSO DA SILVA 250C DEFRONTE A RUA SUACUAPARA</t>
  </si>
  <si>
    <t>AVENIDA MATEO BEI ESQUINA COM A RUA VITORIO AZZALIN</t>
  </si>
  <si>
    <t>RUA VICTORIO SANTIM 3086</t>
  </si>
  <si>
    <t>INTERIOR DA INVERNADA DO BARRO BRANCO ENTRADA DO ANTIGO CAMPUS TIRADENTES</t>
  </si>
  <si>
    <t>RUA EDUARDO DE MARTINO ESQUINA COM A RUA LUIS GIUDICE</t>
  </si>
  <si>
    <t>RUA ITAPEJARA DO OESTE ESQUINA COM RUA PROFESSORA MARGARIDA RUTH FERREIRA DE LIMA(DENTRO DE CONDOMINIO</t>
  </si>
  <si>
    <t>RUA ARLINDO COLACO ESQUINA COM A RUA SALVADOR MEDEIROS</t>
  </si>
  <si>
    <t>RUA SALVADOR DE MEDEIROS ESQUINA COM A RUA SERRA DOURADA</t>
  </si>
  <si>
    <t>RUA IDIOMA ESPERANTO DEFRONTE A RUA LUIS PICOLO</t>
  </si>
  <si>
    <t>AVENIDA OLIVEIRA FREIRE ESQUINA COM A RUA DOUTOR FRANCISCO TANCREDI</t>
  </si>
  <si>
    <t>RUA DOUTOR FRANCISCO TANCREDI ESQUINA COM A RUA SILVEIRA PIRES</t>
  </si>
  <si>
    <t>AVENIDA AFONSO LOPES DE BAIAO ESQUINA COM A RUA DOUTOR MIGUEL DO VAL</t>
  </si>
  <si>
    <t>AVENIDA RIACHO DOS MACHADOS ESQUINA COM A RUA VERCINIO PEREIRA DE SOUZA</t>
  </si>
  <si>
    <t>RUA CATAO ESQUINA COM A RUA FAUSTOLOZ</t>
  </si>
  <si>
    <t>AVENIDA CORIFEU DE AZEVEDO MARQUES 3507</t>
  </si>
  <si>
    <t>RUA AZEM ABDALA AZEM 814 NO INTERIOR DA ESTACAO DE BOMBEIROS DO BUTANTA</t>
  </si>
  <si>
    <t>RUA JOSE MARIA DE FARIA 14</t>
  </si>
  <si>
    <t>RUA DAS GAMBOAS ESQUINA COM RUA MANOEL QUERINO</t>
  </si>
  <si>
    <t>RUA JOAO GUALBERTO DE ALMEIDA PIRES ESQUINA COM A AVENIDA CORONEL SEZEFREDO FAGUNDES</t>
  </si>
  <si>
    <t>RUA ANGELO DE CANDIA ESQUINA COM A RUA LUIS ROSSETTI</t>
  </si>
  <si>
    <t>RUA AMALIA CORDELLI CARDENUTO 13 ENTRADA DA VIELA  PROXIMO DA RUA DOUTOR JOAO SODINI E RUA LUIZ PITA</t>
  </si>
  <si>
    <t>AVENIDA  MATEO BEI ESQUINA COM A RUA CARLOS VIVALDI</t>
  </si>
  <si>
    <t>RUA PELOTAS ESQUINA COM RUA IL SOGNO DI ANARELLO</t>
  </si>
  <si>
    <t>RUA AMELIA VANSO MAGNOLI 412</t>
  </si>
  <si>
    <t>RUA ALMIRANTE LOBO ESQUINA COM A RUA MIL OITOCENTOS E VINTE E DOIS</t>
  </si>
  <si>
    <t>RUA ARAGUARI 217 ESUINA RUA VISCONDE DE CACHOEIRA</t>
  </si>
  <si>
    <t>RUA DESEMBARGADOR ISNARD DOS REIS ESQUINA COM A RUA DESEMBARGADOR ADERITO PEREIRA DA SILVA</t>
  </si>
  <si>
    <t>RUA JIPARANA ESQUINA COM A RUA IMBACAL</t>
  </si>
  <si>
    <t>RUA GENERAL PORFIRIO DA PAZ ESQUINA COM A RUA BENEDITO JACINTO MENDES</t>
  </si>
  <si>
    <t>RUA GIACOMO ADOLFI PROXIMO DA AVENIDA ISRAEL FONSECA</t>
  </si>
  <si>
    <t>RUA GUAPERUVU ESQUINA COM RUA DOUTOR SUZANO BRANDAO</t>
  </si>
  <si>
    <t>RODOVIA ANCHIETA ESQUINA COM A RUA BELGRADO</t>
  </si>
  <si>
    <t>RUA NOVA YORK ESQUINA COM A RUA FLORIDA</t>
  </si>
  <si>
    <t>RUA SAVA ESQUINA COM A RUA AMERICO SAMARONE</t>
  </si>
  <si>
    <t>RUA ROBESPIERRE DE MELO ESQUINA COM A RUA JOSE RIO DA SILVA</t>
  </si>
  <si>
    <t>AVENIDA SAO MIGUEL COM RUA BRAZILINA TERESA</t>
  </si>
  <si>
    <t>RUA LIBERO ANCONA LOPES ESQUINA COM AVENIDA SAO MIGUEL   NO INTERIOR DA ILHA</t>
  </si>
  <si>
    <t>RUA ANEMONA NO FINAL DA RUA SEM SAIDA</t>
  </si>
  <si>
    <t>ESTRADA DAS LAGRIMAS 3504 ENFRENTE A PRACA</t>
  </si>
  <si>
    <t>RUA RIBEIRO DO VALE ESQUINA COM AVENIDA PADRE ANTONIO JOSE DOS SANTOS</t>
  </si>
  <si>
    <t>RUA NEA ESQUINA COM RUA WADIH HATTI</t>
  </si>
  <si>
    <t>RUA VITORIA DO MEARIM 97</t>
  </si>
  <si>
    <t>RUA MICHIGA PROXIM DA ESQUINA COM A RUA ALESSANDRO VOLTA</t>
  </si>
  <si>
    <t>RUA EDWARD WESTON PROXIMO A RUA ARIZONA</t>
  </si>
  <si>
    <t>AVENIDA RIO DAS PEDRAS ESQUINA COM A PRACA SAO JOSE VICENZOTO</t>
  </si>
  <si>
    <t>RUA ANTONIO JUVENAL ESQUINA COM A RUA VALDEMAR CARLOS PEREIRA</t>
  </si>
  <si>
    <t>RUA JAGUARIAIVA ESQUINA COM A RUA GOIANDIA</t>
  </si>
  <si>
    <t>RUA PERO NUNES ESQUINA COM A RUA NOVA JERUSALEM</t>
  </si>
  <si>
    <t>RUA AMOR DE INDIO DEFRONTE A RUA CASA NO CAMPO</t>
  </si>
  <si>
    <t>RUA AGRIMENSOR SUGAYA PROXIMO A RUA ANGELA LA PORTE ANTIGA RUA UM</t>
  </si>
  <si>
    <t>RUA EVALDO CALABREZ DEFRONTE A TRAVESSA JUBILO</t>
  </si>
  <si>
    <t>RUA SAL DA TERRA PROXIMO A ESQUINA COM A RUA AQUARELA DO BRASIL</t>
  </si>
  <si>
    <t>RUA FRANCISCO MARENGO ESQUINA COM RUA PADRE DIOGO NUNES</t>
  </si>
  <si>
    <t>RUA JOSE DA ROCHA VITA ESQUINA COM A RUA HEMISFERIO</t>
  </si>
  <si>
    <t>RUA FELIPE SALOMAO ESQUINA COM A RUA INACIO DA COSTAZ</t>
  </si>
  <si>
    <t>AVENIDA CANGAIBA 382</t>
  </si>
  <si>
    <t>RUA JORGE AUGUSTO 305 DEFRONTE A RUA SERAFIM GADELHO</t>
  </si>
  <si>
    <t>RUA DIOGO DA COSTA TAVARES PROXIMO DA ESQUINA COM A RUA AVENIDA TOMAS LOPES CAMARGO</t>
  </si>
  <si>
    <t>AVENIDA RADIAL LESTE ESQUINA COM A RUA DOUTOR NILTON SILVA</t>
  </si>
  <si>
    <t>RUA JOAO MARTINS ESQUINA COM A RUA BENJAMIN MONTE</t>
  </si>
  <si>
    <t>RUA MACIEL VIEIRA ESQUINA COM A RUA SAO BERTOLDO</t>
  </si>
  <si>
    <t>AVENIDA MIMO DE VENUS ESQUINA COM A RUA FLOR DE SAO MIGUEL</t>
  </si>
  <si>
    <t>RUA ATUAI ESQUINA COM A RUA GUANANA</t>
  </si>
  <si>
    <t>AVENIDA AURIVERDE ESQUINA COM A AVENIDA CARIOCA</t>
  </si>
  <si>
    <t>RUA TITO PRATES DA FONSECA ESQUINA COM A PRACA FREDERICO OZANAN</t>
  </si>
  <si>
    <t>AVENIDA PASTEUR ESQUINA COM A RUA DA ECONOMIA</t>
  </si>
  <si>
    <t>RUA BALTAZAR BARROSO ESQUINA COM A VIELA DA CACAMBA</t>
  </si>
  <si>
    <t>RUA AIDA ESQUINA COM A RUA ROBERTO KOCH</t>
  </si>
  <si>
    <t>ESTRADA CORONEL JOSE GLADIADOR DEFRONTE A RUA FLORENCIO CARPI</t>
  </si>
  <si>
    <t>RUA JEREMIAS JUNIOR ESQUINA COM A RUA SANTA AUREA</t>
  </si>
  <si>
    <t>RUA RECANTO DOS HUMILDES 126</t>
  </si>
  <si>
    <t>RUA ROQUE CALLAGE DEFRONTE A RUA BRAZ BALTAZAR DA SILVEIRA</t>
  </si>
  <si>
    <t>RUA MIGUEL MENTREM PROXIMO DA ESQUINA COM A RUA FRANCISCO DUARTE</t>
  </si>
  <si>
    <t>AVENIDA VALDEMAR TIETZ 506</t>
  </si>
  <si>
    <t>RUA CARMEM CARDOSO BORDINI ESQUINA COM A RUA MANOEL BACELAR</t>
  </si>
  <si>
    <t>AVENIDA PROFESSOR MELLO MORAES ESQUINA COM A AVENIDA PROFESSOR LUCIO MARTINS RODRIGUES - INSTITUO DE PSICOLOGIA</t>
  </si>
  <si>
    <t>RUA PROFESSOR GUILHERME BELFORT SABINO PROXIMO A RUA JOSE HOMERO ROXO</t>
  </si>
  <si>
    <t>RUA SIMAO ALVARES ESQUINA RUA DOS MORAS</t>
  </si>
  <si>
    <t>AVENIDA LIDER ESQUINA COM RUA AGOSTINHO DE FARIAS</t>
  </si>
  <si>
    <t>RUA MATEUS MENDES PEREIRA ESQUINA COM  A RUA VENANCIO LISBOA</t>
  </si>
  <si>
    <t>RUA ZELIA FRIAS STREET ESQUINA COM A RUA ALCATIFA</t>
  </si>
  <si>
    <t>RUA MUNIZ DE SOUZA PROXIMO A ESQUINA COM A RUA UBA</t>
  </si>
  <si>
    <t>RUA JOAQUIM ANTUNES ESQUINA COM A RUA DOS PINHEIROS</t>
  </si>
  <si>
    <t>RUA DOS ZAPARAS ESQUINA COM A RUA DOS MORAS</t>
  </si>
  <si>
    <t>AVENIDA PROFESSOR FREDERICO HERMENN JUNIOR 345 EM FRENTE A SECRETARIA DO MEIO AMBIENTE</t>
  </si>
  <si>
    <t>AVENIDA ENGENHEIRO JOAO BAPTISTA ARANHA PROXIMO A RUA DEJANIRA</t>
  </si>
  <si>
    <t>RUA BARAO AMARAL DO CABO FRIO     NO FINAL DA RUA</t>
  </si>
  <si>
    <t>RUA PRESIDENTE CIPRIANO DE CASTRO  NO FINAL DA RUA       ESQUINA COM A VIA DE PEDESTRE MANOEL FONTOURA</t>
  </si>
  <si>
    <t>AVENIDA DO CURSINHO ESQUINA COM A RUA JOSE GERALDO VIEIRA</t>
  </si>
  <si>
    <t>RUA SENADOR SIGISMUNDO GONCALVES ESQUINA COM A RUA FREI FIDELIS MOTA</t>
  </si>
  <si>
    <t>ESTRADA TURISTICA DO JARAGUA ESQUINA COM A RUA GUARUJA</t>
  </si>
  <si>
    <t>RUA SARGENTO ADVINCULA 197 NO INTERIOR DO COE PMESP  AO LADO DA AREA DO CERIMONIAL</t>
  </si>
  <si>
    <t>RUA PIERRE LAFAGE</t>
  </si>
  <si>
    <t>AVENIDA OSVALDO VALLE CORDEIRO ESQUINA COM A RUA CESARIO NEGRI</t>
  </si>
  <si>
    <t>AVENIDA ITAQUERA 4208</t>
  </si>
  <si>
    <t>RUA DARWIN 1000</t>
  </si>
  <si>
    <t>TRAVESSA WILSON MORAES 27</t>
  </si>
  <si>
    <t>RUA PIRAPETINGA 215 PROXIMO DA ESQUINA COM A RUA ANGRA DOS REIS</t>
  </si>
  <si>
    <t>RUA DOUTOR VITO ROLIM DE FREITAS 421</t>
  </si>
  <si>
    <t>RUA C 300 NO INTERIOR DO CONDOMINIO VILA SUICA 3</t>
  </si>
  <si>
    <t>NO INTERIOR DO CEAGESP NA CALCADA DO PAVILHAO BPB</t>
  </si>
  <si>
    <t>RUA JOAO BELO ESQUINA COM A  RUA PILADE PISTELLI</t>
  </si>
  <si>
    <t>RUA OUTEIRO DA CRUZ ESQUINA COM AVENIDA LEONCIO DE MAGALHAES</t>
  </si>
  <si>
    <t>RUA MARQUES DE HERVAL ESQUINA COM RUA ARTHUR THIRE</t>
  </si>
  <si>
    <t>RUA CONEGO JOSE NORBERTO ESQUINA COM RUA JOANA DE GUSMAO</t>
  </si>
  <si>
    <t>RUA LEANDRO SEVILHA ESQUINA COM A TRAVESSA MARIA JOSE DE MELO</t>
  </si>
  <si>
    <t>AVENIDA PRIMAVERA DE CAIENA ESQUINA COM A RUA PICO ALTO</t>
  </si>
  <si>
    <t>AVENIDA OSVALDO PUCCI PROXIMO A ESQUINA COM A AVENIDA AFONSO DE SAMPAIO E SOUZA     PB ITAQUERA</t>
  </si>
  <si>
    <t>PARQUE DO CARMO</t>
  </si>
  <si>
    <t>RUA LEONEL FERNANDES ESQUINA COM A RUA MAMUD RAHD DEFRONTE A PRACA DONA MARIQUNHA SCIASCIA</t>
  </si>
  <si>
    <t>AVENIDA PROFESSOR MELLO MORAES DEFRONTE A RUA DO ANFITEATRO NO CANTEIRO CENTRAL</t>
  </si>
  <si>
    <t>RUA PIERRE LAFAGE PROXIMO DA ESQUINA COM A RUA JOAO HENRIQUE DA SILVA</t>
  </si>
  <si>
    <t>RUA GUIDOVAL 127 PROXIMO AVENIDA DO TANQUE</t>
  </si>
  <si>
    <t>AVENIDA PROFESSORA VIRGILIA RODRIGUES ALVES DE CARVALHO PINTO 300</t>
  </si>
  <si>
    <t>RUA DOS ITALIANOS  ESQUINA COM A RUA SEGIO TOMAS</t>
  </si>
  <si>
    <t>AVENIDA DO ANASTACIO ESQUINA COM A RUA PROFESSOR BENEDITO ALARICO  DE CASTRO BORELLI</t>
  </si>
  <si>
    <t>RUA MERGENTHALER ESQUINA COM A RUA CARLOS WEBER</t>
  </si>
  <si>
    <t>RUA FELIPE DOS SANTOS PROXIMO A ESQUINA COM A RUA TONELERO</t>
  </si>
  <si>
    <t>RUA JOAQUIM DE OLIVEIRA FREITAS ESQUINA COM A RUA FRANCISCO JORGE MACIEL</t>
  </si>
  <si>
    <t>RUA PAUMARI 302 PROXIMO DA ESQUINA DA RUA APARANDE</t>
  </si>
  <si>
    <t>AVENIDA PADRE DE ANDRADE 145</t>
  </si>
  <si>
    <t>RUA PEIXE BOI ESQUINA COM A RUA QUICA DAGUA</t>
  </si>
  <si>
    <t>RUA ANTONIO CALAFIORI PROXIMO A ESQUINA COM A RUA CORIOLANO</t>
  </si>
  <si>
    <t>RUA CAIO GRACCO ESQUINA COM A RUA CLELIA</t>
  </si>
  <si>
    <t>RUA SAO COLUMBANO ESQUINA RUA TV DOUTOR RAYMUNDO GOMES CARNEIRO</t>
  </si>
  <si>
    <t>AVENIDA BRIG FARIA LIMA ESQUINA ALAMEDA GABRIEL MONTEIRA DA SILVA</t>
  </si>
  <si>
    <t>RUA AURELIA ESQUINA COM A RUA GENERAL VITORINO MONTEIRO</t>
  </si>
  <si>
    <t>EDIFICIO DIJON 349 ESQUINA R CEILAO</t>
  </si>
  <si>
    <t>RUA PORTO DE DOM RODRIGO ESQUINA COM A RUA SILVEIRO LELLIS</t>
  </si>
  <si>
    <t>RUA DOM ERICO FERRARI ESQUINA COM A RUA DOUTOR JOAO BATISTA BERNARDES DE LIMA</t>
  </si>
  <si>
    <t>RUA PAULO BARRETO 315 NO INTERIOR DA TRAVESSA</t>
  </si>
  <si>
    <t>RUA MAJOR BARACCA ESQUINA COM A RUA LILIENTAL</t>
  </si>
  <si>
    <t>NO INTERIOR DO CEAGESP NA CALCADA OPOSTA AO PREDIO DA FISCALIZACAO</t>
  </si>
  <si>
    <t>RUA MARCOS MELECA 150 NO INTERIOR DO CODOMINO ALAMEDA DOS PINHEIROS DEFRONTE AO EDIFICIO BETULA</t>
  </si>
  <si>
    <t>PRACA CIPRIANO DE MORAIS 256 NO INTERIOR DA TRAVESSA NO FUNDO A DIREITA</t>
  </si>
  <si>
    <t>RUA PARTICULAR SN NO INTERIOR DA UNIDADE HOSPITALAR PSIQUIATRICA CAISM FELIPE PINEL ENTRE O CENTRO ESPORTIVO E O REFEITORIO</t>
  </si>
  <si>
    <t>RUA INGLATERRA ESQUINA COM A RUA LUXEMBURGO</t>
  </si>
  <si>
    <t>RUA CAJABA ESQUINA COM A RUA RAUL POMPEIA</t>
  </si>
  <si>
    <t>RUA CARAIBAS ESQUINA COM A RUA CORONEL MELO OLIVEIRA</t>
  </si>
  <si>
    <t>RUA MARIO 117 PROXIMO DA ESQUINA COM A RUA VESPASIANO</t>
  </si>
  <si>
    <t>RUA JOAO NEPOMUCENO CASTRO ESQUINA COM A RUA TIAGO MOREIRA</t>
  </si>
  <si>
    <t>RUA REGRESSO FELIZ DEFRONTE A RUA RIO ITAPEMIRIM</t>
  </si>
  <si>
    <t>RUA CELSO VIEIRA ESQUINA COM A RUA CORONEL GORDINHO FILHO NA PRACA DOM PREDRO FULCO MORVIDI</t>
  </si>
  <si>
    <t>RUA JOAQUIM OLIVEIRA FREITAS 2441 PROXIMO DA ESQUINA COM A RUA MANOEL RODRIGUES DA COSTA</t>
  </si>
  <si>
    <t>AVENIDA DO ESTADO 681 NO INTERIOR DO COMPLEXO DA SABESP PONTE PEQUENA DEFRONTE AO ESPACO VIDA</t>
  </si>
  <si>
    <t>RUA JOSE GASPAR ESQUINA COM A RUA DOUTRO MARIO DE CAMPOS</t>
  </si>
  <si>
    <t>RUA MOCAMBIQUE ESQUINA COM A RUA COMANDANTE ISMAEL GUILHERME</t>
  </si>
  <si>
    <t>RUA DOUTOR JOAO DORIVAL CARDOSO PROXIMO DA ESQUINA COM A RUA ESTEVÃƒO MATIAS DOS SANTOS</t>
  </si>
  <si>
    <t>RUA PADRE VITOR MARIANO DEFRONTE A RUA PADRE MANUEL BARRETO</t>
  </si>
  <si>
    <t>AVENIDA PADRE ESTANISLAU DE CAMPOS 192</t>
  </si>
  <si>
    <t>AVENIDA HEBE CAMARGO ESQUINA COM A RUA RICARDO AVENARIUS  AO LADO DO CONDOMINIO RESIDENCIAL CLICK MORUMBI</t>
  </si>
  <si>
    <t>RUA OLIVEIRA PEIXOTO ESQUINA COM A RUA ALMEIDA TORRES</t>
  </si>
  <si>
    <t>RUA ENGENHEIRO DAGOBERTO SALLES FILHO PROXIMO A RUA VIOLANTE DO CEU</t>
  </si>
  <si>
    <t>RUA DOS VINHEDOS ESQUINA COM A RUA DAS BARCAS</t>
  </si>
  <si>
    <t>PRACA DICK FARNEY ESQUINA COM A RUA DOUTOR GENTIL LEITE MARTINS</t>
  </si>
  <si>
    <t>TRAVESSA ESQUINA COM A RUA TUTOIA</t>
  </si>
  <si>
    <t>RUA PLANETA ESQUINA COM A RUA FERRAZ DE CAMPOS</t>
  </si>
  <si>
    <t>RUA CAPITAO TIAGO LUZ ESQUINA COM AVENIDA MARIO LOPES LEAO</t>
  </si>
  <si>
    <t>AVENIDA WALDEMAR TIETZ PROXIMOA ESQUINA COM  AVENIDA SILVIO TORRES</t>
  </si>
  <si>
    <t>RUA DOUTOR FLAVIO AMERICO MAURANO ESQUINA COM A RUA DOUTOR JESUINO DE ABREU</t>
  </si>
  <si>
    <t>RUA CORONEL AUGUSTO CELSO DE MOURA ESQUINA COM A RUA MAESTRO JOAO EVANGELISTA</t>
  </si>
  <si>
    <t>RUA MARAIAL ESQUINA COM AVENIDA ESPERANTINA   PRACA ARMA</t>
  </si>
  <si>
    <t>RUA MARIA GRAHAM ESQUINA COM A RUA PROFESSOR ZEFERINO DO AMARAL</t>
  </si>
  <si>
    <t>AVENIDA ALDEIA MANUEL ANTONIO ESQUINA COM RUA MACIEL MONTEIRO</t>
  </si>
  <si>
    <t>AVENIDA ORATORIO 5934 NO INTERIOR DO CONDOMINIO DE PREDIOS</t>
  </si>
  <si>
    <t>AVENIDA DO ORATORIO 5934 NO INTERIOR DO CONDOMINIO DE PREDIOS</t>
  </si>
  <si>
    <t>RUA CANAA PROXIMO DA ESQUINA COM A RUA RECANTO</t>
  </si>
  <si>
    <t>AVENIDA JABAQUARA ESQUINA COM A RUA GUARAU</t>
  </si>
  <si>
    <t>AVENIDA INDIANOPLIS ESQUINA COM ALAMEDA DOS ARAES</t>
  </si>
  <si>
    <t>RUA ALBA ESQUINA COM A RUA TENENTE AMERICO MORETTI</t>
  </si>
  <si>
    <t>AVENIDA DAMASCENO VIEIRA ESQUINA COM A RUA DOS PAULISTANOS</t>
  </si>
  <si>
    <t>RUA SANTA ESQUINA COM AVENIDA DAMASCENO VIEIRA</t>
  </si>
  <si>
    <t>RUA PALACETE DAS AGUAS ESQUINA COM A PALESTINA</t>
  </si>
  <si>
    <t>AVENIDA PROFESSOR VICENTE RAO ESQUINA COM A RUA PROFESSOR JOAO BATISTA DE CASTRO</t>
  </si>
  <si>
    <t>RUA ANDRE DA CUNHA FONSECA ESQUINA COM A RUA AMADOR PEREIRA</t>
  </si>
  <si>
    <t>RUA INHAMBU ESQUINA COM A AVENIDA LAVANDISCA</t>
  </si>
  <si>
    <t>ALAMEDA DOS ARAPANES ESQUINA COM A AVENIDA ROUXINOL</t>
  </si>
  <si>
    <t>AVENIDA JURUCE  ESQUINA COM AVENIDA MOREIRA GUIMARAES</t>
  </si>
  <si>
    <t>RUA ESTERO BELACO ESQUINA COM A RUA NOGUEIRA MARTINS</t>
  </si>
  <si>
    <t>RUA JOSE NEVES ESQUINA COM A RUA ANTONIO FOGAL</t>
  </si>
  <si>
    <t>RUA ANANIAS NOGUEIRA PINHEIRO ESQUINA COM A RUA NAVEGADORES</t>
  </si>
  <si>
    <t>RUA PASCOAL RANIERI MAZZILLI ESQUINA COM A RUA AFONSO BEZERRA</t>
  </si>
  <si>
    <t>AVENIDA SANTA MARINA 2699 PROXIMO A RUA DIOGO DOMINGUES</t>
  </si>
  <si>
    <t>AVENIDA PROFESSOR FRANCISCO MORATO ESQUINA COM RUA JOSE VALTER SENG</t>
  </si>
  <si>
    <t>RUA EMILIO DE SOUZA DOCCA ESQUINA COM A RUA ALTO DO BONFIM</t>
  </si>
  <si>
    <t>RUA NAVARRAESQUINA COM A  RUA FRANKLIN  MAGALHES</t>
  </si>
  <si>
    <t>PRACA ELIAS CHAIBUB NA PORTA DA EMEF</t>
  </si>
  <si>
    <t>RUA TAMANDARE ESQUINA COM RUA BUENO DE ANDRADE</t>
  </si>
  <si>
    <t>RUA PIAUI ESQUINA COM A RUA ARACAJU</t>
  </si>
  <si>
    <t>RUA ARROIO SARANDI PROXIMO A ESQUINA DA RUA ARROIO DO PONTAO</t>
  </si>
  <si>
    <t>RUA MEU DESTINO ESQUINA COM A RUA CONJUNTO SITIO CONCEICAO</t>
  </si>
  <si>
    <t>RUA TIERS ESQUINA COM A RUA JOAO TEODORO</t>
  </si>
  <si>
    <t>RUA MANGUARI ENTRE A RUA GALILEU GAIA E AVENIDA MORVAN DIAS DE FIGUEIREDO</t>
  </si>
  <si>
    <t>RUA ALBERTO VILLANIS (NO FINAL DA RUA)</t>
  </si>
  <si>
    <t>RUA ALCANTARA ESQUINA COM AVENIDA GUILHERME COTCHING</t>
  </si>
  <si>
    <t>RUA DAS OLARIAS ESQUINA COM A RUA RIO BONITO</t>
  </si>
  <si>
    <t>RUA IGARAPE DA BELA AURORA DEFRONTE RUA ARROIO PORANDUBA</t>
  </si>
  <si>
    <t>RUA ANTONIO ASSUNCAO FERREIRA ESQUINA COM RUA DIOGO GARCIA</t>
  </si>
  <si>
    <t>RUA GONCALVES DE MENDONCA ESQUINA COM A RUA PROFESSOR PEDRO ANTONIO PIMENTEL</t>
  </si>
  <si>
    <t>AVENIDA BENTO GUELFI ESQUINA COM A RUA ANTONIO NUNES</t>
  </si>
  <si>
    <t>AVENIDA MORVAN DIAS DE FIGUEIREDO 4221 NO INTERIOR DA CSMMOPB</t>
  </si>
  <si>
    <t>RUA DOS LAVAPES 245 PROXIMO A ESQUINA COM A RUA JUNQUEIRA FREIRE</t>
  </si>
  <si>
    <t>RUA OTELO AUGUSTO RIBEIRO ESQUINA COM A AVENIDA MIGUEL ACHIOLE DA FONSECA</t>
  </si>
  <si>
    <t>RUA ANTONIO SOARES LARA PROXIMO ESQUINA COM A AVENIDA ITAQUERA</t>
  </si>
  <si>
    <t>RUA DESEMBARGADOR CARNEIRO RIBEIRO ESQUINA COM RUA ARTEMIA CRUZ</t>
  </si>
  <si>
    <t>RUA ARBELA PROXIMO A RUA CORRENTEZA</t>
  </si>
  <si>
    <t>AVENIDA LIDER ESQUINA COM RUA SERRANA</t>
  </si>
  <si>
    <t>RUA DESEMBARGADOR ROCHA PORTELA PROXIMO A ESQUINA DA RUA MACIEL MONTEIRO</t>
  </si>
  <si>
    <t>AVENIDA AGUIA DE HAIA ESQUINA COM A RUA ARQUIMEDES</t>
  </si>
  <si>
    <t>RUA PISTOIA ESQUINA COM A RUA SOLDADO JOAO PEREIRA DA SILVA</t>
  </si>
  <si>
    <t>AVENIDA MIGUEL INACIO CURI PROXIMO AO VIADUTO DO METRO</t>
  </si>
  <si>
    <t>AVENIDA JABAQUARA 2443 SAIDA DO METRO SAO JUDAS</t>
  </si>
  <si>
    <t>RUA DOS JACINTOS ESQUINA COM ALAMEDA DAS BONINAS</t>
  </si>
  <si>
    <t>RUA LOMAS VALENTINA ESQUINA COM A RUA CATULO DA PAIXAO CEARENSE</t>
  </si>
  <si>
    <t>RUA OTTO DE BARROS ESQUINA COM A RUA ELISA SILVEIRA</t>
  </si>
  <si>
    <t>AVENIDA AFONSO MARIANO FAGUNDES ESQUINA COM A AVENIDA JABAQUARA</t>
  </si>
  <si>
    <t>RUA CARNEIRO DA CUNHA PROXIMO A ESQUINA COM AVENIDA MIGUEL ESTEFANO</t>
  </si>
  <si>
    <t>RUA PROFESSSOR APRIGIO GONZAGA DEFRONTE A RUA MARIA FAGNANI</t>
  </si>
  <si>
    <t>RUA PARACATU ESQUINA COM A RUA CARNEIRO DA CUNHA</t>
  </si>
  <si>
    <t>ALAMEDA DOS UBIATANS ESQUINA COM AVENIDA INDIANAPOLIS</t>
  </si>
  <si>
    <t>ALAMEDA DOS TACAUNAS ESQUINA COM AVENIDA INDIANOPOLIS</t>
  </si>
  <si>
    <t>RUA JOAO LANHOSO ACESSO PARA O CONDOMINIO DE PREDIOS</t>
  </si>
  <si>
    <t>RUA CONEGO XAVIER PROXIMO A ESQUINA COM A  RUA CORONEL SILVA CASTRO</t>
  </si>
  <si>
    <t>RUA FRANCIOSCO ANDONIO DA SILVA CONTINUACAO DA ESTRADA DAS LAGRIMAS SENTIDO AVENIDA DAS JUNTAS PROVISORIAS</t>
  </si>
  <si>
    <t>RUA ALENCAR ARARIPE ESQUINA COM A RUA VISCONDE DE MAGE</t>
  </si>
  <si>
    <t>RUA CARIOCA PROXIMA A ESQUINA COM A RUA  FREI PEDRO DE SOUZA</t>
  </si>
  <si>
    <t>RUA AURIVERDE 2003ZZ DEFRONTE A RUA COLORADO</t>
  </si>
  <si>
    <t>AVENIDA DAS GUEIXAS PROXIMA A ESQUINA DA RUA SOLDADO ANESIO ANTAO FERREIRA</t>
  </si>
  <si>
    <t>RUA GENERAL JOAO CARLOS LOBO BOTELHO ENTRE A RUA SERAFIM POLI E RUA ARENAPOLIS</t>
  </si>
  <si>
    <t>RUA PONTE NOVA ESQUINA COM A RUA GENERAL JERONIMO DOS REIS</t>
  </si>
  <si>
    <t>RUA PADRE SABOIA DE MEDEIROS 1723 PROXIMO A RUA ALBERTO MOREIRA BATISTA FILHO</t>
  </si>
  <si>
    <t>RUA OSAKA DEFRONTE A RUA TAKA</t>
  </si>
  <si>
    <t>RUA PADRE SABOIA DE MEDEIROS ESQUINA COM A AVENIDA BELISARIO PENA</t>
  </si>
  <si>
    <t>AVENIDA ALBERTO BYINGTON 2679 INTERIOR DA PRACA DOUTOR JOSE DE TOLEDO PIZA</t>
  </si>
  <si>
    <t>RUA AMAMBAI ESQUINA COM A RUA ARARITAGUABA E AVENIDA CEREJEIRAS</t>
  </si>
  <si>
    <t>RUA CORONEL JORDAO ESQUINA COM A PRACA OSCAR DA SILVA</t>
  </si>
  <si>
    <t>AVENIDA JOAQUINA RAMALHO ESQUINA RUA CHICO PONTES</t>
  </si>
  <si>
    <t>RUA GUAJURUS 147 PROXIMO A ESQUINA COM A RUA AMOROSO COSTA</t>
  </si>
  <si>
    <t>RUA DO IMPERADOR ESQUINA COM RUA LAGOA PANEMA</t>
  </si>
  <si>
    <t>RUA DA GAVEA ESQUINA COM RUA ARARI LEITE</t>
  </si>
  <si>
    <t>RUA ZULMIRA ESQUINA COM A RUA CORONEL MARCILIO FRANCO</t>
  </si>
  <si>
    <t>RUA SOLDADO ARLINDO SALDANHA ESQUINA COM A RUA SOLDADO DIONISIO CHAGA</t>
  </si>
  <si>
    <t>AVENIDA CONCEICAO ESQUINA COM A RUA TUPIRANA</t>
  </si>
  <si>
    <t>RUA LAGOA PANEMA ESQUINA COM A RUA MARIETA DA SILVA</t>
  </si>
  <si>
    <t>RUA VIANOPOLIS AO LADO DA TRAVESSA LIA AMARAL MUNIZ DEFRONTE A PRACA GOMES FIGUEIREDO</t>
  </si>
  <si>
    <t>RUA ROGACIANO ESQUINA COM A AVENIDA JOAQUINA RAMALHO</t>
  </si>
  <si>
    <t>TRAVESSA VERSOS DE UM VIAJANTE 9 DEFRONTE RUA ZULMIRA</t>
  </si>
  <si>
    <t>AVENIDA DOUTOR GENTIL DE MOURA ESQUINA COM AVENIDA NAZARE</t>
  </si>
  <si>
    <t>RUA MARIA CANDIDA ESQUINA COM A RUA DO IMPERADOR</t>
  </si>
  <si>
    <t>RUA ABAUNA ESQUINA COM A RUA ANATOLE FRANCE</t>
  </si>
  <si>
    <t>RUA JOSE OSVALDO ESQUINA COM A RUA AGUDOS GRANDES</t>
  </si>
  <si>
    <t>RUA MARQUES DE LAGES DEFRONTE A RUA MONTE SANTO DE MINAS</t>
  </si>
  <si>
    <t>RUA BENJAMIM DE OLIVEIRA ESQUINA COM A RUA DO LUCAS</t>
  </si>
  <si>
    <t>RUA PEDRO MADUREIRA ESQUINA COM A RUA CAPITAO RABELO</t>
  </si>
  <si>
    <t>RUA CAPITAO RABELO ESQUINA COM A RUA PROFESSOR FABIO FANUCCHI</t>
  </si>
  <si>
    <t>RUA SANTA LEOCADIA ESQUINA COM AVENIDA GENERAL ATALIBA LEONEL</t>
  </si>
  <si>
    <t>RUA JOAQUIM NORBERTO ESQUINA COM A TRAVESSA BENEDITO ACACIO GONCALVES</t>
  </si>
  <si>
    <t>RUA CAPITAO MOR GONCALO MONTEIRO ESQUINA COM A RUA DO BOSQUE</t>
  </si>
  <si>
    <t>RUA ARAGAO ESQUINA COM A RUA PARU</t>
  </si>
  <si>
    <t>RUA CRUZEIRO ESQUINA COM A RUA SOLIMOES</t>
  </si>
  <si>
    <t>AVENIDA LEONCIO DE MAGALHAES 1005  EM FRENTE A ESTACAO JARDIM SAO PAULO</t>
  </si>
  <si>
    <t>AVENIDA MAZZEI ESQUINA COM A RUA BARTOLOMEU DE TORALES</t>
  </si>
  <si>
    <t>RUA VINTE QUATRO DE DEZEMBRO PROXIMA AVENIDA LUIS DUMONT VILARES</t>
  </si>
  <si>
    <t>AVENIDA ALVARO MACHADO PEDROSA ESQUINA COM A RUA ARIOSTO CESAR</t>
  </si>
  <si>
    <t>RUA DO TRAMWAY 1000 DEFRONTE A TRAVESSA CACIQUE APOEMA</t>
  </si>
  <si>
    <t>AVENIDA MERCURIO ESQUINA COM A RUA ASSUNCAO</t>
  </si>
  <si>
    <t>RUA AURANTINA ESQUINA COM A RUA SALVADOR PIRES DE LIMA</t>
  </si>
  <si>
    <t>RUA BERTOLINA MARIA PROXIMO AVENIDA MARGINAL DIREITA</t>
  </si>
  <si>
    <t>RUA PINHEIRO DE LEMOS  DEFRONTE AO BLOCO B 3</t>
  </si>
  <si>
    <t>ESTRADA DAS LAGRIMAS ESQUINA COM LARGO SAO JOAO CLIMACO DEFRONTE A PAROQUIA</t>
  </si>
  <si>
    <t>RUA URANO ESQUINA COM AVENIDA JABAQUARA</t>
  </si>
  <si>
    <t>RUA CORONEL FAWCETT ESQUINA COM RUA AFONSO ALIPERTI</t>
  </si>
  <si>
    <t>RUA DA GROTA ESQUINA COM RUA FRANCISCA MARIA DE SOUZA</t>
  </si>
  <si>
    <t>RUA DESEMBARGADOR ALVES DE CASTRO ESQUINA COM A RUA EDUARDO FERREIRA FRANCA</t>
  </si>
  <si>
    <t>RUA JOSE DE ALBUQUERQUE ESQUINA COM AVENIDA GENERAL ATALIBA LEONEL</t>
  </si>
  <si>
    <t xml:space="preserve">RUA JOSE MANA PAZ 129 NO FINAL DA RUA </t>
  </si>
  <si>
    <t>AVENIDA AGUIA DE HAIA ESQUINA COM A RUA CUIM</t>
  </si>
  <si>
    <t>AVENIDA RUDGE ESQUINA COM A RUA JAMES HOLLAND</t>
  </si>
  <si>
    <t>RUA ISMAEL NERI ESQUINA COM A RUA CORNETEIRO JESUS</t>
  </si>
  <si>
    <t>RUA ENIO VOSS NO FINAL DA RUA</t>
  </si>
  <si>
    <t>RUA VIAZA ESQUINA COM A RUA MARILIA DE DIRCEU</t>
  </si>
  <si>
    <t>RUA DOUTOR DJALMA PINHEIRO FRANCO ESQUINA COM A AVENIDA CUPECE</t>
  </si>
  <si>
    <t>RUA MARIA PAES DE BARROS ESQUINA DA RUA FREI JOAO DO ROSARIO</t>
  </si>
  <si>
    <t>AVENIDA JOAO BATISTA DI VITORIANO ESQUINA COM A RUA MIGUEL RIBEIRO</t>
  </si>
  <si>
    <t>RUA MATILDE DIEZ PROXIMO A RUA JOSEF GREGOR</t>
  </si>
  <si>
    <t>RUA RUBENS DE SOUZA ESQUINA COM RUA RAUL MARQUES MARINHO</t>
  </si>
  <si>
    <t>AVENIDA JOAO PEIXOTO VIEGAS PROXIMO A RUA ANTONIO ZOURO</t>
  </si>
  <si>
    <t>AVENIDA MONSENHOR ANTONIO CASTRO ESQUINA COM A RUA VISCONDE DE JERUMIN</t>
  </si>
  <si>
    <t>RUA CAPITAO MILITAO ESQUINA COM A RUA SILVIO DE SOUZA</t>
  </si>
  <si>
    <t>RUA DOS MARIANOS ESQUINA COM A RUA ARNALDO MAGNICCARO</t>
  </si>
  <si>
    <t>RUA PROFESSOARA MARIA DE LURDES DE SOUZA NOGUEIRA ESQUINA COM RUA GERALDO PACHECO VALENTE</t>
  </si>
  <si>
    <t>VIELA CINCO PROXIMO A RUA MAJOR ALCI NOBREGA</t>
  </si>
  <si>
    <t>RUA BARAO DO RIO BRANCO PROXIMO A ESQUINA DALADEIRA AURORA</t>
  </si>
  <si>
    <t>ALAMEDA SANTO AMARO ESQUINA COM RUA GENERAL ROBERTO ALVES CARVALHO FILHO</t>
  </si>
  <si>
    <t>AVENIDA DAS NACOES UNIDAS 21732 PROXIMO A RUA ROSA GALVAO BUENO</t>
  </si>
  <si>
    <t>RUA ANGELO HERRERO ESQUINA COM A RUA ELIAS MAHFUS</t>
  </si>
  <si>
    <t>RUA WILSON PEREIRA DE ALMEIDA ESQUINA COM A RUA TACIBA</t>
  </si>
  <si>
    <t>RUA AJURITIBA PROXIMO A RUA BARRANIA</t>
  </si>
  <si>
    <t>RUA TENENTE MAURO DE MIRANDA ENTROCAMENTO COM A RUA TENENTE UBIRAJARA MONORY</t>
  </si>
  <si>
    <t>RUA TENENTE UBIRAJARA MONORY ENTROCAMENTEO COM A RUA TENENTE MAURO DE MIRANDA</t>
  </si>
  <si>
    <t>RUA LASSUNVIRA  27 DEFRONTE A PRACA JUAN GRIS</t>
  </si>
  <si>
    <t>RUA DARWIN ESQUINA COM A RUA PADRE JOSE DE ANCHIETA</t>
  </si>
  <si>
    <t>RUA TIBIRICA ESQUINA COM A RUA TOME PORTES</t>
  </si>
  <si>
    <t>RUA PALMARES ESQUINA COM RUA TOME FORTES</t>
  </si>
  <si>
    <t>RUA CORONEL FRANCISCO INACIO 312B  ESQUINA COM RUA SAVA</t>
  </si>
  <si>
    <t>AVENIDA JONIA ESQUINA COM A RUA DOUTOR ABELARDO VERGUEIRO CESAR</t>
  </si>
  <si>
    <t>RUA DAPHNE TORRE NATALE PROXIMO A RUA SOCRATES</t>
  </si>
  <si>
    <t>RUA DARWIN ESQUINA COM A RUA JAVERT DE ANDRADE</t>
  </si>
  <si>
    <t>RUA DAS CANJERANAS ESQUINA COM A RUA LUIS ORSINI DE CASTRO</t>
  </si>
  <si>
    <t>RUA EDGARD AMORIM AMARAL ESQUINA COM A RUA DOUTOR VICTOR EUGENIO DO SACRAMENTO</t>
  </si>
  <si>
    <t>RUA EMILIO DE SOUZA DOCCA ESQUINA COM A RUA CIDADE BAGDA</t>
  </si>
  <si>
    <t>RUA ANDAQUARA ESQUINA COM RUA BIRITIBA</t>
  </si>
  <si>
    <t>ALAMEDA DOS ARAES ESQUINA COM AVENIDA ODILA</t>
  </si>
  <si>
    <t>PRACA MARCOS FABIO ESQUINA COM A RUA RIBEIRO LACERDA</t>
  </si>
  <si>
    <t>RUA GENERAL SERRA MARTINS PROXIMO A AVENIDA JABAQUARA</t>
  </si>
  <si>
    <t>RUA MARATONA ESQUINA COM A RUA PALACETE DAS AGUIAS</t>
  </si>
  <si>
    <t>RUA DORNAS ESQUINA COM A RUA CIRIDIAO DURVAL</t>
  </si>
  <si>
    <t>RUA PROFESSOR EMYDIO DA FONSECA TELLES PROXIMO A RUA ALBA</t>
  </si>
  <si>
    <t>RUA FREIRE FARTO ESQUINA COM A RUA ORLANDO MURGEL</t>
  </si>
  <si>
    <t>AVENIDA PEDRO BUENO ESQUINA COM A RUA DESEMBARGADOR ALIPIO BASTOS</t>
  </si>
  <si>
    <t>RUA BENJAMIM DE OLIVEIRA ESQUINA COM A RUA DAS ALFANDEGAS</t>
  </si>
  <si>
    <t>RUA FLORANIA ESQUINA COM RUA FLORIANA</t>
  </si>
  <si>
    <t>RUA MURIAE ESQUINA COM RUA SALVADOR SIMOES</t>
  </si>
  <si>
    <t>AVENIDA AGUA FUNDA ESQUINA COM A RUA IMBURI</t>
  </si>
  <si>
    <t>AVENIDA ENGENHEIRO ARMANDO ARRUDA PEREIRA  ESQUINA COM A RUA JOSE ALCANTARA</t>
  </si>
  <si>
    <t>AVENIDA PIASSANGUABA ESQUINA COM A ALAMEDA DOS APETUPAS</t>
  </si>
  <si>
    <t>RUA NOSSA SENHORA DAS MERCES ESQUINA COM RUA DOM VILARES</t>
  </si>
  <si>
    <t>RUA BICUDO DE BRITO ESQUINA COM RUA GENERAL GASTAO GOULART</t>
  </si>
  <si>
    <t>RUA JOSE EID MALUF ESQUINA COM A RUA ANTONIO LOTI</t>
  </si>
  <si>
    <t>RUA CHARRUAS ESQUINA COM RUA GETULIO VARGAS FILHO</t>
  </si>
  <si>
    <t>RUA ANTONIO COVELLO PROXIMO DA ESQUINA COM A RUA PADRE GABRIEL GONCALVES</t>
  </si>
  <si>
    <t>RUA ITATIAIA ESQUINA RUA IBIRAJARA</t>
  </si>
  <si>
    <t>AVENIDA DASMASCENO VIEIRA ESQUINA COM A AV DAMACENO VIEIRA</t>
  </si>
  <si>
    <t>RUA LAPLACE ESQUINA COM A RUA PALMARES</t>
  </si>
  <si>
    <t>RUA DAS TAQUARAS ESQUINA COM A RUA DOUTOR DJALMA PINHEIRO FRANCO</t>
  </si>
  <si>
    <t>ALAMEDA ITUPIRANGA ESQUINA COM RUA CORONEL DE ANDRADE JOSE PIRES DE ANDRADE</t>
  </si>
  <si>
    <t>RUA CORIOLANO DURAND ESQUINA COM A RUA ANTONIO LOUREIRO</t>
  </si>
  <si>
    <t>RUA GENERAL ALDEVIO BARBOSA DE LEMOS ESQUINA ATOS DAMASCENO</t>
  </si>
  <si>
    <t>RUA DOUTOR RUI DE AZEVEDO SODRE 530 PROXIMO A ESQUINA COM A  RUA PROFESSORA FLORA LOPES DE OLIVEIRA</t>
  </si>
  <si>
    <t>RUA NORBERTO MARTINS RIBEIRO 255 PROXIMO A RUA MARGINAL</t>
  </si>
  <si>
    <t>RUA SOUZA COUTINHO ESQUINA COM A RUA MARQUES DE MARICA</t>
  </si>
  <si>
    <t>RUA RODES ESQUINA COM A RUA SANTA CATARINA</t>
  </si>
  <si>
    <t>RUA VICENTE LEPORACE ESQUINA COM A RUA LAPLACE</t>
  </si>
  <si>
    <t>RUA SERRANOS ESQUINA COM RUA GUARIPE</t>
  </si>
  <si>
    <t>AVENIDA SANTA CATARINA ESQUINA COM A RUA ITAGYBA SANTIAGO</t>
  </si>
  <si>
    <t>RUA EMAIXADOR SOUSA DANTAS ESQUINA COM AVENIDA JOSE MARIA WHITAKER</t>
  </si>
  <si>
    <t>AVENIDA JOAO ESTEVAO DE MAGALHAES ESQUINA COM RUA AFONSO XIII</t>
  </si>
  <si>
    <t>RUA LARANJAL ESQUINA COM A RUA IZONZO</t>
  </si>
  <si>
    <t>RUA LAPLACE ESQUINA COM A RUA CONDE DE PORTO ALEGRE</t>
  </si>
  <si>
    <t>RUA PERICLES ESQUINA COM A AVENIDA PROFESSOR VICENTE RAO</t>
  </si>
  <si>
    <t>RUA CORONEL LUIZ DE FARIA E SOUZA ESQUINA COM RUA VALTER PINTO</t>
  </si>
  <si>
    <t>RUA DOUTOR LUIS AIRES 344</t>
  </si>
  <si>
    <t>AVENIDA PRESIDENTE ALTINO ESQUINA COM A RUA ARAICAS</t>
  </si>
  <si>
    <t>RUA JANDAIA DO SUL ESQUINA COM A RUA NOVA AURORA</t>
  </si>
  <si>
    <t>RUA ALCACER ESQUINA COM A RUA SERRA DO PRATA</t>
  </si>
  <si>
    <t>RUA ALCIDES PRADO ESQUINA COM A PRACA MIGUEL ARCO E FLEXA</t>
  </si>
  <si>
    <t>RUA EUGENIA DE CARVALHO ESQUINA COM A RUA CORONEL PEROBA</t>
  </si>
  <si>
    <t>RUA DOUTOR FONTES DE REZENDE ESQUINA COM A AVENIDA PADRE LOURENCO</t>
  </si>
  <si>
    <t>RUA COLONIAL DAS MISSOES PROXIMO A RUA BAIXADA SANTISTA</t>
  </si>
  <si>
    <t>RUA CAMPINAS DO PIAUI ESQUINA COM RUA SAO FELIX DO PIAUI</t>
  </si>
  <si>
    <t>RUA GIACOMO PERTI 158</t>
  </si>
  <si>
    <t>AVENIDA PIRES DO RIO 3023</t>
  </si>
  <si>
    <t>RUA JAGUARIUNA ESQUINA COM A RUA VIRGINIA DE ALMEIDA</t>
  </si>
  <si>
    <t>RUA CATRIMANI ESQUINA COM AVENIDA ANTONIO ESTEVAO DE CARVALHO</t>
  </si>
  <si>
    <t>RUA MUNICPAL ESQUINA COM A RUA NHATUMANI</t>
  </si>
  <si>
    <t>RUA SABAUDIA ESQUINA COM  RUA CAICO</t>
  </si>
  <si>
    <t>RUA PIQUINHU  ESQUINA COM A RUA MORENAME</t>
  </si>
  <si>
    <t>RUA UNA DA ALDEIA ESQUINA COM RUA SOBRALIA</t>
  </si>
  <si>
    <t>RUA UBATU MIRIM ESQUINA COM RUA ARNALDO MAGNICCARO</t>
  </si>
  <si>
    <t>RUA ARNALDO MAGNICCARO ESQUINA COM A AVENIDA NOSSA SENHORA DO SABARA</t>
  </si>
  <si>
    <t>RUA ISABEL SCHMIDT ESQUINA COM A RUA DOUTOR ANTONIO BENTO</t>
  </si>
  <si>
    <t>RUA DA PAZ ESQUINA COM A RUA PAES DA SILVA</t>
  </si>
  <si>
    <t>RUA  VITO BOVINO ESQUINA COM AVENIDA SANTANA</t>
  </si>
  <si>
    <t>RUA DOUTOR SILAS LEITE SAMPAIO NO FINAL DA RUA</t>
  </si>
  <si>
    <t>RUA DO MESON ESQUINA COM A AVENIDA PROFESSOR VICENTE RAO</t>
  </si>
  <si>
    <t>RUA PADRE JOSE ANCHIETA PROXIMO A RUA MINISTRO ROBERTO CARDOSO ALVES</t>
  </si>
  <si>
    <t>RUA CAPITAO OTAVIO MACHADO DEFRONTE A RUA BRANCO DE ARAUJO</t>
  </si>
  <si>
    <t>RUA DA FRATERNIDADE ESQUINA COM A RUA CONDE D EU</t>
  </si>
  <si>
    <t>RUA ISABEL SCHMIDT ESQUINA COM A RUA SAO BENTO</t>
  </si>
  <si>
    <t>RUA IMBACAL ESQUINA COM A ESTRADA DE ITAQUERA GUAIANASES</t>
  </si>
  <si>
    <t>RUA TAQUAPACA ESQUINA COM A RUA PROFESSORA  MARIA DE LURDES DE S. NOGUEIRA</t>
  </si>
  <si>
    <t>RUA ALVES DE ALMEIDA ESQUINA COM A RUA DOM ESTEVAO DE CARVALHO</t>
  </si>
  <si>
    <t>RUA PROFESSOR LEONIDIO ALLEGRETTI ESQUINA COM A RUA JOSE OITICICA FILHO</t>
  </si>
  <si>
    <t>RUA JOSEOITICA FILHO ESQUINA COM A RUA SABADO DANGELO</t>
  </si>
  <si>
    <t>RUA SALVADOR DO VALE ENFRENTE AO 117 AO LADO DO CONDOMINIO EDIFICIO 3 IRMAOS</t>
  </si>
  <si>
    <t>RUA TENENTE NILTON MARCILIO ESQUINA COM A RUA GUAXUPE</t>
  </si>
  <si>
    <t>RUA BENTO BARBOSA ESQUINA COM A RUA ANTONIO DSA CHAGAS</t>
  </si>
  <si>
    <t>ALAMEDA CALICUT 32</t>
  </si>
  <si>
    <t>RUA VOLTA GRANDER ESQUINA COM A RUA SALOME QUEIROGA</t>
  </si>
  <si>
    <t>RUA LUIS PINTO ESQUINA COM A RUA JOAO VIEIRA PRIOSTE</t>
  </si>
  <si>
    <t>RUA NOVA PETROPOLIS ESQUINA COM A RUA EMIDIO CAMPANELA</t>
  </si>
  <si>
    <t>RUA SAO FRANCISCO DO PIAUI 530 NA ESQUINA COM A  TRAVESSA ANIBAL GONCALVES</t>
  </si>
  <si>
    <t>RUA MONSUETO CAMPOS DE MENESES PROXIMO DA ESQUINA COM A A AVENIDA ANDRE CAVALCANTI</t>
  </si>
  <si>
    <t>RUA ARREIO DE PRATA PROX A RUA CORRE CORRE</t>
  </si>
  <si>
    <t>RUA SERRA DE SAO DOMINGOS 136 PROXIMO A ESQUINA COM A  RUA PEDRO LEOPOLDO</t>
  </si>
  <si>
    <t>RUA SILVIO BARBINI ESQUINA COM RUA ARMANDO JAMAR</t>
  </si>
  <si>
    <t>RUA FRANCISCO ALARICO BERGAMO ESQUINA COM A RUA VICENTE DUTRA</t>
  </si>
  <si>
    <t>RUA HENRIQUE DE FARIA PROXIMO A ESQUINA COM ARUA AMALIA DE FARIA</t>
  </si>
  <si>
    <t>RUA ALEXANDRE CORREA ESQUINA COM A RUA NOSSA SENHORA DAS DORES</t>
  </si>
  <si>
    <t>RUA MONGUBA ESQUINA COM RUA MARIA INACIA DA CONCEICAO</t>
  </si>
  <si>
    <t>RUA URUCANGA ESQUINA COM A RUA MORORO</t>
  </si>
  <si>
    <t>RUA MOSSAMEDES ESQUINA COM RUA EMILIA MARENGO</t>
  </si>
  <si>
    <t>RUA RIO CANABRAVA ESQUINA COM A RUA RIO IMBURANA</t>
  </si>
  <si>
    <t>RUA DAMASIO PINTO ESQUINA COMA RUA ANTONIO DE ANDREDE MOITAS</t>
  </si>
  <si>
    <t>AVENIDA DAVID DOMINGUES FERREIRA ESQUINA COM RUA SABBADO DANGELO</t>
  </si>
  <si>
    <t>RUA AMERICO SAVADOR DALI ESQUINA COM A RUA BARROS CASSAL</t>
  </si>
  <si>
    <t>RUA JOB LANE ESQUINA COM A RUA VISCONDE DE PORTO SEGURO</t>
  </si>
  <si>
    <t>AVENIDA NOSSA SENHORA DO SABARA ESQUINA COM AVENIDA INTERLAGOS</t>
  </si>
  <si>
    <t>RUA DA PRATA ESQUINA COM A RUA MESON</t>
  </si>
  <si>
    <t>RUA JOSE GAMBARINI ESQUINA COM A RUA DOUTOR ANTONIO GONTIJO DE CARVALHO</t>
  </si>
  <si>
    <t>RUA PROFESSORA LUCINDA ALVES DE CARVALHO ESQUINA COM RUA VISCONDE PORTO SEGURO</t>
  </si>
  <si>
    <t>RUA PROFESSORA  MARIA DE LURDES DE S. NOGUEIRA ESQUINA COM RUA DOS MARIANOS</t>
  </si>
  <si>
    <t>RUA IGATI PROXIMO A RUA ANDAQUARA</t>
  </si>
  <si>
    <t>RUA VICTOR CORREA DE MELLO 41</t>
  </si>
  <si>
    <t>AVENIDA SANTO AMARO ESQUINA COM RUA SAO SEBASTIAO</t>
  </si>
  <si>
    <t>RUA ARATANHA ESQUINA COM A RUA MONACO</t>
  </si>
  <si>
    <t>AVENIDA JOSE JOAQUIM SEABRA PROXIMO DA ESQUINA COM A RUA CUNHA MATOS</t>
  </si>
  <si>
    <t xml:space="preserve">RUA CANUTO ABREU SN NO INTERIOR DO CLUBE RECREATIVO CERET </t>
  </si>
  <si>
    <t>RUA ADAUTO FERNANDES DE ANDRADE ESQUINA COM A RUA ALZIRA MONTEIRO EXPLORADOR</t>
  </si>
  <si>
    <t>RUA BIMBARRA 29 PROXIMO DA ESQUINA COM A AVENIDA DOUTOR EDUARDO COTCHING</t>
  </si>
  <si>
    <t>AVENIDA PRESIDENTE ALTINO ESQUINA COM A RUA BARRA LONGA</t>
  </si>
  <si>
    <t>RUA HENRIQUE DA PAZ NO FINAL DA RUA</t>
  </si>
  <si>
    <t>RUA PADRE OTTO MARIA ESQUINA COM A AVENIDA SAPOPEMBA</t>
  </si>
  <si>
    <t>RUA SOLIDONIO LEITE ESQUINA COM A AVENIDA SAPOPEMBA</t>
  </si>
  <si>
    <t>RUA VISCONDE DE SABOIA ESQUINA COM RUA PADRE PEDRO ROTA</t>
  </si>
  <si>
    <t>RUA UHLAND ESQUINA COM RUA CONDE AMADEU BARBELINI</t>
  </si>
  <si>
    <t>RUA COSTA BARROS ESQUINA COM A RUA IGUARA</t>
  </si>
  <si>
    <t>AVENIDA DOUTOR EDUARDO COTCHING DEFRONTE A PRACA COMENDADOR TADASHI NISHIL</t>
  </si>
  <si>
    <t>PRACA MARQUES DE NAZARE ESQUINA COM A RUA BOTUCARI</t>
  </si>
  <si>
    <t xml:space="preserve">PRACA NOSSA SENHORA DAS VITORIAS PROXIMO A ESQUINA COM A AVENIDA DOUTOR EDUARDO COTCHING </t>
  </si>
  <si>
    <t>RUA PRETORIA ESQUINA COM A RUA SAO CONSTANCIO</t>
  </si>
  <si>
    <t>RUA FERNAO LOPES DE CAMARGO ESQUINA COM A RUA SEBASTIAO BORGES DA SILVA</t>
  </si>
  <si>
    <t>RUA PROFESSOR LELIS VILAS BOAS  ESQUINA COM A RUA SEBASTIAO BORGES DA SILVA</t>
  </si>
  <si>
    <t>AVENIDA VILA EMA ESQUINA COM A RUA JABIACU</t>
  </si>
  <si>
    <t>AVENIDA CONSELHEIRO CARRAO ESQUINA COM A PRACA VICENTA FALCETTA</t>
  </si>
  <si>
    <t>AVENIDA DOS NACIONALISTAS ESQUINA COM A AVENIDA INCONFIDENCIA MINEIRA</t>
  </si>
  <si>
    <t>RUA DOS BANQUEIROS 55 VILA BANCARIA PROX AO PREDIOS DO CDHU</t>
  </si>
  <si>
    <t>NO INTERIOR DO CEAGESP NA CALCADA DO PAVILHAO HFJ</t>
  </si>
  <si>
    <t>NO INTERIOR DO CEAGESP DEFRONTE AO PAVILHAO MLP LADO SUL MARGINAL</t>
  </si>
  <si>
    <t>RUA FRANCISCA DE PAULA PROXIMO A ESQUINA COM A RUA VITORINO ROCHI</t>
  </si>
  <si>
    <t>RUA MARIA VIEIRA RIBEIRO ESQUINA COM A RUA VACANGA</t>
  </si>
  <si>
    <t>AVENIDA EDUARDO COTCHING PROX DA PRACA NOSSA SENHORA DAS VITORIAS</t>
  </si>
  <si>
    <t>RUA BACANGA ESQUINA COM RUA ARARENDA</t>
  </si>
  <si>
    <t>RUA LEAIS PAULISTANO ESQUINA COM A RUA BOM PASTOR</t>
  </si>
  <si>
    <t>RUA RENATO RINALDI ESQUINA COM A RUA WINFRED</t>
  </si>
  <si>
    <t>RUA DO MANIFESTO 1246 DEFRONTE A RUA XAVIER CURADO</t>
  </si>
  <si>
    <t>RUA DO MANIFESTO DEFRONTE A RUA DOS SOROCABANOS E PORTAO DAS LINHAS COORENTES</t>
  </si>
  <si>
    <t>ESTRADA DA BARREIRA GRANDE PROXIMO DA ESQUINA COM A AVENIDA INCONFIDENCIA MINEIRA</t>
  </si>
  <si>
    <t>RUA LUCAS OBES ESQUINA COM A RUA COSTA AGUIAR</t>
  </si>
  <si>
    <t>RUA DA CONSTITUINTE ESQUINA COM A RUA CIPRIANO BARATA</t>
  </si>
  <si>
    <t>RUA BRIGADEIRO JORDAO ESQUINA COM RUA BOM PASTOR</t>
  </si>
  <si>
    <t>RUA BOM PASTOR ESQUINA COM RUA MOREIRA DE GODOI</t>
  </si>
  <si>
    <t>RUA ACURUI ESQUINA COM A RUA CURUPA</t>
  </si>
  <si>
    <t>RUA FIRMINO BRAGA ESQUINA COM A RUA FRANCISCA DE PAULA</t>
  </si>
  <si>
    <t>RUA PEDRO NUNES ESQUINA COM A RUA ATUCURI</t>
  </si>
  <si>
    <t>AVENIDA CONSELHEIRO CARRAO ESQUINA COM A RUA LUIS PINTO</t>
  </si>
  <si>
    <t>AVENIDA CONSELHEIRO CARRAO ESQUINA COM A RUA DOUTOR JORGE VEIGA</t>
  </si>
  <si>
    <t>RUA GENERAL PORFIRIO DA PAZ ESQUINA COM A RUA DIVINOLANDIA DE MINAS</t>
  </si>
  <si>
    <t>RUA ALFREDO PUJOL PROXIMO DA ESQUINA COM A RUA DOUTOR CESAR</t>
  </si>
  <si>
    <t>RUA SILVA BUENO ESQUINA COM A RUA XAVIER CURADO</t>
  </si>
  <si>
    <t>RUA DO MANIFESTO ESQUINA COM A RUA LABATUT</t>
  </si>
  <si>
    <t>RUA MARIANO PROCOPIO ESQUINA COM A RUA CORONEL DIOGO</t>
  </si>
  <si>
    <t>RUA BARAO DE ITAPOA 218 ESQUINA COM RUA SARGENTO MOR ANTONIO TEIXEIRA</t>
  </si>
  <si>
    <t>RUA PARAMU 500 ESQUINA RUA FERNANDES SARDINHA</t>
  </si>
  <si>
    <t>RUA PEDRO DE GODOI ESQUINA COM RUA FERREIRA DA SILVA</t>
  </si>
  <si>
    <t>RUA COELHO BARRADAS ESQUINA COM RUA AMERICO VESPUCCI</t>
  </si>
  <si>
    <t>RUA BARAO DE ITAPOA ESQUINCA COM A RUA CAMPO BELO  PRACA BELCHIOR DE BORBA</t>
  </si>
  <si>
    <t>RUA INACIO ESQUINA COM A RUA PROFESSOR GUSTAVO PIRES</t>
  </si>
  <si>
    <t>RUA DAS GIESTAS 1063 ESQUINA COM RUA SANTO AMAZO</t>
  </si>
  <si>
    <t>RUA IBITIRAMA 2012</t>
  </si>
  <si>
    <t>RUA GRADAU ESQUINA COM RUA RUA TUJUPI</t>
  </si>
  <si>
    <t>AVENIDA CONCEICAO ESQUINA COM A RUA DONA JOAQUINA DE JESUS</t>
  </si>
  <si>
    <t>RUA DONA CARMINA PASQUI ESQUINA COM A RUA AGUACERITA</t>
  </si>
  <si>
    <t>RUA CONSELHEIRO SARAIVA ESSQUINA COM A RUA CONDESSA SICILIANO NA PRACA LUIZA LEMES</t>
  </si>
  <si>
    <t>RUA DA GAVEA ESQUINA COM AVENIDA GUILHERME COTCHING</t>
  </si>
  <si>
    <t>AVENIDA NOSSA SENHORA DO LORETO ESQUINA COM A RUA AIRAO</t>
  </si>
  <si>
    <t>RUA DAMIAO ALVES ESQUINA COM A RUA EDGAR</t>
  </si>
  <si>
    <t>RUA GABRIEL ORIFICE ESQUINA COM RUA CEL MARCILIO FRANCO</t>
  </si>
  <si>
    <t>AVENIDA SAPOPEMBA 330 PROXIMO A RUA IMBO</t>
  </si>
  <si>
    <t>RUA OITI 325 DEFRONTE A RUA CAPITUBA</t>
  </si>
  <si>
    <t>RUA POLONI ESQUINA COM A RUA CUSTODIO BERTELLO</t>
  </si>
  <si>
    <t>RUA AIRES QUARESMA PROXIMO DA ESQUINA DA  RUA LAZARO MONCEF</t>
  </si>
  <si>
    <t>RUA PIRASSUNUNGA 418 DEFRONTE COM A RUA PADRE JOAQUIM DA SOLEDADE</t>
  </si>
  <si>
    <t>RUA OTTO SCHUBART ESQUINA COM RUA PADRE BRUNO RICCO</t>
  </si>
  <si>
    <t>RUA SOLIDONIO LEITE ESQUINA COM RUA HERWIS</t>
  </si>
  <si>
    <t>RUA PANTOJO EM FRENTE A RUA BAGUACU</t>
  </si>
  <si>
    <t>AVENIDA VILA EMA 5523 ESQUINA COM A RUA SHINSEI KAMIDA</t>
  </si>
  <si>
    <t>RUA PRINCESA MARIA PIA ESQUINA COM AVENIDA VILA EMA</t>
  </si>
  <si>
    <t>RUA MONTESINA 210 PROXIMO A PRACA ADOLFO CAVALCANTI</t>
  </si>
  <si>
    <t>NO INTERIOR DO CEAGESP NA CALCADA DO PAVILHAO HFI</t>
  </si>
  <si>
    <t>NO INTERIOR DO CEAGESP NA CALCADA DO PAVILHAO AMF</t>
  </si>
  <si>
    <t>NO INTERIOR DO CEAGESP NA CALCADA DO PAVILHAO LEA LOJAS ESCRITORIOS E ADMINISTRACAO AO LADO ESTACIONAMENTO</t>
  </si>
  <si>
    <t>NO INTERIOR DO CEAGESP NA CALCADA DO PAVILHAO HFH</t>
  </si>
  <si>
    <t>NO INTERIOR DO CEAGESP NA CALCADA DO PAVILHAO AME</t>
  </si>
  <si>
    <t>AVENIDA 11 DE JUNHO 589 NO INTERIO DA TRAVESSA JULIA ELIAS AZAR 05 VILA CLEMENTINO</t>
  </si>
  <si>
    <t>RUA LUIS GOIS ESQUINA COM A PRACA MICHIE AKAMA</t>
  </si>
  <si>
    <t>RUA QUEDAS ESQUINA COM A RUA MANAJERU</t>
  </si>
  <si>
    <t>AVENIDA SALIM FARAH MALUF ESQUINA COM A RUA SILVA</t>
  </si>
  <si>
    <t>RUA HENRY FORD 2000</t>
  </si>
  <si>
    <t>RUA LUIS GOIS ESQUINA COM A RUA NAPOLEAO DE BARROS</t>
  </si>
  <si>
    <t>RUA DAS ORQUIDEAS ESQUINA COM RUA DOS JACINTOS</t>
  </si>
  <si>
    <t>RUA DOUTOR VICENTE GIACAGLINI 541</t>
  </si>
  <si>
    <t>RUA PITINGA ESUQINA COM A RUA DAS GIESTAS</t>
  </si>
  <si>
    <t>RUA IELMO MARINHO ESQUINA COM AVENIDA SAO LUCAS</t>
  </si>
  <si>
    <t>RUA TORIBA ESQUINA COM A RUA PIRAJA</t>
  </si>
  <si>
    <t>RUA LUIS GASTAO ESQUINA COM A RUA IELMO MARINHO</t>
  </si>
  <si>
    <t>RUA SERRA NEGRA ESQUINA COM AVENIDA SALIM FARAH MALUF</t>
  </si>
  <si>
    <t>RUA TIE ESQUINA COM A RUA DO ACRE</t>
  </si>
  <si>
    <t>RUA MANUAS ESQUINA COM A RUA NATAL</t>
  </si>
  <si>
    <t>RUA DA MOOCA PROXIMO A ESQUINA COM A RUA AVAI</t>
  </si>
  <si>
    <t>RUA ELEONORA CINTRA ESQUINA COM RUA ANTONIO CARLOS LUIZ FILHO</t>
  </si>
  <si>
    <t>RUA JESUS BORGES GOUVEIA ESQUINA COM A RUA SALGUEIRAL</t>
  </si>
  <si>
    <t>RUA VICENTE JOSE DE ALMEIDA ESQUINA COM A RUA OSWALDO JOSE DE OLIVEIRA</t>
  </si>
  <si>
    <t>AVENIDA BARREIRA GRANDE PROXIMO A RUA MANOEL FERREIRA PIRES</t>
  </si>
  <si>
    <t>AVENIDA CONDE DE FRONTIN DEFRONTE A ESTACAO VILA MATILDE</t>
  </si>
  <si>
    <t>RUA DONA MATILDE ESQUINA COM RUA JOAQUIM MARRA</t>
  </si>
  <si>
    <t>AVENIDA DO ORATORIO PROXIMO A ESQUINA COM RUA BOLICHE</t>
  </si>
  <si>
    <t>RUA DOUTOR NOGUEIRA DE NORONHA ESQUINA COM A RUA PROFESSORA MARTA PUCCINELLI</t>
  </si>
  <si>
    <t>RUA OTTO SHUBART ESQUINA COM A RUA FRANCISCO FETT</t>
  </si>
  <si>
    <t>RUA CAMILO HADDAD 404 ESQUINA COM A RUA LUIS ROMANINI</t>
  </si>
  <si>
    <t>RUA LAURINDA ESQUINA COM A RUA ATUAI</t>
  </si>
  <si>
    <t>RUA PADRE MIGUELINHO 544 ESQUINA COM A RUA SABINO GUGLIELME</t>
  </si>
  <si>
    <t>RUA PROFESSORA ALZIRA DE OLIVEIRA EM FRENTE A ESCOLA ROQUETE PINTO</t>
  </si>
  <si>
    <t>RUA ARARE ESQUINA COM RUA FERNANDO DE NORONHA</t>
  </si>
  <si>
    <t>RUA VISCONDE DE CASTRO PROXIMO AVENIDA WASHINGTON LUIS   AO LADO DA ANTENA DE CELLULAR</t>
  </si>
  <si>
    <t>RUA BARAO DE GOIANIA ESQUINA A AVENIDA WASHINGTON LUIS</t>
  </si>
  <si>
    <t>ALAMEDA DOS NHAMBIQUARAS ESQUINA COM A AVENIDA MOEMA</t>
  </si>
  <si>
    <t>RUA ANTONIO MARQUES JULIAO ESQUINA COM A RUA COSTA BARROS</t>
  </si>
  <si>
    <t>AVENIDA DO ORATORIO ESQUINA COM A RUA JOAO MANOEL DE MATOS</t>
  </si>
  <si>
    <t>RUA VISCONDE DE CAETE ESQUINA COM A RUA DUAS BARRAS</t>
  </si>
  <si>
    <t>RUA SOLIDONIO LEITE ESQUINA COM RUA TEREZA CIANCI DARDES</t>
  </si>
  <si>
    <t>RUA COURACA ESQUINA COM A RUA ADONIRO AUGUSTO DE PAULA</t>
  </si>
  <si>
    <t>RUA SAO  DEMETRIO ESQUINA COM A RUA RIO DOURADO</t>
  </si>
  <si>
    <t>RUA CLAUDIA ESQUINA COM A RUA PIXURIM</t>
  </si>
  <si>
    <t>ALAMEDA DOS MARACATINS ESQUINA COM A AVENIDA ACOCE</t>
  </si>
  <si>
    <t>AVENIDA DOS IMARES ESQUINA COM A ALAMEDA DOS GUAINUMBIS</t>
  </si>
  <si>
    <t>AVENIDA DIVINO SALVADOR ESQUINA COM A ALAMEDA DOS JURUPIS</t>
  </si>
  <si>
    <t>AVENIDA ARATAS ESQUINA COM ALAMEDA DOS NHAMBIQUARAS</t>
  </si>
  <si>
    <t>RUA ALVARO NUNES ESQUINA COM RUA VISCONDE DE AGUIAR TOLEDO</t>
  </si>
  <si>
    <t>RUA DEMOSTENES ESQUINA COM A RUA CONSTANTINO DE SOUZA</t>
  </si>
  <si>
    <t>AVENIDA VEREADOR JOSE DINIZ ESQUINA COM A RUA OTAVIO TARQUINO DE SOUZA</t>
  </si>
  <si>
    <t>AVENIDA DA UNIVERSIDADE 9</t>
  </si>
  <si>
    <t>RUA CEL OVATIANO DA SILVEIRA ESQUINA COM RUA ATTILIO REGULO ARENA</t>
  </si>
  <si>
    <t>RUA DESEMBARGADOR THEODOMIRO DIAS 84</t>
  </si>
  <si>
    <t>RUA DR ERNANI DA GAMA CORREIA ESQUINA COM AV BENJAMIM MANSUR</t>
  </si>
  <si>
    <t>RUA LUIS ALBERTO MARTINS ESQUINA COM A RUA MARIO MMAGLIO</t>
  </si>
  <si>
    <t>PRACA CICERO JOSE DA SILVA ESQUINA COM RUA ARISTO BULLER SOUTO</t>
  </si>
  <si>
    <t>RUA NEA ESQUINA COM A RUA SAO SEVERO</t>
  </si>
  <si>
    <t>AVENIDA CEZAR AUGUSTO ROMANO ESQUINA COM A RUA ARUMIM</t>
  </si>
  <si>
    <t>AVENIDA ANTONIO DIOGO ESQUINA COM AVENIDA HERMILIO ALVES</t>
  </si>
  <si>
    <t>RUA DAS BROMELIAS ESQUINA COM A RUA DA PONTE RASA</t>
  </si>
  <si>
    <t>RUA ALOANDIA ESQUINA COM A RUA TAPACURA</t>
  </si>
  <si>
    <t>RUA HONORIO EMILIANO BUENO ESQUINA COM A RUA RAIMUNDO MACHADO</t>
  </si>
  <si>
    <t>AVENIDA NICOLAU JACINTO ESQUINA COM A RUA ITAPIPINAS</t>
  </si>
  <si>
    <t>RUA ALEXANDRE PETTA DEFRONTE A RUA GLICERIO RODRIGUES</t>
  </si>
  <si>
    <t>RUA DOUTOR FRANKLIN PIZA ESQUINA COM A AVENIDA PROFESSOR LUCAS DE ASSUNCAO</t>
  </si>
  <si>
    <t>RUA ALVARO LUIS ROBERTO DE ASSUMPCAO ESQUINA COM RUA BARAO DO TRIUNFO</t>
  </si>
  <si>
    <t>RUA IRAUNA 65</t>
  </si>
  <si>
    <t>RUA ENGENHEIRO VILLARES DA SILVA ESQUINA COM A RUA NARCISO ARAUJO</t>
  </si>
  <si>
    <t>RUA AGRESTE DE ITABAIANA DEFRONTE A RUA BARREIRAS DO PIAUI</t>
  </si>
  <si>
    <t>RUA KANSAS PROXIMO A RUA DOMINGOS DE ANDRADE ROSA</t>
  </si>
  <si>
    <t>RUA ODES MODERNAS ESQUINA COM A RUA PROFESSOR JOSE LEITE OITICICA</t>
  </si>
  <si>
    <t>AVENIDA MORUMBI ESQUINA COM A RUA GABRIEL DE LARA</t>
  </si>
  <si>
    <t>RUA VICENTE LEPORACE ESQUIN COM A RUA BRIGADEIRO GODOFREDO VIDAL</t>
  </si>
  <si>
    <t>RUA TAPES ESQUINA COM AVENIDA WASHINGTON LUIS</t>
  </si>
  <si>
    <t>RUA ZILDA ESQUINA COM RUA BENEDETTO BONFIGLI</t>
  </si>
  <si>
    <t>RUA VICENTE LEPORACE ESQUINA COM A RUA BERNARDINO DE CAMPOS</t>
  </si>
  <si>
    <t>RUA MAJOR RENATO NOBREGA ESQUINA COM A RUA MARBO</t>
  </si>
  <si>
    <t>RUA MARECHAL DEODORO ESQUINA COM A RUA CONDE D EU</t>
  </si>
  <si>
    <t>RUA DAS FLECHAS EMFRENTE A PADARIA PRIMICIA</t>
  </si>
  <si>
    <t>RUA DR UBALDO FRANCO CAIUBE PROXIMO A RUA LUCIO SENECA</t>
  </si>
  <si>
    <t>RUA FRANCISCO DIAS VELHO ESQUINA COM A RUA JOAO AMARO</t>
  </si>
  <si>
    <t>RUA JURUBATUBA ESQUINA COM RUA ALVARO RODRIGUES</t>
  </si>
  <si>
    <t>RUA PRINCESA ISABEL ESQUINA COM A RUA ALVARO LUIS ROBERTO DE ASSUMPCAO</t>
  </si>
  <si>
    <t>RUA CONDE DE PORTO ALEGRE ESQUINA COM A RUA VIEIRA MORAES</t>
  </si>
  <si>
    <t>RUA GERALDO FLAUSINO GOEMS ESQUINA COM A AVENIDA ENGENHEIRO LUIZ CARLOS BERRINI</t>
  </si>
  <si>
    <t>RUA BARAO DO TRIUNFO ESQUINA COM A RUA ALVARO LUIS ROBERTO DE ASSUMPCAO</t>
  </si>
  <si>
    <t>RUA TEXAS ESQUINA COM A RUA RIBEIRO DO VALE</t>
  </si>
  <si>
    <t>RUA GILDA ESQUINA COM RUA DOUTOR HELADIO</t>
  </si>
  <si>
    <t>RUA SANTA MAFALDA ESQUINA COM AVENIDA MARCONDES DE BRITO</t>
  </si>
  <si>
    <t>RUA EDGARD DE AZEVEDO SOARES ESQUINA COM A RUA AMARO BEZERRA CAVALCANTI</t>
  </si>
  <si>
    <t>RUA CORONEL PEDRO DIAS DE CAMPOS ESQUINA COM RUA JOSE MASCARENHAS</t>
  </si>
  <si>
    <t>RUA SABADO D ANGELO ESQUINA COM A RUA  JOSE OITICICA FILHO</t>
  </si>
  <si>
    <t>RUA SABADO D ANGELO ESQUINA COM A RUA FRANCISCO JANETTI</t>
  </si>
  <si>
    <t>AVENIDA SAO MIGUEL ESQUINA COM A RUA ARTHUR FRIEDENREICH</t>
  </si>
  <si>
    <t>RUA CLEVELANDIA ESQUINA COM A RUA XAPURI</t>
  </si>
  <si>
    <t>RUA MANOEL ALONSO MEDINA 107 PROXIMO RUA FRANCISCO LOPES PINTO</t>
  </si>
  <si>
    <t>RUA MARINA SADDI HAIDAR ESQUINA COM A RUA MANUEL ALONSO MEDINA</t>
  </si>
  <si>
    <t>AVENIDA GENERAL FRANCISCO MORAZAN ESQUINA COM AVENIDA PROFESSOR FRANCISCO MORATO</t>
  </si>
  <si>
    <t>AVENIDA ELISEU DE ALMEIDA ESQUINA COM A RUA SISENANDO GOMES</t>
  </si>
  <si>
    <t>RUA BIJARI ESQUINA COM A AVENIDA CAXINGUI</t>
  </si>
  <si>
    <t>RUA GERVASIO DUNCAN DE LIMA RODRIGUES ESQUINA COM A RUA HAROLDO GURGEL</t>
  </si>
  <si>
    <t>RUA FRANCISCO LOPES PINTO ESQUINA COM A RUA DOUTOR GENTIL LEITE MARTINS</t>
  </si>
  <si>
    <t>RUA CONCEICAO DO FORMOSO PROXIMO DA ESQUINA COM A AVENIDA SAO MIGUEL</t>
  </si>
  <si>
    <t>RUA CARMO DO CAJURU ESQUINA COM A RUA SANHARO</t>
  </si>
  <si>
    <t>RUA BARAO DE DUPRAT DEFRONTE A RUA PEREIRA BARRETO</t>
  </si>
  <si>
    <t>AVENIDA JABAQUARA 1337 ENTRE A RUA PEREIRA STEFANO E A RUA VERIANO PEREIRA</t>
  </si>
  <si>
    <t>RUA JOSE DIPOL PROXIMO DA ESQUINA COM A RUA SOLIDONIO LEITE</t>
  </si>
  <si>
    <t>NO INTERIOR DO PARQUE DO IBIRAPUERA PROXIMO AO MUSEU DE HISTORIA ARTE E CULTURA</t>
  </si>
  <si>
    <t>AVENIDA PATENTE ESQUINA COM A RUA APOLONIA MANELLI</t>
  </si>
  <si>
    <t>AVENIDA INDIANOPOLIS ESQUINA COM A ALAMEDA SORIMAS</t>
  </si>
  <si>
    <t>AVENIDA PIASSANGUABA ESQUINA COM A AVENIDA AFONSO MARIANO FAGUNDES</t>
  </si>
  <si>
    <t>AVENIDA AGUIA DE HAIA ESQUINA COM A RUA LOURIVAL AMERICO DA FONSECA</t>
  </si>
  <si>
    <t>AVENIDA CAPITAO ANSELMO BARCELOS ESQUINA COM A RUA GUAXUMA</t>
  </si>
  <si>
    <t>RUA PROFESSOR PINHEIRO DOMINGUES ESQUINA COM A RUA JOSE GARCIA TERRA</t>
  </si>
  <si>
    <t>RUA PROFESSOR PEDREIRA DE FREITAS ESQUINA COM A RUA EDMUNDO XAVIER</t>
  </si>
  <si>
    <t>RUA ANTONIO TERTULIANO 255A REFERENCIA PROXIMO RUA CHAPADA DO NORTE</t>
  </si>
  <si>
    <t>RUA DENTISTA BARRETO ESQUINA COM A RUA LUCINDA GOMES BARRETO</t>
  </si>
  <si>
    <t>RUA GOMES ESQUINA COM A RUA BUCUITUBA</t>
  </si>
  <si>
    <t>RUA XAPURI ESQUINA COM RUA CATRIMANI</t>
  </si>
  <si>
    <t>RUA DR JOAO RIBEIRO ESQUINA COM PRACA NOSSA SENHORA DA PENHA</t>
  </si>
  <si>
    <t>RUA MANDAGUAI ESQUINA COM PRACA ANTONIO ALBERTO</t>
  </si>
  <si>
    <t>RUA CORONEL PAUL VACHET ESQUINA COM A RUA DOUTOR HORACIO DA COSSTA</t>
  </si>
  <si>
    <t>AVENIDA RIO DAS PEDRAS PROXIMO A AVENIDA JOAO XXIII</t>
  </si>
  <si>
    <t>RUA EVANGELINA ESQUINA COM A RUA ENGENHEIRO PEGADO</t>
  </si>
  <si>
    <t>RUA DULCE ESQUINA COM A RUA RENATO RINALDI</t>
  </si>
  <si>
    <t>RUA PEDRO VOSS ESQUINA COM A RUA ALEXANDRO NINI</t>
  </si>
  <si>
    <t>AVENIDA PEDRO BUENO 235 PROXIMO A ESQUINA COM A  RUA BARROS BROTERO</t>
  </si>
  <si>
    <t>AVENIDA CECI ESQUINA COM A ALAMEDA DOS TUPINAS</t>
  </si>
  <si>
    <t>AVENIDA PIASSANGUABA ESQUINA COM ALAMEDA DOS GUATAS</t>
  </si>
  <si>
    <t>AVENIDA INDIANOPOLIS ESQUINA COM ALAMEDA DOS GUAICANAS</t>
  </si>
  <si>
    <t>ALAMEDA DOS ARAPANES ESQUINA COM AVENIDA LAVANDISCA</t>
  </si>
  <si>
    <t>AVENIDA JOAO DIAS PROXIMO A RUA AFONSO VIDAL</t>
  </si>
  <si>
    <t>AVENIDA JOAO DIAS ESQUINA COM A RUA BENTO BRANCO DE ANDRADE</t>
  </si>
  <si>
    <t>RUA ALENCAR ARARIPE ESQUINA COM A RUA CARIPURA</t>
  </si>
  <si>
    <t>RUA RENATO RANIERE ESQUINA COM A RUA PROFESSOR CANTIDIO DE MOURA CAMPOS</t>
  </si>
  <si>
    <t>ESTRADA DAS LAGRIMAS RUA LAMUTE</t>
  </si>
  <si>
    <t>RUA TAMUATA ESQUINA COM A ESTRADA DAS LAGRIMAS</t>
  </si>
  <si>
    <t>RUA ROMEU TAARZIA ESQUINA COM A RUA SILVIO GUIMARAES DE ASSIS</t>
  </si>
  <si>
    <t>RUA PROFESSOR JOSE DE SOUZA 550 ESQUINA COM A RUA PAULO BIFANO ALVES</t>
  </si>
  <si>
    <t>RUA HIGA CAMELINA 203 NO FINAL DA RUA</t>
  </si>
  <si>
    <t>RUA ROSA DE MORAES 12 NO INTERIOR DO CONDOMINIO DEFRONTE AO BLOCO 02</t>
  </si>
  <si>
    <t>ESTRADA DAS LAGRIMAS 3621 NO INTERIOR DO CONDOMINIO DEFRONTE AO BLOCO 08</t>
  </si>
  <si>
    <t>NO INTERIOR DO CEAGESP NA CALCADA DO PAVILHAO BPC RUA 31</t>
  </si>
  <si>
    <t>NO INTERIOR DO CEAGESP NA CALCADA DO PAVILHAO BPC</t>
  </si>
  <si>
    <t>RUA JULIO VERNE 314</t>
  </si>
  <si>
    <t>RUA LIMEIRA ESQUINA COM A RUA PINDAMONHANGABA   PRACA SALIM LAHUD</t>
  </si>
  <si>
    <t>RUA JACURUTU ESQUINA COM A RUA IRMA CLOTILDE</t>
  </si>
  <si>
    <t>RUA AMLETO FARRO PROXIMO A RUA PLACIDO VIEIRA</t>
  </si>
  <si>
    <t>AVENIDA SAO MIGUEL ESQUINA COM RUA PROFESSOR DOUTOR GUILHERME DO AMARAL LYRA</t>
  </si>
  <si>
    <t>AVENIDA SAO MIGUEL ESQUINA COM A RUA BARRA DA FIGUEIRA</t>
  </si>
  <si>
    <t>RUA EVARISTO EMILIANO BUENO ESQUINA COM A RUA SARGENTO DJALMA EVANGELISTA</t>
  </si>
  <si>
    <t>RUA ITINGUCU ESQUINA COM RUA SAO SEVERO</t>
  </si>
  <si>
    <t>AVENIDA CONSELHEIRO CARRAO ESQUINA COM A AVENIDA GUILHERME GIORGI</t>
  </si>
  <si>
    <t>RUA DORIVAL LOURENCO DA SILVA ESQUINA COM A RUA ANTONIO VIOL</t>
  </si>
  <si>
    <t>LADEIRA DA PREGUICA AO LADO DO PREDIO DA BIENAL INTERIOR DO IBIRAPUERA</t>
  </si>
  <si>
    <t>RUA GIL DE OLIVEIRA ESQUINA COM A RUA PEDRO ALEXANDRE</t>
  </si>
  <si>
    <t>RUA MACAUBAS ESQUINA COM A RUA MAJOR RUDGE</t>
  </si>
  <si>
    <t>RUA GUAIAUNA ESQUINA COM RUA RECIFE</t>
  </si>
  <si>
    <t>RUA PADRE BENEDITO DE CAMARGO ESQUINA COM A RUA  HENRIQUE DE SOUZA QUEIRO</t>
  </si>
  <si>
    <t>RUA FRANCISCO DO AMARAL ESQUINA COM A RUA DONA VICENTINA ALEGRETTI</t>
  </si>
  <si>
    <t>RUA JOSE MARIA ESQUINA COM A AVENIDA AMADOR BUENO DA VEIGA</t>
  </si>
  <si>
    <t>RUA SAO FLORENCIO ESQUINA COM A RUA JANIPABA</t>
  </si>
  <si>
    <t>RUA JOSE MENDES JUNIOR 93 ESQUINA COM A AVENIDA MARCONDES BRITO</t>
  </si>
  <si>
    <t>RUA CARLOS MEIRA ESQUINA COM A RUA RODOVALHO JUNIOR</t>
  </si>
  <si>
    <t>AVENIDA PROFESSOR CELESTINO BOURROUL 705</t>
  </si>
  <si>
    <t>RUA BATISTA BUONAMENTE DEFRONTE A RUA CARLOS EBOLU</t>
  </si>
  <si>
    <t>PRACA CLOVIS BEVILACQUA PROXIMO AO COMANDO DO CORPO DE BOMBEIROS</t>
  </si>
  <si>
    <t>AVENIDA JOAO XXIII ESQUINA COM A AVENIDA RENATA</t>
  </si>
  <si>
    <t>RUA CORONEL DIOGO NO INTERIOR DO PREDIO DA SABESP</t>
  </si>
  <si>
    <t>RUA EDGAR DE SOUZA ESQUINA COM A RUA GUAPERUVU</t>
  </si>
  <si>
    <t>RUA PROFESSOR MARTIM DAMY ESQUINA COM AVENIDA CONDE DE FRONTIN</t>
  </si>
  <si>
    <t>RUA CORONEL DIOGO 275 NO INTERIOR DO PREDIO DA SABESP AO LADO PORTAO PRINCIPAL PELA CORONEL DIOGO</t>
  </si>
  <si>
    <t>RUA PIRAPORA ESQUINA COM A RUA CURITIBA</t>
  </si>
  <si>
    <t>RUA MELO PEIXOTO ESUQINA COM RUA ANTONIO DE BARROS</t>
  </si>
  <si>
    <t>RUA ANTONIO DE BARROS ESQUINA COM A RUA DO TATUAPE</t>
  </si>
  <si>
    <t>RUA JOAO PENTEADO COM RUA ARNALDO CINTRA</t>
  </si>
  <si>
    <t>RUA HEITOR DE GUSMAO UCHOA ESQUINA COM AV MARECHAL FIUZA DE CASTRO</t>
  </si>
  <si>
    <t>RUA ITUCUMA COM AV PROFESSOR FRANCISCO MORATO</t>
  </si>
  <si>
    <t>RUA BORGES FIGUEIREDO 382 MOOCA ESQUINA COM A RUA GUARATINGUETA</t>
  </si>
  <si>
    <t>RUA MARIA CRESPI ESQUINA COM A RUA GUARATINGUETA</t>
  </si>
  <si>
    <t>RUA DOS TRILHOS ESQUINA COM A RUA TAQUARI</t>
  </si>
  <si>
    <t>RUA ARI DOS SANTOS ESQUINA COM RUA ROBERTO VALENTINO DE CAMARGO</t>
  </si>
  <si>
    <t>AVENIDA PROFESSOR LUIZ IGNACIO ANHAIA MELO ENTRE AS RUAS DA IGREJA E RUA DO CENTRO</t>
  </si>
  <si>
    <t>AVENIDA REBOUCAS ESQUINA COM A RUA CONEGO EUGENIO BUENO</t>
  </si>
  <si>
    <t>ESTRADA DO M BOI MIRIM ESQUINA COM RUA DOMINGOS AFONSO SERTAO</t>
  </si>
  <si>
    <t>AVENIDA SANTA MARINA DEFRONTE A RUA EDGAR POE</t>
  </si>
  <si>
    <t>AVENIDA PEDROSO DE MORAIS ESQUINA COM A RUA TEODORO SAMPAIO</t>
  </si>
  <si>
    <t>AVENIDA OLAVO FONTOURA 529   1391</t>
  </si>
  <si>
    <t>AVENIDA PIRES DO RIO DEFRONTE A RUA CAROLINA FONSECA</t>
  </si>
  <si>
    <t>RUA IRMA EFIGENIA 19 NO FUNDO DA VILA</t>
  </si>
  <si>
    <t>AVENIDA OLIVEIRA FREIRE ESQUINA COM RUA SABIA LARANDEIRA</t>
  </si>
  <si>
    <t>AVENIDA PADRE GREGORIO MAFRA ESQUINA COM  A RUA CAPITAO ANTONIO VASCONCELOS</t>
  </si>
  <si>
    <t>RUA AGOSTINHO GOMES ESQUINA COM AVENIDA DO ESTADO</t>
  </si>
  <si>
    <t>AVENIDA AGUIA DE HAIA ESQUINA COM A RUA PACARANA</t>
  </si>
  <si>
    <t>RUA SAOZO LEOPOLDO ESQUINA COM A RUA VINTE E UM DE ABRIL</t>
  </si>
  <si>
    <t>RUA MARECHAL MENDES DE MORAES NO FINAL DA RUA</t>
  </si>
  <si>
    <t>AVENIDA ENGENHEIRO ARMANDO DE ARRUDA PEREIRA 3305 ESTACAO DE BOMBEIRO JABAQUARA</t>
  </si>
  <si>
    <t>RUA GUAICURUS ESQUINA COM A RUA AURELIA</t>
  </si>
  <si>
    <t>RUA OLIVEIRA MELO ESQUINA COM A RUA DOUTOR MARIO VICENTE</t>
  </si>
  <si>
    <t>RUA DOUTOR MARIO CARDIM ESQUINA COM PRACA RIOLANDA</t>
  </si>
  <si>
    <t>RUA PONCHE VERDE ESQUINA COM RUA CAMPOS CERRADOS</t>
  </si>
  <si>
    <t>AVENIDA ODILON PIRES ESQUINA COM A RUA ANTONIO LA GIUDICEL</t>
  </si>
  <si>
    <t>RUA DR ERNANI DA GAMA CORREIA PROXIMA DA ESQUINA COM RUA JOSE DE MORAES FERRAZ</t>
  </si>
  <si>
    <t>AVENIDA DO ESTADO 561 NO INTERIOR DO COMPLEXO ADMINISTRATIVO DA SABESP PONTE PEQUENA</t>
  </si>
  <si>
    <t>RUA VERGUEIRO ESQUINA COM A RUA CASTRO ALVES</t>
  </si>
  <si>
    <t>RUA VERGUEIRO ESQUINA COM O VIADUTO BENEFICIENCIA</t>
  </si>
  <si>
    <t>RUA EUGENOPOLIS ESQUINA COM A RUA ENGENHEIRO JOSE RUBBO</t>
  </si>
  <si>
    <t>RUA REFINARIA PRESIDENTE BERNARDES ESQUINA COM A RUA PETROBRAS</t>
  </si>
  <si>
    <t>RUA ZILDA 796 DEFRONTE COM A RUA PEDRO JUAN CABALERO</t>
  </si>
  <si>
    <t>RUA MOREIRA DE VASCONCELOS ESQUINA COM A AVENIDA ALBERTO BYINTON</t>
  </si>
  <si>
    <t>RUA OSWALDO RIBEIRO JUNQUEIRA ESQUINA COM A AVENIDA GENERAL PENHA BRASIL</t>
  </si>
  <si>
    <t>RUA BANDEIRA PAULISTA PROXIMO DA ESQUINA COM A RUA JOAQUIM FLORIANO</t>
  </si>
  <si>
    <t>AVENIDA SAO GABRIEL ESQUINA COM A RUA JOAQUIM FLORIANO</t>
  </si>
  <si>
    <t>AVENIDA SANTO AMARO  ESQUINA RUA ANDRE GONCALVES</t>
  </si>
  <si>
    <t>AVENIDA SANTO AMARO 400 ESQUINA RUA DOUTOR EDUARDO DE SOUZA ARANHA</t>
  </si>
  <si>
    <t>RUA SODRE E SILVA 274 ESQUINA COM A AVENIDA JARDIM JAPAO</t>
  </si>
  <si>
    <t>RUA NABUCO DE ARAUJO ESQUINA COM RUA PEREGRINO</t>
  </si>
  <si>
    <t>RUA SAO QUIRINO ESQUINA COM A RUA JOAQUINA RAMALHO</t>
  </si>
  <si>
    <t>RUA FRUTUOSO BARBOSA ESQUINA COM A RUA FRANCISCO BARRETO</t>
  </si>
  <si>
    <t>RUA LEONOR ALVIM 239 NA CALCADA DA MATERNIDADE INTERLAGOS</t>
  </si>
  <si>
    <t>RUA DA CONSOLACAO ESQUINA COM  ALAMEDA LORENA</t>
  </si>
  <si>
    <t>RUA DA CONSOLACAO ESQUINA COM ALAMEDA TIETE</t>
  </si>
  <si>
    <t>RUA AUGUSTA ESQUINA COM A RUA ALAMEDA TIETE</t>
  </si>
  <si>
    <t>AVENIDA DA LIBERDADE PROXIMO DA ESQUINA COM A RUA SAO JOAQUIM</t>
  </si>
  <si>
    <t>AVENIDA LIBERDADE 688</t>
  </si>
  <si>
    <t>RUA CAPOTE VALENTE ESQUINA COM A AVENIDA REBOUCAS</t>
  </si>
  <si>
    <t>RUA COMENDADOR AFONSO KHERLAKIAN ESQUINA COM A RUA BARAO DE DUPRAT</t>
  </si>
  <si>
    <t>RUA MARTINIANO DE CARVALHO ESQUINA COM A RUA SANTA MADALENA</t>
  </si>
  <si>
    <t>RUA DOUTOR MELO ALVES ESQUINA COM A RUA OSCAR FREIRE</t>
  </si>
  <si>
    <t>RUA JOSE TABACOW ESQUINA COM RUA CORONEL MENDONCA</t>
  </si>
  <si>
    <t>RUA CONSTELACAO DO CARANGUEJO DEFRONTE A RUA CONSTELACAO DO OITANTE</t>
  </si>
  <si>
    <t>RUA PADRE JOAO GARZOTTI ESQUINA COM A RUA ICANHEMA</t>
  </si>
  <si>
    <t>ALAMEDA CLEVELAND DEFRONTE A RUA HELVETIA</t>
  </si>
  <si>
    <t>RUA ASTORGA ESQUINA COM A RUA JANDAIA DO SUL</t>
  </si>
  <si>
    <t>RUA QUINTINO BOCAIUVA ESQUINA COM A RUA JOSE BONIFACIO</t>
  </si>
  <si>
    <t>NO INTERIOR DA FAVELA DO MOINHO ENTRADA PELA RUA DOUTOR ELIAS CHAVES PASSANDO OS TRILHOS DO TREM VIRAR A ESQUERDA DEBAIXO DO VIADUTO ORLANDO MURGEL</t>
  </si>
  <si>
    <t>RUA JAGUARIBE ESQUINA COM A RUA JESUINO PASCOAL</t>
  </si>
  <si>
    <t>AVENIDA BRIGADEIRO LUIS ANTONIO 1099 DEFRONTE A RUA MAJOR DIOGOZ</t>
  </si>
  <si>
    <t>RUA VINTE E CINCO DE MARCO 881 DEFRONTE A RUA COMENDADOR AFONSO HKERLAKIAN</t>
  </si>
  <si>
    <t>RUA BERNARDINO VERGUEIRO ESQUINA COM AVENIDA GABRIELA MISTRAL</t>
  </si>
  <si>
    <t>AVENIDA NOVE DE JULHO 929</t>
  </si>
  <si>
    <t>RUA AGUIAR DE BARROS ESQUINA COM A AVENIDA BRIGADEIRO LUIS ANTONIO</t>
  </si>
  <si>
    <t>PRACA DA LIBERDADE ESQUINA COM A RUA GALVAO BUENO</t>
  </si>
  <si>
    <t>RUA PROFESSORA BRANCA DO CANTO E MELO ESQUINA COM A RUA NELIO BATISTA GUIMARAES</t>
  </si>
  <si>
    <t>RUA MUNICIPAL PROXIMO DA ESQUINA DA RUA MOE</t>
  </si>
  <si>
    <t>RUA ANTONIO DE BARROS ESQUINA COM A RUA GUARACIABA</t>
  </si>
  <si>
    <t>RUA TIJUCO PRETO ESQUINA COM RUA  MONTE SERRAT</t>
  </si>
  <si>
    <t>RUA PEDRO VICENTE 1 ESTACAO ARMENIA METRO</t>
  </si>
  <si>
    <t>RUA DOUTOR RENATO MAIA 360</t>
  </si>
  <si>
    <t>AVENIDA DA LIBERDADE ESQUINA COM A RUA DOS ESTUDANTES</t>
  </si>
  <si>
    <t>LARGO GENERAL OSORIO ENTRE O NUMERO 147 e 165</t>
  </si>
  <si>
    <t>RUA MELO PEIXOTO ENTRE A RUA DOUTOR ANGELO VITA E A RUA VILELA</t>
  </si>
  <si>
    <t>RUA CONSELHEIRO CARRAO ESQUINA COM A RUA DOS INGLESES</t>
  </si>
  <si>
    <t>RUA CONSELHEIRO RAMALHO ESQUINA COM A RUA DOUTOR RICARDO BATISTA</t>
  </si>
  <si>
    <t>RUA IGUARE PROXIMO A RUA ULISSES CRUZ</t>
  </si>
  <si>
    <t>RUA DOMINGOS AFONSO ESQUINA COM A RUA EMAS</t>
  </si>
  <si>
    <t>RUA GUAIMBE PROXIMO DA ESQUINA DA AVENIDA PAES DE BARROS</t>
  </si>
  <si>
    <t>RUA PROFESSOR OLIVEIRA FAUSTO ESQUINA COM A RUA BARRETOS</t>
  </si>
  <si>
    <t>RUA DOUTOR GABRIEL DE RESENDE ESQUINA COM PARQUE DOM PEDRO I</t>
  </si>
  <si>
    <t>RUA JOAO BIZARRO DEFRONTE A RUA LUCIA MIGUEL PEREIRA</t>
  </si>
  <si>
    <t>RUA CACHOEIRA DO CAMPO GRANDE ESQUINA COM A RUA ALEXANDRE DAVIDENKO</t>
  </si>
  <si>
    <t>RUA JABOTICABAL 1755 DE FRONTE A RUA ATIACU</t>
  </si>
  <si>
    <t>RUA JOANA DARC 104</t>
  </si>
  <si>
    <t>RUA CARLOS JOSE MICHELON PROXIMO DA ESQUINA COM A AVENIDA MORVAN DIAS DE FIGUEIREDO</t>
  </si>
  <si>
    <t>RUA SEBASTIAO AFONSO ESQUINA COM A RUA CONSTANTINO DE ABREU</t>
  </si>
  <si>
    <t>AVENIDA SANTO AFONSO ESQUINA COM A RUA VIRGILIO GONCALVES LEITE</t>
  </si>
  <si>
    <t>RUA DOUTOR BENTO TEOBALDO FERRAZ DEEFRONTE A RUA DOUTOR JOAO FAIRBANKS</t>
  </si>
  <si>
    <t>RUA CHAVES ESQUINA COM A AVENIDA WASHINGTON LUIS</t>
  </si>
  <si>
    <t>RUA SANTO ALBERTO ESQUINA COM A RUA NIDERAU FELIX MACHADO</t>
  </si>
  <si>
    <t>RUA DOUTOR GENTIL LEITE MARTINS DEFRONTE A RUA MARIA AUGUSTA FERNANDES PANFIDO</t>
  </si>
  <si>
    <t>RUA DA MOOCA ESQUINA COM A RUA TEREsINA</t>
  </si>
  <si>
    <t>RUA TACOMARE ESQUINA COM A RUA APARAJU</t>
  </si>
  <si>
    <t>RUA PORTO FELIZ 154</t>
  </si>
  <si>
    <t>RUA DO ORATORIO ESQUINA COM RUA ISABEL DIAS</t>
  </si>
  <si>
    <t>RUA DIANOPOLIS DE FRENTE A RUA SAQUAREMA</t>
  </si>
  <si>
    <t>RUA SIQUEIRA AFONSO ESQUINA COM A RUA SILVA TELES</t>
  </si>
  <si>
    <t>RUA CAFESOPOLIS ESQUINA COM A RUA BARRETOS</t>
  </si>
  <si>
    <t>RUA JAIME COSTA 300</t>
  </si>
  <si>
    <t>AVENIDA CUPECE ESQUINA COM RUA FRANCISCO ALVES DE AZEVEDO</t>
  </si>
  <si>
    <t>RUA MARIA QUITERIA DEFRONTE A RUA MARQUESA DE SANTOS</t>
  </si>
  <si>
    <t>RUA DOUTOR OTACILIO CAMARA SILVEIRA ESQUINA COM RUA VERGUEIRO</t>
  </si>
  <si>
    <t>RUA MENDES JUNIOR ESQUINA COM A RUA PARAIBA</t>
  </si>
  <si>
    <t>RUA BENTO VIEIRA ESQUINA COM A RUA LEAIS PAULISTANOS</t>
  </si>
  <si>
    <t>AVENIDA SENADOR QUEIROZ ESQUINA COM A PASSAGEM DA AVENIDA PRESTES MAIA</t>
  </si>
  <si>
    <t>RUA DESEMBARGADOR PAULO PASSALAQUA PROXIMO DA ESQUINA COM A RUA PENAPOLIS</t>
  </si>
  <si>
    <t>RUA MARTA ESQUINA COM A RUA MARGARIDA</t>
  </si>
  <si>
    <t>RUA VENANCIO AIRES ESQUINA COM A RUA CLELIA</t>
  </si>
  <si>
    <t>RUA MORAIS DE BARROS ESQUINA COM A RUA REPUBLICA DO IRAQUE</t>
  </si>
  <si>
    <t>RUA DOS JURIS ESQUINA COM A RUA DOS MACURIS</t>
  </si>
  <si>
    <t>RUA VENANCIO AIRES ESQUINA COM A RUA TUCURUNA</t>
  </si>
  <si>
    <t>RUA AGUACAI ESQUINA COM A AVENIDA CARLOS DE CAMPOS</t>
  </si>
  <si>
    <t>RUA EDSON DANILO DOTTO 403</t>
  </si>
  <si>
    <t>AVENIDA SENADOR QUEIROS ESQUINA COM A RUA BRIGADEIRO TOBIAS</t>
  </si>
  <si>
    <t>RUA FREI CANECA ESQUINA COM A RUA PAIM</t>
  </si>
  <si>
    <t>RUA MAESTRO CARDIM ESQUINA COM A RUA SANTA MADALENA</t>
  </si>
  <si>
    <t>RUA NEWTON PRADO ESQUINA COM A RUA BARRA DO TIBAJI</t>
  </si>
  <si>
    <t>AVENIDA NOVE DE JULHO 2029 PROXIMO A ESQUINA COM A RUA PROFESSOR PICAROLLO</t>
  </si>
  <si>
    <t>RUA RIO BONITO ESQUINA COM A RUA SILVA TELES</t>
  </si>
  <si>
    <t>RUA SANTA RITA ESQUINA COM A RUA RIO BONITO</t>
  </si>
  <si>
    <t>AVENIDA PAULISTA ESQUINA COM A  RUA DA CONSOLACAO</t>
  </si>
  <si>
    <t>ALAMEDA NOTHMANN ESQUINA COM A RUA ADOLFO GORDO</t>
  </si>
  <si>
    <t>RUA ANHAIA ESQUINA COM A RUA SILVA PINTO</t>
  </si>
  <si>
    <t>RUA CARNOT ESQUINA COM A RUA PASCOAL MALATESTA</t>
  </si>
  <si>
    <t>RUA SANTA CLARA ESQUINA COM A RUA RIO BONITO</t>
  </si>
  <si>
    <t>RUA JOAO BOEMER ESQUINA COM A RUA DOUTOR CARLOS BOTELHO</t>
  </si>
  <si>
    <t>AVENIDA SANTA MARINA 369 PROXIMO DA LINHA FERREA</t>
  </si>
  <si>
    <t>RUA JAPURA ESQUINA COM A RUA JACAREI</t>
  </si>
  <si>
    <t>RUA JOAO BOEMER ESQUINA COM A RUA SOUZA CALDAS</t>
  </si>
  <si>
    <t>AVENIDA CARLOS DE CAMPOS ESQUINA COM A RUA CORONEL MORAIS</t>
  </si>
  <si>
    <t>RUA RIO BONITO ESQUINA COM A RUA CORONEL EMIDIO PIEDADE</t>
  </si>
  <si>
    <t>RUA JOAO BOEMER ESQUINA COM ALMIRANTE BARROSO</t>
  </si>
  <si>
    <t>RUA VISCONDE DE PARNAIBA PROXIMO A ESQUINA DA RUA  DOUTOR ALMEIDA LIMA</t>
  </si>
  <si>
    <t>RUA ASTARTE ESQUINA COM A RUA RANCHARIA</t>
  </si>
  <si>
    <t>RUA SILVA TELES ESQUINA COM A RUA CACHOEIRA</t>
  </si>
  <si>
    <t>RUA SANTA RITA ESQUINA COM A RUA BRESSER</t>
  </si>
  <si>
    <t>AVENIDA MOACI ESQUINA COM  ALAMEDA DOS MARACATINS</t>
  </si>
  <si>
    <t>RUA SANTO ANTONIO ESQUINA COM A RUA MAJOR QUEDINHO</t>
  </si>
  <si>
    <t>AV 9 DE JULHO 224</t>
  </si>
  <si>
    <t>AVENIDA MOACI EM FRENTE A RUA LIDIA SIMOES CABRAL</t>
  </si>
  <si>
    <t>RUA CONSELHEIRO NEBIAS ESQUINA COM A RUA AURORA</t>
  </si>
  <si>
    <t>RUA JAPI ESQUINA COM A AVENIDA EDE</t>
  </si>
  <si>
    <t>RUA AGOSTINHO LATTARI ESQUINA COM A RUA CAP PACHECO CHAVES</t>
  </si>
  <si>
    <t>RUA ORIENTE ESQUINA COM A RUA MILER</t>
  </si>
  <si>
    <t>RUA JOAO SERRANO ESQUINA COM RUA BRIGADEIRO XAVIER DE BRITO</t>
  </si>
  <si>
    <t>RUA BRESSER ESQUINA COM A RUA MAJOR MARCELINO</t>
  </si>
  <si>
    <t>RUA ORIENTE ESQUINA COM A RUA CASEMIRO DE ABREU</t>
  </si>
  <si>
    <t>RUA LEAIS PAULISTANOS ENTRE A RUA DO MANIFESTO E A AVENIDA DO ESTADO</t>
  </si>
  <si>
    <t>RUA ALBINO BENTO DEFRONTE A RUA DOS ROBALOS</t>
  </si>
  <si>
    <t>AVENIDA DAS GAROUPAS ESQUINA COM A RUA DOS MANDUBIS</t>
  </si>
  <si>
    <t>RUA FRANCISCO MARENGO DEFRONTE A RUA  CORTA VENTO</t>
  </si>
  <si>
    <t>RUA LUIS ROSSETTI ESQUINA COM A RUA DOMIZIANO ROSSI</t>
  </si>
  <si>
    <t>RUA AZEVEDO SOARES ESQUINA COM A RUA NOVA JERUSALEM</t>
  </si>
  <si>
    <t>RUA DOS ANIQUIS ESQUINA COM A RUA DOS CARATAS</t>
  </si>
  <si>
    <t>RUA JAPANI ESQUINA COM RUA JUCIRI</t>
  </si>
  <si>
    <t>RUA CHANTAL 91</t>
  </si>
  <si>
    <t>RUA VALE DO IPOJUCA ESQUINA COM AVENIDA LIDER</t>
  </si>
  <si>
    <t>RUA PORTO DA FOLHA 305 DEFRONTE A ESQUINA DAS RUAS LUZILANDIA E CAMPO MAIOR</t>
  </si>
  <si>
    <t>RUA GIL RIBEIRO ESQUINA COM RUA PINTO MONTEIRO</t>
  </si>
  <si>
    <t>RUA HENRY CELIA ESQUINA COM A RUA JACINA</t>
  </si>
  <si>
    <t>RUA FLORESTA AZUL DEFRONTE COM RUA PASSIRA</t>
  </si>
  <si>
    <t>RUA PURPURINA ESQUINA COM A RUA GIRASSOL</t>
  </si>
  <si>
    <t>ALAMEDA DOS ANOS DOURADOS NO INTERIOR DO PARQUE IBIRAPUERA</t>
  </si>
  <si>
    <t>RUA DOS ALGODOEIROS PROXIMO DA ESQUINA DA RUA DOS MURURES</t>
  </si>
  <si>
    <t>AVENIDA NELSOM PALMA TRAVASSOS PROXIMO DA ESQUINA DA AVENIDA RAIMUNDO PEREIRA DE MAGALHAES</t>
  </si>
  <si>
    <t>RUA GIRUA ESQUINA COM A RUA PASTORIAL DE ITAPETINGA</t>
  </si>
  <si>
    <t>RUA MOGEIRO ESQUINA COM A RUA DOUTOR JOSE PACHECO E SILVA</t>
  </si>
  <si>
    <t>RUA DOMINGOS FAUSTINO SARMIENTO ESQUINA COM A TRAVESSA ANTONIO BURONI</t>
  </si>
  <si>
    <t>RUA ANTONIO FONTOURA XAVIER ESQUINA COM A RUA ROQUE BARBOSA LIMA</t>
  </si>
  <si>
    <t>RUA CRISTOVAO DE BURGOS ESQUINA COM RUA HEITOR PENTEADO</t>
  </si>
  <si>
    <t>AVENIDA DOUTOR ARNALDO 1844</t>
  </si>
  <si>
    <t>RUA AMADEU ESQUINA COM A TRAVESSA MANOEL PRETO</t>
  </si>
  <si>
    <t>AVENIDA REBOUCAS ESQUINA COM A RUA CRISTIANO VIANA</t>
  </si>
  <si>
    <t>ALAMEDA CLEVELAND ESQUINA COM ALAMEDA NOTHMANN</t>
  </si>
  <si>
    <t>RUA COTOXO ESQUINA COM A RUA PADRE CHICO</t>
  </si>
  <si>
    <t>RUA DOS JEQUITIBAS 88 NA ENTRADA DO METRO JABAQUARA</t>
  </si>
  <si>
    <t>RUA NASCIMENTO DA SILVA ESQUINA COM A RUA ROSALIA DE CASTRO</t>
  </si>
  <si>
    <t>RUA JOAN BROSSA ESQUINA COM A RUA BARBOSA LIMA SOBRINHO</t>
  </si>
  <si>
    <t>RUA NEBULOSA 750 AO LADO DO CONDOMINIO</t>
  </si>
  <si>
    <t>RUA PROFESSOR THEOTONIO PAVAO DEFRONTE A RUA MARIA NILZE CINTRA</t>
  </si>
  <si>
    <t>RUA LUIS MATEUS ESQUINA  COM A RUA HENRIQUE ADAMUS</t>
  </si>
  <si>
    <t>RUA JOFRE SOARES DEFRONTE A RUA FLORESTA AMAZONICA</t>
  </si>
  <si>
    <t>RUA TUPIRITAMA ESQUINA COM A RUA SERPINS</t>
  </si>
  <si>
    <t>RUA TAIGUARA CHALAR DEFRONTE A VIELA SETENTA E NOVE</t>
  </si>
  <si>
    <t>RUA CARLOS PALLAVICINO 260 PROXIMO AO BLOCO 08</t>
  </si>
  <si>
    <t>RUA CARLOS PALLAVICINO 148 ENTRE OS BLOCOS 2 E 3</t>
  </si>
  <si>
    <t>RUA ANTONIO DA SILVA PORTO ESQUINA COM A RUA DOUTOR JORGE RUBENS NEIVA DE CAMARGO</t>
  </si>
  <si>
    <t>AVENIDA PROFESSOR ALCEU MAYNARD 344 NO INTERIOR DO CONDOMINIO</t>
  </si>
  <si>
    <t>RUA COMENDADOR JOAQUIM GOMES DE OLIVEIRA 21</t>
  </si>
  <si>
    <t>RUA NASCER DO SOL PROXIMO DA ESQUINA COM A RUA DOM MARCOS BARBOSA</t>
  </si>
  <si>
    <t>RUA NASCER DO SOL PROXIMO A ESQUINA COM RUA IGARAPE CAJUEIRO</t>
  </si>
  <si>
    <t>RUA CRISTIANO LOBE EMFRENTE A PRACA PROFESSOR JOSE R DOS SANTOS</t>
  </si>
  <si>
    <t>RUA DOS TEXTEIS 2643 ESQUINA COM A RUA VARZEA NOVA</t>
  </si>
  <si>
    <t>RUA EDUARDO SANCHEZ 1319</t>
  </si>
  <si>
    <t>RUA RENE TOLEDO 09 (PROX. AV METALURGICO)</t>
  </si>
  <si>
    <t xml:space="preserve">RUA IGARAPE AGUA AZUL SN </t>
  </si>
  <si>
    <t>AVENIDA RAGUEB CHOFI</t>
  </si>
  <si>
    <t>RUA FELIX GUIHEM ESQUNA COM RUA MANOEL DE OLIVEIRA</t>
  </si>
  <si>
    <t>RUA JUBIABA 185</t>
  </si>
  <si>
    <t>RUA TABATINGUERA ESQUINA COM A RUA FREDERICO ALVARENGA</t>
  </si>
  <si>
    <t>RUA DOUTOR ANGELO VITA ESQUINA COM A AVENIDA CELSO GARCIA</t>
  </si>
  <si>
    <t>RUA INACIO ALVES ESQUINA COM A RUA KEN SUGAYA</t>
  </si>
  <si>
    <t>RUA CRISTOVAO ALVES ESQUINA COM A RUA CAROLINA FONSECA</t>
  </si>
  <si>
    <t>TRAVESSA DA REPLICA PROXIMO A RUA TERRA PORTUGALENSE</t>
  </si>
  <si>
    <t>RUA RENE TOLEDO (EM FRENTE A EMEI ELISA KAUFFMAN)</t>
  </si>
  <si>
    <t>RUA BB VARELA ESQUINA COM A AVENIDA PIRES DO RIO</t>
  </si>
  <si>
    <t>RUA PALMERINO CALABRESE ESQUINA COM A RUA CAROLINA FONSECA</t>
  </si>
  <si>
    <t>RUA ADOLFO DE MENEZES NO FINAL DA RUA</t>
  </si>
  <si>
    <t>RUA VALE DA AMOREIRA 143 DEFRONTE A RUA VALE DA PERDIZ</t>
  </si>
  <si>
    <t>RUA JARDIM TAMOIO ESQUINA CO  A RUA MATIAS QUEVEDO</t>
  </si>
  <si>
    <t>AVENIDA SAPOPEMBA 1829 PROXIMO RUA TOCANDIRA</t>
  </si>
  <si>
    <t>RUA ANDUIA ESQUINA COM AVENIDA ANTONIA MARTINS</t>
  </si>
  <si>
    <t>RUA SILVIANOPOLIS ESQUINA COM A RUA ALBERTINO RASCONI</t>
  </si>
  <si>
    <t>RUA IBIANOPOLIS 121  NA CALCADA DO SHOPPING ELDORADO</t>
  </si>
  <si>
    <t>RUA HEITOR PORTUGAL 353</t>
  </si>
  <si>
    <t>RUA COMENDADOR ROBERTO UGOLINI ESQUINA COM A RUA JUVENTUS</t>
  </si>
  <si>
    <t>RUA AGOSTINHO LATARI  DEFRONTE A RUA QUARITERE</t>
  </si>
  <si>
    <t>RUA PADRE MAURICIO ESQUINA COM A RUA VILELA</t>
  </si>
  <si>
    <t>RUA ANTONIO DE PADUA DIAS 258 ESQUINA COM A RUA ESTEVAN RIBEIRO RESENDE</t>
  </si>
  <si>
    <t>RUA COLONIA ALEMA 41</t>
  </si>
  <si>
    <t>PARELHEIROS</t>
  </si>
  <si>
    <t>RUA ALBERTO SALEZA 93 ESQUINA COM A RUA BOA VISTA</t>
  </si>
  <si>
    <t>RUA JOAQUIM FONSECA SARAIVA FILHO 316 ESQUINA COM AVENIDA CONCEICAO</t>
  </si>
  <si>
    <t>RUA CINCO DE MAIO ESQUINA COM A RUA CECILIA</t>
  </si>
  <si>
    <t>RUA  VILA BOA DE GOIAS ESQUINA COM RUA DR PAULO QUEIROZ</t>
  </si>
  <si>
    <t>RUA DONA MATILDE ESQUINA COM RUA JOSE MANUEL DA FONSECA JUNIOR</t>
  </si>
  <si>
    <t>RUA EMILIA MARENGO ESQUINA COM A RUA NESTOR DE BARROS</t>
  </si>
  <si>
    <t>RUA OLHO D`AGUA DO BORGES 94</t>
  </si>
  <si>
    <t>RUA FORTE DO RIO BRANCO ESQUINA COM A RUA CASTOR</t>
  </si>
  <si>
    <t>RUA IPIGUA 238 DEFRONTE A PRACA ALBERTINA NATEL</t>
  </si>
  <si>
    <t>RUA ESCORPIAO 550 BLOCO 39</t>
  </si>
  <si>
    <t>RUA FRUTOS DE MAIO NO INTERIOR DA VIELA 2 NO FUNDO</t>
  </si>
  <si>
    <t>RUA JOSE MASCARENHAS ESQUINA COM A RUA AMARO BEZERRA CAVALCANTI</t>
  </si>
  <si>
    <t>AVENIDA SAPOPEMBA ESQUINA COM A RUA DOUTOR GABRIEL DE REZENDE</t>
  </si>
  <si>
    <t>RUA TIERS ESQUINA COM A RUA HANNEMANN</t>
  </si>
  <si>
    <t>RUA BACTORIA DEFRONTE COM A RUA SITIO DO SALTO</t>
  </si>
  <si>
    <t>RUA SERRA DE BRAGANCA ESQUINA COM A RUA ORIEL PEREIRA DO VALLE</t>
  </si>
  <si>
    <t>RUA SERRA DE BOTUCATU ESQUINA COM A RUA APUCARANA</t>
  </si>
  <si>
    <t>RUA SERRA DE BRAGANCA PROXIMO ZA  ESQUINA COM A RUA MONT SERRAT</t>
  </si>
  <si>
    <t>RUA HANNEMANN PROXIMO DA ESQUINA COM A RUA RODRIGUES DOS SANTOS</t>
  </si>
  <si>
    <t>RUA QUIXADA ESQUINA COM A RUA ARTHUR BERNARDE</t>
  </si>
  <si>
    <t>RUA INCONFIDENCIA MINEIRA ESQUINA COM A RUA PETROBRAS</t>
  </si>
  <si>
    <t>RUA ITAIM 667 DEFRONTE A PRACA CASA GRANDE E SENZALA</t>
  </si>
  <si>
    <t>AVENIDA DOUTOR JOSE ARTUR DA NOVA PROXIMO A ESQUINA DA RUA CONCEICAO DE MINAS</t>
  </si>
  <si>
    <t>AVENIDA DA LIBERDADE ESQUINA COM A RUA JACEGUAI</t>
  </si>
  <si>
    <t>RUA LUIS MATEUS ESQUINA COM A RUA SANTA TARCILIA</t>
  </si>
  <si>
    <t>ALAMEDA LORENA PROXIMO A ESQUINA COM A RUA BELA CINTRA</t>
  </si>
  <si>
    <t>RUA DO BOTICARIO ESQUINA COM AVENIDA IPIRANGA</t>
  </si>
  <si>
    <t>ALAMEDA ITU ESQUINA COM A RUA BELA CINTRA</t>
  </si>
  <si>
    <t>AVENIDA DO CURSINO 710 PROXIMO A RUA DOS PATRICIOS</t>
  </si>
  <si>
    <t>RUA VIGARIO ALBERNAZ ESQUINA COM A RUA DOM CONSTANTINO BARRADAS</t>
  </si>
  <si>
    <t>RUA DA CONSOLACAO ESQUINA COM A ALAMEDA SANTOS</t>
  </si>
  <si>
    <t>RUA SAMAMBAIACU ESQUINCA COM A  RUA SAIRA</t>
  </si>
  <si>
    <t>RUA PLACIDO DE CASTRO ESQUINA RUA JOAO TEIXEIRA DA SILVA</t>
  </si>
  <si>
    <t>RUA SANTANA DO ARAGUAIA ESQUINA COM RUA JUCAS</t>
  </si>
  <si>
    <t>AVENIDA VILA EMA ESQUINA COM RUA CAIRIRI</t>
  </si>
  <si>
    <t>RUA DOUTOR MORAIS DANTAS ESQUINA COM A RUA JOAO LEOCARDIO</t>
  </si>
  <si>
    <t>RUA ANTONIO DOS SANTOS NETO PORTAO DO BLOCO 07 CINGAPURA</t>
  </si>
  <si>
    <t>RUA TAMAINDE ESQUINA COM A RUA BAQUIA</t>
  </si>
  <si>
    <t>RUA MOISES MARX ESQUINA COM RUA MONSENHOR FRANCISCO DE PAULA</t>
  </si>
  <si>
    <t>RUA EDGAR DE SOUZA ESQUINA COM A RUA TENENTE CORONEL SOARES NEIVA</t>
  </si>
  <si>
    <t>RUA LUCINDA GOMES BARRETO ESQUINA COM A RUA OSWALDO GOMES BARRETO</t>
  </si>
  <si>
    <t>RUA BARAO DE TEFE ESQUINA COM A AVENIDA FRANCISCO MATARAZZO</t>
  </si>
  <si>
    <t>RUA VOLUNTARIOS DA PATRIA 1787 PROXIMO A ESQUINA COM A RUA DARZAN</t>
  </si>
  <si>
    <t>RUA ODERCI BATISTA SOARES PROXIMO DA ESQUINA COM A RUA PEDRO MORCILLA FILHO</t>
  </si>
  <si>
    <t>RUA MAJOR ANGELO ZANCHI ESQUINA COM RUA DOUTOR JOAO RIBEIRO</t>
  </si>
  <si>
    <t>RUA EDGAR DE SOUZA 346 PROXIMO A ESQUINA DA RUA JULIO COLACO</t>
  </si>
  <si>
    <t>AVENIDA CELSO GARCIA ESQUINA COM A RUA DO RETIRO</t>
  </si>
  <si>
    <t>RUA FRIEDRICH VON VOITH 491 DEFRONTE AO POSTO DE BOMBEIROS JARAGUA</t>
  </si>
  <si>
    <t>RUA AGOSTINHO SOARES ESQUINA COM AVENIDA NOVA CANTAREIRA</t>
  </si>
  <si>
    <t>RUA AURORA ESQUINA COM A AVENIDA RIO BRANCO</t>
  </si>
  <si>
    <t>RUA NOVA JERUSALEM ESQUINA COMA RUA PROFESSOR PEDREIRA DE FREITAS</t>
  </si>
  <si>
    <t>RUA DOS RODRIGUES ESQUINA COM RUA VENTURA RANGEL</t>
  </si>
  <si>
    <t>RUA NOEMIA ESQUINA COM A RUA MARIA ZELIA</t>
  </si>
  <si>
    <t>RUA CORONEL BENTO BICUDO ESQUINA COM AVENIDA PAULA FERREIRA</t>
  </si>
  <si>
    <t>RUA VISCONDE DE PELOTAS ESQUINA COM A RUA CURUPATTI</t>
  </si>
  <si>
    <t>RUA COTOXO ESQUINA COM A RUA MINISTRO FERREIRA ALVES</t>
  </si>
  <si>
    <t>RUA DOUTOR JOSE RODRIGUES ALVES SOBRINHO ESQUINA AVENIDA ARRUDA BOTELHO</t>
  </si>
  <si>
    <t>LARGO PAISSANDU 132</t>
  </si>
  <si>
    <t>RUA JOSE ALVES CUNHA LINHA ESQUINA COM A AVENIDA RIO PEQUENO</t>
  </si>
  <si>
    <t>RUA JOSE DAMACENO ESQUINA COM A RUA JOSE MAURO MENDONCA</t>
  </si>
  <si>
    <t>RUA FORTUNATO FERAZ ESQUINA COM A RUA BARTOLOMEU BUENO</t>
  </si>
  <si>
    <t>RUA CONSELHEIRO CANDIDO DE OLIVEIRA 92 DEFRONTE A RUA  FORTUNATO FERRAZ</t>
  </si>
  <si>
    <t>RUA JOAO HENRIQUE DA SILVA ESQUINA COM A RUA ALLPAC</t>
  </si>
  <si>
    <t>RUA LORENZO MONACO DEFRONTE A RUA BENEDITO MATARAZZO</t>
  </si>
  <si>
    <t>RUA MIN MOACIR DO AMARAL SANTOS ESQUINA COM A ESTRADA DE ITAPECERICA</t>
  </si>
  <si>
    <t>RUA MAESTRO UMBERTO BASTIGLIA 200 DEFRONTE A RUA TAVAREDE</t>
  </si>
  <si>
    <t>RUA TRES PROXIMO A ESQUINA COM A RUA 6 DEFRONTE AO BLOCO B15</t>
  </si>
  <si>
    <t>RUA JOSE SERRA ESQUINA COM A RUA ESTEVAO FERNANDES</t>
  </si>
  <si>
    <t>AVENIDA SENADOR TEOTONIO VILELA 7900 NA CALCADA DO PB TEOTONIO VILELA</t>
  </si>
  <si>
    <t>JACEGUAVA</t>
  </si>
  <si>
    <t>RUA PROFESSOR VITAL PALMA E SILVA ESQUINA COM A RUA HUNGRIA</t>
  </si>
  <si>
    <t>RUA COMENDADOR ANTUNES DOS SANTOS ESQUINA COM A RUA DOUTOR ENZO SILVEIRA</t>
  </si>
  <si>
    <t>RUA MARIO NEME ESQUINA  COM A RUA ESTRADA DO CAMPO LIMPO</t>
  </si>
  <si>
    <t>RUA EUSEBIO DE PAULA MARCONDES 493 DEFRONTE A RUA PAULO MARANHAO</t>
  </si>
  <si>
    <t>RUA RISKALLAH JORGE ESQUINA COM RUA  CAPITAO MOR JERONIMO LEITAO</t>
  </si>
  <si>
    <t>NO INTERIOR DO PARQUE CERET</t>
  </si>
  <si>
    <t>RUA SAMPSON ESQUINA COM A RUA MENDES JUNIOR</t>
  </si>
  <si>
    <t>RUA BARTOLOMEU PAES ESQUINA COM ARUA JORGE NUNES KEHDI</t>
  </si>
  <si>
    <t>RUA JOSE BORGES DO CANTO EM FRENTE A EMEF</t>
  </si>
  <si>
    <t>RUA ERVA PREA ESQUINA COM A RUA ENGENHEIRO AUGUSTO LACERDA</t>
  </si>
  <si>
    <t>RUA CAPITAO PRUDENTE ESQUINA COM A RUA SAMPAIO VIDAL</t>
  </si>
  <si>
    <t>RUA HENRY FORD 761</t>
  </si>
  <si>
    <t>RUA DOUTOR ARNALDO DE CAMPOS ESQUINA COM A RUA PROFESSOR GIORGIO LEVY</t>
  </si>
  <si>
    <t>RUA MAURO DE ARAUJO RIBEIRO PROXIMO ESQUINA COM A RUA JORGE ANTONIO BENDA</t>
  </si>
  <si>
    <t>RUA SARAPUI ESQUINA COM A AVENIDA  HENRY FORD</t>
  </si>
  <si>
    <t>RUA CLIMACO BARBOSA ESQUINA COM A RUA ESTEFANO</t>
  </si>
  <si>
    <t>RUA RIO DUAS BARRAS 68 ESQUINA COM RUA VILA PRUDENTE</t>
  </si>
  <si>
    <t>RUA SOLDADO JOSE VICENTE DE PAULA ESQUINA RUA CABO BASILIO ZEQUIM JUNIOR</t>
  </si>
  <si>
    <t>ALAMEDA TIETE ESQUINA COM A RUA DOUTOR MELO ALVES</t>
  </si>
  <si>
    <t>RUA FLORENCIO DE ABRREU ESQUINA COM A AVENIDA SENADOR QUEIROZ</t>
  </si>
  <si>
    <t>RUA JOAO TEODORO ESQUINA COM A RUA DUTRA RODRIGUES</t>
  </si>
  <si>
    <t>RUA PAIS DE ARAUJO NO INTERIOR DA TRAVESSA LUCIA ALBERTINA SOARES QUADROS</t>
  </si>
  <si>
    <t>AVENIDA DO ESTADO ESQUINA COM A RUA SAO CAETANO</t>
  </si>
  <si>
    <t>RUA PAULA SOUZA 286 PROXIMO DA ESQUINA COM A RUA BARAO DE DUPRAT</t>
  </si>
  <si>
    <t>RUA BRASILIA ESQUINA COM RUA JOAQUIM FLORIANO</t>
  </si>
  <si>
    <t>RUA DOUTOR SODRE ESQUINA COM AVENIDA SANTO AMARO</t>
  </si>
  <si>
    <t>RUA INHAMBU ESQUINA COM A AVENIDA JOAO CASTALDI</t>
  </si>
  <si>
    <t>RUA MARIA EUGENIA ESQUINA COM A AVENIDA CELSO GARCIA</t>
  </si>
  <si>
    <t>RUA HEITOR BARIANI ESQUINA COM A AVENIDA CELSO GARCIA</t>
  </si>
  <si>
    <t>AVENIDA CELSO GARCIA ESQUINA COM A RUA HENRIQUE SERTORIO</t>
  </si>
  <si>
    <t>INTERIOR DO PARQUE DO IBIRAPUERA</t>
  </si>
  <si>
    <t>RUA FRANCISCA MIQUELINA ESQUINA COM A RUA GENEBRA</t>
  </si>
  <si>
    <t>RUA DEPUTADO FERNANDO FERRARI ESQUINA COM A RUA OUVIDIO JOSE ANTONIO SANTANA</t>
  </si>
  <si>
    <t>RUA TOBIARAS ESQUINA COM A RUA GILDA</t>
  </si>
  <si>
    <t>RUA GELASIO PIMENTA ESQUINA COM A RUA ARATANHA</t>
  </si>
  <si>
    <t>RUA MARQUES DE MARICA  ENFRENTE A ESCADARIA DE ACESSO A VIA ANCHIETA</t>
  </si>
  <si>
    <t>RUA LUTECIA ESQUINA COM A RUA GERALDO CORREA</t>
  </si>
  <si>
    <t>RUA EVANS ESQUINA COM A RUA CUMAI</t>
  </si>
  <si>
    <t>PRACA COSTA LEAO ESQUINA COM A PRACA HAROLDO DALTRO DEFRONTE AO PORTAO DA EMEF</t>
  </si>
  <si>
    <t>AVENIDA DR BENEDITO ESTEVAM DOS SANTOS ESQUINA COM RUA MARIA JOSE BARROSO</t>
  </si>
  <si>
    <t>ALAMEDA DOS TACAUNAS ESQUINA COM AVENIDA ITACIRA</t>
  </si>
  <si>
    <t>RUA MONSENHOR ANDRADE ESQUINA COM A RUA ELIZA WHITAKER</t>
  </si>
  <si>
    <t>RUA VALTER GAZARRA ESQUINA COM A RUA JOSE ALEXANDRE ALMEIDA LUIZ</t>
  </si>
  <si>
    <t>RUA NELLO BINI PROXIMO DA ESQUINA COM A RUA PROFESSOR JOAO DE OLIVEIRA TORRES</t>
  </si>
  <si>
    <t>AVENIDA DOUTOR EDUARDO COTCHING ESQUINA COM A NICOLAU CARVALHO</t>
  </si>
  <si>
    <t>RUA DA PAZ ESQUINA COM A RUA ANTONIO JOSE BORGES</t>
  </si>
  <si>
    <t>AVENIDA PARADA PINTO 3480 NO INTERIOR DO CONDOMINIO VITORIA REGIA II</t>
  </si>
  <si>
    <t>RUA KIOTO ESQUINA COM RUA CANHOEIRA MEARIM</t>
  </si>
  <si>
    <t>RUA CANHONEIRA MEARIM DEFRONTE A BIFURCACAO COM AVENIDA ALBERTO BYINGTON</t>
  </si>
  <si>
    <t>RUA LUIS COELHO ESQUINA COM A RUA AUGUSTA</t>
  </si>
  <si>
    <t>RUA NOSSA SENHORA DA SAUDE PROXIMO DA ESQUINA COM A AVENIDA DO CURSINO</t>
  </si>
  <si>
    <t>RUA VENEZA ESQUINA COM A RUA CONSELHEIRO ZACARIAS</t>
  </si>
  <si>
    <t>RUA CLEMENTE ALVARES ESQUINA COM A RUA NOSSA SENHORA DA LAPA</t>
  </si>
  <si>
    <t>RUA FRANCISCO RIVA ENFRENTE A PRACA</t>
  </si>
  <si>
    <t>RUA AMELIA VANSO MAGNOLI ESQUINA COM A  RUA HENRIQUE MATRAS</t>
  </si>
  <si>
    <t>RUA JAQUES NAUDE ACESSO A AVENIDA BARREIRA GRANDE</t>
  </si>
  <si>
    <t>AVENIDA ENGENHEIRO ARMANDO ARRUDA PEREIRA ESQUINA COM A RUA DAS BICUIBAS</t>
  </si>
  <si>
    <t>RUA RUFINO FERNANDES INIVARRI ESQUINA COM A RUA FREDERICO QUERCIA</t>
  </si>
  <si>
    <t>RUA ANA LINS ESQUINA COM AVENIDA IMIRIM</t>
  </si>
  <si>
    <t>RUA RIO IMBURANA PROXIMO DA ESQUINA COM A RUA VIRGINIA FERNI</t>
  </si>
  <si>
    <t>RUA MANDIORE ESQUINA COM A PRACA DOUTOR LUIZ ANTONIO DE SOUZA PROXIMO A RUA SANTA BATILDE</t>
  </si>
  <si>
    <t>RUA PROFESSOR LEONIDIO ALLEGRETI DEFRONTE A RUA SAO FRANCISCO DO PIAUI</t>
  </si>
  <si>
    <t>RUA DOS BURTIS ESQUINA COM A AVENIDA DOS JEQUITIBAS</t>
  </si>
  <si>
    <t>RUA CASSUARINAS 96 TRAVESSA RUA PARTICULAR FECHADA NO FINAL DELA</t>
  </si>
  <si>
    <t>AVENIDA RAGUEB CHOHFI 2146</t>
  </si>
  <si>
    <t>RUA BENVINDA APARECIDA DE ABREU LEME 105</t>
  </si>
  <si>
    <t>RUA APOSTOLO ANDRE  ESQUINA COM A RUA EDUARDO SANCHES</t>
  </si>
  <si>
    <t>AVENIDA ARQUITETO VILA NOVA ARTIGAS EM FRENTE AO POSTO DE BOMBEIROS SAPOPEMBA</t>
  </si>
  <si>
    <t>RUA LIRIO DO VALE PROXIMO A RUA FLOR DA MADRUGADA</t>
  </si>
  <si>
    <t>RUA CORONEL ANTONIO MARCELO ESQUINA COM A RUA DO HIPODROMO</t>
  </si>
  <si>
    <t>RUA FERNANDO FALCAO ESQUINA COM A RUA DO ORATORIO</t>
  </si>
  <si>
    <t>RUA MAJOR OTAVIANO ESQUINA COM A RUA VISCONDE DE PARNAIBA</t>
  </si>
  <si>
    <t>RUA GONCALVES CRESPO PROXIMO A ESQUINA COM A RUA ALMIRANTE CALHEIROSZ</t>
  </si>
  <si>
    <t>RUA BORGES FIGUEIREDO ESQUINA COM A RUA VISCONDE DE INHOMERIM</t>
  </si>
  <si>
    <t>RUA PEDRO TALARICO ESQUINA COM A RUA OLGA MARINOVIC DORO</t>
  </si>
  <si>
    <t>RUA SAO LEOTELIO ESQUINA COM A RUA CRISPIM DUARTE</t>
  </si>
  <si>
    <t>RUA MARINS DOS CAETES</t>
  </si>
  <si>
    <t>RUA SONHO GAUCHO ESQUINA COM AVENIDA AGUIA DE HAIA</t>
  </si>
  <si>
    <t>RUA ALONSO CALHAMARES PROXIMO A RUA ARMINDO GUARANA</t>
  </si>
  <si>
    <t>AVENIDA GUILHERME COTCHING ESQUINA COM PRACA SANTO ANASTACIO</t>
  </si>
  <si>
    <t>RUA RICARDO VILELA ESQUINA COM RUA MAJOR ALBERTO BARBOSA</t>
  </si>
  <si>
    <t>RUA IRAPUCARA 287 PROXIMO A ESQUINA COM A  RUA SANTO ANTERO</t>
  </si>
  <si>
    <t>RUA CAPITAO JOSE LEITE ESQUINA COM RUA SEBASTIAO DE ANDRADE</t>
  </si>
  <si>
    <t>RUA LIBERO BADARO ESQUINA COM A RUA JOSE BONIFACIO</t>
  </si>
  <si>
    <t>RUA GIUSEPPE TARTINI 15 NO INTERIOR DO RESIDENCIAL PALMARES</t>
  </si>
  <si>
    <t>RUA PENALVA ENTRE A PRACA HORACIO SABINO E RUA MIRANDA MONTEIRO</t>
  </si>
  <si>
    <t>RUA AMBUAS 95</t>
  </si>
  <si>
    <t>RUA DESEMBARGADOR DO VALE ESQUINA COM A RUA DIANA</t>
  </si>
  <si>
    <t>PRACA GENERAL OLIVEIRA ALVARES 1107 PROXIMA A ESQUINA COM A RUA ABEGOARIA</t>
  </si>
  <si>
    <t>RUA DA CONSOLACAO 2518 PROXIMO A ESQUINA COM A RUA VINICIUS DE MORAES</t>
  </si>
  <si>
    <t>RUA PEIXOTO GOMIDE ESQUINA COM A RUA FREI CANECA</t>
  </si>
  <si>
    <t>RUA MADRE MARIA ANGELICA RESENDE ESQUINA COM A RUA BERNARDA LUIS</t>
  </si>
  <si>
    <t>AVENIDA INTERLAGOS 492 NO INTERIOR DO CONDOMINIO PARQUE MARAJOARA</t>
  </si>
  <si>
    <t>RUA HERCULANO DE FREITAS ESQUINA COM A RUA PEIXOTO GOMIDE</t>
  </si>
  <si>
    <t>RUA PEIXOTO GOMIDE ESQUINA COM A RUA BARATA RIBEIRO</t>
  </si>
  <si>
    <t>RUA DONA ANTONIA DE QUEIROS 218 NO INTERIOR DO PREDIO DA SABESP</t>
  </si>
  <si>
    <t>RUA FORTALEZA ESQUINA COM A RUA RUI BARBOSA</t>
  </si>
  <si>
    <t>RUA MINISTRO LINS DE BARROS DEFRONTE A RUA DOUTOR FRANCISCO EUGENIO DO AMARAL</t>
  </si>
  <si>
    <t>RUA AGENOR ALVES MEIRA 1 ESQUINA COM AVENIDA GENERAL PENHA BRASIL</t>
  </si>
  <si>
    <t>RUA GOULART DE ANDRADE 56</t>
  </si>
  <si>
    <t>RUA ARLINDO BETTIO NO FINAL DA RUA SEM SAIDA</t>
  </si>
  <si>
    <t>TRAVESSA ERASMOS LAPICIDA ESQUINA COM A ESTRADA DA CACHOEIRA</t>
  </si>
  <si>
    <t>RUA FRANCISCO PEDROSO DE TOLEDO ESQUINA COM A RUA EUGENIO BELLOTO</t>
  </si>
  <si>
    <t>RUA  GIUSEPPE CRESPI 8 ESQUINA COM A RUA OLYMPIA SEMERO</t>
  </si>
  <si>
    <t>RUA VOLUNTARIOS DA PATRIA ESQUINA COM RUA AUGUSTO TOLLE</t>
  </si>
  <si>
    <t>ESTRADA DE TAIPAS 3828 PROXIMO A RUA FLIPE CLEMENTI</t>
  </si>
  <si>
    <t>AVENIDA AMADOR AGUIAR PROXIMO DA ESQUINA DA ESTRADA DO CORREDOR</t>
  </si>
  <si>
    <t>AVENIDA DO ANASTACIO 2421 NO INTERIOR DO PREDIO DA SABESP</t>
  </si>
  <si>
    <t>AVENIDA JOSE MARIA FERNANDES ESQUINA COM A RUA CABO JOSE DA SILVA</t>
  </si>
  <si>
    <t>NO INTERIOR DA FAVELA DO MOINHO ENTRADA PELA RUA DOUTOR ELIAS CHAVES PASSANDO OS TRILHOS DO TREM VIRAR A SEGUNDA VIELA A DIREITA NO INTERIOR</t>
  </si>
  <si>
    <t>ALAMEDA DOS GUARAMOMIS ESQUINA COM AVENIDA MIRUNA</t>
  </si>
  <si>
    <t>RUA ELEONORA CINTRA 1216 GRADE DO PARQUE</t>
  </si>
  <si>
    <t>RUA ITAPURA PROXIMO A RUA SANTE COLOMBARA</t>
  </si>
  <si>
    <t>RUA QUINTINO BOCAIUVA ESQUINA COM A RUA SENADOR FEIJO</t>
  </si>
  <si>
    <t>RUA MAJOR BOAVENTURA ESQUINA COM RUA FERNANDES PEREIRA</t>
  </si>
  <si>
    <t>RUA BENJAMIM CONSTANT  LARGO SAO FRANCISCO ESQUINA COM A RUA SENADOR PAULO EGIDIOZ</t>
  </si>
  <si>
    <t>RUA QUINZE DE NOVEMBRO 233  EM FRENTE AO BANCO BRADESCO</t>
  </si>
  <si>
    <t>RUA DO TESOURO ESQUINA COM A RUA QUINZE DE NOVEMBRO</t>
  </si>
  <si>
    <t>TRAVESSA FRANCISCO VINAS NO FINAL DA RUA</t>
  </si>
  <si>
    <t>RUA MANOEL BRAS FILHO ESQUINA COM A RUA SARGENTO IGUATEMI AZEVEDO</t>
  </si>
  <si>
    <t>RUA JAGUARIBE ESQUINA COM RUA DONA VERIDIANA</t>
  </si>
  <si>
    <t>RUA MELO PEIXOTO ESQUINA COM RUA VILELA</t>
  </si>
  <si>
    <t>RUA DOUTOR LUIS BARRETO ESQUINA COM A RUA SAO VICENTE</t>
  </si>
  <si>
    <t>RUA VISCONDE DE TAUNAY 627</t>
  </si>
  <si>
    <t>RUA DO LEAO DENTRO DO PARQUE IBIRAPUERA</t>
  </si>
  <si>
    <t>ESTRADA DE MOGI DAS CRUZES ESQUINA COM A AVENIDA AGUIA DE HAIA</t>
  </si>
  <si>
    <t>AVENIDA LEAO MACHADO NO INTERIOR DO PREDIO DA SABESP   BICA DE ENCHIMENTO RAPIDO</t>
  </si>
  <si>
    <t>RUA SARGENTO IGUATEMI AZEVEDO ESQUINA COM A RUA BEATRIZ DIAS</t>
  </si>
  <si>
    <t>RUA WERNER VON SIEMENS ESQUINA COM A RUA MARINA CIUFULLI ZANFELICE</t>
  </si>
  <si>
    <t>AVENIDA REBOUCAS EM FRENTE AO SHOPPING ELDORADO</t>
  </si>
  <si>
    <t>RUA PARAMU 716  SABESP BICO DE ENCHIMENTO RAPIDO</t>
  </si>
  <si>
    <t>RUA HENRIQUE SCHAUMANN PROXIMO A ESQUINA COM A  RUA ARTUR DE AZEVEDO</t>
  </si>
  <si>
    <t>AVENIDA AGUIA DE HAIA ESQUINA COM A PASSAGEM NOVE</t>
  </si>
  <si>
    <t>RUA RIO BONITO ESQUINA COM A RUA CORONEL SILVA GOMES</t>
  </si>
  <si>
    <t>RUA SANTA CATARINA ESQUINA COM RUA SANTA VIRGINIA</t>
  </si>
  <si>
    <t>AVENIDA OLAVO FONTOURA VIA INTERIOR DO ANHEMBI PROXIMO AO PORTAO 38</t>
  </si>
  <si>
    <t>RUA TAMANAS PROXIMO DA ESQUINA COM A RUA DOS MIRANHAS</t>
  </si>
  <si>
    <t>ALAMEDA BARAO DE PIRACICABA AO LADO DO POSTO DE BOMBEIRO CAMPOS ELISEOS</t>
  </si>
  <si>
    <t>ALAMEDA SANTOS ESQUINA COM A ALAMEDA CASA BRANCA</t>
  </si>
  <si>
    <t>RUA SANTO ANTONIO ESQUINA COM A RUA SAO VICENTE</t>
  </si>
  <si>
    <t>RUA CARLOS DE SOUSA NAZARE ESQUINA COM A RUA VINTE E CINCO DE MARCO</t>
  </si>
  <si>
    <t>AVENIDA DOS TANQUES ESQUINA COM A RUA GLUCINIO</t>
  </si>
  <si>
    <t>RUA HADDOCK LOBO ESQUINA COM ALAMEDA SANTOS</t>
  </si>
  <si>
    <t>AVENIDA PEDROSO DE MORAIS ESQUINA COM A RUA MORAIS</t>
  </si>
  <si>
    <t>AVENIDA JABAQUARA DEFRONTE A RUA PAN AMERICA</t>
  </si>
  <si>
    <t>ALAMEDA JAU PROXIMO DA ESQUINA COM A RUA AUGUSTA</t>
  </si>
  <si>
    <t>RUA TEODORO SAMPAIO 90 DEFRONTE A FACULDADE DE MEDICINA</t>
  </si>
  <si>
    <t>RUA DATILEIRA 148 DEFRONTE A VIELA NOVE</t>
  </si>
  <si>
    <t>RUA FRANCISCO PRETO ENTRE A RUA FREI BONIFACIO DUX E RUA PANONIA</t>
  </si>
  <si>
    <t>RUA PRESGRAVE DO AMARAL 636 NO INTERIOR DO PREDIO DA SABESP</t>
  </si>
  <si>
    <t xml:space="preserve">RUA MAJOR PALADINO 196 NO INTERIOR DO PREDIO DA SABESP </t>
  </si>
  <si>
    <t>RUA CORONEL FRANCISCO AMARO ESQUINA COM A AVENIDA RANGEL PESTANA</t>
  </si>
  <si>
    <t>RUA PIRATININGA ESQUINA COM A RUA CAMPO SALES</t>
  </si>
  <si>
    <t>RUA ROBERTO GARCIA MORILLO PROXIMO DA ESQUINA COM A RUA RICARDO DA COSTA</t>
  </si>
  <si>
    <t>AVENIDA CELSO GARCIA ESQUINA COM RUA ANTONIO  MARCEDO</t>
  </si>
  <si>
    <t>RUA ANTONIO DE BARROS ESQUINA COM O LARGO SAO JOSE DO MARANHAO</t>
  </si>
  <si>
    <t>RUA CANNA ESQUINA COM A RUA ALCATRAZES</t>
  </si>
  <si>
    <t>ESTRADA SAO PAULO JUNDIAI PROXIMO A ESQUINA COM A RUA FREI MARCOS DE LISBOA</t>
  </si>
  <si>
    <t>AVENIDA ENGENHEIRO ARMANDO DE ARRUDA PEREIRA ESQUINA COM A RUA BOTELHO</t>
  </si>
  <si>
    <t>PRACA DAS PROFESSORAS PROXIMA AVENIDA CAMPANELLA</t>
  </si>
  <si>
    <t>RUA PAIM 108</t>
  </si>
  <si>
    <t>AVENIDA NOVE DE JULHO ESQUINA COM A RUA BARATA RIBEIRO</t>
  </si>
  <si>
    <t>RUA PLATINA ESQUINA COM RUA APUCARANA</t>
  </si>
  <si>
    <t>RUA ANTONIO DE BARROS ESQUINA COM A  AVENIDA CELSO GARCIA</t>
  </si>
  <si>
    <t>ALAMEDA DOS ANAPURUS ESQUINA COM A AVENIDA DOS IMARES     SABESP    BICA DE ENCHIMENTO RAPIDO</t>
  </si>
  <si>
    <t>AVENIDA CANGAIBA 4189 NO INTERIOR DA SABESP ANTIGO PB CANGAIBA</t>
  </si>
  <si>
    <t>RUA PAULA SOUSA 208</t>
  </si>
  <si>
    <t>RUA GENERAL OSORIO PROXIMO A ESQUINA COM A AVENIDA RIO BRANCO</t>
  </si>
  <si>
    <t>RUA MAUA ESQUINA COM A ZVIELA AGUIAR ANDRADE</t>
  </si>
  <si>
    <t>AVENIDA PROFESSOR FRANCISCO MORATO PROXIMO A ESQUINA COM A AVENIDA JORGE JOAO SAAD ESTACAO MORUMBI DO METRO</t>
  </si>
  <si>
    <t>AVENIDA ITABERABA 166 NO INTERIO DO PREDIO DA SABESP</t>
  </si>
  <si>
    <t>RUA SARA KUBITSCHECK ESQUINA COM A  RUA CAVALEIRO DE JORGE</t>
  </si>
  <si>
    <t>AVENIDA MORUMBI ESQUINA COM A RUA  PADRE LEBRET</t>
  </si>
  <si>
    <t>RUA ROMA ESQUINA COM A RUA SCIPIAO</t>
  </si>
  <si>
    <t xml:space="preserve">RUA ANTONIO CARLOS MINGUES LOPES DEFRONTE COM  A RUA CACHOEIRA DO SOL </t>
  </si>
  <si>
    <t>RUA CARDOSO DE ALMEIDA ESQUINA COM A RUA CAIUBI</t>
  </si>
  <si>
    <t>IMAGEM_QRCODE</t>
  </si>
  <si>
    <t>REGIAO</t>
  </si>
  <si>
    <t>DISTRITO</t>
  </si>
  <si>
    <t>END</t>
  </si>
  <si>
    <t>_2021</t>
  </si>
  <si>
    <t>_2022</t>
  </si>
  <si>
    <t>_2023</t>
  </si>
  <si>
    <t>_2024</t>
  </si>
  <si>
    <t>_2025</t>
  </si>
  <si>
    <t>RUA OSEAS GOMES DE OLIVEIRA 1000</t>
  </si>
  <si>
    <t>CENTRO</t>
  </si>
  <si>
    <t>RUA VICTOR AYROSA ESQUINA COM A RUA TAPAJOS</t>
  </si>
  <si>
    <t>RUA DOUTOR PEDRO SEVERIANO PROXIMO A ESQUINA COM A PRACA DONATELLO</t>
  </si>
  <si>
    <t>RUA MARTIN FRANCISCO ESQUINA COM A RUA MARQUES DE ITU</t>
  </si>
  <si>
    <t>RUA TOPAZIO ESQUINA COM A PRACA GENERAL POLIDOR</t>
  </si>
  <si>
    <t>RUA LOUREIRO DA CRUZ ESQUINA COM A RUA RODRIGO CLAUDIO</t>
  </si>
  <si>
    <t>RUA SCUVERO ESQUINA COM A RUA DIOGO VAZ</t>
  </si>
  <si>
    <t>RUA JAMES HOLLAND ESQUINA COM A RUA CRUZEIRO</t>
  </si>
  <si>
    <t>RUA HELVETIA ESQUINA COM A ALAMEDA BARAO DE PIRACICABA</t>
  </si>
  <si>
    <t>LESTE</t>
  </si>
  <si>
    <t>AVENIDA PROFESSOR EDGAR SANTOS 514</t>
  </si>
  <si>
    <t>AVENIDA ANTONIO ESTEVAO DE CARVALHO ESQUINA COM A RUA ARTUR ALVIM</t>
  </si>
  <si>
    <t>RUA MARQUES DE ABRANTES ESQUINA COM A AVENIDA CELSO GARCIA</t>
  </si>
  <si>
    <t>RUA DOMINGOS PAIVA NO INTERIOR DO TERMINAL DE ACESSO A ESTACAO BRAS DO METRO</t>
  </si>
  <si>
    <t>RUA CORONEL MURSA ESQUINA COM A RUA MARTIM BURCHARD</t>
  </si>
  <si>
    <t>RUA ORIENTE ESQUINA COM A RUA BARAO DE LADARIO</t>
  </si>
  <si>
    <t>RUA BARAO DE LADARIO ESQUINA COM A RUA ORIENTE</t>
  </si>
  <si>
    <t>RUA MONSENHOR DE ANDRADE ESQUINA COM A RUA HENRIQUE DIAS</t>
  </si>
  <si>
    <t>RUA HENRIQUE DIAS ESQUINA COM A RUA BARAO DE LADARIO</t>
  </si>
  <si>
    <t>RUA JOAO TEODORO ESQUINA COM A RUA MILLER</t>
  </si>
  <si>
    <t>CANGAIBA</t>
  </si>
  <si>
    <t>CARRÃO</t>
  </si>
  <si>
    <t>AVENIDA CONSELHEIRO CARRAO ESQUINA COM A RUA NUNES BALBOA</t>
  </si>
  <si>
    <t>RUA ORDENACOES ESQUINA COM A RUA SAO VALENTIM</t>
  </si>
  <si>
    <t>CIDADE LIDER</t>
  </si>
  <si>
    <t>RUA INACIO MONTEIRO ESQUINA COM A RUA ALEXANDRE DAVIDENKO</t>
  </si>
  <si>
    <t>RUA REINADO DO CAVALO MARINHO ESQUINA COM A RUA CACHOEIRA DAS GARCAS</t>
  </si>
  <si>
    <t>RUA SENADOR NELSON CARNEIRO 539</t>
  </si>
  <si>
    <t>RUA IGARAPE DA MISSAO DEFRONTE A RUA IGARAPE DO FRADE</t>
  </si>
  <si>
    <t>RUA CACHOEIRA DAS JANGADAS ESQUINA COM A RUA ARROI SANTO ANTONIO</t>
  </si>
  <si>
    <t>RUA IGARAPE DA BELA AURORA ESQUINA COM A RUA ARROIO SANTO ANTONIO</t>
  </si>
  <si>
    <t>RUA IGARAPE AGUIA AZUL1192 EM FRENTE A EMEF</t>
  </si>
  <si>
    <t>RUA ARROIO ARAPONGAS 45 PROXIMO A TRAVESSA ELIZABETH SEGUIN</t>
  </si>
  <si>
    <t>RUA CORACAO DE MACA ESQUINA COM A RUA SARA KUBITSCHECK</t>
  </si>
  <si>
    <t>RUA ANTONIO CARLOS MINGUES LOPES PROXIMO A ESQUINA COM A RUA WILSON FERNANDO S CARVALHO</t>
  </si>
  <si>
    <t>RUA DONA ELOA DO VALLE QUADROS PROXIMO DA ESQUINA COM A RUA DOS COGUMELOS</t>
  </si>
  <si>
    <t>AVENIDA RAGHEB CHOHFI 2156 PROXIMO DA ESQUINA COM A RUA BARAO CARVALHO DO AMPARO</t>
  </si>
  <si>
    <t>RUA FRANCISCO JOSE VIANA DEFRONTE A RUA JOSE AMATO</t>
  </si>
  <si>
    <t>RUA MOISES DE CORENA 1584 ESQUINA COM A RUA EDUARDO SANCHES</t>
  </si>
  <si>
    <t>RUA DA LAGOA DE ESMORIZ ESQUINA COM A RUA TORRE DE SANTIAGO</t>
  </si>
  <si>
    <t>RUA RAPOSO DA FONSECA ESQUINA COM A RUA LORENZO SABATINI</t>
  </si>
  <si>
    <t>RUA ANTONIO VIEIRA DE LIMA DEFRONTE A AVENIDA ANASTACIO TRANCOSO</t>
  </si>
  <si>
    <t>RUA ITAJUIBE ESQUINA COM A RUA DOMINGOS DE MARTINS PACHECO</t>
  </si>
  <si>
    <t>RUA JOAO CARLOS LEITE PENTEADO 40 PROXIMO A ESQUINA COM A RUA TIBURCIO DE SOUSA</t>
  </si>
  <si>
    <t>AVENIDA AGUIA DE HAIA 3310</t>
  </si>
  <si>
    <t>RUA AGRIMENSOR SUGAYA ESQUINA COM A RUA MATASHIRO YAMAGUISHI</t>
  </si>
  <si>
    <t>RUA TOMOICHI SHIMIZU 457</t>
  </si>
  <si>
    <t>RUA VIRGINA FERNI 1056 NO INTERIOR DA SABESP   BICA DE ENCHIMENTO RAPIDO</t>
  </si>
  <si>
    <t>RUA HIPODROMO ESQUINA COM A RUA FREI GASPAR</t>
  </si>
  <si>
    <t>RUA DOUTOR ALMEIDA LIMA DEFRONTE A RUA FREI GASPAR</t>
  </si>
  <si>
    <t>RUA JOAO ANTONIO DE OLIVEIRA 869</t>
  </si>
  <si>
    <t>RUA VISCONDE DE CAIRU ESQUINA COM A RUA CANUTO SARAIVA</t>
  </si>
  <si>
    <t>RUA ARARIBOIA ESQUINA COM A RUA ADELAIDE DE FREITAS</t>
  </si>
  <si>
    <t>RUA THIERS ESQUINA COM A RUA CONSELHEIRO DANTAS</t>
  </si>
  <si>
    <t>RUA IOSOSUKE OKAUE 463</t>
  </si>
  <si>
    <t>RUA PADRE BENEDITO DE CAMARGO ESQUINA COM A RUA FREI GERMANO</t>
  </si>
  <si>
    <t>SÃO LUCAS</t>
  </si>
  <si>
    <t>RUA COSTA BARROS 2000 NO INTERIOR DO CONDOMINIO DEFRONTE AO BLOCO 3</t>
  </si>
  <si>
    <t>SÃO MIGUEL</t>
  </si>
  <si>
    <t>SÃO RAFAEL</t>
  </si>
  <si>
    <t>SAPOPEMBA</t>
  </si>
  <si>
    <t>RUA PITANGUI ESQUINA COM A RUA TUIUTI</t>
  </si>
  <si>
    <t>VILA PRUDENTE</t>
  </si>
  <si>
    <t>RUA INDAIA ESQUINA COM A RUA ITAMAMBUCA</t>
  </si>
  <si>
    <t>NORTE</t>
  </si>
  <si>
    <t>ANHANGUERA</t>
  </si>
  <si>
    <t>AVENIDA DEPUTADO CANTIDIO SAMPAIO 867 DEFRONTE A RUA SPENCER VAMPRE</t>
  </si>
  <si>
    <t>VILA TEREZINHA</t>
  </si>
  <si>
    <t>AVENIDA DEPUTADO CANTIDIO SAMPAIO 3585 ESQUINA COM A VIELA UM</t>
  </si>
  <si>
    <t>AVENIDA GENERAL PENHA BRASIL ESQUINA COM RUA JOSE PEDRO D ORO</t>
  </si>
  <si>
    <t>RUA REIMS DEFRONTE A RUA MARECHAL XAVIER DA CAMARA</t>
  </si>
  <si>
    <t>RUA ZANZIBAR ESQUINA COM A RUA DO HAVRE</t>
  </si>
  <si>
    <t>AVENIDA BRAZ LEME ESQUINA COM A RUA DOMINGOS FASOLARI</t>
  </si>
  <si>
    <t>RUA HORACIO VERGUEIRO RUDGE ESQUINA COM A RUA ZANZIBAR</t>
  </si>
  <si>
    <t>RUA SAMARITA ESQUINA COM A TRAVESSA VICTORIO GNAN</t>
  </si>
  <si>
    <t>JARAGUÁ</t>
  </si>
  <si>
    <t>AVENIDA JERIMANDUBA DEFRONTE A RUA CARBONO</t>
  </si>
  <si>
    <t>RUA XILITA NO INTERIOR DA SABESP</t>
  </si>
  <si>
    <t>RUA PAULO ARENTINO ESQUINA COM A RUA LOURENCO MATIELLI</t>
  </si>
  <si>
    <t>AVENIDA PROFESSOR CELESTINO BOURROUL ESQUINA COM A RUA AMADEU DANIELI FILHO</t>
  </si>
  <si>
    <t>RUA JOSE SORIANO DE SOUZA 297  NO INTERIOR DO PREDIO DA SABESP BICA DE ENCHIMENTO RAPIDO</t>
  </si>
  <si>
    <t>AVENIDA DOUTOR FRANCISCO RANIERI PROXIMO DA ESQUINA COM A RUA PROFESSOR DORIVAL DIAS MINHOTO</t>
  </si>
  <si>
    <t>RUA FRANCISCO DE BRITO DEFRONTE A RUA MONTESANO</t>
  </si>
  <si>
    <t>AVENIDA MAESTRO VILLA LOBOS ESQUINA COM A AVENIDA CONTE ANTONIO PAIVA SAMPAIO   NO INTERIOR DO PREDIO DA SABESP         BICA DE ENCHIMENTO RAPIDO</t>
  </si>
  <si>
    <t>RUA PRAINHA 227 NO INTERIOR DA SABESP POLO MANUTENCAO VILA MARIA</t>
  </si>
  <si>
    <t>AVENIDA NADIR DIAS DE FIGUEIREDO 336</t>
  </si>
  <si>
    <t>RUA SAO TEOFILO 840 NO INTERIOR DA SABEP BICA DE ENCHIMENTO RAPIDO</t>
  </si>
  <si>
    <t>OESTE</t>
  </si>
  <si>
    <t>RUA MARCOS MELECA 150 NO INTERIOR DO CONDOMINIO ALAMEDA DOS PINHEIROS DEFRONTE AO EDIFICIO CISALPINA ARAUCARIA</t>
  </si>
  <si>
    <t>PRACA JOSE MARIA ARBES DEFRONTE AO EDIFICIO IPE</t>
  </si>
  <si>
    <t>RUA PIRAJUSSARA ESQUINA COM A RUA AGOSTINHO CANTU</t>
  </si>
  <si>
    <t>RUA AUGUSTO FARINA 976</t>
  </si>
  <si>
    <t>ITAIM BIBI</t>
  </si>
  <si>
    <t>RUA KANSAS ESQUINA COM A RUA SANTA VERONICA</t>
  </si>
  <si>
    <t>JAGUARA</t>
  </si>
  <si>
    <t>AVENIDA MARECHAL MARIO GUEDES 81</t>
  </si>
  <si>
    <t>AVENIDA CORIFEU DE AZEVEDO MARQUES ESQUINA COM A AVENIDA PRESIDENTE ALTINO</t>
  </si>
  <si>
    <t>JARDIM PAULISTA</t>
  </si>
  <si>
    <t>RUA AFONSO SARDINHA 214</t>
  </si>
  <si>
    <t>RUA JOAQUIM ANTUNES PROXIMO A ESQUINA COM A AVENIDA REBOUCAS</t>
  </si>
  <si>
    <t>RUA WISARD ESQUINA COM A RUA MOURATO COELHO</t>
  </si>
  <si>
    <t>RUA SAVERIO QUADRIO PROXIMO DA ESQUINA COM A RUA EMIL BOHN</t>
  </si>
  <si>
    <t>RUA MIGUEL ARNAUDAS 361</t>
  </si>
  <si>
    <t>RUA EUDORO LINCOLN BERLINK NA ESQUINA COM A RUA ADHERBAL STRESSER</t>
  </si>
  <si>
    <t>AVENIDA WALDEMAR ROBERTO 787 PROXIMO A TRAVESSA MARIA ADELIA DE SOUZA</t>
  </si>
  <si>
    <t>AVENIDA DOUTOR GASTAO VIDIGAL 1946 AO LADO DO PORTAO DE ENTRADA DO CEAGESP</t>
  </si>
  <si>
    <t>NO INTERIOR DO CEAGESP NA CALCADA DO PAVILHAO HFN</t>
  </si>
  <si>
    <t>NO INTERIOR DO CEAGESP NA CALCADA DO PAVILHAO HFO</t>
  </si>
  <si>
    <t>SUL</t>
  </si>
  <si>
    <t>RUA GEORGIA ESQUINA COM A AVENIDA SANTO AMARO</t>
  </si>
  <si>
    <t>AVENIDA SANTO AMARO ESQUINA COM A RUA PASCAL</t>
  </si>
  <si>
    <t>AVENIDA DAS NACOES UNIDAS ESQUINA COM A AVENIDA OCTALLES MARCONDES FERREIRA</t>
  </si>
  <si>
    <t>AVENIDA NOSSA SENHORA DO SABARA ESQUINA COM A RUA FREI CANISIO</t>
  </si>
  <si>
    <t>RUA RAUL DOS SANTOS MACHADO 25 DEFRONTE AO CONDOMINIO VILA ARBORI ALEGRIA</t>
  </si>
  <si>
    <t>RUA LUIZ BIANCONI NO FINAL DA RUA</t>
  </si>
  <si>
    <t>RUA TERRA DE PORTUCALENSE 624</t>
  </si>
  <si>
    <t>TRAVESSA ALCIDES PEREIRA DOS SANTOS DEFRONTE A TRAVESSA ANTONIO FIRMINO MONTEIRO</t>
  </si>
  <si>
    <t>CIDADE ADEMAR</t>
  </si>
  <si>
    <t>CIDADE DUTRA</t>
  </si>
  <si>
    <t>CURSINO</t>
  </si>
  <si>
    <t>NO INTERIOR DO MUSEU DO IPIRANGA AO LADO DO PREDIO PRINCIPAL NA SAIDA DA AVENIDA NAZARE</t>
  </si>
  <si>
    <t>RUA ANTONIO DE SENA 80  NO INTERIOR DO PREDIO DA SABESP  BICA DE ENCHIMENTO RAPIDO</t>
  </si>
  <si>
    <t>PRACA DOS CARTOGRAFOS ENTRE AS RUAS ANTONIO CARNEIRO E RUA ADELINO DE MAGALHAES</t>
  </si>
  <si>
    <t>RUA DO SABIA  PARQUE DO IBIRAPUERA</t>
  </si>
  <si>
    <t>RUA DO LEAO</t>
  </si>
  <si>
    <t>RUA DO LEAO PARQUE IBIRAPUERA</t>
  </si>
  <si>
    <t>RUA DO SABIA NO INTERIOR DO PARQUE DO IBIRAPUERA</t>
  </si>
  <si>
    <t>NO INTERIOR DO PARQUE DO IBIRAPUERA PROXIMO A PRACA DA PAZ SEM REFRENCIAS MAIORES</t>
  </si>
  <si>
    <t>AVENIDA REPUBLICA DO LIBANO ESQUINA COM A RUA LIMA BARROS</t>
  </si>
  <si>
    <t>AVENIDA ANTONIO JOAQUIM DE MOURA ANDRADE ESQUINA COM A RUA COLATINO MARQUES</t>
  </si>
  <si>
    <t>RUA DOUTORA NISE DA SILVEIRA DEFRONTE A RUA MABEL NORMANDO</t>
  </si>
  <si>
    <t>ESTRADA ENGENHEIRO MARCILAC 4070 ESQUINA COM A RUA LIDIA SCHMIDT</t>
  </si>
  <si>
    <t>SOCORRO</t>
  </si>
  <si>
    <t>VILA ANDRADE</t>
  </si>
  <si>
    <t>RUA DOUTOR LUIZ MIGLIANO PROXIMO DA ESQUINA COM A RUA SAMIA HADDAD</t>
  </si>
  <si>
    <t>RUA JOSE DO PATROCINIO ESQUINA COM A RUA PAULA NEY</t>
  </si>
  <si>
    <t>AVENIDA CONSELHEIRO RODRIGUES ALVES ESQUINA COM A RUA RIO GRANDE</t>
  </si>
  <si>
    <t>RUA DOMINGOS DE MORAIS 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</si>
</sst>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B11" sqref="B11"/>
    </sheetView>
  </sheetViews>
  <sheetFormatPr defaultRowHeight="15"/>
  <cols>
    <col min="1" max="1" width="10.7109375" customWidth="1"/>
    <col min="2" max="2" width="11.7109375" customWidth="1"/>
    <col min="3" max="3" width="20.7109375" customWidth="1"/>
    <col min="4" max="4" width="10.7109375" customWidth="1"/>
    <col min="5" max="5" width="11.7109375" customWidth="1"/>
    <col min="6" max="6" width="7.7109375" customWidth="1"/>
    <col min="7" max="7" width="100.7109375" customWidth="1"/>
    <col min="8" max="8" width="30.7109375" customWidth="1"/>
    <col min="9" max="9" width="10.7109375" customWidth="1"/>
    <col min="10" max="11" width="5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tr">
        <f>HYPERLINK("http://bombeiros.sp.gov.br/hidrantes/03individual/891.html","891")</f>
        <v>891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1:11">
      <c r="A3" t="str">
        <f>HYPERLINK("http://bombeiros.sp.gov.br/hidrantes/03individual/1982.html","1982")</f>
        <v>1982</v>
      </c>
      <c r="B3" t="s">
        <v>11</v>
      </c>
      <c r="C3" t="s">
        <v>21</v>
      </c>
      <c r="D3" t="s">
        <v>13</v>
      </c>
      <c r="E3" t="s">
        <v>14</v>
      </c>
      <c r="F3" t="s">
        <v>15</v>
      </c>
      <c r="G3" t="s">
        <v>22</v>
      </c>
      <c r="H3" t="s">
        <v>17</v>
      </c>
      <c r="I3" t="s">
        <v>23</v>
      </c>
      <c r="J3" t="s">
        <v>19</v>
      </c>
      <c r="K3" t="s">
        <v>20</v>
      </c>
    </row>
    <row r="4" spans="1:11">
      <c r="A4" t="str">
        <f>HYPERLINK("http://bombeiros.sp.gov.br/hidrantes/03individual/2984.html","2984")</f>
        <v>2984</v>
      </c>
      <c r="B4" t="s">
        <v>11</v>
      </c>
      <c r="C4" t="s">
        <v>21</v>
      </c>
      <c r="D4" t="s">
        <v>13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</row>
    <row r="5" spans="1:11">
      <c r="A5" t="str">
        <f>HYPERLINK("http://bombeiros.sp.gov.br/hidrantes/03individual/2999.html","2999")</f>
        <v>2999</v>
      </c>
      <c r="B5" t="s">
        <v>11</v>
      </c>
      <c r="C5" t="s">
        <v>12</v>
      </c>
      <c r="D5" t="s">
        <v>13</v>
      </c>
      <c r="E5" t="s">
        <v>24</v>
      </c>
      <c r="F5" t="s">
        <v>25</v>
      </c>
      <c r="G5" t="s">
        <v>31</v>
      </c>
      <c r="H5" t="s">
        <v>32</v>
      </c>
      <c r="I5" t="s">
        <v>33</v>
      </c>
      <c r="J5" t="s">
        <v>29</v>
      </c>
      <c r="K5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49"/>
  <sheetViews>
    <sheetView workbookViewId="0"/>
  </sheetViews>
  <sheetFormatPr defaultRowHeight="15"/>
  <cols>
    <col min="1" max="1" width="10.7109375" customWidth="1"/>
    <col min="2" max="2" width="16.7109375" customWidth="1"/>
    <col min="3" max="3" width="10.7109375" customWidth="1"/>
    <col min="4" max="4" width="30.7109375" customWidth="1"/>
    <col min="5" max="5" width="25.7109375" customWidth="1"/>
    <col min="6" max="6" width="15.7109375" customWidth="1"/>
    <col min="7" max="7" width="50.7109375" customWidth="1"/>
    <col min="8" max="12" width="6.7109375" customWidth="1"/>
  </cols>
  <sheetData>
    <row r="1" spans="1:12">
      <c r="A1" t="s">
        <v>0</v>
      </c>
      <c r="B1" t="s">
        <v>5254</v>
      </c>
      <c r="C1" t="s">
        <v>5255</v>
      </c>
      <c r="D1" t="s">
        <v>5256</v>
      </c>
      <c r="E1" t="s">
        <v>7</v>
      </c>
      <c r="F1" t="s">
        <v>2</v>
      </c>
      <c r="G1" t="s">
        <v>5257</v>
      </c>
      <c r="H1" t="s">
        <v>5258</v>
      </c>
      <c r="I1" t="s">
        <v>5259</v>
      </c>
      <c r="J1" t="s">
        <v>5260</v>
      </c>
      <c r="K1" t="s">
        <v>5261</v>
      </c>
      <c r="L1" t="s">
        <v>5262</v>
      </c>
    </row>
    <row r="2" spans="1:12">
      <c r="A2" t="str">
        <f>HYPERLINK("http://bombeiros.sp.gov.br/hidrantes/03individual/27036.html","27036")</f>
        <v>27036</v>
      </c>
      <c r="B2" t="str">
        <f>HYPERLINK("http://bombeiros.sp.gov.br/hidrantes/08bsg/qrcodeBSG.html?id=27036&amp;lat=-23.55334&amp;long=-46.75907&amp;tipo=C","QRCODE")</f>
        <v>QRCODE</v>
      </c>
      <c r="D2" t="s">
        <v>1553</v>
      </c>
      <c r="E2" t="s">
        <v>142</v>
      </c>
      <c r="F2" t="s">
        <v>12</v>
      </c>
      <c r="G2" t="s">
        <v>217</v>
      </c>
      <c r="H2">
        <v>0</v>
      </c>
      <c r="I2">
        <v>2</v>
      </c>
      <c r="J2">
        <v>0</v>
      </c>
      <c r="K2">
        <v>0</v>
      </c>
      <c r="L2">
        <v>0</v>
      </c>
    </row>
    <row r="3" spans="1:12">
      <c r="A3" t="str">
        <f>HYPERLINK("http://bombeiros.sp.gov.br/hidrantes/03individual/27324.html","27324")</f>
        <v>27324</v>
      </c>
      <c r="B3" t="str">
        <f>HYPERLINK("http://bombeiros.sp.gov.br/hidrantes/08bsg/qrcodeBSG.html?id=27324&amp;lat=-23.56792&amp;long=-46.77238&amp;tipo=S","QRCODE")</f>
        <v>QRCODE</v>
      </c>
      <c r="D3" t="s">
        <v>1553</v>
      </c>
      <c r="E3" t="s">
        <v>142</v>
      </c>
      <c r="F3" t="s">
        <v>21</v>
      </c>
      <c r="G3" t="s">
        <v>5263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HYPERLINK("http://bombeiros.sp.gov.br/hidrantes/03individual/2592.html","2592")</f>
        <v>2592</v>
      </c>
      <c r="B4" t="str">
        <f>HYPERLINK("http://bombeiros.sp.gov.br/hidrantes/08bsg/qrcodeBSG.html?id=2592&amp;lat=-23.56372&amp;long=-46.64121&amp;tipo=C","QRCODE")</f>
        <v>QRCODE</v>
      </c>
      <c r="C4" t="s">
        <v>5264</v>
      </c>
      <c r="D4" t="s">
        <v>262</v>
      </c>
      <c r="E4" t="s">
        <v>262</v>
      </c>
      <c r="F4" t="s">
        <v>12</v>
      </c>
      <c r="G4" t="s">
        <v>4902</v>
      </c>
      <c r="H4">
        <v>2</v>
      </c>
      <c r="I4">
        <v>1</v>
      </c>
      <c r="J4">
        <v>0</v>
      </c>
      <c r="K4">
        <v>0</v>
      </c>
      <c r="L4">
        <v>0</v>
      </c>
    </row>
    <row r="5" spans="1:12">
      <c r="A5" t="str">
        <f>HYPERLINK("http://bombeiros.sp.gov.br/hidrantes/03individual/2595.html","2595")</f>
        <v>2595</v>
      </c>
      <c r="B5" t="str">
        <f>HYPERLINK("http://bombeiros.sp.gov.br/hidrantes/08bsg/qrcodeBSG.html?id=2595&amp;lat=-23.56326&amp;long=-46.64215&amp;tipo=C","QRCODE")</f>
        <v>QRCODE</v>
      </c>
      <c r="C5" t="s">
        <v>5264</v>
      </c>
      <c r="D5" t="s">
        <v>262</v>
      </c>
      <c r="E5" t="s">
        <v>262</v>
      </c>
      <c r="F5" t="s">
        <v>12</v>
      </c>
      <c r="G5" t="s">
        <v>4835</v>
      </c>
      <c r="H5">
        <v>2</v>
      </c>
      <c r="I5">
        <v>1</v>
      </c>
      <c r="J5">
        <v>0</v>
      </c>
      <c r="K5">
        <v>0</v>
      </c>
      <c r="L5">
        <v>0</v>
      </c>
    </row>
    <row r="6" spans="1:12">
      <c r="A6" t="str">
        <f>HYPERLINK("http://bombeiros.sp.gov.br/hidrantes/03individual/2718.html","2718")</f>
        <v>2718</v>
      </c>
      <c r="B6" t="str">
        <f>HYPERLINK("http://bombeiros.sp.gov.br/hidrantes/08bsg/qrcodeBSG.html?id=2718&amp;lat=-23.56940&amp;long=-46.64619&amp;tipo=C","QRCODE")</f>
        <v>QRCODE</v>
      </c>
      <c r="C6" t="s">
        <v>5264</v>
      </c>
      <c r="D6" t="s">
        <v>262</v>
      </c>
      <c r="E6" t="s">
        <v>262</v>
      </c>
      <c r="F6" t="s">
        <v>12</v>
      </c>
      <c r="G6" t="s">
        <v>1882</v>
      </c>
      <c r="H6">
        <v>0</v>
      </c>
      <c r="I6">
        <v>2</v>
      </c>
      <c r="J6">
        <v>0</v>
      </c>
      <c r="K6">
        <v>0</v>
      </c>
      <c r="L6">
        <v>0</v>
      </c>
    </row>
    <row r="7" spans="1:12">
      <c r="A7" t="str">
        <f>HYPERLINK("http://bombeiros.sp.gov.br/hidrantes/03individual/146.html","146")</f>
        <v>146</v>
      </c>
      <c r="B7" t="str">
        <f>HYPERLINK("http://bombeiros.sp.gov.br/hidrantes/08bsg/qrcodeBSG.html?id=146&amp;lat=-23.56325&amp;long=-46.64312&amp;tipo=S","QRCODE")</f>
        <v>QRCODE</v>
      </c>
      <c r="C7" t="s">
        <v>5264</v>
      </c>
      <c r="D7" t="s">
        <v>262</v>
      </c>
      <c r="E7" t="s">
        <v>262</v>
      </c>
      <c r="F7" t="s">
        <v>21</v>
      </c>
      <c r="G7" t="s">
        <v>601</v>
      </c>
      <c r="H7">
        <v>0</v>
      </c>
      <c r="I7">
        <v>2</v>
      </c>
      <c r="J7">
        <v>0</v>
      </c>
      <c r="K7">
        <v>0</v>
      </c>
      <c r="L7">
        <v>0</v>
      </c>
    </row>
    <row r="8" spans="1:12">
      <c r="A8" t="str">
        <f>HYPERLINK("http://bombeiros.sp.gov.br/hidrantes/03individual/191.html","191")</f>
        <v>191</v>
      </c>
      <c r="B8" t="str">
        <f>HYPERLINK("http://bombeiros.sp.gov.br/hidrantes/08bsg/qrcodeBSG.html?id=191&amp;lat=-23.56423&amp;long=-46.64907&amp;tipo=S","QRCODE")</f>
        <v>QRCODE</v>
      </c>
      <c r="C8" t="s">
        <v>5264</v>
      </c>
      <c r="D8" t="s">
        <v>262</v>
      </c>
      <c r="E8" t="s">
        <v>262</v>
      </c>
      <c r="F8" t="s">
        <v>21</v>
      </c>
      <c r="G8" t="s">
        <v>1941</v>
      </c>
      <c r="H8">
        <v>0</v>
      </c>
      <c r="I8">
        <v>2</v>
      </c>
      <c r="J8">
        <v>0</v>
      </c>
      <c r="K8">
        <v>0</v>
      </c>
      <c r="L8">
        <v>0</v>
      </c>
    </row>
    <row r="9" spans="1:12">
      <c r="A9" t="str">
        <f>HYPERLINK("http://bombeiros.sp.gov.br/hidrantes/03individual/275.html","275")</f>
        <v>275</v>
      </c>
      <c r="B9" t="str">
        <f>HYPERLINK("http://bombeiros.sp.gov.br/hidrantes/08bsg/qrcodeBSG.html?id=275&amp;lat=-23.56183&amp;long=-46.64690&amp;tipo=S","QRCODE")</f>
        <v>QRCODE</v>
      </c>
      <c r="C9" t="s">
        <v>5264</v>
      </c>
      <c r="D9" t="s">
        <v>262</v>
      </c>
      <c r="E9" t="s">
        <v>262</v>
      </c>
      <c r="F9" t="s">
        <v>21</v>
      </c>
      <c r="G9" t="s">
        <v>1952</v>
      </c>
      <c r="H9">
        <v>1</v>
      </c>
      <c r="I9">
        <v>3</v>
      </c>
      <c r="J9">
        <v>0</v>
      </c>
      <c r="K9">
        <v>0</v>
      </c>
      <c r="L9">
        <v>0</v>
      </c>
    </row>
    <row r="10" spans="1:12">
      <c r="A10" t="str">
        <f>HYPERLINK("http://bombeiros.sp.gov.br/hidrantes/03individual/276.html","276")</f>
        <v>276</v>
      </c>
      <c r="B10" t="str">
        <f>HYPERLINK("http://bombeiros.sp.gov.br/hidrantes/08bsg/qrcodeBSG.html?id=276&amp;lat=-23.55802&amp;long=-46.64734&amp;tipo=S","QRCODE")</f>
        <v>QRCODE</v>
      </c>
      <c r="C10" t="s">
        <v>5264</v>
      </c>
      <c r="D10" t="s">
        <v>262</v>
      </c>
      <c r="E10" t="s">
        <v>262</v>
      </c>
      <c r="F10" t="s">
        <v>21</v>
      </c>
      <c r="G10" t="s">
        <v>1930</v>
      </c>
      <c r="H10">
        <v>0</v>
      </c>
      <c r="I10">
        <v>3</v>
      </c>
      <c r="J10">
        <v>0</v>
      </c>
      <c r="K10">
        <v>0</v>
      </c>
      <c r="L10">
        <v>0</v>
      </c>
    </row>
    <row r="11" spans="1:12">
      <c r="A11" t="str">
        <f>HYPERLINK("http://bombeiros.sp.gov.br/hidrantes/03individual/2597.html","2597")</f>
        <v>2597</v>
      </c>
      <c r="B11" t="str">
        <f>HYPERLINK("http://bombeiros.sp.gov.br/hidrantes/08bsg/qrcodeBSG.html?id=2597&amp;lat=-23.56301&amp;long=-46.64406&amp;tipo=S","QRCODE")</f>
        <v>QRCODE</v>
      </c>
      <c r="C11" t="s">
        <v>5264</v>
      </c>
      <c r="D11" t="s">
        <v>262</v>
      </c>
      <c r="E11" t="s">
        <v>262</v>
      </c>
      <c r="F11" t="s">
        <v>21</v>
      </c>
      <c r="G11" t="s">
        <v>941</v>
      </c>
      <c r="H11">
        <v>1</v>
      </c>
      <c r="I11">
        <v>2</v>
      </c>
      <c r="J11">
        <v>0</v>
      </c>
      <c r="K11">
        <v>0</v>
      </c>
      <c r="L11">
        <v>0</v>
      </c>
    </row>
    <row r="12" spans="1:12">
      <c r="A12" t="str">
        <f>HYPERLINK("http://bombeiros.sp.gov.br/hidrantes/03individual/2669.html","2669")</f>
        <v>2669</v>
      </c>
      <c r="B12" t="str">
        <f>HYPERLINK("http://bombeiros.sp.gov.br/hidrantes/08bsg/qrcodeBSG.html?id=2669&amp;lat=-23.56265&amp;long=-46.64754&amp;tipo=S","QRCODE")</f>
        <v>QRCODE</v>
      </c>
      <c r="C12" t="s">
        <v>5264</v>
      </c>
      <c r="D12" t="s">
        <v>262</v>
      </c>
      <c r="E12" t="s">
        <v>262</v>
      </c>
      <c r="F12" t="s">
        <v>21</v>
      </c>
      <c r="G12" t="s">
        <v>647</v>
      </c>
      <c r="H12">
        <v>2</v>
      </c>
      <c r="I12">
        <v>1</v>
      </c>
      <c r="J12">
        <v>0</v>
      </c>
      <c r="K12">
        <v>0</v>
      </c>
      <c r="L12">
        <v>0</v>
      </c>
    </row>
    <row r="13" spans="1:12">
      <c r="A13" t="str">
        <f>HYPERLINK("http://bombeiros.sp.gov.br/hidrantes/03individual/2716.html","2716")</f>
        <v>2716</v>
      </c>
      <c r="B13" t="str">
        <f>HYPERLINK("http://bombeiros.sp.gov.br/hidrantes/08bsg/qrcodeBSG.html?id=2716&amp;lat=-23.56880&amp;long=-46.64534&amp;tipo=S","QRCODE")</f>
        <v>QRCODE</v>
      </c>
      <c r="C13" t="s">
        <v>5264</v>
      </c>
      <c r="D13" t="s">
        <v>262</v>
      </c>
      <c r="E13" t="s">
        <v>262</v>
      </c>
      <c r="F13" t="s">
        <v>21</v>
      </c>
      <c r="G13" t="s">
        <v>958</v>
      </c>
      <c r="H13">
        <v>1</v>
      </c>
      <c r="I13">
        <v>2</v>
      </c>
      <c r="J13">
        <v>0</v>
      </c>
      <c r="K13">
        <v>0</v>
      </c>
      <c r="L13">
        <v>0</v>
      </c>
    </row>
    <row r="14" spans="1:12">
      <c r="A14" t="str">
        <f>HYPERLINK("http://bombeiros.sp.gov.br/hidrantes/03individual/2722.html","2722")</f>
        <v>2722</v>
      </c>
      <c r="B14" t="str">
        <f>HYPERLINK("http://bombeiros.sp.gov.br/hidrantes/08bsg/qrcodeBSG.html?id=2722&amp;lat=-23.56630&amp;long=-46.64530&amp;tipo=S","QRCODE")</f>
        <v>QRCODE</v>
      </c>
      <c r="C14" t="s">
        <v>5264</v>
      </c>
      <c r="D14" t="s">
        <v>262</v>
      </c>
      <c r="E14" t="s">
        <v>262</v>
      </c>
      <c r="F14" t="s">
        <v>21</v>
      </c>
      <c r="G14" t="s">
        <v>639</v>
      </c>
      <c r="H14">
        <v>0</v>
      </c>
      <c r="I14">
        <v>2</v>
      </c>
      <c r="J14">
        <v>0</v>
      </c>
      <c r="K14">
        <v>0</v>
      </c>
      <c r="L14">
        <v>0</v>
      </c>
    </row>
    <row r="15" spans="1:12">
      <c r="A15" t="str">
        <f>HYPERLINK("http://bombeiros.sp.gov.br/hidrantes/03individual/2724.html","2724")</f>
        <v>2724</v>
      </c>
      <c r="B15" t="str">
        <f>HYPERLINK("http://bombeiros.sp.gov.br/hidrantes/08bsg/qrcodeBSG.html?id=2724&amp;lat=-23.57204&amp;long=-46.64297&amp;tipo=S","QRCODE")</f>
        <v>QRCODE</v>
      </c>
      <c r="C15" t="s">
        <v>5264</v>
      </c>
      <c r="D15" t="s">
        <v>262</v>
      </c>
      <c r="E15" t="s">
        <v>262</v>
      </c>
      <c r="F15" t="s">
        <v>21</v>
      </c>
      <c r="G15" t="s">
        <v>2776</v>
      </c>
      <c r="H15">
        <v>0</v>
      </c>
      <c r="I15">
        <v>2</v>
      </c>
      <c r="J15">
        <v>0</v>
      </c>
      <c r="K15">
        <v>0</v>
      </c>
      <c r="L15">
        <v>0</v>
      </c>
    </row>
    <row r="16" spans="1:12">
      <c r="A16" t="str">
        <f>HYPERLINK("http://bombeiros.sp.gov.br/hidrantes/03individual/2739.html","2739")</f>
        <v>2739</v>
      </c>
      <c r="B16" t="str">
        <f>HYPERLINK("http://bombeiros.sp.gov.br/hidrantes/08bsg/qrcodeBSG.html?id=2739&amp;lat=-23.56313&amp;long=-46.64548&amp;tipo=S","QRCODE")</f>
        <v>QRCODE</v>
      </c>
      <c r="C16" t="s">
        <v>5264</v>
      </c>
      <c r="D16" t="s">
        <v>262</v>
      </c>
      <c r="E16" t="s">
        <v>262</v>
      </c>
      <c r="F16" t="s">
        <v>21</v>
      </c>
      <c r="G16" t="s">
        <v>2025</v>
      </c>
      <c r="H16">
        <v>0</v>
      </c>
      <c r="I16">
        <v>2</v>
      </c>
      <c r="J16">
        <v>0</v>
      </c>
      <c r="K16">
        <v>0</v>
      </c>
      <c r="L16">
        <v>0</v>
      </c>
    </row>
    <row r="17" spans="1:12">
      <c r="A17" t="str">
        <f>HYPERLINK("http://bombeiros.sp.gov.br/hidrantes/03individual/2758.html","2758")</f>
        <v>2758</v>
      </c>
      <c r="B17" t="str">
        <f>HYPERLINK("http://bombeiros.sp.gov.br/hidrantes/08bsg/qrcodeBSG.html?id=2758&amp;lat=-23.55796&amp;long=-46.64710&amp;tipo=S","QRCODE")</f>
        <v>QRCODE</v>
      </c>
      <c r="C17" t="s">
        <v>5264</v>
      </c>
      <c r="D17" t="s">
        <v>262</v>
      </c>
      <c r="E17" t="s">
        <v>262</v>
      </c>
      <c r="F17" t="s">
        <v>21</v>
      </c>
      <c r="G17" t="s">
        <v>4860</v>
      </c>
      <c r="H17">
        <v>2</v>
      </c>
      <c r="I17">
        <v>1</v>
      </c>
      <c r="J17">
        <v>0</v>
      </c>
      <c r="K17">
        <v>0</v>
      </c>
      <c r="L17">
        <v>0</v>
      </c>
    </row>
    <row r="18" spans="1:12">
      <c r="A18" t="str">
        <f>HYPERLINK("http://bombeiros.sp.gov.br/hidrantes/03individual/17917.html","17917")</f>
        <v>17917</v>
      </c>
      <c r="B18" t="str">
        <f>HYPERLINK("http://bombeiros.sp.gov.br/hidrantes/08bsg/qrcodeBSG.html?id=17917&amp;lat=-23.56848&amp;long=-46.64452&amp;tipo=S","QRCODE")</f>
        <v>QRCODE</v>
      </c>
      <c r="C18" t="s">
        <v>5264</v>
      </c>
      <c r="D18" t="s">
        <v>262</v>
      </c>
      <c r="E18" t="s">
        <v>262</v>
      </c>
      <c r="F18" t="s">
        <v>21</v>
      </c>
      <c r="G18" t="s">
        <v>261</v>
      </c>
      <c r="H18">
        <v>0</v>
      </c>
      <c r="I18">
        <v>2</v>
      </c>
      <c r="J18">
        <v>0</v>
      </c>
      <c r="K18">
        <v>0</v>
      </c>
      <c r="L18">
        <v>0</v>
      </c>
    </row>
    <row r="19" spans="1:12">
      <c r="A19" t="str">
        <f>HYPERLINK("http://bombeiros.sp.gov.br/hidrantes/03individual/127.html","127")</f>
        <v>127</v>
      </c>
      <c r="B19" t="str">
        <f>HYPERLINK("http://bombeiros.sp.gov.br/hidrantes/08bsg/qrcodeBSG.html?id=127&amp;lat=-23.55551&amp;long=-46.64294&amp;tipo=S","QRCODE")</f>
        <v>QRCODE</v>
      </c>
      <c r="C19" t="s">
        <v>5264</v>
      </c>
      <c r="D19" t="s">
        <v>262</v>
      </c>
      <c r="E19" t="s">
        <v>600</v>
      </c>
      <c r="F19" t="s">
        <v>21</v>
      </c>
      <c r="G19" t="s">
        <v>1391</v>
      </c>
      <c r="H19">
        <v>1</v>
      </c>
      <c r="I19">
        <v>2</v>
      </c>
      <c r="J19">
        <v>0</v>
      </c>
      <c r="K19">
        <v>0</v>
      </c>
      <c r="L19">
        <v>0</v>
      </c>
    </row>
    <row r="20" spans="1:12">
      <c r="A20" t="str">
        <f>HYPERLINK("http://bombeiros.sp.gov.br/hidrantes/03individual/204.html","204")</f>
        <v>204</v>
      </c>
      <c r="B20" t="str">
        <f>HYPERLINK("http://bombeiros.sp.gov.br/hidrantes/08bsg/qrcodeBSG.html?id=204&amp;lat=-23.56223&amp;long=-46.64168&amp;tipo=S","QRCODE")</f>
        <v>QRCODE</v>
      </c>
      <c r="C20" t="s">
        <v>5264</v>
      </c>
      <c r="D20" t="s">
        <v>262</v>
      </c>
      <c r="E20" t="s">
        <v>600</v>
      </c>
      <c r="F20" t="s">
        <v>21</v>
      </c>
      <c r="G20" t="s">
        <v>599</v>
      </c>
      <c r="H20">
        <v>0</v>
      </c>
      <c r="I20">
        <v>2</v>
      </c>
      <c r="J20">
        <v>0</v>
      </c>
      <c r="K20">
        <v>0</v>
      </c>
      <c r="L20">
        <v>0</v>
      </c>
    </row>
    <row r="21" spans="1:12">
      <c r="A21" t="str">
        <f>HYPERLINK("http://bombeiros.sp.gov.br/hidrantes/03individual/216.html","216")</f>
        <v>216</v>
      </c>
      <c r="B21" t="str">
        <f>HYPERLINK("http://bombeiros.sp.gov.br/hidrantes/08bsg/qrcodeBSG.html?id=216&amp;lat=-23.55737&amp;long=-46.64051&amp;tipo=S","QRCODE")</f>
        <v>QRCODE</v>
      </c>
      <c r="C21" t="s">
        <v>5264</v>
      </c>
      <c r="D21" t="s">
        <v>262</v>
      </c>
      <c r="E21" t="s">
        <v>600</v>
      </c>
      <c r="F21" t="s">
        <v>21</v>
      </c>
      <c r="G21" t="s">
        <v>1398</v>
      </c>
      <c r="H21">
        <v>2</v>
      </c>
      <c r="I21">
        <v>2</v>
      </c>
      <c r="J21">
        <v>0</v>
      </c>
      <c r="K21">
        <v>0</v>
      </c>
      <c r="L21">
        <v>0</v>
      </c>
    </row>
    <row r="22" spans="1:12">
      <c r="A22" t="str">
        <f>HYPERLINK("http://bombeiros.sp.gov.br/hidrantes/03individual/2606.html","2606")</f>
        <v>2606</v>
      </c>
      <c r="B22" t="str">
        <f>HYPERLINK("http://bombeiros.sp.gov.br/hidrantes/08bsg/qrcodeBSG.html?id=2606&amp;lat=-23.55932&amp;long=-46.64217&amp;tipo=S","QRCODE")</f>
        <v>QRCODE</v>
      </c>
      <c r="C22" t="s">
        <v>5264</v>
      </c>
      <c r="D22" t="s">
        <v>262</v>
      </c>
      <c r="E22" t="s">
        <v>600</v>
      </c>
      <c r="F22" t="s">
        <v>21</v>
      </c>
      <c r="G22" t="s">
        <v>4845</v>
      </c>
      <c r="H22">
        <v>0</v>
      </c>
      <c r="I22">
        <v>1</v>
      </c>
      <c r="J22">
        <v>0</v>
      </c>
      <c r="K22">
        <v>0</v>
      </c>
      <c r="L22">
        <v>0</v>
      </c>
    </row>
    <row r="23" spans="1:12">
      <c r="A23" t="str">
        <f>HYPERLINK("http://bombeiros.sp.gov.br/hidrantes/03individual/2608.html","2608")</f>
        <v>2608</v>
      </c>
      <c r="B23" t="str">
        <f>HYPERLINK("http://bombeiros.sp.gov.br/hidrantes/08bsg/qrcodeBSG.html?id=2608&amp;lat=-23.55893&amp;long=-46.64076&amp;tipo=S","QRCODE")</f>
        <v>QRCODE</v>
      </c>
      <c r="C23" t="s">
        <v>5264</v>
      </c>
      <c r="D23" t="s">
        <v>262</v>
      </c>
      <c r="E23" t="s">
        <v>600</v>
      </c>
      <c r="F23" t="s">
        <v>21</v>
      </c>
      <c r="G23" t="s">
        <v>1347</v>
      </c>
      <c r="H23">
        <v>0</v>
      </c>
      <c r="I23">
        <v>3</v>
      </c>
      <c r="J23">
        <v>0</v>
      </c>
      <c r="K23">
        <v>0</v>
      </c>
      <c r="L23">
        <v>0</v>
      </c>
    </row>
    <row r="24" spans="1:12">
      <c r="A24" t="str">
        <f>HYPERLINK("http://bombeiros.sp.gov.br/hidrantes/03individual/2613.html","2613")</f>
        <v>2613</v>
      </c>
      <c r="B24" t="str">
        <f>HYPERLINK("http://bombeiros.sp.gov.br/hidrantes/08bsg/qrcodeBSG.html?id=2613&amp;lat=-23.55801&amp;long=-46.63922&amp;tipo=S","QRCODE")</f>
        <v>QRCODE</v>
      </c>
      <c r="C24" t="s">
        <v>5264</v>
      </c>
      <c r="D24" t="s">
        <v>262</v>
      </c>
      <c r="E24" t="s">
        <v>600</v>
      </c>
      <c r="F24" t="s">
        <v>21</v>
      </c>
      <c r="G24" t="s">
        <v>1348</v>
      </c>
      <c r="H24">
        <v>1</v>
      </c>
      <c r="I24">
        <v>2</v>
      </c>
      <c r="J24">
        <v>0</v>
      </c>
      <c r="K24">
        <v>0</v>
      </c>
      <c r="L24">
        <v>0</v>
      </c>
    </row>
    <row r="25" spans="1:12">
      <c r="A25" t="str">
        <f>HYPERLINK("http://bombeiros.sp.gov.br/hidrantes/03individual/26.html","26")</f>
        <v>26</v>
      </c>
      <c r="B25" t="str">
        <f>HYPERLINK("http://bombeiros.sp.gov.br/hidrantes/08bsg/qrcodeBSG.html?id=26&amp;lat=-23.55904&amp;long=-46.65392&amp;tipo=C","QRCODE")</f>
        <v>QRCODE</v>
      </c>
      <c r="C25" t="s">
        <v>5264</v>
      </c>
      <c r="D25" t="s">
        <v>262</v>
      </c>
      <c r="E25" t="s">
        <v>281</v>
      </c>
      <c r="F25" t="s">
        <v>12</v>
      </c>
      <c r="G25" t="s">
        <v>4904</v>
      </c>
      <c r="H25">
        <v>1</v>
      </c>
      <c r="I25">
        <v>1</v>
      </c>
      <c r="J25">
        <v>0</v>
      </c>
      <c r="K25">
        <v>0</v>
      </c>
      <c r="L25">
        <v>0</v>
      </c>
    </row>
    <row r="26" spans="1:12">
      <c r="A26" t="str">
        <f>HYPERLINK("http://bombeiros.sp.gov.br/hidrantes/03individual/2485.html","2485")</f>
        <v>2485</v>
      </c>
      <c r="B26" t="str">
        <f>HYPERLINK("http://bombeiros.sp.gov.br/hidrantes/08bsg/qrcodeBSG.html?id=2485&amp;lat=-23.56357&amp;long=-46.65377&amp;tipo=C","QRCODE")</f>
        <v>QRCODE</v>
      </c>
      <c r="C26" t="s">
        <v>5264</v>
      </c>
      <c r="D26" t="s">
        <v>262</v>
      </c>
      <c r="E26" t="s">
        <v>281</v>
      </c>
      <c r="F26" t="s">
        <v>12</v>
      </c>
      <c r="G26" t="s">
        <v>642</v>
      </c>
      <c r="H26">
        <v>0</v>
      </c>
      <c r="I26">
        <v>2</v>
      </c>
      <c r="J26">
        <v>0</v>
      </c>
      <c r="K26">
        <v>0</v>
      </c>
      <c r="L26">
        <v>0</v>
      </c>
    </row>
    <row r="27" spans="1:12">
      <c r="A27" t="str">
        <f>HYPERLINK("http://bombeiros.sp.gov.br/hidrantes/03individual/2555.html","2555")</f>
        <v>2555</v>
      </c>
      <c r="B27" t="str">
        <f>HYPERLINK("http://bombeiros.sp.gov.br/hidrantes/08bsg/qrcodeBSG.html?id=2555&amp;lat=-23.55974&amp;long=-46.65786&amp;tipo=C","QRCODE")</f>
        <v>QRCODE</v>
      </c>
      <c r="C27" t="s">
        <v>5264</v>
      </c>
      <c r="D27" t="s">
        <v>262</v>
      </c>
      <c r="E27" t="s">
        <v>281</v>
      </c>
      <c r="F27" t="s">
        <v>12</v>
      </c>
      <c r="G27" t="s">
        <v>3533</v>
      </c>
      <c r="H27">
        <v>1</v>
      </c>
      <c r="I27">
        <v>1</v>
      </c>
      <c r="J27">
        <v>0</v>
      </c>
      <c r="K27">
        <v>0</v>
      </c>
      <c r="L27">
        <v>0</v>
      </c>
    </row>
    <row r="28" spans="1:12">
      <c r="A28" t="str">
        <f>HYPERLINK("http://bombeiros.sp.gov.br/hidrantes/03individual/2568.html","2568")</f>
        <v>2568</v>
      </c>
      <c r="B28" t="str">
        <f>HYPERLINK("http://bombeiros.sp.gov.br/hidrantes/08bsg/qrcodeBSG.html?id=2568&amp;lat=-23.56079&amp;long=-46.65679&amp;tipo=C","QRCODE")</f>
        <v>QRCODE</v>
      </c>
      <c r="C28" t="s">
        <v>5264</v>
      </c>
      <c r="D28" t="s">
        <v>262</v>
      </c>
      <c r="E28" t="s">
        <v>281</v>
      </c>
      <c r="F28" t="s">
        <v>12</v>
      </c>
      <c r="G28" t="s">
        <v>940</v>
      </c>
      <c r="H28">
        <v>1</v>
      </c>
      <c r="I28">
        <v>4</v>
      </c>
      <c r="J28">
        <v>0</v>
      </c>
      <c r="K28">
        <v>0</v>
      </c>
      <c r="L28">
        <v>0</v>
      </c>
    </row>
    <row r="29" spans="1:12">
      <c r="A29" t="str">
        <f>HYPERLINK("http://bombeiros.sp.gov.br/hidrantes/03individual/2747.html","2747")</f>
        <v>2747</v>
      </c>
      <c r="B29" t="str">
        <f>HYPERLINK("http://bombeiros.sp.gov.br/hidrantes/08bsg/qrcodeBSG.html?id=2747&amp;lat=-23.56246&amp;long=-46.65478&amp;tipo=C","QRCODE")</f>
        <v>QRCODE</v>
      </c>
      <c r="C29" t="s">
        <v>5264</v>
      </c>
      <c r="D29" t="s">
        <v>262</v>
      </c>
      <c r="E29" t="s">
        <v>281</v>
      </c>
      <c r="F29" t="s">
        <v>12</v>
      </c>
      <c r="G29" t="s">
        <v>280</v>
      </c>
      <c r="H29">
        <v>0</v>
      </c>
      <c r="I29">
        <v>2</v>
      </c>
      <c r="J29">
        <v>0</v>
      </c>
      <c r="K29">
        <v>0</v>
      </c>
      <c r="L29">
        <v>0</v>
      </c>
    </row>
    <row r="30" spans="1:12">
      <c r="A30" t="str">
        <f>HYPERLINK("http://bombeiros.sp.gov.br/hidrantes/03individual/2748.html","2748")</f>
        <v>2748</v>
      </c>
      <c r="B30" t="str">
        <f>HYPERLINK("http://bombeiros.sp.gov.br/hidrantes/08bsg/qrcodeBSG.html?id=2748&amp;lat=-23.56233&amp;long=-46.65501&amp;tipo=C","QRCODE")</f>
        <v>QRCODE</v>
      </c>
      <c r="C30" t="s">
        <v>5264</v>
      </c>
      <c r="D30" t="s">
        <v>262</v>
      </c>
      <c r="E30" t="s">
        <v>281</v>
      </c>
      <c r="F30" t="s">
        <v>12</v>
      </c>
      <c r="G30" t="s">
        <v>956</v>
      </c>
      <c r="H30">
        <v>1</v>
      </c>
      <c r="I30">
        <v>2</v>
      </c>
      <c r="J30">
        <v>0</v>
      </c>
      <c r="K30">
        <v>0</v>
      </c>
      <c r="L30">
        <v>0</v>
      </c>
    </row>
    <row r="31" spans="1:12">
      <c r="A31" t="str">
        <f>HYPERLINK("http://bombeiros.sp.gov.br/hidrantes/03individual/2766.html","2766")</f>
        <v>2766</v>
      </c>
      <c r="B31" t="str">
        <f>HYPERLINK("http://bombeiros.sp.gov.br/hidrantes/08bsg/qrcodeBSG.html?id=2766&amp;lat=-23.55906&amp;long=-46.65429&amp;tipo=C","QRCODE")</f>
        <v>QRCODE</v>
      </c>
      <c r="C31" t="s">
        <v>5264</v>
      </c>
      <c r="D31" t="s">
        <v>262</v>
      </c>
      <c r="E31" t="s">
        <v>281</v>
      </c>
      <c r="F31" t="s">
        <v>12</v>
      </c>
      <c r="G31" t="s">
        <v>282</v>
      </c>
      <c r="H31">
        <v>0</v>
      </c>
      <c r="I31">
        <v>2</v>
      </c>
      <c r="J31">
        <v>0</v>
      </c>
      <c r="K31">
        <v>0</v>
      </c>
      <c r="L31">
        <v>0</v>
      </c>
    </row>
    <row r="32" spans="1:12">
      <c r="A32" t="str">
        <f>HYPERLINK("http://bombeiros.sp.gov.br/hidrantes/03individual/4284.html","4284")</f>
        <v>4284</v>
      </c>
      <c r="B32" t="str">
        <f>HYPERLINK("http://bombeiros.sp.gov.br/hidrantes/08bsg/qrcodeBSG.html?id=4284&amp;lat=-23.55596&amp;long=-46.65065&amp;tipo=C","QRCODE")</f>
        <v>QRCODE</v>
      </c>
      <c r="C32" t="s">
        <v>5264</v>
      </c>
      <c r="D32" t="s">
        <v>262</v>
      </c>
      <c r="E32" t="s">
        <v>281</v>
      </c>
      <c r="F32" t="s">
        <v>12</v>
      </c>
      <c r="G32" t="s">
        <v>5239</v>
      </c>
      <c r="H32">
        <v>1</v>
      </c>
      <c r="I32">
        <v>0</v>
      </c>
      <c r="J32">
        <v>0</v>
      </c>
      <c r="K32">
        <v>0</v>
      </c>
      <c r="L32">
        <v>0</v>
      </c>
    </row>
    <row r="33" spans="1:12">
      <c r="A33" t="str">
        <f>HYPERLINK("http://bombeiros.sp.gov.br/hidrantes/03individual/96.html","96")</f>
        <v>96</v>
      </c>
      <c r="B33" t="str">
        <f>HYPERLINK("http://bombeiros.sp.gov.br/hidrantes/08bsg/qrcodeBSG.html?id=96&amp;lat=-23.55724&amp;long=-46.65722&amp;tipo=S","QRCODE")</f>
        <v>QRCODE</v>
      </c>
      <c r="C33" t="s">
        <v>5264</v>
      </c>
      <c r="D33" t="s">
        <v>262</v>
      </c>
      <c r="E33" t="s">
        <v>281</v>
      </c>
      <c r="F33" t="s">
        <v>21</v>
      </c>
      <c r="G33" t="s">
        <v>1036</v>
      </c>
      <c r="H33">
        <v>1</v>
      </c>
      <c r="I33">
        <v>2</v>
      </c>
      <c r="J33">
        <v>0</v>
      </c>
      <c r="K33">
        <v>0</v>
      </c>
      <c r="L33">
        <v>0</v>
      </c>
    </row>
    <row r="34" spans="1:12">
      <c r="A34" t="str">
        <f>HYPERLINK("http://bombeiros.sp.gov.br/hidrantes/03individual/2520.html","2520")</f>
        <v>2520</v>
      </c>
      <c r="B34" t="str">
        <f>HYPERLINK("http://bombeiros.sp.gov.br/hidrantes/08bsg/qrcodeBSG.html?id=2520&amp;lat=-23.55584&amp;long=-46.65536&amp;tipo=S","QRCODE")</f>
        <v>QRCODE</v>
      </c>
      <c r="C34" t="s">
        <v>5264</v>
      </c>
      <c r="D34" t="s">
        <v>262</v>
      </c>
      <c r="E34" t="s">
        <v>281</v>
      </c>
      <c r="F34" t="s">
        <v>21</v>
      </c>
      <c r="G34" t="s">
        <v>5171</v>
      </c>
      <c r="H34">
        <v>0</v>
      </c>
      <c r="I34">
        <v>1</v>
      </c>
      <c r="J34">
        <v>0</v>
      </c>
      <c r="K34">
        <v>0</v>
      </c>
      <c r="L34">
        <v>0</v>
      </c>
    </row>
    <row r="35" spans="1:12">
      <c r="A35" t="str">
        <f>HYPERLINK("http://bombeiros.sp.gov.br/hidrantes/03individual/2760.html","2760")</f>
        <v>2760</v>
      </c>
      <c r="B35" t="str">
        <f>HYPERLINK("http://bombeiros.sp.gov.br/hidrantes/08bsg/qrcodeBSG.html?id=2760&amp;lat=-23.56268&amp;long=-46.65303&amp;tipo=S","QRCODE")</f>
        <v>QRCODE</v>
      </c>
      <c r="C35" t="s">
        <v>5264</v>
      </c>
      <c r="D35" t="s">
        <v>262</v>
      </c>
      <c r="E35" t="s">
        <v>281</v>
      </c>
      <c r="F35" t="s">
        <v>21</v>
      </c>
      <c r="G35" t="s">
        <v>955</v>
      </c>
      <c r="H35">
        <v>1</v>
      </c>
      <c r="I35">
        <v>2</v>
      </c>
      <c r="J35">
        <v>0</v>
      </c>
      <c r="K35">
        <v>0</v>
      </c>
      <c r="L35">
        <v>0</v>
      </c>
    </row>
    <row r="36" spans="1:12">
      <c r="A36" t="str">
        <f>HYPERLINK("http://bombeiros.sp.gov.br/hidrantes/03individual/2926.html","2926")</f>
        <v>2926</v>
      </c>
      <c r="B36" t="str">
        <f>HYPERLINK("http://bombeiros.sp.gov.br/hidrantes/08bsg/qrcodeBSG.html?id=2926&amp;lat=-23.55701&amp;long=-46.65465&amp;tipo=S","QRCODE")</f>
        <v>QRCODE</v>
      </c>
      <c r="C36" t="s">
        <v>5264</v>
      </c>
      <c r="D36" t="s">
        <v>262</v>
      </c>
      <c r="E36" t="s">
        <v>281</v>
      </c>
      <c r="F36" t="s">
        <v>21</v>
      </c>
      <c r="G36" t="s">
        <v>975</v>
      </c>
      <c r="H36">
        <v>1</v>
      </c>
      <c r="I36">
        <v>2</v>
      </c>
      <c r="J36">
        <v>0</v>
      </c>
      <c r="K36">
        <v>0</v>
      </c>
      <c r="L36">
        <v>0</v>
      </c>
    </row>
    <row r="37" spans="1:12">
      <c r="A37" t="str">
        <f>HYPERLINK("http://bombeiros.sp.gov.br/hidrantes/03individual/2927.html","2927")</f>
        <v>2927</v>
      </c>
      <c r="B37" t="str">
        <f>HYPERLINK("http://bombeiros.sp.gov.br/hidrantes/08bsg/qrcodeBSG.html?id=2927&amp;lat=-23.55697&amp;long=-46.65536&amp;tipo=S","QRCODE")</f>
        <v>QRCODE</v>
      </c>
      <c r="C37" t="s">
        <v>5264</v>
      </c>
      <c r="D37" t="s">
        <v>262</v>
      </c>
      <c r="E37" t="s">
        <v>281</v>
      </c>
      <c r="F37" t="s">
        <v>21</v>
      </c>
      <c r="G37" t="s">
        <v>5172</v>
      </c>
      <c r="H37">
        <v>0</v>
      </c>
      <c r="I37">
        <v>1</v>
      </c>
      <c r="J37">
        <v>0</v>
      </c>
      <c r="K37">
        <v>0</v>
      </c>
      <c r="L37">
        <v>0</v>
      </c>
    </row>
    <row r="38" spans="1:12">
      <c r="A38" t="str">
        <f>HYPERLINK("http://bombeiros.sp.gov.br/hidrantes/03individual/4279.html","4279")</f>
        <v>4279</v>
      </c>
      <c r="B38" t="str">
        <f>HYPERLINK("http://bombeiros.sp.gov.br/hidrantes/08bsg/qrcodeBSG.html?id=4279&amp;lat=-23.56072&amp;long=-46.65573&amp;tipo=S","QRCODE")</f>
        <v>QRCODE</v>
      </c>
      <c r="C38" t="s">
        <v>5264</v>
      </c>
      <c r="D38" t="s">
        <v>262</v>
      </c>
      <c r="E38" t="s">
        <v>281</v>
      </c>
      <c r="F38" t="s">
        <v>21</v>
      </c>
      <c r="G38" t="s">
        <v>1986</v>
      </c>
      <c r="H38">
        <v>0</v>
      </c>
      <c r="I38">
        <v>2</v>
      </c>
      <c r="J38">
        <v>0</v>
      </c>
      <c r="K38">
        <v>0</v>
      </c>
      <c r="L38">
        <v>0</v>
      </c>
    </row>
    <row r="39" spans="1:12">
      <c r="A39" t="str">
        <f>HYPERLINK("http://bombeiros.sp.gov.br/hidrantes/03individual/4280.html","4280")</f>
        <v>4280</v>
      </c>
      <c r="B39" t="str">
        <f>HYPERLINK("http://bombeiros.sp.gov.br/hidrantes/08bsg/qrcodeBSG.html?id=4280&amp;lat=-23.55804&amp;long=-46.65262&amp;tipo=S","QRCODE")</f>
        <v>QRCODE</v>
      </c>
      <c r="C39" t="s">
        <v>5264</v>
      </c>
      <c r="D39" t="s">
        <v>262</v>
      </c>
      <c r="E39" t="s">
        <v>281</v>
      </c>
      <c r="F39" t="s">
        <v>21</v>
      </c>
      <c r="G39" t="s">
        <v>311</v>
      </c>
      <c r="H39">
        <v>0</v>
      </c>
      <c r="I39">
        <v>3</v>
      </c>
      <c r="J39">
        <v>0</v>
      </c>
      <c r="K39">
        <v>0</v>
      </c>
      <c r="L39">
        <v>0</v>
      </c>
    </row>
    <row r="40" spans="1:12">
      <c r="A40" t="str">
        <f>HYPERLINK("http://bombeiros.sp.gov.br/hidrantes/03individual/17702.html","17702")</f>
        <v>17702</v>
      </c>
      <c r="B40" t="str">
        <f>HYPERLINK("http://bombeiros.sp.gov.br/hidrantes/08bsg/qrcodeBSG.html?id=17702&amp;lat=-23.55497&amp;long=-46.65539&amp;tipo=S","QRCODE")</f>
        <v>QRCODE</v>
      </c>
      <c r="C40" t="s">
        <v>5264</v>
      </c>
      <c r="D40" t="s">
        <v>262</v>
      </c>
      <c r="E40" t="s">
        <v>281</v>
      </c>
      <c r="F40" t="s">
        <v>21</v>
      </c>
      <c r="G40" t="s">
        <v>5168</v>
      </c>
      <c r="H40">
        <v>0</v>
      </c>
      <c r="I40">
        <v>2</v>
      </c>
      <c r="J40">
        <v>0</v>
      </c>
      <c r="K40">
        <v>0</v>
      </c>
      <c r="L40">
        <v>0</v>
      </c>
    </row>
    <row r="41" spans="1:12">
      <c r="A41" t="str">
        <f>HYPERLINK("http://bombeiros.sp.gov.br/hidrantes/03individual/25214.html","25214")</f>
        <v>25214</v>
      </c>
      <c r="B41" t="str">
        <f>HYPERLINK("http://bombeiros.sp.gov.br/hidrantes/08bsg/qrcodeBSG.html?id=25214&amp;lat=-23.56045&amp;long=-46.65483&amp;tipo=S","QRCODE")</f>
        <v>QRCODE</v>
      </c>
      <c r="C41" t="s">
        <v>5264</v>
      </c>
      <c r="D41" t="s">
        <v>262</v>
      </c>
      <c r="E41" t="s">
        <v>281</v>
      </c>
      <c r="F41" t="s">
        <v>21</v>
      </c>
      <c r="G41" t="s">
        <v>933</v>
      </c>
      <c r="H41">
        <v>1</v>
      </c>
      <c r="I41">
        <v>2</v>
      </c>
      <c r="J41">
        <v>0</v>
      </c>
      <c r="K41">
        <v>0</v>
      </c>
      <c r="L41">
        <v>0</v>
      </c>
    </row>
    <row r="42" spans="1:12">
      <c r="A42" t="str">
        <f>HYPERLINK("http://bombeiros.sp.gov.br/hidrantes/03individual/25215.html","25215")</f>
        <v>25215</v>
      </c>
      <c r="B42" t="str">
        <f>HYPERLINK("http://bombeiros.sp.gov.br/hidrantes/08bsg/qrcodeBSG.html?id=25215&amp;lat=-23.56038&amp;long=-46.65643&amp;tipo=S","QRCODE")</f>
        <v>QRCODE</v>
      </c>
      <c r="C42" t="s">
        <v>5264</v>
      </c>
      <c r="D42" t="s">
        <v>262</v>
      </c>
      <c r="E42" t="s">
        <v>281</v>
      </c>
      <c r="F42" t="s">
        <v>21</v>
      </c>
      <c r="G42" t="s">
        <v>3775</v>
      </c>
      <c r="H42">
        <v>1</v>
      </c>
      <c r="I42">
        <v>1</v>
      </c>
      <c r="J42">
        <v>0</v>
      </c>
      <c r="K42">
        <v>0</v>
      </c>
      <c r="L42">
        <v>0</v>
      </c>
    </row>
    <row r="43" spans="1:12">
      <c r="A43" t="str">
        <f>HYPERLINK("http://bombeiros.sp.gov.br/hidrantes/03individual/26806.html","26806")</f>
        <v>26806</v>
      </c>
      <c r="B43" t="str">
        <f>HYPERLINK("http://bombeiros.sp.gov.br/hidrantes/08bsg/qrcodeBSG.html?id=26806&amp;lat=-23.55697&amp;long=-46.65547&amp;tipo=S","QRCODE")</f>
        <v>QRCODE</v>
      </c>
      <c r="C43" t="s">
        <v>5264</v>
      </c>
      <c r="D43" t="s">
        <v>262</v>
      </c>
      <c r="E43" t="s">
        <v>281</v>
      </c>
      <c r="F43" t="s">
        <v>21</v>
      </c>
      <c r="G43" t="s">
        <v>5172</v>
      </c>
      <c r="H43">
        <v>0</v>
      </c>
      <c r="I43">
        <v>1</v>
      </c>
      <c r="J43">
        <v>0</v>
      </c>
      <c r="K43">
        <v>0</v>
      </c>
      <c r="L43">
        <v>0</v>
      </c>
    </row>
    <row r="44" spans="1:12">
      <c r="A44" t="str">
        <f>HYPERLINK("http://bombeiros.sp.gov.br/hidrantes/03individual/27132.html","27132")</f>
        <v>27132</v>
      </c>
      <c r="B44" t="str">
        <f>HYPERLINK("http://bombeiros.sp.gov.br/hidrantes/08bsg/qrcodeBSG.html?id=27132&amp;lat=-23.55589&amp;long=-46.65469&amp;tipo=S","QRCODE")</f>
        <v>QRCODE</v>
      </c>
      <c r="C44" t="s">
        <v>5264</v>
      </c>
      <c r="D44" t="s">
        <v>262</v>
      </c>
      <c r="E44" t="s">
        <v>281</v>
      </c>
      <c r="F44" t="s">
        <v>21</v>
      </c>
      <c r="G44" t="s">
        <v>3354</v>
      </c>
      <c r="H44">
        <v>0</v>
      </c>
      <c r="I44">
        <v>1</v>
      </c>
      <c r="J44">
        <v>0</v>
      </c>
      <c r="K44">
        <v>0</v>
      </c>
      <c r="L44">
        <v>0</v>
      </c>
    </row>
    <row r="45" spans="1:12">
      <c r="A45" t="str">
        <f>HYPERLINK("http://bombeiros.sp.gov.br/hidrantes/03individual/158.html","158")</f>
        <v>158</v>
      </c>
      <c r="B45" t="str">
        <f>HYPERLINK("http://bombeiros.sp.gov.br/hidrantes/08bsg/qrcodeBSG.html?id=158&amp;lat=-23.56534&amp;long=-46.64984&amp;tipo=C","QRCODE")</f>
        <v>QRCODE</v>
      </c>
      <c r="C45" t="s">
        <v>5264</v>
      </c>
      <c r="D45" t="s">
        <v>262</v>
      </c>
      <c r="E45" t="s">
        <v>632</v>
      </c>
      <c r="F45" t="s">
        <v>12</v>
      </c>
      <c r="G45" t="s">
        <v>2820</v>
      </c>
      <c r="H45">
        <v>0</v>
      </c>
      <c r="I45">
        <v>2</v>
      </c>
      <c r="J45">
        <v>0</v>
      </c>
      <c r="K45">
        <v>0</v>
      </c>
      <c r="L45">
        <v>0</v>
      </c>
    </row>
    <row r="46" spans="1:12">
      <c r="A46" t="str">
        <f>HYPERLINK("http://bombeiros.sp.gov.br/hidrantes/03individual/2487.html","2487")</f>
        <v>2487</v>
      </c>
      <c r="B46" t="str">
        <f>HYPERLINK("http://bombeiros.sp.gov.br/hidrantes/08bsg/qrcodeBSG.html?id=2487&amp;lat=-23.56354&amp;long=-46.65342&amp;tipo=C","QRCODE")</f>
        <v>QRCODE</v>
      </c>
      <c r="C46" t="s">
        <v>5264</v>
      </c>
      <c r="D46" t="s">
        <v>262</v>
      </c>
      <c r="E46" t="s">
        <v>632</v>
      </c>
      <c r="F46" t="s">
        <v>12</v>
      </c>
      <c r="G46" t="s">
        <v>642</v>
      </c>
      <c r="H46">
        <v>0</v>
      </c>
      <c r="I46">
        <v>2</v>
      </c>
      <c r="J46">
        <v>0</v>
      </c>
      <c r="K46">
        <v>0</v>
      </c>
      <c r="L46">
        <v>0</v>
      </c>
    </row>
    <row r="47" spans="1:12">
      <c r="A47" t="str">
        <f>HYPERLINK("http://bombeiros.sp.gov.br/hidrantes/03individual/2648.html","2648")</f>
        <v>2648</v>
      </c>
      <c r="B47" t="str">
        <f>HYPERLINK("http://bombeiros.sp.gov.br/hidrantes/08bsg/qrcodeBSG.html?id=2648&amp;lat=-23.56725&amp;long=-46.64899&amp;tipo=C","QRCODE")</f>
        <v>QRCODE</v>
      </c>
      <c r="C47" t="s">
        <v>5264</v>
      </c>
      <c r="D47" t="s">
        <v>262</v>
      </c>
      <c r="E47" t="s">
        <v>632</v>
      </c>
      <c r="F47" t="s">
        <v>12</v>
      </c>
      <c r="G47" t="s">
        <v>3438</v>
      </c>
      <c r="H47">
        <v>0</v>
      </c>
      <c r="I47">
        <v>2</v>
      </c>
      <c r="J47">
        <v>0</v>
      </c>
      <c r="K47">
        <v>0</v>
      </c>
      <c r="L47">
        <v>0</v>
      </c>
    </row>
    <row r="48" spans="1:12">
      <c r="A48" t="str">
        <f>HYPERLINK("http://bombeiros.sp.gov.br/hidrantes/03individual/4277.html","4277")</f>
        <v>4277</v>
      </c>
      <c r="B48" t="str">
        <f>HYPERLINK("http://bombeiros.sp.gov.br/hidrantes/08bsg/qrcodeBSG.html?id=4277&amp;lat=-23.56551&amp;long=-46.65137&amp;tipo=C","QRCODE")</f>
        <v>QRCODE</v>
      </c>
      <c r="C48" t="s">
        <v>5264</v>
      </c>
      <c r="D48" t="s">
        <v>262</v>
      </c>
      <c r="E48" t="s">
        <v>632</v>
      </c>
      <c r="F48" t="s">
        <v>12</v>
      </c>
      <c r="G48" t="s">
        <v>631</v>
      </c>
      <c r="H48">
        <v>0</v>
      </c>
      <c r="I48">
        <v>2</v>
      </c>
      <c r="J48">
        <v>0</v>
      </c>
      <c r="K48">
        <v>0</v>
      </c>
      <c r="L48">
        <v>0</v>
      </c>
    </row>
    <row r="49" spans="1:12">
      <c r="A49" t="str">
        <f>HYPERLINK("http://bombeiros.sp.gov.br/hidrantes/03individual/206.html","206")</f>
        <v>206</v>
      </c>
      <c r="B49" t="str">
        <f>HYPERLINK("http://bombeiros.sp.gov.br/hidrantes/08bsg/qrcodeBSG.html?id=206&amp;lat=-23.55777&amp;long=-46.64990&amp;tipo=S","QRCODE")</f>
        <v>QRCODE</v>
      </c>
      <c r="C49" t="s">
        <v>5264</v>
      </c>
      <c r="D49" t="s">
        <v>262</v>
      </c>
      <c r="E49" t="s">
        <v>632</v>
      </c>
      <c r="F49" t="s">
        <v>21</v>
      </c>
      <c r="G49" t="s">
        <v>1938</v>
      </c>
      <c r="H49">
        <v>0</v>
      </c>
      <c r="I49">
        <v>2</v>
      </c>
      <c r="J49">
        <v>0</v>
      </c>
      <c r="K49">
        <v>0</v>
      </c>
      <c r="L49">
        <v>0</v>
      </c>
    </row>
    <row r="50" spans="1:12">
      <c r="A50" t="str">
        <f>HYPERLINK("http://bombeiros.sp.gov.br/hidrantes/03individual/225.html","225")</f>
        <v>225</v>
      </c>
      <c r="B50" t="str">
        <f>HYPERLINK("http://bombeiros.sp.gov.br/hidrantes/08bsg/qrcodeBSG.html?id=225&amp;lat=-23.56525&amp;long=-46.64826&amp;tipo=S","QRCODE")</f>
        <v>QRCODE</v>
      </c>
      <c r="C50" t="s">
        <v>5264</v>
      </c>
      <c r="D50" t="s">
        <v>262</v>
      </c>
      <c r="E50" t="s">
        <v>632</v>
      </c>
      <c r="F50" t="s">
        <v>21</v>
      </c>
      <c r="G50" t="s">
        <v>1039</v>
      </c>
      <c r="H50">
        <v>1</v>
      </c>
      <c r="I50">
        <v>2</v>
      </c>
      <c r="J50">
        <v>0</v>
      </c>
      <c r="K50">
        <v>0</v>
      </c>
      <c r="L50">
        <v>0</v>
      </c>
    </row>
    <row r="51" spans="1:12">
      <c r="A51" t="str">
        <f>HYPERLINK("http://bombeiros.sp.gov.br/hidrantes/03individual/2338.html","2338")</f>
        <v>2338</v>
      </c>
      <c r="B51" t="str">
        <f>HYPERLINK("http://bombeiros.sp.gov.br/hidrantes/08bsg/qrcodeBSG.html?id=2338&amp;lat=-23.56408&amp;long=-46.65134&amp;tipo=S","QRCODE")</f>
        <v>QRCODE</v>
      </c>
      <c r="C51" t="s">
        <v>5264</v>
      </c>
      <c r="D51" t="s">
        <v>262</v>
      </c>
      <c r="E51" t="s">
        <v>632</v>
      </c>
      <c r="F51" t="s">
        <v>21</v>
      </c>
      <c r="G51" t="s">
        <v>935</v>
      </c>
      <c r="H51">
        <v>1</v>
      </c>
      <c r="I51">
        <v>2</v>
      </c>
      <c r="J51">
        <v>0</v>
      </c>
      <c r="K51">
        <v>0</v>
      </c>
      <c r="L51">
        <v>0</v>
      </c>
    </row>
    <row r="52" spans="1:12">
      <c r="A52" t="str">
        <f>HYPERLINK("http://bombeiros.sp.gov.br/hidrantes/03individual/2660.html","2660")</f>
        <v>2660</v>
      </c>
      <c r="B52" t="str">
        <f>HYPERLINK("http://bombeiros.sp.gov.br/hidrantes/08bsg/qrcodeBSG.html?id=2660&amp;lat=-23.56445&amp;long=-46.64929&amp;tipo=S","QRCODE")</f>
        <v>QRCODE</v>
      </c>
      <c r="C52" t="s">
        <v>5264</v>
      </c>
      <c r="D52" t="s">
        <v>262</v>
      </c>
      <c r="E52" t="s">
        <v>632</v>
      </c>
      <c r="F52" t="s">
        <v>21</v>
      </c>
      <c r="G52" t="s">
        <v>2003</v>
      </c>
      <c r="H52">
        <v>0</v>
      </c>
      <c r="I52">
        <v>2</v>
      </c>
      <c r="J52">
        <v>0</v>
      </c>
      <c r="K52">
        <v>0</v>
      </c>
      <c r="L52">
        <v>0</v>
      </c>
    </row>
    <row r="53" spans="1:12">
      <c r="A53" t="str">
        <f>HYPERLINK("http://bombeiros.sp.gov.br/hidrantes/03individual/52.html","52")</f>
        <v>52</v>
      </c>
      <c r="B53" t="str">
        <f>HYPERLINK("http://bombeiros.sp.gov.br/hidrantes/08bsg/qrcodeBSG.html?id=52&amp;lat=-23.55192&amp;long=-46.64696&amp;tipo=S","QRCODE")</f>
        <v>QRCODE</v>
      </c>
      <c r="C53" t="s">
        <v>5264</v>
      </c>
      <c r="D53" t="s">
        <v>262</v>
      </c>
      <c r="E53" t="s">
        <v>349</v>
      </c>
      <c r="F53" t="s">
        <v>21</v>
      </c>
      <c r="G53" t="s">
        <v>4848</v>
      </c>
      <c r="H53">
        <v>1</v>
      </c>
      <c r="I53">
        <v>1</v>
      </c>
      <c r="J53">
        <v>0</v>
      </c>
      <c r="K53">
        <v>0</v>
      </c>
      <c r="L53">
        <v>0</v>
      </c>
    </row>
    <row r="54" spans="1:12">
      <c r="A54" t="str">
        <f>HYPERLINK("http://bombeiros.sp.gov.br/hidrantes/03individual/192.html","192")</f>
        <v>192</v>
      </c>
      <c r="B54" t="str">
        <f>HYPERLINK("http://bombeiros.sp.gov.br/hidrantes/08bsg/qrcodeBSG.html?id=192&amp;lat=-23.55317&amp;long=-46.64678&amp;tipo=S","QRCODE")</f>
        <v>QRCODE</v>
      </c>
      <c r="C54" t="s">
        <v>5264</v>
      </c>
      <c r="D54" t="s">
        <v>262</v>
      </c>
      <c r="E54" t="s">
        <v>349</v>
      </c>
      <c r="F54" t="s">
        <v>21</v>
      </c>
      <c r="G54" t="s">
        <v>348</v>
      </c>
      <c r="H54">
        <v>0</v>
      </c>
      <c r="I54">
        <v>2</v>
      </c>
      <c r="J54">
        <v>0</v>
      </c>
      <c r="K54">
        <v>0</v>
      </c>
      <c r="L54">
        <v>0</v>
      </c>
    </row>
    <row r="55" spans="1:12">
      <c r="A55" t="str">
        <f>HYPERLINK("http://bombeiros.sp.gov.br/hidrantes/03individual/194.html","194")</f>
        <v>194</v>
      </c>
      <c r="B55" t="str">
        <f>HYPERLINK("http://bombeiros.sp.gov.br/hidrantes/08bsg/qrcodeBSG.html?id=194&amp;lat=-23.55330&amp;long=-46.65215&amp;tipo=S","QRCODE")</f>
        <v>QRCODE</v>
      </c>
      <c r="C55" t="s">
        <v>5264</v>
      </c>
      <c r="D55" t="s">
        <v>262</v>
      </c>
      <c r="E55" t="s">
        <v>349</v>
      </c>
      <c r="F55" t="s">
        <v>21</v>
      </c>
      <c r="G55" t="s">
        <v>350</v>
      </c>
      <c r="H55">
        <v>0</v>
      </c>
      <c r="I55">
        <v>2</v>
      </c>
      <c r="J55">
        <v>0</v>
      </c>
      <c r="K55">
        <v>0</v>
      </c>
      <c r="L55">
        <v>0</v>
      </c>
    </row>
    <row r="56" spans="1:12">
      <c r="A56" t="str">
        <f>HYPERLINK("http://bombeiros.sp.gov.br/hidrantes/03individual/227.html","227")</f>
        <v>227</v>
      </c>
      <c r="B56" t="str">
        <f>HYPERLINK("http://bombeiros.sp.gov.br/hidrantes/08bsg/qrcodeBSG.html?id=227&amp;lat=-23.55486&amp;long=-46.64855&amp;tipo=S","QRCODE")</f>
        <v>QRCODE</v>
      </c>
      <c r="C56" t="s">
        <v>5264</v>
      </c>
      <c r="D56" t="s">
        <v>262</v>
      </c>
      <c r="E56" t="s">
        <v>349</v>
      </c>
      <c r="F56" t="s">
        <v>21</v>
      </c>
      <c r="G56" t="s">
        <v>1939</v>
      </c>
      <c r="H56">
        <v>0</v>
      </c>
      <c r="I56">
        <v>2</v>
      </c>
      <c r="J56">
        <v>0</v>
      </c>
      <c r="K56">
        <v>0</v>
      </c>
      <c r="L56">
        <v>0</v>
      </c>
    </row>
    <row r="57" spans="1:12">
      <c r="A57" t="str">
        <f>HYPERLINK("http://bombeiros.sp.gov.br/hidrantes/03individual/250.html","250")</f>
        <v>250</v>
      </c>
      <c r="B57" t="str">
        <f>HYPERLINK("http://bombeiros.sp.gov.br/hidrantes/08bsg/qrcodeBSG.html?id=250&amp;lat=-23.55970&amp;long=-46.64539&amp;tipo=S","QRCODE")</f>
        <v>QRCODE</v>
      </c>
      <c r="C57" t="s">
        <v>5264</v>
      </c>
      <c r="D57" t="s">
        <v>262</v>
      </c>
      <c r="E57" t="s">
        <v>349</v>
      </c>
      <c r="F57" t="s">
        <v>21</v>
      </c>
      <c r="G57" t="s">
        <v>5174</v>
      </c>
      <c r="H57">
        <v>0</v>
      </c>
      <c r="I57">
        <v>1</v>
      </c>
      <c r="J57">
        <v>0</v>
      </c>
      <c r="K57">
        <v>0</v>
      </c>
      <c r="L57">
        <v>0</v>
      </c>
    </row>
    <row r="58" spans="1:12">
      <c r="A58" t="str">
        <f>HYPERLINK("http://bombeiros.sp.gov.br/hidrantes/03individual/2656.html","2656")</f>
        <v>2656</v>
      </c>
      <c r="B58" t="str">
        <f>HYPERLINK("http://bombeiros.sp.gov.br/hidrantes/08bsg/qrcodeBSG.html?id=2656&amp;lat=-23.55275&amp;long=-46.65124&amp;tipo=S","QRCODE")</f>
        <v>QRCODE</v>
      </c>
      <c r="C58" t="s">
        <v>5264</v>
      </c>
      <c r="D58" t="s">
        <v>262</v>
      </c>
      <c r="E58" t="s">
        <v>349</v>
      </c>
      <c r="F58" t="s">
        <v>21</v>
      </c>
      <c r="G58" t="s">
        <v>4901</v>
      </c>
      <c r="H58">
        <v>0</v>
      </c>
      <c r="I58">
        <v>2</v>
      </c>
      <c r="J58">
        <v>0</v>
      </c>
      <c r="K58">
        <v>0</v>
      </c>
      <c r="L58">
        <v>0</v>
      </c>
    </row>
    <row r="59" spans="1:12">
      <c r="A59" t="str">
        <f>HYPERLINK("http://bombeiros.sp.gov.br/hidrantes/03individual/2751.html","2751")</f>
        <v>2751</v>
      </c>
      <c r="B59" t="str">
        <f>HYPERLINK("http://bombeiros.sp.gov.br/hidrantes/08bsg/qrcodeBSG.html?id=2751&amp;lat=-23.55660&amp;long=-46.64675&amp;tipo=S","QRCODE")</f>
        <v>QRCODE</v>
      </c>
      <c r="C59" t="s">
        <v>5264</v>
      </c>
      <c r="D59" t="s">
        <v>262</v>
      </c>
      <c r="E59" t="s">
        <v>349</v>
      </c>
      <c r="F59" t="s">
        <v>21</v>
      </c>
      <c r="G59" t="s">
        <v>3620</v>
      </c>
      <c r="H59">
        <v>2</v>
      </c>
      <c r="I59">
        <v>1</v>
      </c>
      <c r="J59">
        <v>0</v>
      </c>
      <c r="K59">
        <v>0</v>
      </c>
      <c r="L59">
        <v>0</v>
      </c>
    </row>
    <row r="60" spans="1:12">
      <c r="A60" t="str">
        <f>HYPERLINK("http://bombeiros.sp.gov.br/hidrantes/03individual/2752.html","2752")</f>
        <v>2752</v>
      </c>
      <c r="B60" t="str">
        <f>HYPERLINK("http://bombeiros.sp.gov.br/hidrantes/08bsg/qrcodeBSG.html?id=2752&amp;lat=-23.55633&amp;long=-46.64815&amp;tipo=S","QRCODE")</f>
        <v>QRCODE</v>
      </c>
      <c r="C60" t="s">
        <v>5264</v>
      </c>
      <c r="D60" t="s">
        <v>262</v>
      </c>
      <c r="E60" t="s">
        <v>349</v>
      </c>
      <c r="F60" t="s">
        <v>21</v>
      </c>
      <c r="G60" t="s">
        <v>5217</v>
      </c>
      <c r="H60">
        <v>1</v>
      </c>
      <c r="I60">
        <v>0</v>
      </c>
      <c r="J60">
        <v>0</v>
      </c>
      <c r="K60">
        <v>0</v>
      </c>
      <c r="L60">
        <v>0</v>
      </c>
    </row>
    <row r="61" spans="1:12">
      <c r="A61" t="str">
        <f>HYPERLINK("http://bombeiros.sp.gov.br/hidrantes/03individual/2753.html","2753")</f>
        <v>2753</v>
      </c>
      <c r="B61" t="str">
        <f>HYPERLINK("http://bombeiros.sp.gov.br/hidrantes/08bsg/qrcodeBSG.html?id=2753&amp;lat=-23.55554&amp;long=-46.64788&amp;tipo=S","QRCODE")</f>
        <v>QRCODE</v>
      </c>
      <c r="C61" t="s">
        <v>5264</v>
      </c>
      <c r="D61" t="s">
        <v>262</v>
      </c>
      <c r="E61" t="s">
        <v>349</v>
      </c>
      <c r="F61" t="s">
        <v>21</v>
      </c>
      <c r="G61" t="s">
        <v>957</v>
      </c>
      <c r="H61">
        <v>1</v>
      </c>
      <c r="I61">
        <v>3</v>
      </c>
      <c r="J61">
        <v>0</v>
      </c>
      <c r="K61">
        <v>0</v>
      </c>
      <c r="L61">
        <v>0</v>
      </c>
    </row>
    <row r="62" spans="1:12">
      <c r="A62" t="str">
        <f>HYPERLINK("http://bombeiros.sp.gov.br/hidrantes/03individual/2755.html","2755")</f>
        <v>2755</v>
      </c>
      <c r="B62" t="str">
        <f>HYPERLINK("http://bombeiros.sp.gov.br/hidrantes/08bsg/qrcodeBSG.html?id=2755&amp;lat=-23.55631&amp;long=-46.64729&amp;tipo=S","QRCODE")</f>
        <v>QRCODE</v>
      </c>
      <c r="C62" t="s">
        <v>5264</v>
      </c>
      <c r="D62" t="s">
        <v>262</v>
      </c>
      <c r="E62" t="s">
        <v>349</v>
      </c>
      <c r="F62" t="s">
        <v>21</v>
      </c>
      <c r="G62" t="s">
        <v>5200</v>
      </c>
      <c r="H62">
        <v>2</v>
      </c>
      <c r="I62">
        <v>0</v>
      </c>
      <c r="J62">
        <v>0</v>
      </c>
      <c r="K62">
        <v>0</v>
      </c>
      <c r="L62">
        <v>0</v>
      </c>
    </row>
    <row r="63" spans="1:12">
      <c r="A63" t="str">
        <f>HYPERLINK("http://bombeiros.sp.gov.br/hidrantes/03individual/5645.html","5645")</f>
        <v>5645</v>
      </c>
      <c r="B63" t="str">
        <f>HYPERLINK("http://bombeiros.sp.gov.br/hidrantes/08bsg/qrcodeBSG.html?id=5645&amp;lat=-23.55487&amp;long=-46.64975&amp;tipo=S","QRCODE")</f>
        <v>QRCODE</v>
      </c>
      <c r="C63" t="s">
        <v>5264</v>
      </c>
      <c r="D63" t="s">
        <v>262</v>
      </c>
      <c r="E63" t="s">
        <v>349</v>
      </c>
      <c r="F63" t="s">
        <v>21</v>
      </c>
      <c r="G63" t="s">
        <v>5238</v>
      </c>
      <c r="H63">
        <v>1</v>
      </c>
      <c r="I63">
        <v>0</v>
      </c>
      <c r="J63">
        <v>0</v>
      </c>
      <c r="K63">
        <v>0</v>
      </c>
      <c r="L63">
        <v>0</v>
      </c>
    </row>
    <row r="64" spans="1:12">
      <c r="A64" t="str">
        <f>HYPERLINK("http://bombeiros.sp.gov.br/hidrantes/03individual/810.html","810")</f>
        <v>810</v>
      </c>
      <c r="B64" t="str">
        <f>HYPERLINK("http://bombeiros.sp.gov.br/hidrantes/08bsg/qrcodeBSG.html?id=810&amp;lat=-23.52191&amp;long=-46.64974&amp;tipo=C","QRCODE")</f>
        <v>QRCODE</v>
      </c>
      <c r="C64" t="s">
        <v>5264</v>
      </c>
      <c r="D64" t="s">
        <v>638</v>
      </c>
      <c r="E64" t="s">
        <v>638</v>
      </c>
      <c r="F64" t="s">
        <v>12</v>
      </c>
      <c r="G64" t="s">
        <v>5201</v>
      </c>
      <c r="H64">
        <v>3</v>
      </c>
      <c r="I64">
        <v>0</v>
      </c>
      <c r="J64">
        <v>0</v>
      </c>
      <c r="K64">
        <v>0</v>
      </c>
      <c r="L64">
        <v>0</v>
      </c>
    </row>
    <row r="65" spans="1:12">
      <c r="A65" t="str">
        <f>HYPERLINK("http://bombeiros.sp.gov.br/hidrantes/03individual/2800.html","2800")</f>
        <v>2800</v>
      </c>
      <c r="B65" t="str">
        <f>HYPERLINK("http://bombeiros.sp.gov.br/hidrantes/08bsg/qrcodeBSG.html?id=2800&amp;lat=-23.52245&amp;long=-46.64598&amp;tipo=C","QRCODE")</f>
        <v>QRCODE</v>
      </c>
      <c r="C65" t="s">
        <v>5264</v>
      </c>
      <c r="D65" t="s">
        <v>638</v>
      </c>
      <c r="E65" t="s">
        <v>638</v>
      </c>
      <c r="F65" t="s">
        <v>12</v>
      </c>
      <c r="G65" t="s">
        <v>3618</v>
      </c>
      <c r="H65">
        <v>1</v>
      </c>
      <c r="I65">
        <v>1</v>
      </c>
      <c r="J65">
        <v>0</v>
      </c>
      <c r="K65">
        <v>0</v>
      </c>
      <c r="L65">
        <v>0</v>
      </c>
    </row>
    <row r="66" spans="1:12">
      <c r="A66" t="str">
        <f>HYPERLINK("http://bombeiros.sp.gov.br/hidrantes/03individual/2815.html","2815")</f>
        <v>2815</v>
      </c>
      <c r="B66" t="str">
        <f>HYPERLINK("http://bombeiros.sp.gov.br/hidrantes/08bsg/qrcodeBSG.html?id=2815&amp;lat=-23.52171&amp;long=-46.63832&amp;tipo=C","QRCODE")</f>
        <v>QRCODE</v>
      </c>
      <c r="C66" t="s">
        <v>5264</v>
      </c>
      <c r="D66" t="s">
        <v>638</v>
      </c>
      <c r="E66" t="s">
        <v>638</v>
      </c>
      <c r="F66" t="s">
        <v>12</v>
      </c>
      <c r="G66" t="s">
        <v>2581</v>
      </c>
      <c r="H66">
        <v>0</v>
      </c>
      <c r="I66">
        <v>2</v>
      </c>
      <c r="J66">
        <v>0</v>
      </c>
      <c r="K66">
        <v>0</v>
      </c>
      <c r="L66">
        <v>0</v>
      </c>
    </row>
    <row r="67" spans="1:12">
      <c r="A67" t="str">
        <f>HYPERLINK("http://bombeiros.sp.gov.br/hidrantes/03individual/5501.html","5501")</f>
        <v>5501</v>
      </c>
      <c r="B67" t="str">
        <f>HYPERLINK("http://bombeiros.sp.gov.br/hidrantes/08bsg/qrcodeBSG.html?id=5501&amp;lat=-23.52820&amp;long=-46.64767&amp;tipo=C","QRCODE")</f>
        <v>QRCODE</v>
      </c>
      <c r="C67" t="s">
        <v>5264</v>
      </c>
      <c r="D67" t="s">
        <v>638</v>
      </c>
      <c r="E67" t="s">
        <v>638</v>
      </c>
      <c r="F67" t="s">
        <v>12</v>
      </c>
      <c r="G67" t="s">
        <v>5187</v>
      </c>
      <c r="H67">
        <v>0</v>
      </c>
      <c r="I67">
        <v>1</v>
      </c>
      <c r="J67">
        <v>0</v>
      </c>
      <c r="K67">
        <v>0</v>
      </c>
      <c r="L67">
        <v>0</v>
      </c>
    </row>
    <row r="68" spans="1:12">
      <c r="A68" t="str">
        <f>HYPERLINK("http://bombeiros.sp.gov.br/hidrantes/03individual/586.html","586")</f>
        <v>586</v>
      </c>
      <c r="B68" t="str">
        <f>HYPERLINK("http://bombeiros.sp.gov.br/hidrantes/08bsg/qrcodeBSG.html?id=586&amp;lat=-23.52459&amp;long=-46.64477&amp;tipo=S","QRCODE")</f>
        <v>QRCODE</v>
      </c>
      <c r="C68" t="s">
        <v>5264</v>
      </c>
      <c r="D68" t="s">
        <v>638</v>
      </c>
      <c r="E68" t="s">
        <v>638</v>
      </c>
      <c r="F68" t="s">
        <v>21</v>
      </c>
      <c r="G68" t="s">
        <v>1060</v>
      </c>
      <c r="H68">
        <v>1</v>
      </c>
      <c r="I68">
        <v>2</v>
      </c>
      <c r="J68">
        <v>0</v>
      </c>
      <c r="K68">
        <v>0</v>
      </c>
      <c r="L68">
        <v>0</v>
      </c>
    </row>
    <row r="69" spans="1:12">
      <c r="A69" t="str">
        <f>HYPERLINK("http://bombeiros.sp.gov.br/hidrantes/03individual/588.html","588")</f>
        <v>588</v>
      </c>
      <c r="B69" t="str">
        <f>HYPERLINK("http://bombeiros.sp.gov.br/hidrantes/08bsg/qrcodeBSG.html?id=588&amp;lat=-23.52365&amp;long=-46.64283&amp;tipo=S","QRCODE")</f>
        <v>QRCODE</v>
      </c>
      <c r="C69" t="s">
        <v>5264</v>
      </c>
      <c r="D69" t="s">
        <v>638</v>
      </c>
      <c r="E69" t="s">
        <v>638</v>
      </c>
      <c r="F69" t="s">
        <v>21</v>
      </c>
      <c r="G69" t="s">
        <v>1061</v>
      </c>
      <c r="H69">
        <v>2</v>
      </c>
      <c r="I69">
        <v>2</v>
      </c>
      <c r="J69">
        <v>0</v>
      </c>
      <c r="K69">
        <v>0</v>
      </c>
      <c r="L69">
        <v>0</v>
      </c>
    </row>
    <row r="70" spans="1:12">
      <c r="A70" t="str">
        <f>HYPERLINK("http://bombeiros.sp.gov.br/hidrantes/03individual/653.html","653")</f>
        <v>653</v>
      </c>
      <c r="B70" t="str">
        <f>HYPERLINK("http://bombeiros.sp.gov.br/hidrantes/08bsg/qrcodeBSG.html?id=653&amp;lat=-23.52577&amp;long=-46.64439&amp;tipo=S","QRCODE")</f>
        <v>QRCODE</v>
      </c>
      <c r="C70" t="s">
        <v>5264</v>
      </c>
      <c r="D70" t="s">
        <v>638</v>
      </c>
      <c r="E70" t="s">
        <v>638</v>
      </c>
      <c r="F70" t="s">
        <v>21</v>
      </c>
      <c r="G70" t="s">
        <v>2843</v>
      </c>
      <c r="H70">
        <v>0</v>
      </c>
      <c r="I70">
        <v>2</v>
      </c>
      <c r="J70">
        <v>0</v>
      </c>
      <c r="K70">
        <v>0</v>
      </c>
      <c r="L70">
        <v>0</v>
      </c>
    </row>
    <row r="71" spans="1:12">
      <c r="A71" t="str">
        <f>HYPERLINK("http://bombeiros.sp.gov.br/hidrantes/03individual/683.html","683")</f>
        <v>683</v>
      </c>
      <c r="B71" t="str">
        <f>HYPERLINK("http://bombeiros.sp.gov.br/hidrantes/08bsg/qrcodeBSG.html?id=683&amp;lat=-23.52075&amp;long=-46.64582&amp;tipo=S","QRCODE")</f>
        <v>QRCODE</v>
      </c>
      <c r="C71" t="s">
        <v>5264</v>
      </c>
      <c r="D71" t="s">
        <v>638</v>
      </c>
      <c r="E71" t="s">
        <v>638</v>
      </c>
      <c r="F71" t="s">
        <v>21</v>
      </c>
      <c r="G71" t="s">
        <v>4231</v>
      </c>
      <c r="H71">
        <v>0</v>
      </c>
      <c r="I71">
        <v>1</v>
      </c>
      <c r="J71">
        <v>0</v>
      </c>
      <c r="K71">
        <v>0</v>
      </c>
      <c r="L71">
        <v>0</v>
      </c>
    </row>
    <row r="72" spans="1:12">
      <c r="A72" t="str">
        <f>HYPERLINK("http://bombeiros.sp.gov.br/hidrantes/03individual/692.html","692")</f>
        <v>692</v>
      </c>
      <c r="B72" t="str">
        <f>HYPERLINK("http://bombeiros.sp.gov.br/hidrantes/08bsg/qrcodeBSG.html?id=692&amp;lat=-23.52298&amp;long=-46.64455&amp;tipo=S","QRCODE")</f>
        <v>QRCODE</v>
      </c>
      <c r="C72" t="s">
        <v>5264</v>
      </c>
      <c r="D72" t="s">
        <v>638</v>
      </c>
      <c r="E72" t="s">
        <v>638</v>
      </c>
      <c r="F72" t="s">
        <v>21</v>
      </c>
      <c r="G72" t="s">
        <v>1056</v>
      </c>
      <c r="H72">
        <v>1</v>
      </c>
      <c r="I72">
        <v>2</v>
      </c>
      <c r="J72">
        <v>0</v>
      </c>
      <c r="K72">
        <v>0</v>
      </c>
      <c r="L72">
        <v>0</v>
      </c>
    </row>
    <row r="73" spans="1:12">
      <c r="A73" t="str">
        <f>HYPERLINK("http://bombeiros.sp.gov.br/hidrantes/03individual/792.html","792")</f>
        <v>792</v>
      </c>
      <c r="B73" t="str">
        <f>HYPERLINK("http://bombeiros.sp.gov.br/hidrantes/08bsg/qrcodeBSG.html?id=792&amp;lat=-23.52459&amp;long=-46.64259&amp;tipo=S","QRCODE")</f>
        <v>QRCODE</v>
      </c>
      <c r="C73" t="s">
        <v>5264</v>
      </c>
      <c r="D73" t="s">
        <v>638</v>
      </c>
      <c r="E73" t="s">
        <v>638</v>
      </c>
      <c r="F73" t="s">
        <v>21</v>
      </c>
      <c r="G73" t="s">
        <v>3872</v>
      </c>
      <c r="H73">
        <v>0</v>
      </c>
      <c r="I73">
        <v>1</v>
      </c>
      <c r="J73">
        <v>0</v>
      </c>
      <c r="K73">
        <v>0</v>
      </c>
      <c r="L73">
        <v>0</v>
      </c>
    </row>
    <row r="74" spans="1:12">
      <c r="A74" t="str">
        <f>HYPERLINK("http://bombeiros.sp.gov.br/hidrantes/03individual/796.html","796")</f>
        <v>796</v>
      </c>
      <c r="B74" t="str">
        <f>HYPERLINK("http://bombeiros.sp.gov.br/hidrantes/08bsg/qrcodeBSG.html?id=796&amp;lat=-23.52768&amp;long=-46.64508&amp;tipo=S","QRCODE")</f>
        <v>QRCODE</v>
      </c>
      <c r="C74" t="s">
        <v>5264</v>
      </c>
      <c r="D74" t="s">
        <v>638</v>
      </c>
      <c r="E74" t="s">
        <v>638</v>
      </c>
      <c r="F74" t="s">
        <v>21</v>
      </c>
      <c r="G74" t="s">
        <v>2235</v>
      </c>
      <c r="H74">
        <v>0</v>
      </c>
      <c r="I74">
        <v>2</v>
      </c>
      <c r="J74">
        <v>0</v>
      </c>
      <c r="K74">
        <v>0</v>
      </c>
      <c r="L74">
        <v>0</v>
      </c>
    </row>
    <row r="75" spans="1:12">
      <c r="A75" t="str">
        <f>HYPERLINK("http://bombeiros.sp.gov.br/hidrantes/03individual/2794.html","2794")</f>
        <v>2794</v>
      </c>
      <c r="B75" t="str">
        <f>HYPERLINK("http://bombeiros.sp.gov.br/hidrantes/08bsg/qrcodeBSG.html?id=2794&amp;lat=-23.52192&amp;long=-46.65094&amp;tipo=S","QRCODE")</f>
        <v>QRCODE</v>
      </c>
      <c r="C75" t="s">
        <v>5264</v>
      </c>
      <c r="D75" t="s">
        <v>638</v>
      </c>
      <c r="E75" t="s">
        <v>638</v>
      </c>
      <c r="F75" t="s">
        <v>21</v>
      </c>
      <c r="G75" t="s">
        <v>637</v>
      </c>
      <c r="H75">
        <v>1</v>
      </c>
      <c r="I75">
        <v>1</v>
      </c>
      <c r="J75">
        <v>0</v>
      </c>
      <c r="K75">
        <v>0</v>
      </c>
      <c r="L75">
        <v>0</v>
      </c>
    </row>
    <row r="76" spans="1:12">
      <c r="A76" t="str">
        <f>HYPERLINK("http://bombeiros.sp.gov.br/hidrantes/03individual/2801.html","2801")</f>
        <v>2801</v>
      </c>
      <c r="B76" t="str">
        <f>HYPERLINK("http://bombeiros.sp.gov.br/hidrantes/08bsg/qrcodeBSG.html?id=2801&amp;lat=-23.52102&amp;long=-46.64341&amp;tipo=S","QRCODE")</f>
        <v>QRCODE</v>
      </c>
      <c r="C76" t="s">
        <v>5264</v>
      </c>
      <c r="D76" t="s">
        <v>638</v>
      </c>
      <c r="E76" t="s">
        <v>638</v>
      </c>
      <c r="F76" t="s">
        <v>21</v>
      </c>
      <c r="G76" t="s">
        <v>1111</v>
      </c>
      <c r="H76">
        <v>1</v>
      </c>
      <c r="I76">
        <v>2</v>
      </c>
      <c r="J76">
        <v>0</v>
      </c>
      <c r="K76">
        <v>0</v>
      </c>
      <c r="L76">
        <v>0</v>
      </c>
    </row>
    <row r="77" spans="1:12">
      <c r="A77" t="str">
        <f>HYPERLINK("http://bombeiros.sp.gov.br/hidrantes/03individual/2802.html","2802")</f>
        <v>2802</v>
      </c>
      <c r="B77" t="str">
        <f>HYPERLINK("http://bombeiros.sp.gov.br/hidrantes/08bsg/qrcodeBSG.html?id=2802&amp;lat=-23.52233&amp;long=-46.64313&amp;tipo=S","QRCODE")</f>
        <v>QRCODE</v>
      </c>
      <c r="C77" t="s">
        <v>5264</v>
      </c>
      <c r="D77" t="s">
        <v>638</v>
      </c>
      <c r="E77" t="s">
        <v>638</v>
      </c>
      <c r="F77" t="s">
        <v>21</v>
      </c>
      <c r="G77" t="s">
        <v>2584</v>
      </c>
      <c r="H77">
        <v>0</v>
      </c>
      <c r="I77">
        <v>3</v>
      </c>
      <c r="J77">
        <v>0</v>
      </c>
      <c r="K77">
        <v>0</v>
      </c>
      <c r="L77">
        <v>0</v>
      </c>
    </row>
    <row r="78" spans="1:12">
      <c r="A78" t="str">
        <f>HYPERLINK("http://bombeiros.sp.gov.br/hidrantes/03individual/2803.html","2803")</f>
        <v>2803</v>
      </c>
      <c r="B78" t="str">
        <f>HYPERLINK("http://bombeiros.sp.gov.br/hidrantes/08bsg/qrcodeBSG.html?id=2803&amp;lat=-23.52406&amp;long=-46.64426&amp;tipo=S","QRCODE")</f>
        <v>QRCODE</v>
      </c>
      <c r="C78" t="s">
        <v>5264</v>
      </c>
      <c r="D78" t="s">
        <v>638</v>
      </c>
      <c r="E78" t="s">
        <v>638</v>
      </c>
      <c r="F78" t="s">
        <v>21</v>
      </c>
      <c r="G78" t="s">
        <v>2585</v>
      </c>
      <c r="H78">
        <v>0</v>
      </c>
      <c r="I78">
        <v>2</v>
      </c>
      <c r="J78">
        <v>0</v>
      </c>
      <c r="K78">
        <v>0</v>
      </c>
      <c r="L78">
        <v>0</v>
      </c>
    </row>
    <row r="79" spans="1:12">
      <c r="A79" t="str">
        <f>HYPERLINK("http://bombeiros.sp.gov.br/hidrantes/03individual/2806.html","2806")</f>
        <v>2806</v>
      </c>
      <c r="B79" t="str">
        <f>HYPERLINK("http://bombeiros.sp.gov.br/hidrantes/08bsg/qrcodeBSG.html?id=2806&amp;lat=-23.52337&amp;long=-46.64547&amp;tipo=S","QRCODE")</f>
        <v>QRCODE</v>
      </c>
      <c r="C79" t="s">
        <v>5264</v>
      </c>
      <c r="D79" t="s">
        <v>638</v>
      </c>
      <c r="E79" t="s">
        <v>638</v>
      </c>
      <c r="F79" t="s">
        <v>21</v>
      </c>
      <c r="G79" t="s">
        <v>3619</v>
      </c>
      <c r="H79">
        <v>1</v>
      </c>
      <c r="I79">
        <v>1</v>
      </c>
      <c r="J79">
        <v>0</v>
      </c>
      <c r="K79">
        <v>0</v>
      </c>
      <c r="L79">
        <v>0</v>
      </c>
    </row>
    <row r="80" spans="1:12">
      <c r="A80" t="str">
        <f>HYPERLINK("http://bombeiros.sp.gov.br/hidrantes/03individual/2808.html","2808")</f>
        <v>2808</v>
      </c>
      <c r="B80" t="str">
        <f>HYPERLINK("http://bombeiros.sp.gov.br/hidrantes/08bsg/qrcodeBSG.html?id=2808&amp;lat=-23.52502&amp;long=-46.64345&amp;tipo=S","QRCODE")</f>
        <v>QRCODE</v>
      </c>
      <c r="C80" t="s">
        <v>5264</v>
      </c>
      <c r="D80" t="s">
        <v>638</v>
      </c>
      <c r="E80" t="s">
        <v>638</v>
      </c>
      <c r="F80" t="s">
        <v>21</v>
      </c>
      <c r="G80" t="s">
        <v>2199</v>
      </c>
      <c r="H80">
        <v>0</v>
      </c>
      <c r="I80">
        <v>2</v>
      </c>
      <c r="J80">
        <v>0</v>
      </c>
      <c r="K80">
        <v>0</v>
      </c>
      <c r="L80">
        <v>0</v>
      </c>
    </row>
    <row r="81" spans="1:12">
      <c r="A81" t="str">
        <f>HYPERLINK("http://bombeiros.sp.gov.br/hidrantes/03individual/2811.html","2811")</f>
        <v>2811</v>
      </c>
      <c r="B81" t="str">
        <f>HYPERLINK("http://bombeiros.sp.gov.br/hidrantes/08bsg/qrcodeBSG.html?id=2811&amp;lat=-23.52662&amp;long=-46.64284&amp;tipo=S","QRCODE")</f>
        <v>QRCODE</v>
      </c>
      <c r="C81" t="s">
        <v>5264</v>
      </c>
      <c r="D81" t="s">
        <v>638</v>
      </c>
      <c r="E81" t="s">
        <v>638</v>
      </c>
      <c r="F81" t="s">
        <v>21</v>
      </c>
      <c r="G81" t="s">
        <v>2893</v>
      </c>
      <c r="H81">
        <v>0</v>
      </c>
      <c r="I81">
        <v>2</v>
      </c>
      <c r="J81">
        <v>0</v>
      </c>
      <c r="K81">
        <v>0</v>
      </c>
      <c r="L81">
        <v>0</v>
      </c>
    </row>
    <row r="82" spans="1:12">
      <c r="A82" t="str">
        <f>HYPERLINK("http://bombeiros.sp.gov.br/hidrantes/03individual/2814.html","2814")</f>
        <v>2814</v>
      </c>
      <c r="B82" t="str">
        <f>HYPERLINK("http://bombeiros.sp.gov.br/hidrantes/08bsg/qrcodeBSG.html?id=2814&amp;lat=-23.52252&amp;long=-46.64097&amp;tipo=S","QRCODE")</f>
        <v>QRCODE</v>
      </c>
      <c r="C82" t="s">
        <v>5264</v>
      </c>
      <c r="D82" t="s">
        <v>638</v>
      </c>
      <c r="E82" t="s">
        <v>638</v>
      </c>
      <c r="F82" t="s">
        <v>21</v>
      </c>
      <c r="G82" t="s">
        <v>4903</v>
      </c>
      <c r="H82">
        <v>1</v>
      </c>
      <c r="I82">
        <v>1</v>
      </c>
      <c r="J82">
        <v>0</v>
      </c>
      <c r="K82">
        <v>0</v>
      </c>
      <c r="L82">
        <v>0</v>
      </c>
    </row>
    <row r="83" spans="1:12">
      <c r="A83" t="str">
        <f>HYPERLINK("http://bombeiros.sp.gov.br/hidrantes/03individual/2930.html","2930")</f>
        <v>2930</v>
      </c>
      <c r="B83" t="str">
        <f>HYPERLINK("http://bombeiros.sp.gov.br/hidrantes/08bsg/qrcodeBSG.html?id=2930&amp;lat=-23.52676&amp;long=-46.64697&amp;tipo=S","QRCODE")</f>
        <v>QRCODE</v>
      </c>
      <c r="C83" t="s">
        <v>5264</v>
      </c>
      <c r="D83" t="s">
        <v>638</v>
      </c>
      <c r="E83" t="s">
        <v>638</v>
      </c>
      <c r="F83" t="s">
        <v>21</v>
      </c>
      <c r="G83" t="s">
        <v>2601</v>
      </c>
      <c r="H83">
        <v>0</v>
      </c>
      <c r="I83">
        <v>2</v>
      </c>
      <c r="J83">
        <v>0</v>
      </c>
      <c r="K83">
        <v>0</v>
      </c>
      <c r="L83">
        <v>0</v>
      </c>
    </row>
    <row r="84" spans="1:12">
      <c r="A84" t="str">
        <f>HYPERLINK("http://bombeiros.sp.gov.br/hidrantes/03individual/16633.html","16633")</f>
        <v>16633</v>
      </c>
      <c r="B84" t="str">
        <f>HYPERLINK("http://bombeiros.sp.gov.br/hidrantes/08bsg/qrcodeBSG.html?id=16633&amp;lat=-23.52568&amp;long=-46.64081&amp;tipo=S","QRCODE")</f>
        <v>QRCODE</v>
      </c>
      <c r="C84" t="s">
        <v>5264</v>
      </c>
      <c r="D84" t="s">
        <v>638</v>
      </c>
      <c r="E84" t="s">
        <v>638</v>
      </c>
      <c r="F84" t="s">
        <v>21</v>
      </c>
      <c r="G84" t="s">
        <v>3832</v>
      </c>
      <c r="H84">
        <v>1</v>
      </c>
      <c r="I84">
        <v>1</v>
      </c>
      <c r="J84">
        <v>0</v>
      </c>
      <c r="K84">
        <v>0</v>
      </c>
      <c r="L84">
        <v>0</v>
      </c>
    </row>
    <row r="85" spans="1:12">
      <c r="A85" t="str">
        <f>HYPERLINK("http://bombeiros.sp.gov.br/hidrantes/03individual/627.html","627")</f>
        <v>627</v>
      </c>
      <c r="B85" t="str">
        <f>HYPERLINK("http://bombeiros.sp.gov.br/hidrantes/08bsg/qrcodeBSG.html?id=627&amp;lat=-23.53562&amp;long=-46.62732&amp;tipo=C","QRCODE")</f>
        <v>QRCODE</v>
      </c>
      <c r="C85" t="s">
        <v>5264</v>
      </c>
      <c r="D85" t="s">
        <v>638</v>
      </c>
      <c r="E85" t="s">
        <v>272</v>
      </c>
      <c r="F85" t="s">
        <v>12</v>
      </c>
      <c r="G85" t="s">
        <v>810</v>
      </c>
      <c r="H85">
        <v>1</v>
      </c>
      <c r="I85">
        <v>3</v>
      </c>
      <c r="J85">
        <v>0</v>
      </c>
      <c r="K85">
        <v>0</v>
      </c>
      <c r="L85">
        <v>0</v>
      </c>
    </row>
    <row r="86" spans="1:12">
      <c r="A86" t="str">
        <f>HYPERLINK("http://bombeiros.sp.gov.br/hidrantes/03individual/795.html","795")</f>
        <v>795</v>
      </c>
      <c r="B86" t="str">
        <f>HYPERLINK("http://bombeiros.sp.gov.br/hidrantes/08bsg/qrcodeBSG.html?id=795&amp;lat=-23.52616&amp;long=-46.64134&amp;tipo=C","QRCODE")</f>
        <v>QRCODE</v>
      </c>
      <c r="C86" t="s">
        <v>5264</v>
      </c>
      <c r="D86" t="s">
        <v>638</v>
      </c>
      <c r="E86" t="s">
        <v>272</v>
      </c>
      <c r="F86" t="s">
        <v>12</v>
      </c>
      <c r="G86" t="s">
        <v>2861</v>
      </c>
      <c r="H86">
        <v>0</v>
      </c>
      <c r="I86">
        <v>2</v>
      </c>
      <c r="J86">
        <v>0</v>
      </c>
      <c r="K86">
        <v>0</v>
      </c>
      <c r="L86">
        <v>0</v>
      </c>
    </row>
    <row r="87" spans="1:12">
      <c r="A87" t="str">
        <f>HYPERLINK("http://bombeiros.sp.gov.br/hidrantes/03individual/802.html","802")</f>
        <v>802</v>
      </c>
      <c r="B87" t="str">
        <f>HYPERLINK("http://bombeiros.sp.gov.br/hidrantes/08bsg/qrcodeBSG.html?id=802&amp;lat=-23.52980&amp;long=-46.63433&amp;tipo=C","QRCODE")</f>
        <v>QRCODE</v>
      </c>
      <c r="C87" t="s">
        <v>5264</v>
      </c>
      <c r="D87" t="s">
        <v>638</v>
      </c>
      <c r="E87" t="s">
        <v>272</v>
      </c>
      <c r="F87" t="s">
        <v>12</v>
      </c>
      <c r="G87" t="s">
        <v>2860</v>
      </c>
      <c r="H87">
        <v>0</v>
      </c>
      <c r="I87">
        <v>2</v>
      </c>
      <c r="J87">
        <v>0</v>
      </c>
      <c r="K87">
        <v>0</v>
      </c>
      <c r="L87">
        <v>0</v>
      </c>
    </row>
    <row r="88" spans="1:12">
      <c r="A88" t="str">
        <f>HYPERLINK("http://bombeiros.sp.gov.br/hidrantes/03individual/2051.html","2051")</f>
        <v>2051</v>
      </c>
      <c r="B88" t="str">
        <f>HYPERLINK("http://bombeiros.sp.gov.br/hidrantes/08bsg/qrcodeBSG.html?id=2051&amp;lat=-23.53049&amp;long=-46.63354&amp;tipo=C","QRCODE")</f>
        <v>QRCODE</v>
      </c>
      <c r="C88" t="s">
        <v>5264</v>
      </c>
      <c r="D88" t="s">
        <v>638</v>
      </c>
      <c r="E88" t="s">
        <v>272</v>
      </c>
      <c r="F88" t="s">
        <v>12</v>
      </c>
      <c r="G88" t="s">
        <v>2872</v>
      </c>
      <c r="H88">
        <v>1</v>
      </c>
      <c r="I88">
        <v>2</v>
      </c>
      <c r="J88">
        <v>0</v>
      </c>
      <c r="K88">
        <v>0</v>
      </c>
      <c r="L88">
        <v>0</v>
      </c>
    </row>
    <row r="89" spans="1:12">
      <c r="A89" t="str">
        <f>HYPERLINK("http://bombeiros.sp.gov.br/hidrantes/03individual/2053.html","2053")</f>
        <v>2053</v>
      </c>
      <c r="B89" t="str">
        <f>HYPERLINK("http://bombeiros.sp.gov.br/hidrantes/08bsg/qrcodeBSG.html?id=2053&amp;lat=-23.53062&amp;long=-46.63264&amp;tipo=C","QRCODE")</f>
        <v>QRCODE</v>
      </c>
      <c r="C89" t="s">
        <v>5264</v>
      </c>
      <c r="D89" t="s">
        <v>638</v>
      </c>
      <c r="E89" t="s">
        <v>272</v>
      </c>
      <c r="F89" t="s">
        <v>12</v>
      </c>
      <c r="G89" t="s">
        <v>2408</v>
      </c>
      <c r="H89">
        <v>1</v>
      </c>
      <c r="I89">
        <v>3</v>
      </c>
      <c r="J89">
        <v>0</v>
      </c>
      <c r="K89">
        <v>0</v>
      </c>
      <c r="L89">
        <v>0</v>
      </c>
    </row>
    <row r="90" spans="1:12">
      <c r="A90" t="str">
        <f>HYPERLINK("http://bombeiros.sp.gov.br/hidrantes/03individual/2414.html","2414")</f>
        <v>2414</v>
      </c>
      <c r="B90" t="str">
        <f>HYPERLINK("http://bombeiros.sp.gov.br/hidrantes/08bsg/qrcodeBSG.html?id=2414&amp;lat=-23.52854&amp;long=-46.63917&amp;tipo=C","QRCODE")</f>
        <v>QRCODE</v>
      </c>
      <c r="C90" t="s">
        <v>5264</v>
      </c>
      <c r="D90" t="s">
        <v>638</v>
      </c>
      <c r="E90" t="s">
        <v>272</v>
      </c>
      <c r="F90" t="s">
        <v>12</v>
      </c>
      <c r="G90" t="s">
        <v>2901</v>
      </c>
      <c r="H90">
        <v>0</v>
      </c>
      <c r="I90">
        <v>2</v>
      </c>
      <c r="J90">
        <v>0</v>
      </c>
      <c r="K90">
        <v>0</v>
      </c>
      <c r="L90">
        <v>0</v>
      </c>
    </row>
    <row r="91" spans="1:12">
      <c r="A91" t="str">
        <f>HYPERLINK("http://bombeiros.sp.gov.br/hidrantes/03individual/2416.html","2416")</f>
        <v>2416</v>
      </c>
      <c r="B91" t="str">
        <f>HYPERLINK("http://bombeiros.sp.gov.br/hidrantes/08bsg/qrcodeBSG.html?id=2416&amp;lat=-23.52624&amp;long=-46.63926&amp;tipo=C","QRCODE")</f>
        <v>QRCODE</v>
      </c>
      <c r="C91" t="s">
        <v>5264</v>
      </c>
      <c r="D91" t="s">
        <v>638</v>
      </c>
      <c r="E91" t="s">
        <v>272</v>
      </c>
      <c r="F91" t="s">
        <v>12</v>
      </c>
      <c r="G91" t="s">
        <v>2438</v>
      </c>
      <c r="H91">
        <v>1</v>
      </c>
      <c r="I91">
        <v>2</v>
      </c>
      <c r="J91">
        <v>0</v>
      </c>
      <c r="K91">
        <v>0</v>
      </c>
      <c r="L91">
        <v>0</v>
      </c>
    </row>
    <row r="92" spans="1:12">
      <c r="A92" t="str">
        <f>HYPERLINK("http://bombeiros.sp.gov.br/hidrantes/03individual/2421.html","2421")</f>
        <v>2421</v>
      </c>
      <c r="B92" t="str">
        <f>HYPERLINK("http://bombeiros.sp.gov.br/hidrantes/08bsg/qrcodeBSG.html?id=2421&amp;lat=-23.52759&amp;long=-46.63747&amp;tipo=C","QRCODE")</f>
        <v>QRCODE</v>
      </c>
      <c r="C92" t="s">
        <v>5264</v>
      </c>
      <c r="D92" t="s">
        <v>638</v>
      </c>
      <c r="E92" t="s">
        <v>272</v>
      </c>
      <c r="F92" t="s">
        <v>12</v>
      </c>
      <c r="G92" t="s">
        <v>3522</v>
      </c>
      <c r="H92">
        <v>1</v>
      </c>
      <c r="I92">
        <v>1</v>
      </c>
      <c r="J92">
        <v>0</v>
      </c>
      <c r="K92">
        <v>0</v>
      </c>
      <c r="L92">
        <v>0</v>
      </c>
    </row>
    <row r="93" spans="1:12">
      <c r="A93" t="str">
        <f>HYPERLINK("http://bombeiros.sp.gov.br/hidrantes/03individual/2423.html","2423")</f>
        <v>2423</v>
      </c>
      <c r="B93" t="str">
        <f>HYPERLINK("http://bombeiros.sp.gov.br/hidrantes/08bsg/qrcodeBSG.html?id=2423&amp;lat=-23.53127&amp;long=-46.63187&amp;tipo=C","QRCODE")</f>
        <v>QRCODE</v>
      </c>
      <c r="C93" t="s">
        <v>5264</v>
      </c>
      <c r="D93" t="s">
        <v>638</v>
      </c>
      <c r="E93" t="s">
        <v>272</v>
      </c>
      <c r="F93" t="s">
        <v>12</v>
      </c>
      <c r="G93" t="s">
        <v>2439</v>
      </c>
      <c r="H93">
        <v>1</v>
      </c>
      <c r="I93">
        <v>3</v>
      </c>
      <c r="J93">
        <v>0</v>
      </c>
      <c r="K93">
        <v>0</v>
      </c>
      <c r="L93">
        <v>0</v>
      </c>
    </row>
    <row r="94" spans="1:12">
      <c r="A94" t="str">
        <f>HYPERLINK("http://bombeiros.sp.gov.br/hidrantes/03individual/2433.html","2433")</f>
        <v>2433</v>
      </c>
      <c r="B94" t="str">
        <f>HYPERLINK("http://bombeiros.sp.gov.br/hidrantes/08bsg/qrcodeBSG.html?id=2433&amp;lat=-23.52764&amp;long=-46.64203&amp;tipo=C","QRCODE")</f>
        <v>QRCODE</v>
      </c>
      <c r="C94" t="s">
        <v>5264</v>
      </c>
      <c r="D94" t="s">
        <v>638</v>
      </c>
      <c r="E94" t="s">
        <v>272</v>
      </c>
      <c r="F94" t="s">
        <v>12</v>
      </c>
      <c r="G94" t="s">
        <v>2437</v>
      </c>
      <c r="H94">
        <v>1</v>
      </c>
      <c r="I94">
        <v>2</v>
      </c>
      <c r="J94">
        <v>0</v>
      </c>
      <c r="K94">
        <v>0</v>
      </c>
      <c r="L94">
        <v>0</v>
      </c>
    </row>
    <row r="95" spans="1:12">
      <c r="A95" t="str">
        <f>HYPERLINK("http://bombeiros.sp.gov.br/hidrantes/03individual/2439.html","2439")</f>
        <v>2439</v>
      </c>
      <c r="B95" t="str">
        <f>HYPERLINK("http://bombeiros.sp.gov.br/hidrantes/08bsg/qrcodeBSG.html?id=2439&amp;lat=-23.53131&amp;long=-46.63869&amp;tipo=C","QRCODE")</f>
        <v>QRCODE</v>
      </c>
      <c r="C95" t="s">
        <v>5264</v>
      </c>
      <c r="D95" t="s">
        <v>638</v>
      </c>
      <c r="E95" t="s">
        <v>272</v>
      </c>
      <c r="F95" t="s">
        <v>12</v>
      </c>
      <c r="G95" t="s">
        <v>2889</v>
      </c>
      <c r="H95">
        <v>1</v>
      </c>
      <c r="I95">
        <v>1</v>
      </c>
      <c r="J95">
        <v>0</v>
      </c>
      <c r="K95">
        <v>0</v>
      </c>
      <c r="L95">
        <v>0</v>
      </c>
    </row>
    <row r="96" spans="1:12">
      <c r="A96" t="str">
        <f>HYPERLINK("http://bombeiros.sp.gov.br/hidrantes/03individual/2817.html","2817")</f>
        <v>2817</v>
      </c>
      <c r="B96" t="str">
        <f>HYPERLINK("http://bombeiros.sp.gov.br/hidrantes/08bsg/qrcodeBSG.html?id=2817&amp;lat=-23.53155&amp;long=-46.63674&amp;tipo=C","QRCODE")</f>
        <v>QRCODE</v>
      </c>
      <c r="C96" t="s">
        <v>5264</v>
      </c>
      <c r="D96" t="s">
        <v>638</v>
      </c>
      <c r="E96" t="s">
        <v>272</v>
      </c>
      <c r="F96" t="s">
        <v>12</v>
      </c>
      <c r="G96" t="s">
        <v>640</v>
      </c>
      <c r="H96">
        <v>1</v>
      </c>
      <c r="I96">
        <v>2</v>
      </c>
      <c r="J96">
        <v>0</v>
      </c>
      <c r="K96">
        <v>0</v>
      </c>
      <c r="L96">
        <v>0</v>
      </c>
    </row>
    <row r="97" spans="1:12">
      <c r="A97" t="str">
        <f>HYPERLINK("http://bombeiros.sp.gov.br/hidrantes/03individual/556.html","556")</f>
        <v>556</v>
      </c>
      <c r="B97" t="str">
        <f>HYPERLINK("http://bombeiros.sp.gov.br/hidrantes/08bsg/qrcodeBSG.html?id=556&amp;lat=-23.52976&amp;long=-46.64190&amp;tipo=S","QRCODE")</f>
        <v>QRCODE</v>
      </c>
      <c r="C97" t="s">
        <v>5264</v>
      </c>
      <c r="D97" t="s">
        <v>638</v>
      </c>
      <c r="E97" t="s">
        <v>272</v>
      </c>
      <c r="F97" t="s">
        <v>21</v>
      </c>
      <c r="G97" t="s">
        <v>4909</v>
      </c>
      <c r="H97">
        <v>1</v>
      </c>
      <c r="I97">
        <v>1</v>
      </c>
      <c r="J97">
        <v>0</v>
      </c>
      <c r="K97">
        <v>0</v>
      </c>
      <c r="L97">
        <v>0</v>
      </c>
    </row>
    <row r="98" spans="1:12">
      <c r="A98" t="str">
        <f>HYPERLINK("http://bombeiros.sp.gov.br/hidrantes/03individual/611.html","611")</f>
        <v>611</v>
      </c>
      <c r="B98" t="str">
        <f>HYPERLINK("http://bombeiros.sp.gov.br/hidrantes/08bsg/qrcodeBSG.html?id=611&amp;lat=-23.53043&amp;long=-46.63951&amp;tipo=S","QRCODE")</f>
        <v>QRCODE</v>
      </c>
      <c r="C98" t="s">
        <v>5264</v>
      </c>
      <c r="D98" t="s">
        <v>638</v>
      </c>
      <c r="E98" t="s">
        <v>272</v>
      </c>
      <c r="F98" t="s">
        <v>21</v>
      </c>
      <c r="G98" t="s">
        <v>3565</v>
      </c>
      <c r="H98">
        <v>2</v>
      </c>
      <c r="I98">
        <v>1</v>
      </c>
      <c r="J98">
        <v>0</v>
      </c>
      <c r="K98">
        <v>0</v>
      </c>
      <c r="L98">
        <v>0</v>
      </c>
    </row>
    <row r="99" spans="1:12">
      <c r="A99" t="str">
        <f>HYPERLINK("http://bombeiros.sp.gov.br/hidrantes/03individual/628.html","628")</f>
        <v>628</v>
      </c>
      <c r="B99" t="str">
        <f>HYPERLINK("http://bombeiros.sp.gov.br/hidrantes/08bsg/qrcodeBSG.html?id=628&amp;lat=-23.52659&amp;long=-46.64004&amp;tipo=S","QRCODE")</f>
        <v>QRCODE</v>
      </c>
      <c r="C99" t="s">
        <v>5264</v>
      </c>
      <c r="D99" t="s">
        <v>638</v>
      </c>
      <c r="E99" t="s">
        <v>272</v>
      </c>
      <c r="F99" t="s">
        <v>21</v>
      </c>
      <c r="G99" t="s">
        <v>2853</v>
      </c>
      <c r="H99">
        <v>0</v>
      </c>
      <c r="I99">
        <v>2</v>
      </c>
      <c r="J99">
        <v>0</v>
      </c>
      <c r="K99">
        <v>0</v>
      </c>
      <c r="L99">
        <v>0</v>
      </c>
    </row>
    <row r="100" spans="1:12">
      <c r="A100" t="str">
        <f>HYPERLINK("http://bombeiros.sp.gov.br/hidrantes/03individual/638.html","638")</f>
        <v>638</v>
      </c>
      <c r="B100" t="str">
        <f>HYPERLINK("http://bombeiros.sp.gov.br/hidrantes/08bsg/qrcodeBSG.html?id=638&amp;lat=-23.52960&amp;long=-46.63517&amp;tipo=S","QRCODE")</f>
        <v>QRCODE</v>
      </c>
      <c r="C100" t="s">
        <v>5264</v>
      </c>
      <c r="D100" t="s">
        <v>638</v>
      </c>
      <c r="E100" t="s">
        <v>272</v>
      </c>
      <c r="F100" t="s">
        <v>21</v>
      </c>
      <c r="G100" t="s">
        <v>2857</v>
      </c>
      <c r="H100">
        <v>0</v>
      </c>
      <c r="I100">
        <v>2</v>
      </c>
      <c r="J100">
        <v>0</v>
      </c>
      <c r="K100">
        <v>0</v>
      </c>
      <c r="L100">
        <v>0</v>
      </c>
    </row>
    <row r="101" spans="1:12">
      <c r="A101" t="str">
        <f>HYPERLINK("http://bombeiros.sp.gov.br/hidrantes/03individual/647.html","647")</f>
        <v>647</v>
      </c>
      <c r="B101" t="str">
        <f>HYPERLINK("http://bombeiros.sp.gov.br/hidrantes/08bsg/qrcodeBSG.html?id=647&amp;lat=-23.53651&amp;long=-46.62872&amp;tipo=S","QRCODE")</f>
        <v>QRCODE</v>
      </c>
      <c r="C101" t="s">
        <v>5264</v>
      </c>
      <c r="D101" t="s">
        <v>638</v>
      </c>
      <c r="E101" t="s">
        <v>272</v>
      </c>
      <c r="F101" t="s">
        <v>21</v>
      </c>
      <c r="G101" t="s">
        <v>2856</v>
      </c>
      <c r="H101">
        <v>0</v>
      </c>
      <c r="I101">
        <v>2</v>
      </c>
      <c r="J101">
        <v>0</v>
      </c>
      <c r="K101">
        <v>0</v>
      </c>
      <c r="L101">
        <v>0</v>
      </c>
    </row>
    <row r="102" spans="1:12">
      <c r="A102" t="str">
        <f>HYPERLINK("http://bombeiros.sp.gov.br/hidrantes/03individual/693.html","693")</f>
        <v>693</v>
      </c>
      <c r="B102" t="str">
        <f>HYPERLINK("http://bombeiros.sp.gov.br/hidrantes/08bsg/qrcodeBSG.html?id=693&amp;lat=-23.53387&amp;long=-46.62762&amp;tipo=S","QRCODE")</f>
        <v>QRCODE</v>
      </c>
      <c r="C102" t="s">
        <v>5264</v>
      </c>
      <c r="D102" t="s">
        <v>638</v>
      </c>
      <c r="E102" t="s">
        <v>272</v>
      </c>
      <c r="F102" t="s">
        <v>21</v>
      </c>
      <c r="G102" t="s">
        <v>2841</v>
      </c>
      <c r="H102">
        <v>0</v>
      </c>
      <c r="I102">
        <v>2</v>
      </c>
      <c r="J102">
        <v>0</v>
      </c>
      <c r="K102">
        <v>0</v>
      </c>
      <c r="L102">
        <v>0</v>
      </c>
    </row>
    <row r="103" spans="1:12">
      <c r="A103" t="str">
        <f>HYPERLINK("http://bombeiros.sp.gov.br/hidrantes/03individual/696.html","696")</f>
        <v>696</v>
      </c>
      <c r="B103" t="str">
        <f>HYPERLINK("http://bombeiros.sp.gov.br/hidrantes/08bsg/qrcodeBSG.html?id=696&amp;lat=-23.52594&amp;long=-46.63848&amp;tipo=S","QRCODE")</f>
        <v>QRCODE</v>
      </c>
      <c r="C103" t="s">
        <v>5264</v>
      </c>
      <c r="D103" t="s">
        <v>638</v>
      </c>
      <c r="E103" t="s">
        <v>272</v>
      </c>
      <c r="F103" t="s">
        <v>21</v>
      </c>
      <c r="G103" t="s">
        <v>2845</v>
      </c>
      <c r="H103">
        <v>0</v>
      </c>
      <c r="I103">
        <v>2</v>
      </c>
      <c r="J103">
        <v>0</v>
      </c>
      <c r="K103">
        <v>0</v>
      </c>
      <c r="L103">
        <v>0</v>
      </c>
    </row>
    <row r="104" spans="1:12">
      <c r="A104" t="str">
        <f>HYPERLINK("http://bombeiros.sp.gov.br/hidrantes/03individual/697.html","697")</f>
        <v>697</v>
      </c>
      <c r="B104" t="str">
        <f>HYPERLINK("http://bombeiros.sp.gov.br/hidrantes/08bsg/qrcodeBSG.html?id=697&amp;lat=-23.52818&amp;long=-46.64276&amp;tipo=S","QRCODE")</f>
        <v>QRCODE</v>
      </c>
      <c r="C104" t="s">
        <v>5264</v>
      </c>
      <c r="D104" t="s">
        <v>638</v>
      </c>
      <c r="E104" t="s">
        <v>272</v>
      </c>
      <c r="F104" t="s">
        <v>21</v>
      </c>
      <c r="G104" t="s">
        <v>2243</v>
      </c>
      <c r="H104">
        <v>1</v>
      </c>
      <c r="I104">
        <v>3</v>
      </c>
      <c r="J104">
        <v>0</v>
      </c>
      <c r="K104">
        <v>0</v>
      </c>
      <c r="L104">
        <v>0</v>
      </c>
    </row>
    <row r="105" spans="1:12">
      <c r="A105" t="str">
        <f>HYPERLINK("http://bombeiros.sp.gov.br/hidrantes/03individual/700.html","700")</f>
        <v>700</v>
      </c>
      <c r="B105" t="str">
        <f>HYPERLINK("http://bombeiros.sp.gov.br/hidrantes/08bsg/qrcodeBSG.html?id=700&amp;lat=-23.52980&amp;long=-46.63850&amp;tipo=S","QRCODE")</f>
        <v>QRCODE</v>
      </c>
      <c r="C105" t="s">
        <v>5264</v>
      </c>
      <c r="D105" t="s">
        <v>638</v>
      </c>
      <c r="E105" t="s">
        <v>272</v>
      </c>
      <c r="F105" t="s">
        <v>21</v>
      </c>
      <c r="G105" t="s">
        <v>2847</v>
      </c>
      <c r="H105">
        <v>0</v>
      </c>
      <c r="I105">
        <v>2</v>
      </c>
      <c r="J105">
        <v>0</v>
      </c>
      <c r="K105">
        <v>0</v>
      </c>
      <c r="L105">
        <v>0</v>
      </c>
    </row>
    <row r="106" spans="1:12">
      <c r="A106" t="str">
        <f>HYPERLINK("http://bombeiros.sp.gov.br/hidrantes/03individual/707.html","707")</f>
        <v>707</v>
      </c>
      <c r="B106" t="str">
        <f>HYPERLINK("http://bombeiros.sp.gov.br/hidrantes/08bsg/qrcodeBSG.html?id=707&amp;lat=-23.52730&amp;long=-46.63868&amp;tipo=S","QRCODE")</f>
        <v>QRCODE</v>
      </c>
      <c r="C106" t="s">
        <v>5264</v>
      </c>
      <c r="D106" t="s">
        <v>638</v>
      </c>
      <c r="E106" t="s">
        <v>272</v>
      </c>
      <c r="F106" t="s">
        <v>21</v>
      </c>
      <c r="G106" t="s">
        <v>2849</v>
      </c>
      <c r="H106">
        <v>0</v>
      </c>
      <c r="I106">
        <v>2</v>
      </c>
      <c r="J106">
        <v>0</v>
      </c>
      <c r="K106">
        <v>0</v>
      </c>
      <c r="L106">
        <v>0</v>
      </c>
    </row>
    <row r="107" spans="1:12">
      <c r="A107" t="str">
        <f>HYPERLINK("http://bombeiros.sp.gov.br/hidrantes/03individual/738.html","738")</f>
        <v>738</v>
      </c>
      <c r="B107" t="str">
        <f>HYPERLINK("http://bombeiros.sp.gov.br/hidrantes/08bsg/qrcodeBSG.html?id=738&amp;lat=-23.53565&amp;long=-46.62664&amp;tipo=S","QRCODE")</f>
        <v>QRCODE</v>
      </c>
      <c r="C107" t="s">
        <v>5264</v>
      </c>
      <c r="D107" t="s">
        <v>638</v>
      </c>
      <c r="E107" t="s">
        <v>272</v>
      </c>
      <c r="F107" t="s">
        <v>21</v>
      </c>
      <c r="G107" t="s">
        <v>2851</v>
      </c>
      <c r="H107">
        <v>0</v>
      </c>
      <c r="I107">
        <v>2</v>
      </c>
      <c r="J107">
        <v>0</v>
      </c>
      <c r="K107">
        <v>0</v>
      </c>
      <c r="L107">
        <v>0</v>
      </c>
    </row>
    <row r="108" spans="1:12">
      <c r="A108" t="str">
        <f>HYPERLINK("http://bombeiros.sp.gov.br/hidrantes/03individual/776.html","776")</f>
        <v>776</v>
      </c>
      <c r="B108" t="str">
        <f>HYPERLINK("http://bombeiros.sp.gov.br/hidrantes/08bsg/qrcodeBSG.html?id=776&amp;lat=-23.53667&amp;long=-46.62813&amp;tipo=S","QRCODE")</f>
        <v>QRCODE</v>
      </c>
      <c r="C108" t="s">
        <v>5264</v>
      </c>
      <c r="D108" t="s">
        <v>638</v>
      </c>
      <c r="E108" t="s">
        <v>272</v>
      </c>
      <c r="F108" t="s">
        <v>21</v>
      </c>
      <c r="G108" t="s">
        <v>2859</v>
      </c>
      <c r="H108">
        <v>0</v>
      </c>
      <c r="I108">
        <v>2</v>
      </c>
      <c r="J108">
        <v>0</v>
      </c>
      <c r="K108">
        <v>0</v>
      </c>
      <c r="L108">
        <v>0</v>
      </c>
    </row>
    <row r="109" spans="1:12">
      <c r="A109" t="str">
        <f>HYPERLINK("http://bombeiros.sp.gov.br/hidrantes/03individual/782.html","782")</f>
        <v>782</v>
      </c>
      <c r="B109" t="str">
        <f>HYPERLINK("http://bombeiros.sp.gov.br/hidrantes/08bsg/qrcodeBSG.html?id=782&amp;lat=-23.53522&amp;long=-46.62926&amp;tipo=S","QRCODE")</f>
        <v>QRCODE</v>
      </c>
      <c r="C109" t="s">
        <v>5264</v>
      </c>
      <c r="D109" t="s">
        <v>638</v>
      </c>
      <c r="E109" t="s">
        <v>272</v>
      </c>
      <c r="F109" t="s">
        <v>21</v>
      </c>
      <c r="G109" t="s">
        <v>1927</v>
      </c>
      <c r="H109">
        <v>0</v>
      </c>
      <c r="I109">
        <v>2</v>
      </c>
      <c r="J109">
        <v>0</v>
      </c>
      <c r="K109">
        <v>0</v>
      </c>
      <c r="L109">
        <v>0</v>
      </c>
    </row>
    <row r="110" spans="1:12">
      <c r="A110" t="str">
        <f>HYPERLINK("http://bombeiros.sp.gov.br/hidrantes/03individual/785.html","785")</f>
        <v>785</v>
      </c>
      <c r="B110" t="str">
        <f>HYPERLINK("http://bombeiros.sp.gov.br/hidrantes/08bsg/qrcodeBSG.html?id=785&amp;lat=-23.52981&amp;long=-46.64147&amp;tipo=S","QRCODE")</f>
        <v>QRCODE</v>
      </c>
      <c r="C110" t="s">
        <v>5264</v>
      </c>
      <c r="D110" t="s">
        <v>638</v>
      </c>
      <c r="E110" t="s">
        <v>272</v>
      </c>
      <c r="F110" t="s">
        <v>21</v>
      </c>
      <c r="G110" t="s">
        <v>2525</v>
      </c>
      <c r="H110">
        <v>0</v>
      </c>
      <c r="I110">
        <v>2</v>
      </c>
      <c r="J110">
        <v>0</v>
      </c>
      <c r="K110">
        <v>0</v>
      </c>
      <c r="L110">
        <v>0</v>
      </c>
    </row>
    <row r="111" spans="1:12">
      <c r="A111" t="str">
        <f>HYPERLINK("http://bombeiros.sp.gov.br/hidrantes/03individual/800.html","800")</f>
        <v>800</v>
      </c>
      <c r="B111" t="str">
        <f>HYPERLINK("http://bombeiros.sp.gov.br/hidrantes/08bsg/qrcodeBSG.html?id=800&amp;lat=-23.52909&amp;long=-46.63700&amp;tipo=S","QRCODE")</f>
        <v>QRCODE</v>
      </c>
      <c r="C111" t="s">
        <v>5264</v>
      </c>
      <c r="D111" t="s">
        <v>638</v>
      </c>
      <c r="E111" t="s">
        <v>272</v>
      </c>
      <c r="F111" t="s">
        <v>21</v>
      </c>
      <c r="G111" t="s">
        <v>593</v>
      </c>
      <c r="H111">
        <v>0</v>
      </c>
      <c r="I111">
        <v>2</v>
      </c>
      <c r="J111">
        <v>0</v>
      </c>
      <c r="K111">
        <v>0</v>
      </c>
      <c r="L111">
        <v>0</v>
      </c>
    </row>
    <row r="112" spans="1:12">
      <c r="A112" t="str">
        <f>HYPERLINK("http://bombeiros.sp.gov.br/hidrantes/03individual/801.html","801")</f>
        <v>801</v>
      </c>
      <c r="B112" t="str">
        <f>HYPERLINK("http://bombeiros.sp.gov.br/hidrantes/08bsg/qrcodeBSG.html?id=801&amp;lat=-23.52942&amp;long=-46.63572&amp;tipo=S","QRCODE")</f>
        <v>QRCODE</v>
      </c>
      <c r="C112" t="s">
        <v>5264</v>
      </c>
      <c r="D112" t="s">
        <v>638</v>
      </c>
      <c r="E112" t="s">
        <v>272</v>
      </c>
      <c r="F112" t="s">
        <v>21</v>
      </c>
      <c r="G112" t="s">
        <v>594</v>
      </c>
      <c r="H112">
        <v>0</v>
      </c>
      <c r="I112">
        <v>3</v>
      </c>
      <c r="J112">
        <v>0</v>
      </c>
      <c r="K112">
        <v>0</v>
      </c>
      <c r="L112">
        <v>0</v>
      </c>
    </row>
    <row r="113" spans="1:12">
      <c r="A113" t="str">
        <f>HYPERLINK("http://bombeiros.sp.gov.br/hidrantes/03individual/888.html","888")</f>
        <v>888</v>
      </c>
      <c r="B113" t="str">
        <f>HYPERLINK("http://bombeiros.sp.gov.br/hidrantes/08bsg/qrcodeBSG.html?id=888&amp;lat=-23.53453&amp;long=-46.63169&amp;tipo=S","QRCODE")</f>
        <v>QRCODE</v>
      </c>
      <c r="C113" t="s">
        <v>5264</v>
      </c>
      <c r="D113" t="s">
        <v>638</v>
      </c>
      <c r="E113" t="s">
        <v>272</v>
      </c>
      <c r="F113" t="s">
        <v>21</v>
      </c>
      <c r="G113" t="s">
        <v>2838</v>
      </c>
      <c r="H113">
        <v>0</v>
      </c>
      <c r="I113">
        <v>2</v>
      </c>
      <c r="J113">
        <v>0</v>
      </c>
      <c r="K113">
        <v>0</v>
      </c>
      <c r="L113">
        <v>0</v>
      </c>
    </row>
    <row r="114" spans="1:12">
      <c r="A114" t="str">
        <f>HYPERLINK("http://bombeiros.sp.gov.br/hidrantes/03individual/2039.html","2039")</f>
        <v>2039</v>
      </c>
      <c r="B114" t="str">
        <f>HYPERLINK("http://bombeiros.sp.gov.br/hidrantes/08bsg/qrcodeBSG.html?id=2039&amp;lat=-23.53192&amp;long=-46.62910&amp;tipo=S","QRCODE")</f>
        <v>QRCODE</v>
      </c>
      <c r="C114" t="s">
        <v>5264</v>
      </c>
      <c r="D114" t="s">
        <v>638</v>
      </c>
      <c r="E114" t="s">
        <v>272</v>
      </c>
      <c r="F114" t="s">
        <v>21</v>
      </c>
      <c r="G114" t="s">
        <v>322</v>
      </c>
      <c r="H114">
        <v>1</v>
      </c>
      <c r="I114">
        <v>3</v>
      </c>
      <c r="J114">
        <v>0</v>
      </c>
      <c r="K114">
        <v>0</v>
      </c>
      <c r="L114">
        <v>0</v>
      </c>
    </row>
    <row r="115" spans="1:12">
      <c r="A115" t="str">
        <f>HYPERLINK("http://bombeiros.sp.gov.br/hidrantes/03individual/2046.html","2046")</f>
        <v>2046</v>
      </c>
      <c r="B115" t="str">
        <f>HYPERLINK("http://bombeiros.sp.gov.br/hidrantes/08bsg/qrcodeBSG.html?id=2046&amp;lat=-23.53209&amp;long=-46.63296&amp;tipo=S","QRCODE")</f>
        <v>QRCODE</v>
      </c>
      <c r="C115" t="s">
        <v>5264</v>
      </c>
      <c r="D115" t="s">
        <v>638</v>
      </c>
      <c r="E115" t="s">
        <v>272</v>
      </c>
      <c r="F115" t="s">
        <v>21</v>
      </c>
      <c r="G115" t="s">
        <v>1024</v>
      </c>
      <c r="H115">
        <v>1</v>
      </c>
      <c r="I115">
        <v>2</v>
      </c>
      <c r="J115">
        <v>0</v>
      </c>
      <c r="K115">
        <v>0</v>
      </c>
      <c r="L115">
        <v>0</v>
      </c>
    </row>
    <row r="116" spans="1:12">
      <c r="A116" t="str">
        <f>HYPERLINK("http://bombeiros.sp.gov.br/hidrantes/03individual/2048.html","2048")</f>
        <v>2048</v>
      </c>
      <c r="B116" t="str">
        <f>HYPERLINK("http://bombeiros.sp.gov.br/hidrantes/08bsg/qrcodeBSG.html?id=2048&amp;lat=-23.53245&amp;long=-46.63308&amp;tipo=S","QRCODE")</f>
        <v>QRCODE</v>
      </c>
      <c r="C116" t="s">
        <v>5264</v>
      </c>
      <c r="D116" t="s">
        <v>638</v>
      </c>
      <c r="E116" t="s">
        <v>272</v>
      </c>
      <c r="F116" t="s">
        <v>21</v>
      </c>
      <c r="G116" t="s">
        <v>3683</v>
      </c>
      <c r="H116">
        <v>0</v>
      </c>
      <c r="I116">
        <v>1</v>
      </c>
      <c r="J116">
        <v>0</v>
      </c>
      <c r="K116">
        <v>0</v>
      </c>
      <c r="L116">
        <v>0</v>
      </c>
    </row>
    <row r="117" spans="1:12">
      <c r="A117" t="str">
        <f>HYPERLINK("http://bombeiros.sp.gov.br/hidrantes/03individual/2054.html","2054")</f>
        <v>2054</v>
      </c>
      <c r="B117" t="str">
        <f>HYPERLINK("http://bombeiros.sp.gov.br/hidrantes/08bsg/qrcodeBSG.html?id=2054&amp;lat=-23.53431&amp;long=-46.62569&amp;tipo=S","QRCODE")</f>
        <v>QRCODE</v>
      </c>
      <c r="C117" t="s">
        <v>5264</v>
      </c>
      <c r="D117" t="s">
        <v>638</v>
      </c>
      <c r="E117" t="s">
        <v>272</v>
      </c>
      <c r="F117" t="s">
        <v>21</v>
      </c>
      <c r="G117" t="s">
        <v>563</v>
      </c>
      <c r="H117">
        <v>0</v>
      </c>
      <c r="I117">
        <v>2</v>
      </c>
      <c r="J117">
        <v>0</v>
      </c>
      <c r="K117">
        <v>0</v>
      </c>
      <c r="L117">
        <v>0</v>
      </c>
    </row>
    <row r="118" spans="1:12">
      <c r="A118" t="str">
        <f>HYPERLINK("http://bombeiros.sp.gov.br/hidrantes/03individual/2413.html","2413")</f>
        <v>2413</v>
      </c>
      <c r="B118" t="str">
        <f>HYPERLINK("http://bombeiros.sp.gov.br/hidrantes/08bsg/qrcodeBSG.html?id=2413&amp;lat=-23.52884&amp;long=-46.63792&amp;tipo=S","QRCODE")</f>
        <v>QRCODE</v>
      </c>
      <c r="C118" t="s">
        <v>5264</v>
      </c>
      <c r="D118" t="s">
        <v>638</v>
      </c>
      <c r="E118" t="s">
        <v>272</v>
      </c>
      <c r="F118" t="s">
        <v>21</v>
      </c>
      <c r="G118" t="s">
        <v>271</v>
      </c>
      <c r="H118">
        <v>0</v>
      </c>
      <c r="I118">
        <v>2</v>
      </c>
      <c r="J118">
        <v>0</v>
      </c>
      <c r="K118">
        <v>0</v>
      </c>
      <c r="L118">
        <v>0</v>
      </c>
    </row>
    <row r="119" spans="1:12">
      <c r="A119" t="str">
        <f>HYPERLINK("http://bombeiros.sp.gov.br/hidrantes/03individual/2417.html","2417")</f>
        <v>2417</v>
      </c>
      <c r="B119" t="str">
        <f>HYPERLINK("http://bombeiros.sp.gov.br/hidrantes/08bsg/qrcodeBSG.html?id=2417&amp;lat=-23.52521&amp;long=-46.63942&amp;tipo=S","QRCODE")</f>
        <v>QRCODE</v>
      </c>
      <c r="C119" t="s">
        <v>5264</v>
      </c>
      <c r="D119" t="s">
        <v>638</v>
      </c>
      <c r="E119" t="s">
        <v>272</v>
      </c>
      <c r="F119" t="s">
        <v>21</v>
      </c>
      <c r="G119" t="s">
        <v>3523</v>
      </c>
      <c r="H119">
        <v>2</v>
      </c>
      <c r="I119">
        <v>1</v>
      </c>
      <c r="J119">
        <v>0</v>
      </c>
      <c r="K119">
        <v>0</v>
      </c>
      <c r="L119">
        <v>0</v>
      </c>
    </row>
    <row r="120" spans="1:12">
      <c r="A120" t="str">
        <f>HYPERLINK("http://bombeiros.sp.gov.br/hidrantes/03individual/2419.html","2419")</f>
        <v>2419</v>
      </c>
      <c r="B120" t="str">
        <f>HYPERLINK("http://bombeiros.sp.gov.br/hidrantes/08bsg/qrcodeBSG.html?id=2419&amp;lat=-23.52497&amp;long=-46.63890&amp;tipo=S","QRCODE")</f>
        <v>QRCODE</v>
      </c>
      <c r="C120" t="s">
        <v>5264</v>
      </c>
      <c r="D120" t="s">
        <v>638</v>
      </c>
      <c r="E120" t="s">
        <v>272</v>
      </c>
      <c r="F120" t="s">
        <v>21</v>
      </c>
      <c r="G120" t="s">
        <v>2902</v>
      </c>
      <c r="H120">
        <v>0</v>
      </c>
      <c r="I120">
        <v>2</v>
      </c>
      <c r="J120">
        <v>0</v>
      </c>
      <c r="K120">
        <v>0</v>
      </c>
      <c r="L120">
        <v>0</v>
      </c>
    </row>
    <row r="121" spans="1:12">
      <c r="A121" t="str">
        <f>HYPERLINK("http://bombeiros.sp.gov.br/hidrantes/03individual/2422.html","2422")</f>
        <v>2422</v>
      </c>
      <c r="B121" t="str">
        <f>HYPERLINK("http://bombeiros.sp.gov.br/hidrantes/08bsg/qrcodeBSG.html?id=2422&amp;lat=-23.52834&amp;long=-46.63359&amp;tipo=S","QRCODE")</f>
        <v>QRCODE</v>
      </c>
      <c r="C121" t="s">
        <v>5264</v>
      </c>
      <c r="D121" t="s">
        <v>638</v>
      </c>
      <c r="E121" t="s">
        <v>272</v>
      </c>
      <c r="F121" t="s">
        <v>21</v>
      </c>
      <c r="G121" t="s">
        <v>2899</v>
      </c>
      <c r="H121">
        <v>1</v>
      </c>
      <c r="I121">
        <v>2</v>
      </c>
      <c r="J121">
        <v>0</v>
      </c>
      <c r="K121">
        <v>0</v>
      </c>
      <c r="L121">
        <v>0</v>
      </c>
    </row>
    <row r="122" spans="1:12">
      <c r="A122" t="str">
        <f>HYPERLINK("http://bombeiros.sp.gov.br/hidrantes/03individual/2427.html","2427")</f>
        <v>2427</v>
      </c>
      <c r="B122" t="str">
        <f>HYPERLINK("http://bombeiros.sp.gov.br/hidrantes/08bsg/qrcodeBSG.html?id=2427&amp;lat=-23.53464&amp;long=-46.63102&amp;tipo=S","QRCODE")</f>
        <v>QRCODE</v>
      </c>
      <c r="C122" t="s">
        <v>5264</v>
      </c>
      <c r="D122" t="s">
        <v>638</v>
      </c>
      <c r="E122" t="s">
        <v>272</v>
      </c>
      <c r="F122" t="s">
        <v>21</v>
      </c>
      <c r="G122" t="s">
        <v>2772</v>
      </c>
      <c r="H122">
        <v>0</v>
      </c>
      <c r="I122">
        <v>2</v>
      </c>
      <c r="J122">
        <v>0</v>
      </c>
      <c r="K122">
        <v>0</v>
      </c>
      <c r="L122">
        <v>0</v>
      </c>
    </row>
    <row r="123" spans="1:12">
      <c r="A123" t="str">
        <f>HYPERLINK("http://bombeiros.sp.gov.br/hidrantes/03individual/2428.html","2428")</f>
        <v>2428</v>
      </c>
      <c r="B123" t="str">
        <f>HYPERLINK("http://bombeiros.sp.gov.br/hidrantes/08bsg/qrcodeBSG.html?id=2428&amp;lat=-23.53297&amp;long=-46.63127&amp;tipo=S","QRCODE")</f>
        <v>QRCODE</v>
      </c>
      <c r="C123" t="s">
        <v>5264</v>
      </c>
      <c r="D123" t="s">
        <v>638</v>
      </c>
      <c r="E123" t="s">
        <v>272</v>
      </c>
      <c r="F123" t="s">
        <v>21</v>
      </c>
      <c r="G123" t="s">
        <v>5098</v>
      </c>
      <c r="H123">
        <v>0</v>
      </c>
      <c r="I123">
        <v>1</v>
      </c>
      <c r="J123">
        <v>0</v>
      </c>
      <c r="K123">
        <v>0</v>
      </c>
      <c r="L123">
        <v>0</v>
      </c>
    </row>
    <row r="124" spans="1:12">
      <c r="A124" t="str">
        <f>HYPERLINK("http://bombeiros.sp.gov.br/hidrantes/03individual/2431.html","2431")</f>
        <v>2431</v>
      </c>
      <c r="B124" t="str">
        <f>HYPERLINK("http://bombeiros.sp.gov.br/hidrantes/08bsg/qrcodeBSG.html?id=2431&amp;lat=-23.52778&amp;long=-46.63523&amp;tipo=S","QRCODE")</f>
        <v>QRCODE</v>
      </c>
      <c r="C124" t="s">
        <v>5264</v>
      </c>
      <c r="D124" t="s">
        <v>638</v>
      </c>
      <c r="E124" t="s">
        <v>272</v>
      </c>
      <c r="F124" t="s">
        <v>21</v>
      </c>
      <c r="G124" t="s">
        <v>273</v>
      </c>
      <c r="H124">
        <v>0</v>
      </c>
      <c r="I124">
        <v>2</v>
      </c>
      <c r="J124">
        <v>0</v>
      </c>
      <c r="K124">
        <v>0</v>
      </c>
      <c r="L124">
        <v>0</v>
      </c>
    </row>
    <row r="125" spans="1:12">
      <c r="A125" t="str">
        <f>HYPERLINK("http://bombeiros.sp.gov.br/hidrantes/03individual/2434.html","2434")</f>
        <v>2434</v>
      </c>
      <c r="B125" t="str">
        <f>HYPERLINK("http://bombeiros.sp.gov.br/hidrantes/08bsg/qrcodeBSG.html?id=2434&amp;lat=-23.52741&amp;long=-46.64118&amp;tipo=S","QRCODE")</f>
        <v>QRCODE</v>
      </c>
      <c r="C125" t="s">
        <v>5264</v>
      </c>
      <c r="D125" t="s">
        <v>638</v>
      </c>
      <c r="E125" t="s">
        <v>272</v>
      </c>
      <c r="F125" t="s">
        <v>21</v>
      </c>
      <c r="G125" t="s">
        <v>2194</v>
      </c>
      <c r="H125">
        <v>1</v>
      </c>
      <c r="I125">
        <v>2</v>
      </c>
      <c r="J125">
        <v>0</v>
      </c>
      <c r="K125">
        <v>0</v>
      </c>
      <c r="L125">
        <v>0</v>
      </c>
    </row>
    <row r="126" spans="1:12">
      <c r="A126" t="str">
        <f>HYPERLINK("http://bombeiros.sp.gov.br/hidrantes/03individual/2437.html","2437")</f>
        <v>2437</v>
      </c>
      <c r="B126" t="str">
        <f>HYPERLINK("http://bombeiros.sp.gov.br/hidrantes/08bsg/qrcodeBSG.html?id=2437&amp;lat=-23.53083&amp;long=-46.63983&amp;tipo=S","QRCODE")</f>
        <v>QRCODE</v>
      </c>
      <c r="C126" t="s">
        <v>5264</v>
      </c>
      <c r="D126" t="s">
        <v>638</v>
      </c>
      <c r="E126" t="s">
        <v>272</v>
      </c>
      <c r="F126" t="s">
        <v>21</v>
      </c>
      <c r="G126" t="s">
        <v>2900</v>
      </c>
      <c r="H126">
        <v>0</v>
      </c>
      <c r="I126">
        <v>2</v>
      </c>
      <c r="J126">
        <v>0</v>
      </c>
      <c r="K126">
        <v>0</v>
      </c>
      <c r="L126">
        <v>0</v>
      </c>
    </row>
    <row r="127" spans="1:12">
      <c r="A127" t="str">
        <f>HYPERLINK("http://bombeiros.sp.gov.br/hidrantes/03individual/2440.html","2440")</f>
        <v>2440</v>
      </c>
      <c r="B127" t="str">
        <f>HYPERLINK("http://bombeiros.sp.gov.br/hidrantes/08bsg/qrcodeBSG.html?id=2440&amp;lat=-23.53168&amp;long=-46.63877&amp;tipo=S","QRCODE")</f>
        <v>QRCODE</v>
      </c>
      <c r="C127" t="s">
        <v>5264</v>
      </c>
      <c r="D127" t="s">
        <v>638</v>
      </c>
      <c r="E127" t="s">
        <v>272</v>
      </c>
      <c r="F127" t="s">
        <v>21</v>
      </c>
      <c r="G127" t="s">
        <v>2889</v>
      </c>
      <c r="H127">
        <v>0</v>
      </c>
      <c r="I127">
        <v>2</v>
      </c>
      <c r="J127">
        <v>0</v>
      </c>
      <c r="K127">
        <v>0</v>
      </c>
      <c r="L127">
        <v>0</v>
      </c>
    </row>
    <row r="128" spans="1:12">
      <c r="A128" t="str">
        <f>HYPERLINK("http://bombeiros.sp.gov.br/hidrantes/03individual/2442.html","2442")</f>
        <v>2442</v>
      </c>
      <c r="B128" t="str">
        <f>HYPERLINK("http://bombeiros.sp.gov.br/hidrantes/08bsg/qrcodeBSG.html?id=2442&amp;lat=-23.53204&amp;long=-46.63934&amp;tipo=S","QRCODE")</f>
        <v>QRCODE</v>
      </c>
      <c r="C128" t="s">
        <v>5264</v>
      </c>
      <c r="D128" t="s">
        <v>638</v>
      </c>
      <c r="E128" t="s">
        <v>272</v>
      </c>
      <c r="F128" t="s">
        <v>21</v>
      </c>
      <c r="G128" t="s">
        <v>274</v>
      </c>
      <c r="H128">
        <v>0</v>
      </c>
      <c r="I128">
        <v>2</v>
      </c>
      <c r="J128">
        <v>0</v>
      </c>
      <c r="K128">
        <v>0</v>
      </c>
      <c r="L128">
        <v>0</v>
      </c>
    </row>
    <row r="129" spans="1:12">
      <c r="A129" t="str">
        <f>HYPERLINK("http://bombeiros.sp.gov.br/hidrantes/03individual/2943.html","2943")</f>
        <v>2943</v>
      </c>
      <c r="B129" t="str">
        <f>HYPERLINK("http://bombeiros.sp.gov.br/hidrantes/08bsg/qrcodeBSG.html?id=2943&amp;lat=-23.53359&amp;long=-46.63735&amp;tipo=S","QRCODE")</f>
        <v>QRCODE</v>
      </c>
      <c r="C129" t="s">
        <v>5264</v>
      </c>
      <c r="D129" t="s">
        <v>638</v>
      </c>
      <c r="E129" t="s">
        <v>272</v>
      </c>
      <c r="F129" t="s">
        <v>21</v>
      </c>
      <c r="G129" t="s">
        <v>3403</v>
      </c>
      <c r="H129">
        <v>0</v>
      </c>
      <c r="I129">
        <v>1</v>
      </c>
      <c r="J129">
        <v>0</v>
      </c>
      <c r="K129">
        <v>0</v>
      </c>
      <c r="L129">
        <v>0</v>
      </c>
    </row>
    <row r="130" spans="1:12">
      <c r="A130" t="str">
        <f>HYPERLINK("http://bombeiros.sp.gov.br/hidrantes/03individual/23062.html","23062")</f>
        <v>23062</v>
      </c>
      <c r="B130" t="str">
        <f>HYPERLINK("http://bombeiros.sp.gov.br/hidrantes/08bsg/qrcodeBSG.html?id=23062&amp;lat=-23.53056&amp;long=-46.62925&amp;tipo=S","QRCODE")</f>
        <v>QRCODE</v>
      </c>
      <c r="C130" t="s">
        <v>5264</v>
      </c>
      <c r="D130" t="s">
        <v>638</v>
      </c>
      <c r="E130" t="s">
        <v>272</v>
      </c>
      <c r="F130" t="s">
        <v>21</v>
      </c>
      <c r="G130" t="s">
        <v>931</v>
      </c>
      <c r="H130">
        <v>1</v>
      </c>
      <c r="I130">
        <v>2</v>
      </c>
      <c r="J130">
        <v>0</v>
      </c>
      <c r="K130">
        <v>0</v>
      </c>
      <c r="L130">
        <v>0</v>
      </c>
    </row>
    <row r="131" spans="1:12">
      <c r="A131" t="str">
        <f>HYPERLINK("http://bombeiros.sp.gov.br/hidrantes/03individual/26712.html","26712")</f>
        <v>26712</v>
      </c>
      <c r="B131" t="str">
        <f>HYPERLINK("http://bombeiros.sp.gov.br/hidrantes/08bsg/qrcodeBSG.html?id=26712&amp;lat=-23.53244&amp;long=-46.63233&amp;tipo=S","QRCODE")</f>
        <v>QRCODE</v>
      </c>
      <c r="C131" t="s">
        <v>5264</v>
      </c>
      <c r="D131" t="s">
        <v>638</v>
      </c>
      <c r="E131" t="s">
        <v>272</v>
      </c>
      <c r="F131" t="s">
        <v>21</v>
      </c>
      <c r="G131" t="s">
        <v>2911</v>
      </c>
      <c r="H131">
        <v>0</v>
      </c>
      <c r="I131">
        <v>2</v>
      </c>
      <c r="J131">
        <v>0</v>
      </c>
      <c r="K131">
        <v>0</v>
      </c>
      <c r="L131">
        <v>0</v>
      </c>
    </row>
    <row r="132" spans="1:12">
      <c r="A132" t="str">
        <f>HYPERLINK("http://bombeiros.sp.gov.br/hidrantes/03individual/26713.html","26713")</f>
        <v>26713</v>
      </c>
      <c r="B132" t="str">
        <f>HYPERLINK("http://bombeiros.sp.gov.br/hidrantes/08bsg/qrcodeBSG.html?id=26713&amp;lat=-23.53257&amp;long=-46.63239&amp;tipo=S","QRCODE")</f>
        <v>QRCODE</v>
      </c>
      <c r="C132" t="s">
        <v>5264</v>
      </c>
      <c r="D132" t="s">
        <v>638</v>
      </c>
      <c r="E132" t="s">
        <v>272</v>
      </c>
      <c r="F132" t="s">
        <v>21</v>
      </c>
      <c r="G132" t="s">
        <v>2912</v>
      </c>
      <c r="H132">
        <v>0</v>
      </c>
      <c r="I132">
        <v>2</v>
      </c>
      <c r="J132">
        <v>0</v>
      </c>
      <c r="K132">
        <v>0</v>
      </c>
      <c r="L132">
        <v>0</v>
      </c>
    </row>
    <row r="133" spans="1:12">
      <c r="A133" t="str">
        <f>HYPERLINK("http://bombeiros.sp.gov.br/hidrantes/03individual/26753.html","26753")</f>
        <v>26753</v>
      </c>
      <c r="B133" t="str">
        <f>HYPERLINK("http://bombeiros.sp.gov.br/hidrantes/08bsg/qrcodeBSG.html?id=26753&amp;lat=-23.52955&amp;long=-46.64076&amp;tipo=S","QRCODE")</f>
        <v>QRCODE</v>
      </c>
      <c r="C133" t="s">
        <v>5264</v>
      </c>
      <c r="D133" t="s">
        <v>638</v>
      </c>
      <c r="E133" t="s">
        <v>272</v>
      </c>
      <c r="F133" t="s">
        <v>21</v>
      </c>
      <c r="G133" t="s">
        <v>3418</v>
      </c>
      <c r="H133">
        <v>0</v>
      </c>
      <c r="I133">
        <v>1</v>
      </c>
      <c r="J133">
        <v>0</v>
      </c>
      <c r="K133">
        <v>0</v>
      </c>
      <c r="L133">
        <v>0</v>
      </c>
    </row>
    <row r="134" spans="1:12">
      <c r="A134" t="str">
        <f>HYPERLINK("http://bombeiros.sp.gov.br/hidrantes/03individual/701.html","701")</f>
        <v>701</v>
      </c>
      <c r="B134" t="str">
        <f>HYPERLINK("http://bombeiros.sp.gov.br/hidrantes/08bsg/qrcodeBSG.html?id=701&amp;lat=-23.52569&amp;long=-46.63452&amp;tipo=C","QRCODE")</f>
        <v>QRCODE</v>
      </c>
      <c r="C134" t="s">
        <v>5264</v>
      </c>
      <c r="D134" t="s">
        <v>638</v>
      </c>
      <c r="E134" t="s">
        <v>804</v>
      </c>
      <c r="F134" t="s">
        <v>12</v>
      </c>
      <c r="G134" t="s">
        <v>2245</v>
      </c>
      <c r="H134">
        <v>1</v>
      </c>
      <c r="I134">
        <v>2</v>
      </c>
      <c r="J134">
        <v>0</v>
      </c>
      <c r="K134">
        <v>0</v>
      </c>
      <c r="L134">
        <v>0</v>
      </c>
    </row>
    <row r="135" spans="1:12">
      <c r="A135" t="str">
        <f>HYPERLINK("http://bombeiros.sp.gov.br/hidrantes/03individual/1748.html","1748")</f>
        <v>1748</v>
      </c>
      <c r="B135" t="str">
        <f>HYPERLINK("http://bombeiros.sp.gov.br/hidrantes/08bsg/qrcodeBSG.html?id=1748&amp;lat=-23.52517&amp;long=-46.62866&amp;tipo=C","QRCODE")</f>
        <v>QRCODE</v>
      </c>
      <c r="C135" t="s">
        <v>5264</v>
      </c>
      <c r="D135" t="s">
        <v>638</v>
      </c>
      <c r="E135" t="s">
        <v>804</v>
      </c>
      <c r="F135" t="s">
        <v>12</v>
      </c>
      <c r="G135" t="s">
        <v>4855</v>
      </c>
      <c r="H135">
        <v>1</v>
      </c>
      <c r="I135">
        <v>1</v>
      </c>
      <c r="J135">
        <v>0</v>
      </c>
      <c r="K135">
        <v>0</v>
      </c>
      <c r="L135">
        <v>0</v>
      </c>
    </row>
    <row r="136" spans="1:12">
      <c r="A136" t="str">
        <f>HYPERLINK("http://bombeiros.sp.gov.br/hidrantes/03individual/5504.html","5504")</f>
        <v>5504</v>
      </c>
      <c r="B136" t="str">
        <f>HYPERLINK("http://bombeiros.sp.gov.br/hidrantes/08bsg/qrcodeBSG.html?id=5504&amp;lat=-23.52010&amp;long=-46.63556&amp;tipo=C","QRCODE")</f>
        <v>QRCODE</v>
      </c>
      <c r="C136" t="s">
        <v>5264</v>
      </c>
      <c r="D136" t="s">
        <v>638</v>
      </c>
      <c r="E136" t="s">
        <v>804</v>
      </c>
      <c r="F136" t="s">
        <v>12</v>
      </c>
      <c r="G136" t="s">
        <v>4811</v>
      </c>
      <c r="H136">
        <v>1</v>
      </c>
      <c r="I136">
        <v>1</v>
      </c>
      <c r="J136">
        <v>0</v>
      </c>
      <c r="K136">
        <v>0</v>
      </c>
      <c r="L136">
        <v>0</v>
      </c>
    </row>
    <row r="137" spans="1:12">
      <c r="A137" t="str">
        <f>HYPERLINK("http://bombeiros.sp.gov.br/hidrantes/03individual/16443.html","16443")</f>
        <v>16443</v>
      </c>
      <c r="B137" t="str">
        <f>HYPERLINK("http://bombeiros.sp.gov.br/hidrantes/08bsg/qrcodeBSG.html?id=16443&amp;lat=-23.52034&amp;long=-46.63431&amp;tipo=C","QRCODE")</f>
        <v>QRCODE</v>
      </c>
      <c r="C137" t="s">
        <v>5264</v>
      </c>
      <c r="D137" t="s">
        <v>638</v>
      </c>
      <c r="E137" t="s">
        <v>804</v>
      </c>
      <c r="F137" t="s">
        <v>12</v>
      </c>
      <c r="G137" t="s">
        <v>4261</v>
      </c>
      <c r="H137">
        <v>0</v>
      </c>
      <c r="I137">
        <v>1</v>
      </c>
      <c r="J137">
        <v>0</v>
      </c>
      <c r="K137">
        <v>0</v>
      </c>
      <c r="L137">
        <v>0</v>
      </c>
    </row>
    <row r="138" spans="1:12">
      <c r="A138" t="str">
        <f>HYPERLINK("http://bombeiros.sp.gov.br/hidrantes/03individual/27066.html","27066")</f>
        <v>27066</v>
      </c>
      <c r="B138" t="str">
        <f>HYPERLINK("http://bombeiros.sp.gov.br/hidrantes/08bsg/qrcodeBSG.html?id=27066&amp;lat=-23.52667&amp;long=-46.63314&amp;tipo=C","QRCODE")</f>
        <v>QRCODE</v>
      </c>
      <c r="C138" t="s">
        <v>5264</v>
      </c>
      <c r="D138" t="s">
        <v>638</v>
      </c>
      <c r="E138" t="s">
        <v>804</v>
      </c>
      <c r="F138" t="s">
        <v>12</v>
      </c>
      <c r="G138" t="s">
        <v>3662</v>
      </c>
      <c r="H138">
        <v>0</v>
      </c>
      <c r="I138">
        <v>1</v>
      </c>
      <c r="J138">
        <v>0</v>
      </c>
      <c r="K138">
        <v>0</v>
      </c>
      <c r="L138">
        <v>0</v>
      </c>
    </row>
    <row r="139" spans="1:12">
      <c r="A139" t="str">
        <f>HYPERLINK("http://bombeiros.sp.gov.br/hidrantes/03individual/27126.html","27126")</f>
        <v>27126</v>
      </c>
      <c r="B139" t="str">
        <f>HYPERLINK("http://bombeiros.sp.gov.br/hidrantes/08bsg/qrcodeBSG.html?id=27126&amp;lat=-23.52147&amp;long=-46.63412&amp;tipo=C","QRCODE")</f>
        <v>QRCODE</v>
      </c>
      <c r="C139" t="s">
        <v>5264</v>
      </c>
      <c r="D139" t="s">
        <v>638</v>
      </c>
      <c r="E139" t="s">
        <v>804</v>
      </c>
      <c r="F139" t="s">
        <v>12</v>
      </c>
      <c r="G139" t="s">
        <v>2445</v>
      </c>
      <c r="H139">
        <v>0</v>
      </c>
      <c r="I139">
        <v>1</v>
      </c>
      <c r="J139">
        <v>0</v>
      </c>
      <c r="K139">
        <v>0</v>
      </c>
      <c r="L139">
        <v>0</v>
      </c>
    </row>
    <row r="140" spans="1:12">
      <c r="A140" t="str">
        <f>HYPERLINK("http://bombeiros.sp.gov.br/hidrantes/03individual/504.html","504")</f>
        <v>504</v>
      </c>
      <c r="B140" t="str">
        <f>HYPERLINK("http://bombeiros.sp.gov.br/hidrantes/08bsg/qrcodeBSG.html?id=504&amp;lat=-23.52605&amp;long=-46.62580&amp;tipo=S","QRCODE")</f>
        <v>QRCODE</v>
      </c>
      <c r="C140" t="s">
        <v>5264</v>
      </c>
      <c r="D140" t="s">
        <v>638</v>
      </c>
      <c r="E140" t="s">
        <v>804</v>
      </c>
      <c r="F140" t="s">
        <v>21</v>
      </c>
      <c r="G140" t="s">
        <v>839</v>
      </c>
      <c r="H140">
        <v>1</v>
      </c>
      <c r="I140">
        <v>2</v>
      </c>
      <c r="J140">
        <v>0</v>
      </c>
      <c r="K140">
        <v>0</v>
      </c>
      <c r="L140">
        <v>0</v>
      </c>
    </row>
    <row r="141" spans="1:12">
      <c r="A141" t="str">
        <f>HYPERLINK("http://bombeiros.sp.gov.br/hidrantes/03individual/526.html","526")</f>
        <v>526</v>
      </c>
      <c r="B141" t="str">
        <f>HYPERLINK("http://bombeiros.sp.gov.br/hidrantes/08bsg/qrcodeBSG.html?id=526&amp;lat=-23.52690&amp;long=-46.63161&amp;tipo=S","QRCODE")</f>
        <v>QRCODE</v>
      </c>
      <c r="C141" t="s">
        <v>5264</v>
      </c>
      <c r="D141" t="s">
        <v>638</v>
      </c>
      <c r="E141" t="s">
        <v>804</v>
      </c>
      <c r="F141" t="s">
        <v>21</v>
      </c>
      <c r="G141" t="s">
        <v>2863</v>
      </c>
      <c r="H141">
        <v>0</v>
      </c>
      <c r="I141">
        <v>2</v>
      </c>
      <c r="J141">
        <v>0</v>
      </c>
      <c r="K141">
        <v>0</v>
      </c>
      <c r="L141">
        <v>0</v>
      </c>
    </row>
    <row r="142" spans="1:12">
      <c r="A142" t="str">
        <f>HYPERLINK("http://bombeiros.sp.gov.br/hidrantes/03individual/687.html","687")</f>
        <v>687</v>
      </c>
      <c r="B142" t="str">
        <f>HYPERLINK("http://bombeiros.sp.gov.br/hidrantes/08bsg/qrcodeBSG.html?id=687&amp;lat=-23.52332&amp;long=-46.62844&amp;tipo=S","QRCODE")</f>
        <v>QRCODE</v>
      </c>
      <c r="C142" t="s">
        <v>5264</v>
      </c>
      <c r="D142" t="s">
        <v>638</v>
      </c>
      <c r="E142" t="s">
        <v>804</v>
      </c>
      <c r="F142" t="s">
        <v>21</v>
      </c>
      <c r="G142" t="s">
        <v>2530</v>
      </c>
      <c r="H142">
        <v>2</v>
      </c>
      <c r="I142">
        <v>2</v>
      </c>
      <c r="J142">
        <v>0</v>
      </c>
      <c r="K142">
        <v>0</v>
      </c>
      <c r="L142">
        <v>0</v>
      </c>
    </row>
    <row r="143" spans="1:12">
      <c r="A143" t="str">
        <f>HYPERLINK("http://bombeiros.sp.gov.br/hidrantes/03individual/901.html","901")</f>
        <v>901</v>
      </c>
      <c r="B143" t="str">
        <f>HYPERLINK("http://bombeiros.sp.gov.br/hidrantes/08bsg/qrcodeBSG.html?id=901&amp;lat=-23.52803&amp;long=-46.62747&amp;tipo=S","QRCODE")</f>
        <v>QRCODE</v>
      </c>
      <c r="C143" t="s">
        <v>5264</v>
      </c>
      <c r="D143" t="s">
        <v>638</v>
      </c>
      <c r="E143" t="s">
        <v>804</v>
      </c>
      <c r="F143" t="s">
        <v>21</v>
      </c>
      <c r="G143" t="s">
        <v>803</v>
      </c>
      <c r="H143">
        <v>1</v>
      </c>
      <c r="I143">
        <v>2</v>
      </c>
      <c r="J143">
        <v>0</v>
      </c>
      <c r="K143">
        <v>0</v>
      </c>
      <c r="L143">
        <v>0</v>
      </c>
    </row>
    <row r="144" spans="1:12">
      <c r="A144" t="str">
        <f>HYPERLINK("http://bombeiros.sp.gov.br/hidrantes/03individual/1806.html","1806")</f>
        <v>1806</v>
      </c>
      <c r="B144" t="str">
        <f>HYPERLINK("http://bombeiros.sp.gov.br/hidrantes/08bsg/qrcodeBSG.html?id=1806&amp;lat=-23.52872&amp;long=-46.62902&amp;tipo=S","QRCODE")</f>
        <v>QRCODE</v>
      </c>
      <c r="C144" t="s">
        <v>5264</v>
      </c>
      <c r="D144" t="s">
        <v>638</v>
      </c>
      <c r="E144" t="s">
        <v>804</v>
      </c>
      <c r="F144" t="s">
        <v>21</v>
      </c>
      <c r="G144" t="s">
        <v>1022</v>
      </c>
      <c r="H144">
        <v>1</v>
      </c>
      <c r="I144">
        <v>2</v>
      </c>
      <c r="J144">
        <v>0</v>
      </c>
      <c r="K144">
        <v>0</v>
      </c>
      <c r="L144">
        <v>0</v>
      </c>
    </row>
    <row r="145" spans="1:12">
      <c r="A145" t="str">
        <f>HYPERLINK("http://bombeiros.sp.gov.br/hidrantes/03individual/2886.html","2886")</f>
        <v>2886</v>
      </c>
      <c r="B145" t="str">
        <f>HYPERLINK("http://bombeiros.sp.gov.br/hidrantes/08bsg/qrcodeBSG.html?id=2886&amp;lat=-23.52374&amp;long=-46.63104&amp;tipo=S","QRCODE")</f>
        <v>QRCODE</v>
      </c>
      <c r="C145" t="s">
        <v>5264</v>
      </c>
      <c r="D145" t="s">
        <v>638</v>
      </c>
      <c r="E145" t="s">
        <v>804</v>
      </c>
      <c r="F145" t="s">
        <v>21</v>
      </c>
      <c r="G145" t="s">
        <v>3671</v>
      </c>
      <c r="H145">
        <v>0</v>
      </c>
      <c r="I145">
        <v>1</v>
      </c>
      <c r="J145">
        <v>0</v>
      </c>
      <c r="K145">
        <v>0</v>
      </c>
      <c r="L145">
        <v>0</v>
      </c>
    </row>
    <row r="146" spans="1:12">
      <c r="A146" t="str">
        <f>HYPERLINK("http://bombeiros.sp.gov.br/hidrantes/03individual/2889.html","2889")</f>
        <v>2889</v>
      </c>
      <c r="B146" t="str">
        <f>HYPERLINK("http://bombeiros.sp.gov.br/hidrantes/08bsg/qrcodeBSG.html?id=2889&amp;lat=-23.52288&amp;long=-46.62968&amp;tipo=S","QRCODE")</f>
        <v>QRCODE</v>
      </c>
      <c r="C146" t="s">
        <v>5264</v>
      </c>
      <c r="D146" t="s">
        <v>638</v>
      </c>
      <c r="E146" t="s">
        <v>804</v>
      </c>
      <c r="F146" t="s">
        <v>21</v>
      </c>
      <c r="G146" t="s">
        <v>2575</v>
      </c>
      <c r="H146">
        <v>0</v>
      </c>
      <c r="I146">
        <v>2</v>
      </c>
      <c r="J146">
        <v>0</v>
      </c>
      <c r="K146">
        <v>0</v>
      </c>
      <c r="L146">
        <v>0</v>
      </c>
    </row>
    <row r="147" spans="1:12">
      <c r="A147" t="str">
        <f>HYPERLINK("http://bombeiros.sp.gov.br/hidrantes/03individual/5505.html","5505")</f>
        <v>5505</v>
      </c>
      <c r="B147" t="str">
        <f>HYPERLINK("http://bombeiros.sp.gov.br/hidrantes/08bsg/qrcodeBSG.html?id=5505&amp;lat=-23.52266&amp;long=-46.63423&amp;tipo=S","QRCODE")</f>
        <v>QRCODE</v>
      </c>
      <c r="C147" t="s">
        <v>5264</v>
      </c>
      <c r="D147" t="s">
        <v>638</v>
      </c>
      <c r="E147" t="s">
        <v>804</v>
      </c>
      <c r="F147" t="s">
        <v>21</v>
      </c>
      <c r="G147" t="s">
        <v>1098</v>
      </c>
      <c r="H147">
        <v>1</v>
      </c>
      <c r="I147">
        <v>2</v>
      </c>
      <c r="J147">
        <v>0</v>
      </c>
      <c r="K147">
        <v>0</v>
      </c>
      <c r="L147">
        <v>0</v>
      </c>
    </row>
    <row r="148" spans="1:12">
      <c r="A148" t="str">
        <f>HYPERLINK("http://bombeiros.sp.gov.br/hidrantes/03individual/17662.html","17662")</f>
        <v>17662</v>
      </c>
      <c r="B148" t="str">
        <f>HYPERLINK("http://bombeiros.sp.gov.br/hidrantes/08bsg/qrcodeBSG.html?id=17662&amp;lat=-23.52802&amp;long=-46.63089&amp;tipo=S","QRCODE")</f>
        <v>QRCODE</v>
      </c>
      <c r="C148" t="s">
        <v>5264</v>
      </c>
      <c r="D148" t="s">
        <v>638</v>
      </c>
      <c r="E148" t="s">
        <v>804</v>
      </c>
      <c r="F148" t="s">
        <v>21</v>
      </c>
      <c r="G148" t="s">
        <v>2908</v>
      </c>
      <c r="H148">
        <v>1</v>
      </c>
      <c r="I148">
        <v>3</v>
      </c>
      <c r="J148">
        <v>0</v>
      </c>
      <c r="K148">
        <v>0</v>
      </c>
      <c r="L148">
        <v>0</v>
      </c>
    </row>
    <row r="149" spans="1:12">
      <c r="A149" t="str">
        <f>HYPERLINK("http://bombeiros.sp.gov.br/hidrantes/03individual/27299.html","27299")</f>
        <v>27299</v>
      </c>
      <c r="B149" t="str">
        <f>HYPERLINK("http://bombeiros.sp.gov.br/hidrantes/08bsg/qrcodeBSG.html?id=27299&amp;lat=-23.52788&amp;long=-46.62652&amp;tipo=S","QRCODE")</f>
        <v>QRCODE</v>
      </c>
      <c r="C149" t="s">
        <v>5264</v>
      </c>
      <c r="D149" t="s">
        <v>638</v>
      </c>
      <c r="E149" t="s">
        <v>804</v>
      </c>
      <c r="F149" t="s">
        <v>21</v>
      </c>
      <c r="G149" t="s">
        <v>5265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>
      <c r="A150" t="str">
        <f>HYPERLINK("http://bombeiros.sp.gov.br/hidrantes/03individual/5610.html","5610")</f>
        <v>5610</v>
      </c>
      <c r="B150" t="str">
        <f>HYPERLINK("http://bombeiros.sp.gov.br/hidrantes/08bsg/qrcodeBSG.html?id=5610&amp;lat=-23.57817&amp;long=-46.62452&amp;tipo=C","QRCODE")</f>
        <v>QRCODE</v>
      </c>
      <c r="C150" t="s">
        <v>5264</v>
      </c>
      <c r="D150" t="s">
        <v>383</v>
      </c>
      <c r="E150" t="s">
        <v>383</v>
      </c>
      <c r="F150" t="s">
        <v>12</v>
      </c>
      <c r="G150" t="s">
        <v>4779</v>
      </c>
      <c r="H150">
        <v>1</v>
      </c>
      <c r="I150">
        <v>1</v>
      </c>
      <c r="J150">
        <v>0</v>
      </c>
      <c r="K150">
        <v>0</v>
      </c>
      <c r="L150">
        <v>0</v>
      </c>
    </row>
    <row r="151" spans="1:12">
      <c r="A151" t="str">
        <f>HYPERLINK("http://bombeiros.sp.gov.br/hidrantes/03individual/5646.html","5646")</f>
        <v>5646</v>
      </c>
      <c r="B151" t="str">
        <f>HYPERLINK("http://bombeiros.sp.gov.br/hidrantes/08bsg/qrcodeBSG.html?id=5646&amp;lat=-23.57783&amp;long=-46.62487&amp;tipo=C","QRCODE")</f>
        <v>QRCODE</v>
      </c>
      <c r="C151" t="s">
        <v>5264</v>
      </c>
      <c r="D151" t="s">
        <v>383</v>
      </c>
      <c r="E151" t="s">
        <v>383</v>
      </c>
      <c r="F151" t="s">
        <v>12</v>
      </c>
      <c r="G151" t="s">
        <v>4776</v>
      </c>
      <c r="H151">
        <v>1</v>
      </c>
      <c r="I151">
        <v>2</v>
      </c>
      <c r="J151">
        <v>0</v>
      </c>
      <c r="K151">
        <v>0</v>
      </c>
      <c r="L151">
        <v>0</v>
      </c>
    </row>
    <row r="152" spans="1:12">
      <c r="A152" t="str">
        <f>HYPERLINK("http://bombeiros.sp.gov.br/hidrantes/03individual/5647.html","5647")</f>
        <v>5647</v>
      </c>
      <c r="B152" t="str">
        <f>HYPERLINK("http://bombeiros.sp.gov.br/hidrantes/08bsg/qrcodeBSG.html?id=5647&amp;lat=-23.57750&amp;long=-46.62441&amp;tipo=C","QRCODE")</f>
        <v>QRCODE</v>
      </c>
      <c r="C152" t="s">
        <v>5264</v>
      </c>
      <c r="D152" t="s">
        <v>383</v>
      </c>
      <c r="E152" t="s">
        <v>383</v>
      </c>
      <c r="F152" t="s">
        <v>12</v>
      </c>
      <c r="G152" t="s">
        <v>3399</v>
      </c>
      <c r="H152">
        <v>0</v>
      </c>
      <c r="I152">
        <v>1</v>
      </c>
      <c r="J152">
        <v>0</v>
      </c>
      <c r="K152">
        <v>0</v>
      </c>
      <c r="L152">
        <v>0</v>
      </c>
    </row>
    <row r="153" spans="1:12">
      <c r="A153" t="str">
        <f>HYPERLINK("http://bombeiros.sp.gov.br/hidrantes/03individual/8.html","8")</f>
        <v>8</v>
      </c>
      <c r="B153" t="str">
        <f>HYPERLINK("http://bombeiros.sp.gov.br/hidrantes/08bsg/qrcodeBSG.html?id=8&amp;lat=-23.57510&amp;long=-46.62310&amp;tipo=S","QRCODE")</f>
        <v>QRCODE</v>
      </c>
      <c r="C153" t="s">
        <v>5264</v>
      </c>
      <c r="D153" t="s">
        <v>383</v>
      </c>
      <c r="E153" t="s">
        <v>383</v>
      </c>
      <c r="F153" t="s">
        <v>21</v>
      </c>
      <c r="G153" t="s">
        <v>3264</v>
      </c>
      <c r="H153">
        <v>0</v>
      </c>
      <c r="I153">
        <v>2</v>
      </c>
      <c r="J153">
        <v>0</v>
      </c>
      <c r="K153">
        <v>0</v>
      </c>
      <c r="L153">
        <v>0</v>
      </c>
    </row>
    <row r="154" spans="1:12">
      <c r="A154" t="str">
        <f>HYPERLINK("http://bombeiros.sp.gov.br/hidrantes/03individual/9.html","9")</f>
        <v>9</v>
      </c>
      <c r="B154" t="str">
        <f>HYPERLINK("http://bombeiros.sp.gov.br/hidrantes/08bsg/qrcodeBSG.html?id=9&amp;lat=-23.57678&amp;long=-46.62348&amp;tipo=S","QRCODE")</f>
        <v>QRCODE</v>
      </c>
      <c r="C154" t="s">
        <v>5264</v>
      </c>
      <c r="D154" t="s">
        <v>383</v>
      </c>
      <c r="E154" t="s">
        <v>383</v>
      </c>
      <c r="F154" t="s">
        <v>21</v>
      </c>
      <c r="G154" t="s">
        <v>828</v>
      </c>
      <c r="H154">
        <v>1</v>
      </c>
      <c r="I154">
        <v>2</v>
      </c>
      <c r="J154">
        <v>0</v>
      </c>
      <c r="K154">
        <v>0</v>
      </c>
      <c r="L154">
        <v>0</v>
      </c>
    </row>
    <row r="155" spans="1:12">
      <c r="A155" t="str">
        <f>HYPERLINK("http://bombeiros.sp.gov.br/hidrantes/03individual/10.html","10")</f>
        <v>10</v>
      </c>
      <c r="B155" t="str">
        <f>HYPERLINK("http://bombeiros.sp.gov.br/hidrantes/08bsg/qrcodeBSG.html?id=10&amp;lat=-23.57531&amp;long=-46.62348&amp;tipo=S","QRCODE")</f>
        <v>QRCODE</v>
      </c>
      <c r="C155" t="s">
        <v>5264</v>
      </c>
      <c r="D155" t="s">
        <v>383</v>
      </c>
      <c r="E155" t="s">
        <v>383</v>
      </c>
      <c r="F155" t="s">
        <v>21</v>
      </c>
      <c r="G155" t="s">
        <v>829</v>
      </c>
      <c r="H155">
        <v>2</v>
      </c>
      <c r="I155">
        <v>2</v>
      </c>
      <c r="J155">
        <v>0</v>
      </c>
      <c r="K155">
        <v>0</v>
      </c>
      <c r="L155">
        <v>0</v>
      </c>
    </row>
    <row r="156" spans="1:12">
      <c r="A156" t="str">
        <f>HYPERLINK("http://bombeiros.sp.gov.br/hidrantes/03individual/66.html","66")</f>
        <v>66</v>
      </c>
      <c r="B156" t="str">
        <f>HYPERLINK("http://bombeiros.sp.gov.br/hidrantes/08bsg/qrcodeBSG.html?id=66&amp;lat=-23.56211&amp;long=-46.62382&amp;tipo=S","QRCODE")</f>
        <v>QRCODE</v>
      </c>
      <c r="C156" t="s">
        <v>5264</v>
      </c>
      <c r="D156" t="s">
        <v>383</v>
      </c>
      <c r="E156" t="s">
        <v>383</v>
      </c>
      <c r="F156" t="s">
        <v>21</v>
      </c>
      <c r="G156" t="s">
        <v>2480</v>
      </c>
      <c r="H156">
        <v>0</v>
      </c>
      <c r="I156">
        <v>2</v>
      </c>
      <c r="J156">
        <v>0</v>
      </c>
      <c r="K156">
        <v>0</v>
      </c>
      <c r="L156">
        <v>0</v>
      </c>
    </row>
    <row r="157" spans="1:12">
      <c r="A157" t="str">
        <f>HYPERLINK("http://bombeiros.sp.gov.br/hidrantes/03individual/68.html","68")</f>
        <v>68</v>
      </c>
      <c r="B157" t="str">
        <f>HYPERLINK("http://bombeiros.sp.gov.br/hidrantes/08bsg/qrcodeBSG.html?id=68&amp;lat=-23.57809&amp;long=-46.62239&amp;tipo=S","QRCODE")</f>
        <v>QRCODE</v>
      </c>
      <c r="C157" t="s">
        <v>5264</v>
      </c>
      <c r="D157" t="s">
        <v>383</v>
      </c>
      <c r="E157" t="s">
        <v>383</v>
      </c>
      <c r="F157" t="s">
        <v>21</v>
      </c>
      <c r="G157" t="s">
        <v>822</v>
      </c>
      <c r="H157">
        <v>1</v>
      </c>
      <c r="I157">
        <v>3</v>
      </c>
      <c r="J157">
        <v>0</v>
      </c>
      <c r="K157">
        <v>0</v>
      </c>
      <c r="L157">
        <v>0</v>
      </c>
    </row>
    <row r="158" spans="1:12">
      <c r="A158" t="str">
        <f>HYPERLINK("http://bombeiros.sp.gov.br/hidrantes/03individual/70.html","70")</f>
        <v>70</v>
      </c>
      <c r="B158" t="str">
        <f>HYPERLINK("http://bombeiros.sp.gov.br/hidrantes/08bsg/qrcodeBSG.html?id=70&amp;lat=-23.56939&amp;long=-46.62085&amp;tipo=S","QRCODE")</f>
        <v>QRCODE</v>
      </c>
      <c r="C158" t="s">
        <v>5264</v>
      </c>
      <c r="D158" t="s">
        <v>383</v>
      </c>
      <c r="E158" t="s">
        <v>383</v>
      </c>
      <c r="F158" t="s">
        <v>21</v>
      </c>
      <c r="G158" t="s">
        <v>2488</v>
      </c>
      <c r="H158">
        <v>0</v>
      </c>
      <c r="I158">
        <v>2</v>
      </c>
      <c r="J158">
        <v>0</v>
      </c>
      <c r="K158">
        <v>0</v>
      </c>
      <c r="L158">
        <v>0</v>
      </c>
    </row>
    <row r="159" spans="1:12">
      <c r="A159" t="str">
        <f>HYPERLINK("http://bombeiros.sp.gov.br/hidrantes/03individual/71.html","71")</f>
        <v>71</v>
      </c>
      <c r="B159" t="str">
        <f>HYPERLINK("http://bombeiros.sp.gov.br/hidrantes/08bsg/qrcodeBSG.html?id=71&amp;lat=-23.56951&amp;long=-46.62197&amp;tipo=S","QRCODE")</f>
        <v>QRCODE</v>
      </c>
      <c r="C159" t="s">
        <v>5264</v>
      </c>
      <c r="D159" t="s">
        <v>383</v>
      </c>
      <c r="E159" t="s">
        <v>383</v>
      </c>
      <c r="F159" t="s">
        <v>21</v>
      </c>
      <c r="G159" t="s">
        <v>836</v>
      </c>
      <c r="H159">
        <v>1</v>
      </c>
      <c r="I159">
        <v>2</v>
      </c>
      <c r="J159">
        <v>0</v>
      </c>
      <c r="K159">
        <v>0</v>
      </c>
      <c r="L159">
        <v>0</v>
      </c>
    </row>
    <row r="160" spans="1:12">
      <c r="A160" t="str">
        <f>HYPERLINK("http://bombeiros.sp.gov.br/hidrantes/03individual/109.html","109")</f>
        <v>109</v>
      </c>
      <c r="B160" t="str">
        <f>HYPERLINK("http://bombeiros.sp.gov.br/hidrantes/08bsg/qrcodeBSG.html?id=109&amp;lat=-23.56703&amp;long=-46.62010&amp;tipo=S","QRCODE")</f>
        <v>QRCODE</v>
      </c>
      <c r="C160" t="s">
        <v>5264</v>
      </c>
      <c r="D160" t="s">
        <v>383</v>
      </c>
      <c r="E160" t="s">
        <v>383</v>
      </c>
      <c r="F160" t="s">
        <v>21</v>
      </c>
      <c r="G160" t="s">
        <v>382</v>
      </c>
      <c r="H160">
        <v>0</v>
      </c>
      <c r="I160">
        <v>2</v>
      </c>
      <c r="J160">
        <v>0</v>
      </c>
      <c r="K160">
        <v>0</v>
      </c>
      <c r="L160">
        <v>0</v>
      </c>
    </row>
    <row r="161" spans="1:12">
      <c r="A161" t="str">
        <f>HYPERLINK("http://bombeiros.sp.gov.br/hidrantes/03individual/2074.html","2074")</f>
        <v>2074</v>
      </c>
      <c r="B161" t="str">
        <f>HYPERLINK("http://bombeiros.sp.gov.br/hidrantes/08bsg/qrcodeBSG.html?id=2074&amp;lat=-23.56813&amp;long=-46.61890&amp;tipo=S","QRCODE")</f>
        <v>QRCODE</v>
      </c>
      <c r="C161" t="s">
        <v>5264</v>
      </c>
      <c r="D161" t="s">
        <v>383</v>
      </c>
      <c r="E161" t="s">
        <v>383</v>
      </c>
      <c r="F161" t="s">
        <v>21</v>
      </c>
      <c r="G161" t="s">
        <v>846</v>
      </c>
      <c r="H161">
        <v>1</v>
      </c>
      <c r="I161">
        <v>2</v>
      </c>
      <c r="J161">
        <v>0</v>
      </c>
      <c r="K161">
        <v>0</v>
      </c>
      <c r="L161">
        <v>0</v>
      </c>
    </row>
    <row r="162" spans="1:12">
      <c r="A162" t="str">
        <f>HYPERLINK("http://bombeiros.sp.gov.br/hidrantes/03individual/2075.html","2075")</f>
        <v>2075</v>
      </c>
      <c r="B162" t="str">
        <f>HYPERLINK("http://bombeiros.sp.gov.br/hidrantes/08bsg/qrcodeBSG.html?id=2075&amp;lat=-23.57037&amp;long=-46.62248&amp;tipo=S","QRCODE")</f>
        <v>QRCODE</v>
      </c>
      <c r="C162" t="s">
        <v>5264</v>
      </c>
      <c r="D162" t="s">
        <v>383</v>
      </c>
      <c r="E162" t="s">
        <v>383</v>
      </c>
      <c r="F162" t="s">
        <v>21</v>
      </c>
      <c r="G162" t="s">
        <v>2470</v>
      </c>
      <c r="H162">
        <v>0</v>
      </c>
      <c r="I162">
        <v>2</v>
      </c>
      <c r="J162">
        <v>0</v>
      </c>
      <c r="K162">
        <v>0</v>
      </c>
      <c r="L162">
        <v>0</v>
      </c>
    </row>
    <row r="163" spans="1:12">
      <c r="A163" t="str">
        <f>HYPERLINK("http://bombeiros.sp.gov.br/hidrantes/03individual/2126.html","2126")</f>
        <v>2126</v>
      </c>
      <c r="B163" t="str">
        <f>HYPERLINK("http://bombeiros.sp.gov.br/hidrantes/08bsg/qrcodeBSG.html?id=2126&amp;lat=-23.56463&amp;long=-46.62094&amp;tipo=S","QRCODE")</f>
        <v>QRCODE</v>
      </c>
      <c r="C163" t="s">
        <v>5264</v>
      </c>
      <c r="D163" t="s">
        <v>383</v>
      </c>
      <c r="E163" t="s">
        <v>383</v>
      </c>
      <c r="F163" t="s">
        <v>21</v>
      </c>
      <c r="G163" t="s">
        <v>842</v>
      </c>
      <c r="H163">
        <v>1</v>
      </c>
      <c r="I163">
        <v>2</v>
      </c>
      <c r="J163">
        <v>0</v>
      </c>
      <c r="K163">
        <v>0</v>
      </c>
      <c r="L163">
        <v>0</v>
      </c>
    </row>
    <row r="164" spans="1:12">
      <c r="A164" t="str">
        <f>HYPERLINK("http://bombeiros.sp.gov.br/hidrantes/03individual/2332.html","2332")</f>
        <v>2332</v>
      </c>
      <c r="B164" t="str">
        <f>HYPERLINK("http://bombeiros.sp.gov.br/hidrantes/08bsg/qrcodeBSG.html?id=2332&amp;lat=-23.57486&amp;long=-46.61914&amp;tipo=S","QRCODE")</f>
        <v>QRCODE</v>
      </c>
      <c r="C164" t="s">
        <v>5264</v>
      </c>
      <c r="D164" t="s">
        <v>383</v>
      </c>
      <c r="E164" t="s">
        <v>383</v>
      </c>
      <c r="F164" t="s">
        <v>21</v>
      </c>
      <c r="G164" t="s">
        <v>913</v>
      </c>
      <c r="H164">
        <v>1</v>
      </c>
      <c r="I164">
        <v>2</v>
      </c>
      <c r="J164">
        <v>0</v>
      </c>
      <c r="K164">
        <v>0</v>
      </c>
      <c r="L164">
        <v>0</v>
      </c>
    </row>
    <row r="165" spans="1:12">
      <c r="A165" t="str">
        <f>HYPERLINK("http://bombeiros.sp.gov.br/hidrantes/03individual/2344.html","2344")</f>
        <v>2344</v>
      </c>
      <c r="B165" t="str">
        <f>HYPERLINK("http://bombeiros.sp.gov.br/hidrantes/08bsg/qrcodeBSG.html?id=2344&amp;lat=-23.57574&amp;long=-46.61948&amp;tipo=S","QRCODE")</f>
        <v>QRCODE</v>
      </c>
      <c r="C165" t="s">
        <v>5264</v>
      </c>
      <c r="D165" t="s">
        <v>383</v>
      </c>
      <c r="E165" t="s">
        <v>383</v>
      </c>
      <c r="F165" t="s">
        <v>21</v>
      </c>
      <c r="G165" t="s">
        <v>916</v>
      </c>
      <c r="H165">
        <v>1</v>
      </c>
      <c r="I165">
        <v>2</v>
      </c>
      <c r="J165">
        <v>0</v>
      </c>
      <c r="K165">
        <v>0</v>
      </c>
      <c r="L165">
        <v>0</v>
      </c>
    </row>
    <row r="166" spans="1:12">
      <c r="A166" t="str">
        <f>HYPERLINK("http://bombeiros.sp.gov.br/hidrantes/03individual/2387.html","2387")</f>
        <v>2387</v>
      </c>
      <c r="B166" t="str">
        <f>HYPERLINK("http://bombeiros.sp.gov.br/hidrantes/08bsg/qrcodeBSG.html?id=2387&amp;lat=-23.57234&amp;long=-46.62026&amp;tipo=S","QRCODE")</f>
        <v>QRCODE</v>
      </c>
      <c r="C166" t="s">
        <v>5264</v>
      </c>
      <c r="D166" t="s">
        <v>383</v>
      </c>
      <c r="E166" t="s">
        <v>383</v>
      </c>
      <c r="F166" t="s">
        <v>21</v>
      </c>
      <c r="G166" t="s">
        <v>919</v>
      </c>
      <c r="H166">
        <v>2</v>
      </c>
      <c r="I166">
        <v>2</v>
      </c>
      <c r="J166">
        <v>0</v>
      </c>
      <c r="K166">
        <v>0</v>
      </c>
      <c r="L166">
        <v>0</v>
      </c>
    </row>
    <row r="167" spans="1:12">
      <c r="A167" t="str">
        <f>HYPERLINK("http://bombeiros.sp.gov.br/hidrantes/03individual/2390.html","2390")</f>
        <v>2390</v>
      </c>
      <c r="B167" t="str">
        <f>HYPERLINK("http://bombeiros.sp.gov.br/hidrantes/08bsg/qrcodeBSG.html?id=2390&amp;lat=-23.57320&amp;long=-46.62275&amp;tipo=S","QRCODE")</f>
        <v>QRCODE</v>
      </c>
      <c r="C167" t="s">
        <v>5264</v>
      </c>
      <c r="D167" t="s">
        <v>383</v>
      </c>
      <c r="E167" t="s">
        <v>383</v>
      </c>
      <c r="F167" t="s">
        <v>21</v>
      </c>
      <c r="G167" t="s">
        <v>2449</v>
      </c>
      <c r="H167">
        <v>0</v>
      </c>
      <c r="I167">
        <v>2</v>
      </c>
      <c r="J167">
        <v>0</v>
      </c>
      <c r="K167">
        <v>0</v>
      </c>
      <c r="L167">
        <v>0</v>
      </c>
    </row>
    <row r="168" spans="1:12">
      <c r="A168" t="str">
        <f>HYPERLINK("http://bombeiros.sp.gov.br/hidrantes/03individual/25277.html","25277")</f>
        <v>25277</v>
      </c>
      <c r="B168" t="str">
        <f>HYPERLINK("http://bombeiros.sp.gov.br/hidrantes/08bsg/qrcodeBSG.html?id=25277&amp;lat=-23.56676&amp;long=-46.62143&amp;tipo=S","QRCODE")</f>
        <v>QRCODE</v>
      </c>
      <c r="C168" t="s">
        <v>5264</v>
      </c>
      <c r="D168" t="s">
        <v>383</v>
      </c>
      <c r="E168" t="s">
        <v>383</v>
      </c>
      <c r="F168" t="s">
        <v>21</v>
      </c>
      <c r="G168" t="s">
        <v>920</v>
      </c>
      <c r="H168">
        <v>1</v>
      </c>
      <c r="I168">
        <v>2</v>
      </c>
      <c r="J168">
        <v>0</v>
      </c>
      <c r="K168">
        <v>0</v>
      </c>
      <c r="L168">
        <v>0</v>
      </c>
    </row>
    <row r="169" spans="1:12">
      <c r="A169" t="str">
        <f>HYPERLINK("http://bombeiros.sp.gov.br/hidrantes/03individual/40.html","40")</f>
        <v>40</v>
      </c>
      <c r="B169" t="str">
        <f>HYPERLINK("http://bombeiros.sp.gov.br/hidrantes/08bsg/qrcodeBSG.html?id=40&amp;lat=-23.55819&amp;long=-46.62184&amp;tipo=C","QRCODE")</f>
        <v>QRCODE</v>
      </c>
      <c r="C169" t="s">
        <v>5264</v>
      </c>
      <c r="D169" t="s">
        <v>383</v>
      </c>
      <c r="E169" t="s">
        <v>395</v>
      </c>
      <c r="F169" t="s">
        <v>12</v>
      </c>
      <c r="G169" t="s">
        <v>780</v>
      </c>
      <c r="H169">
        <v>0</v>
      </c>
      <c r="I169">
        <v>2</v>
      </c>
      <c r="J169">
        <v>0</v>
      </c>
      <c r="K169">
        <v>0</v>
      </c>
      <c r="L169">
        <v>0</v>
      </c>
    </row>
    <row r="170" spans="1:12">
      <c r="A170" t="str">
        <f>HYPERLINK("http://bombeiros.sp.gov.br/hidrantes/03individual/139.html","139")</f>
        <v>139</v>
      </c>
      <c r="B170" t="str">
        <f>HYPERLINK("http://bombeiros.sp.gov.br/hidrantes/08bsg/qrcodeBSG.html?id=139&amp;lat=-23.56330&amp;long=-46.62002&amp;tipo=C","QRCODE")</f>
        <v>QRCODE</v>
      </c>
      <c r="C170" t="s">
        <v>5264</v>
      </c>
      <c r="D170" t="s">
        <v>383</v>
      </c>
      <c r="E170" t="s">
        <v>395</v>
      </c>
      <c r="F170" t="s">
        <v>12</v>
      </c>
      <c r="G170" t="s">
        <v>3150</v>
      </c>
      <c r="H170">
        <v>3</v>
      </c>
      <c r="I170">
        <v>1</v>
      </c>
      <c r="J170">
        <v>0</v>
      </c>
      <c r="K170">
        <v>0</v>
      </c>
      <c r="L170">
        <v>0</v>
      </c>
    </row>
    <row r="171" spans="1:12">
      <c r="A171" t="str">
        <f>HYPERLINK("http://bombeiros.sp.gov.br/hidrantes/03individual/1659.html","1659")</f>
        <v>1659</v>
      </c>
      <c r="B171" t="str">
        <f>HYPERLINK("http://bombeiros.sp.gov.br/hidrantes/08bsg/qrcodeBSG.html?id=1659&amp;lat=-23.55939&amp;long=-46.60917&amp;tipo=C","QRCODE")</f>
        <v>QRCODE</v>
      </c>
      <c r="C171" t="s">
        <v>5264</v>
      </c>
      <c r="D171" t="s">
        <v>383</v>
      </c>
      <c r="E171" t="s">
        <v>395</v>
      </c>
      <c r="F171" t="s">
        <v>12</v>
      </c>
      <c r="G171" t="s">
        <v>2404</v>
      </c>
      <c r="H171">
        <v>2</v>
      </c>
      <c r="I171">
        <v>6</v>
      </c>
      <c r="J171">
        <v>0</v>
      </c>
      <c r="K171">
        <v>0</v>
      </c>
      <c r="L171">
        <v>0</v>
      </c>
    </row>
    <row r="172" spans="1:12">
      <c r="A172" t="str">
        <f>HYPERLINK("http://bombeiros.sp.gov.br/hidrantes/03individual/1778.html","1778")</f>
        <v>1778</v>
      </c>
      <c r="B172" t="str">
        <f>HYPERLINK("http://bombeiros.sp.gov.br/hidrantes/08bsg/qrcodeBSG.html?id=1778&amp;lat=-23.56524&amp;long=-46.60636&amp;tipo=C","QRCODE")</f>
        <v>QRCODE</v>
      </c>
      <c r="C172" t="s">
        <v>5264</v>
      </c>
      <c r="D172" t="s">
        <v>383</v>
      </c>
      <c r="E172" t="s">
        <v>395</v>
      </c>
      <c r="F172" t="s">
        <v>12</v>
      </c>
      <c r="G172" t="s">
        <v>3879</v>
      </c>
      <c r="H172">
        <v>0</v>
      </c>
      <c r="I172">
        <v>3</v>
      </c>
      <c r="J172">
        <v>0</v>
      </c>
      <c r="K172">
        <v>0</v>
      </c>
      <c r="L172">
        <v>0</v>
      </c>
    </row>
    <row r="173" spans="1:12">
      <c r="A173" t="str">
        <f>HYPERLINK("http://bombeiros.sp.gov.br/hidrantes/03individual/1816.html","1816")</f>
        <v>1816</v>
      </c>
      <c r="B173" t="str">
        <f>HYPERLINK("http://bombeiros.sp.gov.br/hidrantes/08bsg/qrcodeBSG.html?id=1816&amp;lat=-23.56251&amp;long=-46.61590&amp;tipo=C","QRCODE")</f>
        <v>QRCODE</v>
      </c>
      <c r="C173" t="s">
        <v>5264</v>
      </c>
      <c r="D173" t="s">
        <v>383</v>
      </c>
      <c r="E173" t="s">
        <v>395</v>
      </c>
      <c r="F173" t="s">
        <v>12</v>
      </c>
      <c r="G173" t="s">
        <v>3727</v>
      </c>
      <c r="H173">
        <v>1</v>
      </c>
      <c r="I173">
        <v>1</v>
      </c>
      <c r="J173">
        <v>0</v>
      </c>
      <c r="K173">
        <v>0</v>
      </c>
      <c r="L173">
        <v>0</v>
      </c>
    </row>
    <row r="174" spans="1:12">
      <c r="A174" t="str">
        <f>HYPERLINK("http://bombeiros.sp.gov.br/hidrantes/03individual/1820.html","1820")</f>
        <v>1820</v>
      </c>
      <c r="B174" t="str">
        <f>HYPERLINK("http://bombeiros.sp.gov.br/hidrantes/08bsg/qrcodeBSG.html?id=1820&amp;lat=-23.56005&amp;long=-46.61611&amp;tipo=C","QRCODE")</f>
        <v>QRCODE</v>
      </c>
      <c r="C174" t="s">
        <v>5264</v>
      </c>
      <c r="D174" t="s">
        <v>383</v>
      </c>
      <c r="E174" t="s">
        <v>395</v>
      </c>
      <c r="F174" t="s">
        <v>12</v>
      </c>
      <c r="G174" t="s">
        <v>758</v>
      </c>
      <c r="H174">
        <v>0</v>
      </c>
      <c r="I174">
        <v>2</v>
      </c>
      <c r="J174">
        <v>0</v>
      </c>
      <c r="K174">
        <v>0</v>
      </c>
      <c r="L174">
        <v>0</v>
      </c>
    </row>
    <row r="175" spans="1:12">
      <c r="A175" t="str">
        <f>HYPERLINK("http://bombeiros.sp.gov.br/hidrantes/03individual/1878.html","1878")</f>
        <v>1878</v>
      </c>
      <c r="B175" t="str">
        <f>HYPERLINK("http://bombeiros.sp.gov.br/hidrantes/08bsg/qrcodeBSG.html?id=1878&amp;lat=-23.55632&amp;long=-46.61742&amp;tipo=C","QRCODE")</f>
        <v>QRCODE</v>
      </c>
      <c r="C175" t="s">
        <v>5264</v>
      </c>
      <c r="D175" t="s">
        <v>383</v>
      </c>
      <c r="E175" t="s">
        <v>395</v>
      </c>
      <c r="F175" t="s">
        <v>12</v>
      </c>
      <c r="G175" t="s">
        <v>396</v>
      </c>
      <c r="H175">
        <v>0</v>
      </c>
      <c r="I175">
        <v>2</v>
      </c>
      <c r="J175">
        <v>0</v>
      </c>
      <c r="K175">
        <v>0</v>
      </c>
      <c r="L175">
        <v>0</v>
      </c>
    </row>
    <row r="176" spans="1:12">
      <c r="A176" t="str">
        <f>HYPERLINK("http://bombeiros.sp.gov.br/hidrantes/03individual/2119.html","2119")</f>
        <v>2119</v>
      </c>
      <c r="B176" t="str">
        <f>HYPERLINK("http://bombeiros.sp.gov.br/hidrantes/08bsg/qrcodeBSG.html?id=2119&amp;lat=-23.56698&amp;long=-46.61718&amp;tipo=C","QRCODE")</f>
        <v>QRCODE</v>
      </c>
      <c r="C176" t="s">
        <v>5264</v>
      </c>
      <c r="D176" t="s">
        <v>383</v>
      </c>
      <c r="E176" t="s">
        <v>395</v>
      </c>
      <c r="F176" t="s">
        <v>12</v>
      </c>
      <c r="G176" t="s">
        <v>1027</v>
      </c>
      <c r="H176">
        <v>0</v>
      </c>
      <c r="I176">
        <v>3</v>
      </c>
      <c r="J176">
        <v>0</v>
      </c>
      <c r="K176">
        <v>0</v>
      </c>
      <c r="L176">
        <v>0</v>
      </c>
    </row>
    <row r="177" spans="1:12">
      <c r="A177" t="str">
        <f>HYPERLINK("http://bombeiros.sp.gov.br/hidrantes/03individual/2130.html","2130")</f>
        <v>2130</v>
      </c>
      <c r="B177" t="str">
        <f>HYPERLINK("http://bombeiros.sp.gov.br/hidrantes/08bsg/qrcodeBSG.html?id=2130&amp;lat=-23.55367&amp;long=-46.62267&amp;tipo=C","QRCODE")</f>
        <v>QRCODE</v>
      </c>
      <c r="C177" t="s">
        <v>5264</v>
      </c>
      <c r="D177" t="s">
        <v>383</v>
      </c>
      <c r="E177" t="s">
        <v>395</v>
      </c>
      <c r="F177" t="s">
        <v>12</v>
      </c>
      <c r="G177" t="s">
        <v>770</v>
      </c>
      <c r="H177">
        <v>1</v>
      </c>
      <c r="I177">
        <v>2</v>
      </c>
      <c r="J177">
        <v>0</v>
      </c>
      <c r="K177">
        <v>0</v>
      </c>
      <c r="L177">
        <v>0</v>
      </c>
    </row>
    <row r="178" spans="1:12">
      <c r="A178" t="str">
        <f>HYPERLINK("http://bombeiros.sp.gov.br/hidrantes/03individual/140.html","140")</f>
        <v>140</v>
      </c>
      <c r="B178" t="str">
        <f>HYPERLINK("http://bombeiros.sp.gov.br/hidrantes/08bsg/qrcodeBSG.html?id=140&amp;lat=-23.55654&amp;long=-46.61903&amp;tipo=S","QRCODE")</f>
        <v>QRCODE</v>
      </c>
      <c r="C178" t="s">
        <v>5264</v>
      </c>
      <c r="D178" t="s">
        <v>383</v>
      </c>
      <c r="E178" t="s">
        <v>395</v>
      </c>
      <c r="F178" t="s">
        <v>21</v>
      </c>
      <c r="G178" t="s">
        <v>2490</v>
      </c>
      <c r="H178">
        <v>0</v>
      </c>
      <c r="I178">
        <v>2</v>
      </c>
      <c r="J178">
        <v>0</v>
      </c>
      <c r="K178">
        <v>0</v>
      </c>
      <c r="L178">
        <v>0</v>
      </c>
    </row>
    <row r="179" spans="1:12">
      <c r="A179" t="str">
        <f>HYPERLINK("http://bombeiros.sp.gov.br/hidrantes/03individual/141.html","141")</f>
        <v>141</v>
      </c>
      <c r="B179" t="str">
        <f>HYPERLINK("http://bombeiros.sp.gov.br/hidrantes/08bsg/qrcodeBSG.html?id=141&amp;lat=-23.55983&amp;long=-46.61868&amp;tipo=S","QRCODE")</f>
        <v>QRCODE</v>
      </c>
      <c r="C179" t="s">
        <v>5264</v>
      </c>
      <c r="D179" t="s">
        <v>383</v>
      </c>
      <c r="E179" t="s">
        <v>395</v>
      </c>
      <c r="F179" t="s">
        <v>21</v>
      </c>
      <c r="G179" t="s">
        <v>3151</v>
      </c>
      <c r="H179">
        <v>1</v>
      </c>
      <c r="I179">
        <v>1</v>
      </c>
      <c r="J179">
        <v>0</v>
      </c>
      <c r="K179">
        <v>0</v>
      </c>
      <c r="L179">
        <v>0</v>
      </c>
    </row>
    <row r="180" spans="1:12">
      <c r="A180" t="str">
        <f>HYPERLINK("http://bombeiros.sp.gov.br/hidrantes/03individual/266.html","266")</f>
        <v>266</v>
      </c>
      <c r="B180" t="str">
        <f>HYPERLINK("http://bombeiros.sp.gov.br/hidrantes/08bsg/qrcodeBSG.html?id=266&amp;lat=-23.56653&amp;long=-46.60941&amp;tipo=S","QRCODE")</f>
        <v>QRCODE</v>
      </c>
      <c r="C180" t="s">
        <v>5264</v>
      </c>
      <c r="D180" t="s">
        <v>383</v>
      </c>
      <c r="E180" t="s">
        <v>395</v>
      </c>
      <c r="F180" t="s">
        <v>21</v>
      </c>
      <c r="G180" t="s">
        <v>590</v>
      </c>
      <c r="H180">
        <v>1</v>
      </c>
      <c r="I180">
        <v>1</v>
      </c>
      <c r="J180">
        <v>0</v>
      </c>
      <c r="K180">
        <v>0</v>
      </c>
      <c r="L180">
        <v>0</v>
      </c>
    </row>
    <row r="181" spans="1:12">
      <c r="A181" t="str">
        <f>HYPERLINK("http://bombeiros.sp.gov.br/hidrantes/03individual/1655.html","1655")</f>
        <v>1655</v>
      </c>
      <c r="B181" t="str">
        <f>HYPERLINK("http://bombeiros.sp.gov.br/hidrantes/08bsg/qrcodeBSG.html?id=1655&amp;lat=-23.55739&amp;long=-46.60985&amp;tipo=S","QRCODE")</f>
        <v>QRCODE</v>
      </c>
      <c r="C181" t="s">
        <v>5264</v>
      </c>
      <c r="D181" t="s">
        <v>383</v>
      </c>
      <c r="E181" t="s">
        <v>395</v>
      </c>
      <c r="F181" t="s">
        <v>21</v>
      </c>
      <c r="G181" t="s">
        <v>3817</v>
      </c>
      <c r="H181">
        <v>0</v>
      </c>
      <c r="I181">
        <v>3</v>
      </c>
      <c r="J181">
        <v>0</v>
      </c>
      <c r="K181">
        <v>0</v>
      </c>
      <c r="L181">
        <v>0</v>
      </c>
    </row>
    <row r="182" spans="1:12">
      <c r="A182" t="str">
        <f>HYPERLINK("http://bombeiros.sp.gov.br/hidrantes/03individual/1657.html","1657")</f>
        <v>1657</v>
      </c>
      <c r="B182" t="str">
        <f>HYPERLINK("http://bombeiros.sp.gov.br/hidrantes/08bsg/qrcodeBSG.html?id=1657&amp;lat=-23.55816&amp;long=-46.60932&amp;tipo=S","QRCODE")</f>
        <v>QRCODE</v>
      </c>
      <c r="C182" t="s">
        <v>5264</v>
      </c>
      <c r="D182" t="s">
        <v>383</v>
      </c>
      <c r="E182" t="s">
        <v>395</v>
      </c>
      <c r="F182" t="s">
        <v>21</v>
      </c>
      <c r="G182" t="s">
        <v>394</v>
      </c>
      <c r="H182">
        <v>0</v>
      </c>
      <c r="I182">
        <v>4</v>
      </c>
      <c r="J182">
        <v>0</v>
      </c>
      <c r="K182">
        <v>0</v>
      </c>
      <c r="L182">
        <v>0</v>
      </c>
    </row>
    <row r="183" spans="1:12">
      <c r="A183" t="str">
        <f>HYPERLINK("http://bombeiros.sp.gov.br/hidrantes/03individual/1754.html","1754")</f>
        <v>1754</v>
      </c>
      <c r="B183" t="str">
        <f>HYPERLINK("http://bombeiros.sp.gov.br/hidrantes/08bsg/qrcodeBSG.html?id=1754&amp;lat=-23.56450&amp;long=-46.60670&amp;tipo=S","QRCODE")</f>
        <v>QRCODE</v>
      </c>
      <c r="C183" t="s">
        <v>5264</v>
      </c>
      <c r="D183" t="s">
        <v>383</v>
      </c>
      <c r="E183" t="s">
        <v>395</v>
      </c>
      <c r="F183" t="s">
        <v>21</v>
      </c>
      <c r="G183" t="s">
        <v>404</v>
      </c>
      <c r="H183">
        <v>1</v>
      </c>
      <c r="I183">
        <v>3</v>
      </c>
      <c r="J183">
        <v>0</v>
      </c>
      <c r="K183">
        <v>0</v>
      </c>
      <c r="L183">
        <v>0</v>
      </c>
    </row>
    <row r="184" spans="1:12">
      <c r="A184" t="str">
        <f>HYPERLINK("http://bombeiros.sp.gov.br/hidrantes/03individual/1779.html","1779")</f>
        <v>1779</v>
      </c>
      <c r="B184" t="str">
        <f>HYPERLINK("http://bombeiros.sp.gov.br/hidrantes/08bsg/qrcodeBSG.html?id=1779&amp;lat=-23.56639&amp;long=-46.60575&amp;tipo=S","QRCODE")</f>
        <v>QRCODE</v>
      </c>
      <c r="C184" t="s">
        <v>5264</v>
      </c>
      <c r="D184" t="s">
        <v>383</v>
      </c>
      <c r="E184" t="s">
        <v>395</v>
      </c>
      <c r="F184" t="s">
        <v>21</v>
      </c>
      <c r="G184" t="s">
        <v>401</v>
      </c>
      <c r="H184">
        <v>1</v>
      </c>
      <c r="I184">
        <v>4</v>
      </c>
      <c r="J184">
        <v>0</v>
      </c>
      <c r="K184">
        <v>0</v>
      </c>
      <c r="L184">
        <v>0</v>
      </c>
    </row>
    <row r="185" spans="1:12">
      <c r="A185" t="str">
        <f>HYPERLINK("http://bombeiros.sp.gov.br/hidrantes/03individual/1818.html","1818")</f>
        <v>1818</v>
      </c>
      <c r="B185" t="str">
        <f>HYPERLINK("http://bombeiros.sp.gov.br/hidrantes/08bsg/qrcodeBSG.html?id=1818&amp;lat=-23.56119&amp;long=-46.61664&amp;tipo=S","QRCODE")</f>
        <v>QRCODE</v>
      </c>
      <c r="C185" t="s">
        <v>5264</v>
      </c>
      <c r="D185" t="s">
        <v>383</v>
      </c>
      <c r="E185" t="s">
        <v>395</v>
      </c>
      <c r="F185" t="s">
        <v>21</v>
      </c>
      <c r="G185" t="s">
        <v>405</v>
      </c>
      <c r="H185">
        <v>0</v>
      </c>
      <c r="I185">
        <v>2</v>
      </c>
      <c r="J185">
        <v>0</v>
      </c>
      <c r="K185">
        <v>0</v>
      </c>
      <c r="L185">
        <v>0</v>
      </c>
    </row>
    <row r="186" spans="1:12">
      <c r="A186" t="str">
        <f>HYPERLINK("http://bombeiros.sp.gov.br/hidrantes/03individual/1822.html","1822")</f>
        <v>1822</v>
      </c>
      <c r="B186" t="str">
        <f>HYPERLINK("http://bombeiros.sp.gov.br/hidrantes/08bsg/qrcodeBSG.html?id=1822&amp;lat=-23.55896&amp;long=-46.61529&amp;tipo=S","QRCODE")</f>
        <v>QRCODE</v>
      </c>
      <c r="C186" t="s">
        <v>5264</v>
      </c>
      <c r="D186" t="s">
        <v>383</v>
      </c>
      <c r="E186" t="s">
        <v>395</v>
      </c>
      <c r="F186" t="s">
        <v>21</v>
      </c>
      <c r="G186" t="s">
        <v>406</v>
      </c>
      <c r="H186">
        <v>0</v>
      </c>
      <c r="I186">
        <v>2</v>
      </c>
      <c r="J186">
        <v>0</v>
      </c>
      <c r="K186">
        <v>0</v>
      </c>
      <c r="L186">
        <v>0</v>
      </c>
    </row>
    <row r="187" spans="1:12">
      <c r="A187" t="str">
        <f>HYPERLINK("http://bombeiros.sp.gov.br/hidrantes/03individual/1824.html","1824")</f>
        <v>1824</v>
      </c>
      <c r="B187" t="str">
        <f>HYPERLINK("http://bombeiros.sp.gov.br/hidrantes/08bsg/qrcodeBSG.html?id=1824&amp;lat=-23.55911&amp;long=-46.61400&amp;tipo=S","QRCODE")</f>
        <v>QRCODE</v>
      </c>
      <c r="C187" t="s">
        <v>5264</v>
      </c>
      <c r="D187" t="s">
        <v>383</v>
      </c>
      <c r="E187" t="s">
        <v>395</v>
      </c>
      <c r="F187" t="s">
        <v>21</v>
      </c>
      <c r="G187" t="s">
        <v>1921</v>
      </c>
      <c r="H187">
        <v>0</v>
      </c>
      <c r="I187">
        <v>2</v>
      </c>
      <c r="J187">
        <v>0</v>
      </c>
      <c r="K187">
        <v>0</v>
      </c>
      <c r="L187">
        <v>0</v>
      </c>
    </row>
    <row r="188" spans="1:12">
      <c r="A188" t="str">
        <f>HYPERLINK("http://bombeiros.sp.gov.br/hidrantes/03individual/1848.html","1848")</f>
        <v>1848</v>
      </c>
      <c r="B188" t="str">
        <f>HYPERLINK("http://bombeiros.sp.gov.br/hidrantes/08bsg/qrcodeBSG.html?id=1848&amp;lat=-23.55647&amp;long=-46.61331&amp;tipo=S","QRCODE")</f>
        <v>QRCODE</v>
      </c>
      <c r="C188" t="s">
        <v>5264</v>
      </c>
      <c r="D188" t="s">
        <v>383</v>
      </c>
      <c r="E188" t="s">
        <v>395</v>
      </c>
      <c r="F188" t="s">
        <v>21</v>
      </c>
      <c r="G188" t="s">
        <v>1922</v>
      </c>
      <c r="H188">
        <v>0</v>
      </c>
      <c r="I188">
        <v>2</v>
      </c>
      <c r="J188">
        <v>0</v>
      </c>
      <c r="K188">
        <v>0</v>
      </c>
      <c r="L188">
        <v>0</v>
      </c>
    </row>
    <row r="189" spans="1:12">
      <c r="A189" t="str">
        <f>HYPERLINK("http://bombeiros.sp.gov.br/hidrantes/03individual/1850.html","1850")</f>
        <v>1850</v>
      </c>
      <c r="B189" t="str">
        <f>HYPERLINK("http://bombeiros.sp.gov.br/hidrantes/08bsg/qrcodeBSG.html?id=1850&amp;lat=-23.55429&amp;long=-46.61433&amp;tipo=S","QRCODE")</f>
        <v>QRCODE</v>
      </c>
      <c r="C189" t="s">
        <v>5264</v>
      </c>
      <c r="D189" t="s">
        <v>383</v>
      </c>
      <c r="E189" t="s">
        <v>395</v>
      </c>
      <c r="F189" t="s">
        <v>21</v>
      </c>
      <c r="G189" t="s">
        <v>399</v>
      </c>
      <c r="H189">
        <v>1</v>
      </c>
      <c r="I189">
        <v>2</v>
      </c>
      <c r="J189">
        <v>0</v>
      </c>
      <c r="K189">
        <v>0</v>
      </c>
      <c r="L189">
        <v>0</v>
      </c>
    </row>
    <row r="190" spans="1:12">
      <c r="A190" t="str">
        <f>HYPERLINK("http://bombeiros.sp.gov.br/hidrantes/03individual/1867.html","1867")</f>
        <v>1867</v>
      </c>
      <c r="B190" t="str">
        <f>HYPERLINK("http://bombeiros.sp.gov.br/hidrantes/08bsg/qrcodeBSG.html?id=1867&amp;lat=-23.55388&amp;long=-46.61873&amp;tipo=S","QRCODE")</f>
        <v>QRCODE</v>
      </c>
      <c r="C190" t="s">
        <v>5264</v>
      </c>
      <c r="D190" t="s">
        <v>383</v>
      </c>
      <c r="E190" t="s">
        <v>395</v>
      </c>
      <c r="F190" t="s">
        <v>21</v>
      </c>
      <c r="G190" t="s">
        <v>763</v>
      </c>
      <c r="H190">
        <v>0</v>
      </c>
      <c r="I190">
        <v>2</v>
      </c>
      <c r="J190">
        <v>0</v>
      </c>
      <c r="K190">
        <v>0</v>
      </c>
      <c r="L190">
        <v>0</v>
      </c>
    </row>
    <row r="191" spans="1:12">
      <c r="A191" t="str">
        <f>HYPERLINK("http://bombeiros.sp.gov.br/hidrantes/03individual/1880.html","1880")</f>
        <v>1880</v>
      </c>
      <c r="B191" t="str">
        <f>HYPERLINK("http://bombeiros.sp.gov.br/hidrantes/08bsg/qrcodeBSG.html?id=1880&amp;lat=-23.55541&amp;long=-46.61754&amp;tipo=S","QRCODE")</f>
        <v>QRCODE</v>
      </c>
      <c r="C191" t="s">
        <v>5264</v>
      </c>
      <c r="D191" t="s">
        <v>383</v>
      </c>
      <c r="E191" t="s">
        <v>395</v>
      </c>
      <c r="F191" t="s">
        <v>21</v>
      </c>
      <c r="G191" t="s">
        <v>762</v>
      </c>
      <c r="H191">
        <v>1</v>
      </c>
      <c r="I191">
        <v>4</v>
      </c>
      <c r="J191">
        <v>0</v>
      </c>
      <c r="K191">
        <v>0</v>
      </c>
      <c r="L191">
        <v>0</v>
      </c>
    </row>
    <row r="192" spans="1:12">
      <c r="A192" t="str">
        <f>HYPERLINK("http://bombeiros.sp.gov.br/hidrantes/03individual/2069.html","2069")</f>
        <v>2069</v>
      </c>
      <c r="B192" t="str">
        <f>HYPERLINK("http://bombeiros.sp.gov.br/hidrantes/08bsg/qrcodeBSG.html?id=2069&amp;lat=-23.56164&amp;long=-46.62065&amp;tipo=S","QRCODE")</f>
        <v>QRCODE</v>
      </c>
      <c r="C192" t="s">
        <v>5264</v>
      </c>
      <c r="D192" t="s">
        <v>383</v>
      </c>
      <c r="E192" t="s">
        <v>395</v>
      </c>
      <c r="F192" t="s">
        <v>21</v>
      </c>
      <c r="G192" t="s">
        <v>3159</v>
      </c>
      <c r="H192">
        <v>1</v>
      </c>
      <c r="I192">
        <v>1</v>
      </c>
      <c r="J192">
        <v>0</v>
      </c>
      <c r="K192">
        <v>0</v>
      </c>
      <c r="L192">
        <v>0</v>
      </c>
    </row>
    <row r="193" spans="1:12">
      <c r="A193" t="str">
        <f>HYPERLINK("http://bombeiros.sp.gov.br/hidrantes/03individual/2071.html","2071")</f>
        <v>2071</v>
      </c>
      <c r="B193" t="str">
        <f>HYPERLINK("http://bombeiros.sp.gov.br/hidrantes/08bsg/qrcodeBSG.html?id=2071&amp;lat=-23.56175&amp;long=-46.62411&amp;tipo=S","QRCODE")</f>
        <v>QRCODE</v>
      </c>
      <c r="C193" t="s">
        <v>5264</v>
      </c>
      <c r="D193" t="s">
        <v>383</v>
      </c>
      <c r="E193" t="s">
        <v>395</v>
      </c>
      <c r="F193" t="s">
        <v>21</v>
      </c>
      <c r="G193" t="s">
        <v>2471</v>
      </c>
      <c r="H193">
        <v>1</v>
      </c>
      <c r="I193">
        <v>2</v>
      </c>
      <c r="J193">
        <v>0</v>
      </c>
      <c r="K193">
        <v>0</v>
      </c>
      <c r="L193">
        <v>0</v>
      </c>
    </row>
    <row r="194" spans="1:12">
      <c r="A194" t="str">
        <f>HYPERLINK("http://bombeiros.sp.gov.br/hidrantes/03individual/2122.html","2122")</f>
        <v>2122</v>
      </c>
      <c r="B194" t="str">
        <f>HYPERLINK("http://bombeiros.sp.gov.br/hidrantes/08bsg/qrcodeBSG.html?id=2122&amp;lat=-23.56637&amp;long=-46.61812&amp;tipo=S","QRCODE")</f>
        <v>QRCODE</v>
      </c>
      <c r="C194" t="s">
        <v>5264</v>
      </c>
      <c r="D194" t="s">
        <v>383</v>
      </c>
      <c r="E194" t="s">
        <v>395</v>
      </c>
      <c r="F194" t="s">
        <v>21</v>
      </c>
      <c r="G194" t="s">
        <v>555</v>
      </c>
      <c r="H194">
        <v>0</v>
      </c>
      <c r="I194">
        <v>2</v>
      </c>
      <c r="J194">
        <v>0</v>
      </c>
      <c r="K194">
        <v>0</v>
      </c>
      <c r="L194">
        <v>0</v>
      </c>
    </row>
    <row r="195" spans="1:12">
      <c r="A195" t="str">
        <f>HYPERLINK("http://bombeiros.sp.gov.br/hidrantes/03individual/2123.html","2123")</f>
        <v>2123</v>
      </c>
      <c r="B195" t="str">
        <f>HYPERLINK("http://bombeiros.sp.gov.br/hidrantes/08bsg/qrcodeBSG.html?id=2123&amp;lat=-23.56423&amp;long=-46.61811&amp;tipo=S","QRCODE")</f>
        <v>QRCODE</v>
      </c>
      <c r="C195" t="s">
        <v>5264</v>
      </c>
      <c r="D195" t="s">
        <v>383</v>
      </c>
      <c r="E195" t="s">
        <v>395</v>
      </c>
      <c r="F195" t="s">
        <v>21</v>
      </c>
      <c r="G195" t="s">
        <v>407</v>
      </c>
      <c r="H195">
        <v>0</v>
      </c>
      <c r="I195">
        <v>2</v>
      </c>
      <c r="J195">
        <v>0</v>
      </c>
      <c r="K195">
        <v>0</v>
      </c>
      <c r="L195">
        <v>0</v>
      </c>
    </row>
    <row r="196" spans="1:12">
      <c r="A196" t="str">
        <f>HYPERLINK("http://bombeiros.sp.gov.br/hidrantes/03individual/2124.html","2124")</f>
        <v>2124</v>
      </c>
      <c r="B196" t="str">
        <f>HYPERLINK("http://bombeiros.sp.gov.br/hidrantes/08bsg/qrcodeBSG.html?id=2124&amp;lat=-23.56351&amp;long=-46.61925&amp;tipo=S","QRCODE")</f>
        <v>QRCODE</v>
      </c>
      <c r="C196" t="s">
        <v>5264</v>
      </c>
      <c r="D196" t="s">
        <v>383</v>
      </c>
      <c r="E196" t="s">
        <v>395</v>
      </c>
      <c r="F196" t="s">
        <v>21</v>
      </c>
      <c r="G196" t="s">
        <v>5093</v>
      </c>
      <c r="H196">
        <v>0</v>
      </c>
      <c r="I196">
        <v>1</v>
      </c>
      <c r="J196">
        <v>0</v>
      </c>
      <c r="K196">
        <v>0</v>
      </c>
      <c r="L196">
        <v>0</v>
      </c>
    </row>
    <row r="197" spans="1:12">
      <c r="A197" t="str">
        <f>HYPERLINK("http://bombeiros.sp.gov.br/hidrantes/03individual/2134.html","2134")</f>
        <v>2134</v>
      </c>
      <c r="B197" t="str">
        <f>HYPERLINK("http://bombeiros.sp.gov.br/hidrantes/08bsg/qrcodeBSG.html?id=2134&amp;lat=-23.55443&amp;long=-46.62525&amp;tipo=S","QRCODE")</f>
        <v>QRCODE</v>
      </c>
      <c r="C197" t="s">
        <v>5264</v>
      </c>
      <c r="D197" t="s">
        <v>383</v>
      </c>
      <c r="E197" t="s">
        <v>395</v>
      </c>
      <c r="F197" t="s">
        <v>21</v>
      </c>
      <c r="G197" t="s">
        <v>558</v>
      </c>
      <c r="H197">
        <v>2</v>
      </c>
      <c r="I197">
        <v>3</v>
      </c>
      <c r="J197">
        <v>0</v>
      </c>
      <c r="K197">
        <v>0</v>
      </c>
      <c r="L197">
        <v>0</v>
      </c>
    </row>
    <row r="198" spans="1:12">
      <c r="A198" t="str">
        <f>HYPERLINK("http://bombeiros.sp.gov.br/hidrantes/03individual/2956.html","2956")</f>
        <v>2956</v>
      </c>
      <c r="B198" t="str">
        <f>HYPERLINK("http://bombeiros.sp.gov.br/hidrantes/08bsg/qrcodeBSG.html?id=2956&amp;lat=-23.56063&amp;long=-46.62371&amp;tipo=S","QRCODE")</f>
        <v>QRCODE</v>
      </c>
      <c r="C198" t="s">
        <v>5264</v>
      </c>
      <c r="D198" t="s">
        <v>383</v>
      </c>
      <c r="E198" t="s">
        <v>395</v>
      </c>
      <c r="F198" t="s">
        <v>21</v>
      </c>
      <c r="G198" t="s">
        <v>3168</v>
      </c>
      <c r="H198">
        <v>1</v>
      </c>
      <c r="I198">
        <v>1</v>
      </c>
      <c r="J198">
        <v>0</v>
      </c>
      <c r="K198">
        <v>0</v>
      </c>
      <c r="L198">
        <v>0</v>
      </c>
    </row>
    <row r="199" spans="1:12">
      <c r="A199" t="str">
        <f>HYPERLINK("http://bombeiros.sp.gov.br/hidrantes/03individual/16645.html","16645")</f>
        <v>16645</v>
      </c>
      <c r="B199" t="str">
        <f>HYPERLINK("http://bombeiros.sp.gov.br/hidrantes/08bsg/qrcodeBSG.html?id=16645&amp;lat=-23.55424&amp;long=-46.62383&amp;tipo=S","QRCODE")</f>
        <v>QRCODE</v>
      </c>
      <c r="C199" t="s">
        <v>5264</v>
      </c>
      <c r="D199" t="s">
        <v>383</v>
      </c>
      <c r="E199" t="s">
        <v>395</v>
      </c>
      <c r="F199" t="s">
        <v>21</v>
      </c>
      <c r="G199" t="s">
        <v>662</v>
      </c>
      <c r="H199">
        <v>1</v>
      </c>
      <c r="I199">
        <v>2</v>
      </c>
      <c r="J199">
        <v>0</v>
      </c>
      <c r="K199">
        <v>0</v>
      </c>
      <c r="L199">
        <v>0</v>
      </c>
    </row>
    <row r="200" spans="1:12">
      <c r="A200" t="str">
        <f>HYPERLINK("http://bombeiros.sp.gov.br/hidrantes/03individual/17661.html","17661")</f>
        <v>17661</v>
      </c>
      <c r="B200" t="str">
        <f>HYPERLINK("http://bombeiros.sp.gov.br/hidrantes/08bsg/qrcodeBSG.html?id=17661&amp;lat=-23.55526&amp;long=-46.62230&amp;tipo=S","QRCODE")</f>
        <v>QRCODE</v>
      </c>
      <c r="C200" t="s">
        <v>5264</v>
      </c>
      <c r="D200" t="s">
        <v>383</v>
      </c>
      <c r="E200" t="s">
        <v>395</v>
      </c>
      <c r="F200" t="s">
        <v>21</v>
      </c>
      <c r="G200" t="s">
        <v>3346</v>
      </c>
      <c r="H200">
        <v>1</v>
      </c>
      <c r="I200">
        <v>1</v>
      </c>
      <c r="J200">
        <v>0</v>
      </c>
      <c r="K200">
        <v>0</v>
      </c>
      <c r="L200">
        <v>0</v>
      </c>
    </row>
    <row r="201" spans="1:12">
      <c r="A201" t="str">
        <f>HYPERLINK("http://bombeiros.sp.gov.br/hidrantes/03individual/26657.html","26657")</f>
        <v>26657</v>
      </c>
      <c r="B201" t="str">
        <f>HYPERLINK("http://bombeiros.sp.gov.br/hidrantes/08bsg/qrcodeBSG.html?id=26657&amp;lat=-23.55702&amp;long=-46.61023&amp;tipo=S","QRCODE")</f>
        <v>QRCODE</v>
      </c>
      <c r="C201" t="s">
        <v>5264</v>
      </c>
      <c r="D201" t="s">
        <v>383</v>
      </c>
      <c r="E201" t="s">
        <v>395</v>
      </c>
      <c r="F201" t="s">
        <v>21</v>
      </c>
      <c r="G201" t="s">
        <v>475</v>
      </c>
      <c r="H201">
        <v>0</v>
      </c>
      <c r="I201">
        <v>3</v>
      </c>
      <c r="J201">
        <v>0</v>
      </c>
      <c r="K201">
        <v>0</v>
      </c>
      <c r="L201">
        <v>0</v>
      </c>
    </row>
    <row r="202" spans="1:12">
      <c r="A202" t="str">
        <f>HYPERLINK("http://bombeiros.sp.gov.br/hidrantes/03individual/27210.html","27210")</f>
        <v>27210</v>
      </c>
      <c r="B202" t="str">
        <f>HYPERLINK("http://bombeiros.sp.gov.br/hidrantes/08bsg/qrcodeBSG.html?id=27210&amp;lat=-23.55709&amp;long=-46.62441&amp;tipo=S","QRCODE")</f>
        <v>QRCODE</v>
      </c>
      <c r="C202" t="s">
        <v>5264</v>
      </c>
      <c r="D202" t="s">
        <v>383</v>
      </c>
      <c r="E202" t="s">
        <v>395</v>
      </c>
      <c r="F202" t="s">
        <v>21</v>
      </c>
      <c r="G202" t="s">
        <v>5266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 t="str">
        <f>HYPERLINK("http://bombeiros.sp.gov.br/hidrantes/03individual/842.html","842")</f>
        <v>842</v>
      </c>
      <c r="B203" t="str">
        <f>HYPERLINK("http://bombeiros.sp.gov.br/hidrantes/08bsg/qrcodeBSG.html?id=842&amp;lat=-23.55535&amp;long=-46.66291&amp;tipo=C","QRCODE")</f>
        <v>QRCODE</v>
      </c>
      <c r="C203" t="s">
        <v>5264</v>
      </c>
      <c r="D203" t="s">
        <v>276</v>
      </c>
      <c r="E203" t="s">
        <v>276</v>
      </c>
      <c r="F203" t="s">
        <v>12</v>
      </c>
      <c r="G203" t="s">
        <v>4907</v>
      </c>
      <c r="H203">
        <v>1</v>
      </c>
      <c r="I203">
        <v>1</v>
      </c>
      <c r="J203">
        <v>0</v>
      </c>
      <c r="K203">
        <v>0</v>
      </c>
      <c r="L203">
        <v>0</v>
      </c>
    </row>
    <row r="204" spans="1:12">
      <c r="A204" t="str">
        <f>HYPERLINK("http://bombeiros.sp.gov.br/hidrantes/03individual/844.html","844")</f>
        <v>844</v>
      </c>
      <c r="B204" t="str">
        <f>HYPERLINK("http://bombeiros.sp.gov.br/hidrantes/08bsg/qrcodeBSG.html?id=844&amp;lat=-23.55575&amp;long=-46.66260&amp;tipo=C","QRCODE")</f>
        <v>QRCODE</v>
      </c>
      <c r="C204" t="s">
        <v>5264</v>
      </c>
      <c r="D204" t="s">
        <v>276</v>
      </c>
      <c r="E204" t="s">
        <v>276</v>
      </c>
      <c r="F204" t="s">
        <v>12</v>
      </c>
      <c r="G204" t="s">
        <v>2862</v>
      </c>
      <c r="H204">
        <v>0</v>
      </c>
      <c r="I204">
        <v>2</v>
      </c>
      <c r="J204">
        <v>0</v>
      </c>
      <c r="K204">
        <v>0</v>
      </c>
      <c r="L204">
        <v>0</v>
      </c>
    </row>
    <row r="205" spans="1:12">
      <c r="A205" t="str">
        <f>HYPERLINK("http://bombeiros.sp.gov.br/hidrantes/03individual/846.html","846")</f>
        <v>846</v>
      </c>
      <c r="B205" t="str">
        <f>HYPERLINK("http://bombeiros.sp.gov.br/hidrantes/08bsg/qrcodeBSG.html?id=846&amp;lat=-23.55643&amp;long=-46.66182&amp;tipo=C","QRCODE")</f>
        <v>QRCODE</v>
      </c>
      <c r="C205" t="s">
        <v>5264</v>
      </c>
      <c r="D205" t="s">
        <v>276</v>
      </c>
      <c r="E205" t="s">
        <v>276</v>
      </c>
      <c r="F205" t="s">
        <v>12</v>
      </c>
      <c r="G205" t="s">
        <v>934</v>
      </c>
      <c r="H205">
        <v>0</v>
      </c>
      <c r="I205">
        <v>2</v>
      </c>
      <c r="J205">
        <v>0</v>
      </c>
      <c r="K205">
        <v>0</v>
      </c>
      <c r="L205">
        <v>0</v>
      </c>
    </row>
    <row r="206" spans="1:12">
      <c r="A206" t="str">
        <f>HYPERLINK("http://bombeiros.sp.gov.br/hidrantes/03individual/2309.html","2309")</f>
        <v>2309</v>
      </c>
      <c r="B206" t="str">
        <f>HYPERLINK("http://bombeiros.sp.gov.br/hidrantes/08bsg/qrcodeBSG.html?id=2309&amp;lat=-23.55393&amp;long=-46.65877&amp;tipo=C","QRCODE")</f>
        <v>QRCODE</v>
      </c>
      <c r="C206" t="s">
        <v>5264</v>
      </c>
      <c r="D206" t="s">
        <v>276</v>
      </c>
      <c r="E206" t="s">
        <v>276</v>
      </c>
      <c r="F206" t="s">
        <v>12</v>
      </c>
      <c r="G206" t="s">
        <v>2904</v>
      </c>
      <c r="H206">
        <v>0</v>
      </c>
      <c r="I206">
        <v>2</v>
      </c>
      <c r="J206">
        <v>0</v>
      </c>
      <c r="K206">
        <v>0</v>
      </c>
      <c r="L206">
        <v>0</v>
      </c>
    </row>
    <row r="207" spans="1:12">
      <c r="A207" t="str">
        <f>HYPERLINK("http://bombeiros.sp.gov.br/hidrantes/03individual/2399.html","2399")</f>
        <v>2399</v>
      </c>
      <c r="B207" t="str">
        <f>HYPERLINK("http://bombeiros.sp.gov.br/hidrantes/08bsg/qrcodeBSG.html?id=2399&amp;lat=-23.55800&amp;long=-46.66019&amp;tipo=C","QRCODE")</f>
        <v>QRCODE</v>
      </c>
      <c r="C207" t="s">
        <v>5264</v>
      </c>
      <c r="D207" t="s">
        <v>276</v>
      </c>
      <c r="E207" t="s">
        <v>276</v>
      </c>
      <c r="F207" t="s">
        <v>12</v>
      </c>
      <c r="G207" t="s">
        <v>649</v>
      </c>
      <c r="H207">
        <v>0</v>
      </c>
      <c r="I207">
        <v>2</v>
      </c>
      <c r="J207">
        <v>0</v>
      </c>
      <c r="K207">
        <v>0</v>
      </c>
      <c r="L207">
        <v>0</v>
      </c>
    </row>
    <row r="208" spans="1:12">
      <c r="A208" t="str">
        <f>HYPERLINK("http://bombeiros.sp.gov.br/hidrantes/03individual/2762.html","2762")</f>
        <v>2762</v>
      </c>
      <c r="B208" t="str">
        <f>HYPERLINK("http://bombeiros.sp.gov.br/hidrantes/08bsg/qrcodeBSG.html?id=2762&amp;lat=-23.55580&amp;long=-46.66352&amp;tipo=C","QRCODE")</f>
        <v>QRCODE</v>
      </c>
      <c r="C208" t="s">
        <v>5264</v>
      </c>
      <c r="D208" t="s">
        <v>276</v>
      </c>
      <c r="E208" t="s">
        <v>276</v>
      </c>
      <c r="F208" t="s">
        <v>12</v>
      </c>
      <c r="G208" t="s">
        <v>5167</v>
      </c>
      <c r="H208">
        <v>1</v>
      </c>
      <c r="I208">
        <v>1</v>
      </c>
      <c r="J208">
        <v>0</v>
      </c>
      <c r="K208">
        <v>0</v>
      </c>
      <c r="L208">
        <v>0</v>
      </c>
    </row>
    <row r="209" spans="1:12">
      <c r="A209" t="str">
        <f>HYPERLINK("http://bombeiros.sp.gov.br/hidrantes/03individual/92.html","92")</f>
        <v>92</v>
      </c>
      <c r="B209" t="str">
        <f>HYPERLINK("http://bombeiros.sp.gov.br/hidrantes/08bsg/qrcodeBSG.html?id=92&amp;lat=-23.55148&amp;long=-46.65942&amp;tipo=S","QRCODE")</f>
        <v>QRCODE</v>
      </c>
      <c r="C209" t="s">
        <v>5264</v>
      </c>
      <c r="D209" t="s">
        <v>276</v>
      </c>
      <c r="E209" t="s">
        <v>276</v>
      </c>
      <c r="F209" t="s">
        <v>21</v>
      </c>
      <c r="G209" t="s">
        <v>2869</v>
      </c>
      <c r="H209">
        <v>0</v>
      </c>
      <c r="I209">
        <v>2</v>
      </c>
      <c r="J209">
        <v>0</v>
      </c>
      <c r="K209">
        <v>0</v>
      </c>
      <c r="L209">
        <v>0</v>
      </c>
    </row>
    <row r="210" spans="1:12">
      <c r="A210" t="str">
        <f>HYPERLINK("http://bombeiros.sp.gov.br/hidrantes/03individual/95.html","95")</f>
        <v>95</v>
      </c>
      <c r="B210" t="str">
        <f>HYPERLINK("http://bombeiros.sp.gov.br/hidrantes/08bsg/qrcodeBSG.html?id=95&amp;lat=-23.55433&amp;long=-46.65759&amp;tipo=S","QRCODE")</f>
        <v>QRCODE</v>
      </c>
      <c r="C210" t="s">
        <v>5264</v>
      </c>
      <c r="D210" t="s">
        <v>276</v>
      </c>
      <c r="E210" t="s">
        <v>276</v>
      </c>
      <c r="F210" t="s">
        <v>21</v>
      </c>
      <c r="G210" t="s">
        <v>604</v>
      </c>
      <c r="H210">
        <v>0</v>
      </c>
      <c r="I210">
        <v>2</v>
      </c>
      <c r="J210">
        <v>0</v>
      </c>
      <c r="K210">
        <v>0</v>
      </c>
      <c r="L210">
        <v>0</v>
      </c>
    </row>
    <row r="211" spans="1:12">
      <c r="A211" t="str">
        <f>HYPERLINK("http://bombeiros.sp.gov.br/hidrantes/03individual/2191.html","2191")</f>
        <v>2191</v>
      </c>
      <c r="B211" t="str">
        <f>HYPERLINK("http://bombeiros.sp.gov.br/hidrantes/08bsg/qrcodeBSG.html?id=2191&amp;lat=-23.55240&amp;long=-46.66089&amp;tipo=S","QRCODE")</f>
        <v>QRCODE</v>
      </c>
      <c r="C211" t="s">
        <v>5264</v>
      </c>
      <c r="D211" t="s">
        <v>276</v>
      </c>
      <c r="E211" t="s">
        <v>276</v>
      </c>
      <c r="F211" t="s">
        <v>21</v>
      </c>
      <c r="G211" t="s">
        <v>515</v>
      </c>
      <c r="H211">
        <v>0</v>
      </c>
      <c r="I211">
        <v>2</v>
      </c>
      <c r="J211">
        <v>0</v>
      </c>
      <c r="K211">
        <v>0</v>
      </c>
      <c r="L211">
        <v>0</v>
      </c>
    </row>
    <row r="212" spans="1:12">
      <c r="A212" t="str">
        <f>HYPERLINK("http://bombeiros.sp.gov.br/hidrantes/03individual/2283.html","2283")</f>
        <v>2283</v>
      </c>
      <c r="B212" t="str">
        <f>HYPERLINK("http://bombeiros.sp.gov.br/hidrantes/08bsg/qrcodeBSG.html?id=2283&amp;lat=-23.55290&amp;long=-46.65637&amp;tipo=S","QRCODE")</f>
        <v>QRCODE</v>
      </c>
      <c r="C212" t="s">
        <v>5264</v>
      </c>
      <c r="D212" t="s">
        <v>276</v>
      </c>
      <c r="E212" t="s">
        <v>276</v>
      </c>
      <c r="F212" t="s">
        <v>21</v>
      </c>
      <c r="G212" t="s">
        <v>1330</v>
      </c>
      <c r="H212">
        <v>1</v>
      </c>
      <c r="I212">
        <v>1</v>
      </c>
      <c r="J212">
        <v>0</v>
      </c>
      <c r="K212">
        <v>0</v>
      </c>
      <c r="L212">
        <v>0</v>
      </c>
    </row>
    <row r="213" spans="1:12">
      <c r="A213" t="str">
        <f>HYPERLINK("http://bombeiros.sp.gov.br/hidrantes/03individual/2298.html","2298")</f>
        <v>2298</v>
      </c>
      <c r="B213" t="str">
        <f>HYPERLINK("http://bombeiros.sp.gov.br/hidrantes/08bsg/qrcodeBSG.html?id=2298&amp;lat=-23.55351&amp;long=-46.65806&amp;tipo=S","QRCODE")</f>
        <v>QRCODE</v>
      </c>
      <c r="C213" t="s">
        <v>5264</v>
      </c>
      <c r="D213" t="s">
        <v>276</v>
      </c>
      <c r="E213" t="s">
        <v>276</v>
      </c>
      <c r="F213" t="s">
        <v>21</v>
      </c>
      <c r="G213" t="s">
        <v>648</v>
      </c>
      <c r="H213">
        <v>0</v>
      </c>
      <c r="I213">
        <v>2</v>
      </c>
      <c r="J213">
        <v>0</v>
      </c>
      <c r="K213">
        <v>0</v>
      </c>
      <c r="L213">
        <v>0</v>
      </c>
    </row>
    <row r="214" spans="1:12">
      <c r="A214" t="str">
        <f>HYPERLINK("http://bombeiros.sp.gov.br/hidrantes/03individual/2299.html","2299")</f>
        <v>2299</v>
      </c>
      <c r="B214" t="str">
        <f>HYPERLINK("http://bombeiros.sp.gov.br/hidrantes/08bsg/qrcodeBSG.html?id=2299&amp;lat=-23.55341&amp;long=-46.65860&amp;tipo=S","QRCODE")</f>
        <v>QRCODE</v>
      </c>
      <c r="C214" t="s">
        <v>5264</v>
      </c>
      <c r="D214" t="s">
        <v>276</v>
      </c>
      <c r="E214" t="s">
        <v>276</v>
      </c>
      <c r="F214" t="s">
        <v>21</v>
      </c>
      <c r="G214" t="s">
        <v>648</v>
      </c>
      <c r="H214">
        <v>0</v>
      </c>
      <c r="I214">
        <v>2</v>
      </c>
      <c r="J214">
        <v>0</v>
      </c>
      <c r="K214">
        <v>0</v>
      </c>
      <c r="L214">
        <v>0</v>
      </c>
    </row>
    <row r="215" spans="1:12">
      <c r="A215" t="str">
        <f>HYPERLINK("http://bombeiros.sp.gov.br/hidrantes/03individual/2320.html","2320")</f>
        <v>2320</v>
      </c>
      <c r="B215" t="str">
        <f>HYPERLINK("http://bombeiros.sp.gov.br/hidrantes/08bsg/qrcodeBSG.html?id=2320&amp;lat=-23.55489&amp;long=-46.65994&amp;tipo=S","QRCODE")</f>
        <v>QRCODE</v>
      </c>
      <c r="C215" t="s">
        <v>5264</v>
      </c>
      <c r="D215" t="s">
        <v>276</v>
      </c>
      <c r="E215" t="s">
        <v>276</v>
      </c>
      <c r="F215" t="s">
        <v>21</v>
      </c>
      <c r="G215" t="s">
        <v>651</v>
      </c>
      <c r="H215">
        <v>1</v>
      </c>
      <c r="I215">
        <v>1</v>
      </c>
      <c r="J215">
        <v>0</v>
      </c>
      <c r="K215">
        <v>0</v>
      </c>
      <c r="L215">
        <v>0</v>
      </c>
    </row>
    <row r="216" spans="1:12">
      <c r="A216" t="str">
        <f>HYPERLINK("http://bombeiros.sp.gov.br/hidrantes/03individual/2355.html","2355")</f>
        <v>2355</v>
      </c>
      <c r="B216" t="str">
        <f>HYPERLINK("http://bombeiros.sp.gov.br/hidrantes/08bsg/qrcodeBSG.html?id=2355&amp;lat=-23.55570&amp;long=-46.65911&amp;tipo=S","QRCODE")</f>
        <v>QRCODE</v>
      </c>
      <c r="C216" t="s">
        <v>5264</v>
      </c>
      <c r="D216" t="s">
        <v>276</v>
      </c>
      <c r="E216" t="s">
        <v>276</v>
      </c>
      <c r="F216" t="s">
        <v>21</v>
      </c>
      <c r="G216" t="s">
        <v>2903</v>
      </c>
      <c r="H216">
        <v>0</v>
      </c>
      <c r="I216">
        <v>2</v>
      </c>
      <c r="J216">
        <v>0</v>
      </c>
      <c r="K216">
        <v>0</v>
      </c>
      <c r="L216">
        <v>0</v>
      </c>
    </row>
    <row r="217" spans="1:12">
      <c r="A217" t="str">
        <f>HYPERLINK("http://bombeiros.sp.gov.br/hidrantes/03individual/2512.html","2512")</f>
        <v>2512</v>
      </c>
      <c r="B217" t="str">
        <f>HYPERLINK("http://bombeiros.sp.gov.br/hidrantes/08bsg/qrcodeBSG.html?id=2512&amp;lat=-23.55418&amp;long=-46.65580&amp;tipo=S","QRCODE")</f>
        <v>QRCODE</v>
      </c>
      <c r="C217" t="s">
        <v>5264</v>
      </c>
      <c r="D217" t="s">
        <v>276</v>
      </c>
      <c r="E217" t="s">
        <v>276</v>
      </c>
      <c r="F217" t="s">
        <v>21</v>
      </c>
      <c r="G217" t="s">
        <v>641</v>
      </c>
      <c r="H217">
        <v>1</v>
      </c>
      <c r="I217">
        <v>1</v>
      </c>
      <c r="J217">
        <v>0</v>
      </c>
      <c r="K217">
        <v>0</v>
      </c>
      <c r="L217">
        <v>0</v>
      </c>
    </row>
    <row r="218" spans="1:12">
      <c r="A218" t="str">
        <f>HYPERLINK("http://bombeiros.sp.gov.br/hidrantes/03individual/2539.html","2539")</f>
        <v>2539</v>
      </c>
      <c r="B218" t="str">
        <f>HYPERLINK("http://bombeiros.sp.gov.br/hidrantes/08bsg/qrcodeBSG.html?id=2539&amp;lat=-23.55403&amp;long=-46.66056&amp;tipo=S","QRCODE")</f>
        <v>QRCODE</v>
      </c>
      <c r="C218" t="s">
        <v>5264</v>
      </c>
      <c r="D218" t="s">
        <v>276</v>
      </c>
      <c r="E218" t="s">
        <v>276</v>
      </c>
      <c r="F218" t="s">
        <v>21</v>
      </c>
      <c r="G218" t="s">
        <v>3797</v>
      </c>
      <c r="H218">
        <v>0</v>
      </c>
      <c r="I218">
        <v>1</v>
      </c>
      <c r="J218">
        <v>0</v>
      </c>
      <c r="K218">
        <v>0</v>
      </c>
      <c r="L218">
        <v>0</v>
      </c>
    </row>
    <row r="219" spans="1:12">
      <c r="A219" t="str">
        <f>HYPERLINK("http://bombeiros.sp.gov.br/hidrantes/03individual/2543.html","2543")</f>
        <v>2543</v>
      </c>
      <c r="B219" t="str">
        <f>HYPERLINK("http://bombeiros.sp.gov.br/hidrantes/08bsg/qrcodeBSG.html?id=2543&amp;lat=-23.55701&amp;long=-46.65896&amp;tipo=S","QRCODE")</f>
        <v>QRCODE</v>
      </c>
      <c r="C219" t="s">
        <v>5264</v>
      </c>
      <c r="D219" t="s">
        <v>276</v>
      </c>
      <c r="E219" t="s">
        <v>276</v>
      </c>
      <c r="F219" t="s">
        <v>21</v>
      </c>
      <c r="G219" t="s">
        <v>5127</v>
      </c>
      <c r="H219">
        <v>0</v>
      </c>
      <c r="I219">
        <v>1</v>
      </c>
      <c r="J219">
        <v>0</v>
      </c>
      <c r="K219">
        <v>0</v>
      </c>
      <c r="L219">
        <v>0</v>
      </c>
    </row>
    <row r="220" spans="1:12">
      <c r="A220" t="str">
        <f>HYPERLINK("http://bombeiros.sp.gov.br/hidrantes/03individual/2545.html","2545")</f>
        <v>2545</v>
      </c>
      <c r="B220" t="str">
        <f>HYPERLINK("http://bombeiros.sp.gov.br/hidrantes/08bsg/qrcodeBSG.html?id=2545&amp;lat=-23.55768&amp;long=-46.65789&amp;tipo=S","QRCODE")</f>
        <v>QRCODE</v>
      </c>
      <c r="C220" t="s">
        <v>5264</v>
      </c>
      <c r="D220" t="s">
        <v>276</v>
      </c>
      <c r="E220" t="s">
        <v>276</v>
      </c>
      <c r="F220" t="s">
        <v>21</v>
      </c>
      <c r="G220" t="s">
        <v>275</v>
      </c>
      <c r="H220">
        <v>0</v>
      </c>
      <c r="I220">
        <v>2</v>
      </c>
      <c r="J220">
        <v>0</v>
      </c>
      <c r="K220">
        <v>0</v>
      </c>
      <c r="L220">
        <v>0</v>
      </c>
    </row>
    <row r="221" spans="1:12">
      <c r="A221" t="str">
        <f>HYPERLINK("http://bombeiros.sp.gov.br/hidrantes/03individual/16581.html","16581")</f>
        <v>16581</v>
      </c>
      <c r="B221" t="str">
        <f>HYPERLINK("http://bombeiros.sp.gov.br/hidrantes/08bsg/qrcodeBSG.html?id=16581&amp;lat=-23.55557&amp;long=-46.66071&amp;tipo=S","QRCODE")</f>
        <v>QRCODE</v>
      </c>
      <c r="C221" t="s">
        <v>5264</v>
      </c>
      <c r="D221" t="s">
        <v>276</v>
      </c>
      <c r="E221" t="s">
        <v>276</v>
      </c>
      <c r="F221" t="s">
        <v>21</v>
      </c>
      <c r="G221" t="s">
        <v>927</v>
      </c>
      <c r="H221">
        <v>1</v>
      </c>
      <c r="I221">
        <v>2</v>
      </c>
      <c r="J221">
        <v>0</v>
      </c>
      <c r="K221">
        <v>0</v>
      </c>
      <c r="L221">
        <v>0</v>
      </c>
    </row>
    <row r="222" spans="1:12">
      <c r="A222" t="str">
        <f>HYPERLINK("http://bombeiros.sp.gov.br/hidrantes/03individual/16637.html","16637")</f>
        <v>16637</v>
      </c>
      <c r="B222" t="str">
        <f>HYPERLINK("http://bombeiros.sp.gov.br/hidrantes/08bsg/qrcodeBSG.html?id=16637&amp;lat=-23.55289&amp;long=-46.65882&amp;tipo=S","QRCODE")</f>
        <v>QRCODE</v>
      </c>
      <c r="C222" t="s">
        <v>5264</v>
      </c>
      <c r="D222" t="s">
        <v>276</v>
      </c>
      <c r="E222" t="s">
        <v>276</v>
      </c>
      <c r="F222" t="s">
        <v>21</v>
      </c>
      <c r="G222" t="s">
        <v>656</v>
      </c>
      <c r="H222">
        <v>1</v>
      </c>
      <c r="I222">
        <v>2</v>
      </c>
      <c r="J222">
        <v>0</v>
      </c>
      <c r="K222">
        <v>0</v>
      </c>
      <c r="L222">
        <v>0</v>
      </c>
    </row>
    <row r="223" spans="1:12">
      <c r="A223" t="str">
        <f>HYPERLINK("http://bombeiros.sp.gov.br/hidrantes/03individual/24.html","24")</f>
        <v>24</v>
      </c>
      <c r="B223" t="str">
        <f>HYPERLINK("http://bombeiros.sp.gov.br/hidrantes/08bsg/qrcodeBSG.html?id=24&amp;lat=-23.54385&amp;long=-46.66081&amp;tipo=C","QRCODE")</f>
        <v>QRCODE</v>
      </c>
      <c r="C223" t="s">
        <v>5264</v>
      </c>
      <c r="D223" t="s">
        <v>276</v>
      </c>
      <c r="E223" t="s">
        <v>1474</v>
      </c>
      <c r="F223" t="s">
        <v>12</v>
      </c>
      <c r="G223" t="s">
        <v>4305</v>
      </c>
      <c r="H223">
        <v>0</v>
      </c>
      <c r="I223">
        <v>1</v>
      </c>
      <c r="J223">
        <v>0</v>
      </c>
      <c r="K223">
        <v>0</v>
      </c>
      <c r="L223">
        <v>0</v>
      </c>
    </row>
    <row r="224" spans="1:12">
      <c r="A224" t="str">
        <f>HYPERLINK("http://bombeiros.sp.gov.br/hidrantes/03individual/25.html","25")</f>
        <v>25</v>
      </c>
      <c r="B224" t="str">
        <f>HYPERLINK("http://bombeiros.sp.gov.br/hidrantes/08bsg/qrcodeBSG.html?id=25&amp;lat=-23.54202&amp;long=-46.66237&amp;tipo=S","QRCODE")</f>
        <v>QRCODE</v>
      </c>
      <c r="C224" t="s">
        <v>5264</v>
      </c>
      <c r="D224" t="s">
        <v>276</v>
      </c>
      <c r="E224" t="s">
        <v>1474</v>
      </c>
      <c r="F224" t="s">
        <v>21</v>
      </c>
      <c r="G224" t="s">
        <v>1936</v>
      </c>
      <c r="H224">
        <v>0</v>
      </c>
      <c r="I224">
        <v>2</v>
      </c>
      <c r="J224">
        <v>0</v>
      </c>
      <c r="K224">
        <v>0</v>
      </c>
      <c r="L224">
        <v>0</v>
      </c>
    </row>
    <row r="225" spans="1:12">
      <c r="A225" t="str">
        <f>HYPERLINK("http://bombeiros.sp.gov.br/hidrantes/03individual/1406.html","1406")</f>
        <v>1406</v>
      </c>
      <c r="B225" t="str">
        <f>HYPERLINK("http://bombeiros.sp.gov.br/hidrantes/08bsg/qrcodeBSG.html?id=1406&amp;lat=-23.54380&amp;long=-46.66078&amp;tipo=S","QRCODE")</f>
        <v>QRCODE</v>
      </c>
      <c r="C225" t="s">
        <v>5264</v>
      </c>
      <c r="D225" t="s">
        <v>276</v>
      </c>
      <c r="E225" t="s">
        <v>1474</v>
      </c>
      <c r="F225" t="s">
        <v>21</v>
      </c>
      <c r="G225" t="s">
        <v>3544</v>
      </c>
      <c r="H225">
        <v>1</v>
      </c>
      <c r="I225">
        <v>1</v>
      </c>
      <c r="J225">
        <v>0</v>
      </c>
      <c r="K225">
        <v>0</v>
      </c>
      <c r="L225">
        <v>0</v>
      </c>
    </row>
    <row r="226" spans="1:12">
      <c r="A226" t="str">
        <f>HYPERLINK("http://bombeiros.sp.gov.br/hidrantes/03individual/1411.html","1411")</f>
        <v>1411</v>
      </c>
      <c r="B226" t="str">
        <f>HYPERLINK("http://bombeiros.sp.gov.br/hidrantes/08bsg/qrcodeBSG.html?id=1411&amp;lat=-23.54396&amp;long=-46.66368&amp;tipo=S","QRCODE")</f>
        <v>QRCODE</v>
      </c>
      <c r="C226" t="s">
        <v>5264</v>
      </c>
      <c r="D226" t="s">
        <v>276</v>
      </c>
      <c r="E226" t="s">
        <v>1474</v>
      </c>
      <c r="F226" t="s">
        <v>21</v>
      </c>
      <c r="G226" t="s">
        <v>1912</v>
      </c>
      <c r="H226">
        <v>0</v>
      </c>
      <c r="I226">
        <v>2</v>
      </c>
      <c r="J226">
        <v>0</v>
      </c>
      <c r="K226">
        <v>0</v>
      </c>
      <c r="L226">
        <v>0</v>
      </c>
    </row>
    <row r="227" spans="1:12">
      <c r="A227" t="str">
        <f>HYPERLINK("http://bombeiros.sp.gov.br/hidrantes/03individual/1450.html","1450")</f>
        <v>1450</v>
      </c>
      <c r="B227" t="str">
        <f>HYPERLINK("http://bombeiros.sp.gov.br/hidrantes/08bsg/qrcodeBSG.html?id=1450&amp;lat=-23.54039&amp;long=-46.66406&amp;tipo=S","QRCODE")</f>
        <v>QRCODE</v>
      </c>
      <c r="C227" t="s">
        <v>5264</v>
      </c>
      <c r="D227" t="s">
        <v>276</v>
      </c>
      <c r="E227" t="s">
        <v>1474</v>
      </c>
      <c r="F227" t="s">
        <v>21</v>
      </c>
      <c r="G227" t="s">
        <v>3545</v>
      </c>
      <c r="H227">
        <v>2</v>
      </c>
      <c r="I227">
        <v>1</v>
      </c>
      <c r="J227">
        <v>0</v>
      </c>
      <c r="K227">
        <v>0</v>
      </c>
      <c r="L227">
        <v>0</v>
      </c>
    </row>
    <row r="228" spans="1:12">
      <c r="A228" t="str">
        <f>HYPERLINK("http://bombeiros.sp.gov.br/hidrantes/03individual/1626.html","1626")</f>
        <v>1626</v>
      </c>
      <c r="B228" t="str">
        <f>HYPERLINK("http://bombeiros.sp.gov.br/hidrantes/08bsg/qrcodeBSG.html?id=1626&amp;lat=-23.54230&amp;long=-46.65918&amp;tipo=S","QRCODE")</f>
        <v>QRCODE</v>
      </c>
      <c r="C228" t="s">
        <v>5264</v>
      </c>
      <c r="D228" t="s">
        <v>276</v>
      </c>
      <c r="E228" t="s">
        <v>1474</v>
      </c>
      <c r="F228" t="s">
        <v>21</v>
      </c>
      <c r="G228" t="s">
        <v>2661</v>
      </c>
      <c r="H228">
        <v>0</v>
      </c>
      <c r="I228">
        <v>2</v>
      </c>
      <c r="J228">
        <v>0</v>
      </c>
      <c r="K228">
        <v>0</v>
      </c>
      <c r="L228">
        <v>0</v>
      </c>
    </row>
    <row r="229" spans="1:12">
      <c r="A229" t="str">
        <f>HYPERLINK("http://bombeiros.sp.gov.br/hidrantes/03individual/2765.html","2765")</f>
        <v>2765</v>
      </c>
      <c r="B229" t="str">
        <f>HYPERLINK("http://bombeiros.sp.gov.br/hidrantes/08bsg/qrcodeBSG.html?id=2765&amp;lat=-23.54046&amp;long=-46.66133&amp;tipo=S","QRCODE")</f>
        <v>QRCODE</v>
      </c>
      <c r="C229" t="s">
        <v>5264</v>
      </c>
      <c r="D229" t="s">
        <v>276</v>
      </c>
      <c r="E229" t="s">
        <v>1474</v>
      </c>
      <c r="F229" t="s">
        <v>21</v>
      </c>
      <c r="G229" t="s">
        <v>1473</v>
      </c>
      <c r="H229">
        <v>1</v>
      </c>
      <c r="I229">
        <v>2</v>
      </c>
      <c r="J229">
        <v>0</v>
      </c>
      <c r="K229">
        <v>0</v>
      </c>
      <c r="L229">
        <v>0</v>
      </c>
    </row>
    <row r="230" spans="1:12">
      <c r="A230" t="str">
        <f>HYPERLINK("http://bombeiros.sp.gov.br/hidrantes/03individual/25221.html","25221")</f>
        <v>25221</v>
      </c>
      <c r="B230" t="str">
        <f>HYPERLINK("http://bombeiros.sp.gov.br/hidrantes/08bsg/qrcodeBSG.html?id=25221&amp;lat=-23.54304&amp;long=-46.65983&amp;tipo=S","QRCODE")</f>
        <v>QRCODE</v>
      </c>
      <c r="C230" t="s">
        <v>5264</v>
      </c>
      <c r="D230" t="s">
        <v>276</v>
      </c>
      <c r="E230" t="s">
        <v>1474</v>
      </c>
      <c r="F230" t="s">
        <v>21</v>
      </c>
      <c r="G230" t="s">
        <v>3774</v>
      </c>
      <c r="H230">
        <v>1</v>
      </c>
      <c r="I230">
        <v>1</v>
      </c>
      <c r="J230">
        <v>0</v>
      </c>
      <c r="K230">
        <v>0</v>
      </c>
      <c r="L230">
        <v>0</v>
      </c>
    </row>
    <row r="231" spans="1:12">
      <c r="A231" t="str">
        <f>HYPERLINK("http://bombeiros.sp.gov.br/hidrantes/03individual/25222.html","25222")</f>
        <v>25222</v>
      </c>
      <c r="B231" t="str">
        <f>HYPERLINK("http://bombeiros.sp.gov.br/hidrantes/08bsg/qrcodeBSG.html?id=25222&amp;lat=-23.54140&amp;long=-46.66201&amp;tipo=S","QRCODE")</f>
        <v>QRCODE</v>
      </c>
      <c r="C231" t="s">
        <v>5264</v>
      </c>
      <c r="D231" t="s">
        <v>276</v>
      </c>
      <c r="E231" t="s">
        <v>1474</v>
      </c>
      <c r="F231" t="s">
        <v>21</v>
      </c>
      <c r="G231" t="s">
        <v>1846</v>
      </c>
      <c r="H231">
        <v>0</v>
      </c>
      <c r="I231">
        <v>2</v>
      </c>
      <c r="J231">
        <v>0</v>
      </c>
      <c r="K231">
        <v>0</v>
      </c>
      <c r="L231">
        <v>0</v>
      </c>
    </row>
    <row r="232" spans="1:12">
      <c r="A232" t="str">
        <f>HYPERLINK("http://bombeiros.sp.gov.br/hidrantes/03individual/1936.html","1936")</f>
        <v>1936</v>
      </c>
      <c r="B232" t="str">
        <f>HYPERLINK("http://bombeiros.sp.gov.br/hidrantes/08bsg/qrcodeBSG.html?id=1936&amp;lat=-23.54896&amp;long=-46.65939&amp;tipo=C","QRCODE")</f>
        <v>QRCODE</v>
      </c>
      <c r="C232" t="s">
        <v>5264</v>
      </c>
      <c r="D232" t="s">
        <v>276</v>
      </c>
      <c r="E232" t="s">
        <v>784</v>
      </c>
      <c r="F232" t="s">
        <v>12</v>
      </c>
      <c r="G232" t="s">
        <v>2115</v>
      </c>
      <c r="H232">
        <v>0</v>
      </c>
      <c r="I232">
        <v>1</v>
      </c>
      <c r="J232">
        <v>0</v>
      </c>
      <c r="K232">
        <v>0</v>
      </c>
      <c r="L232">
        <v>0</v>
      </c>
    </row>
    <row r="233" spans="1:12">
      <c r="A233" t="str">
        <f>HYPERLINK("http://bombeiros.sp.gov.br/hidrantes/03individual/163.html","163")</f>
        <v>163</v>
      </c>
      <c r="B233" t="str">
        <f>HYPERLINK("http://bombeiros.sp.gov.br/hidrantes/08bsg/qrcodeBSG.html?id=163&amp;lat=-23.54787&amp;long=-46.65515&amp;tipo=S","QRCODE")</f>
        <v>QRCODE</v>
      </c>
      <c r="C233" t="s">
        <v>5264</v>
      </c>
      <c r="D233" t="s">
        <v>276</v>
      </c>
      <c r="E233" t="s">
        <v>784</v>
      </c>
      <c r="F233" t="s">
        <v>21</v>
      </c>
      <c r="G233" t="s">
        <v>2668</v>
      </c>
      <c r="H233">
        <v>0</v>
      </c>
      <c r="I233">
        <v>2</v>
      </c>
      <c r="J233">
        <v>0</v>
      </c>
      <c r="K233">
        <v>0</v>
      </c>
      <c r="L233">
        <v>0</v>
      </c>
    </row>
    <row r="234" spans="1:12">
      <c r="A234" t="str">
        <f>HYPERLINK("http://bombeiros.sp.gov.br/hidrantes/03individual/164.html","164")</f>
        <v>164</v>
      </c>
      <c r="B234" t="str">
        <f>HYPERLINK("http://bombeiros.sp.gov.br/hidrantes/08bsg/qrcodeBSG.html?id=164&amp;lat=-23.54429&amp;long=-46.65545&amp;tipo=S","QRCODE")</f>
        <v>QRCODE</v>
      </c>
      <c r="C234" t="s">
        <v>5264</v>
      </c>
      <c r="D234" t="s">
        <v>276</v>
      </c>
      <c r="E234" t="s">
        <v>784</v>
      </c>
      <c r="F234" t="s">
        <v>21</v>
      </c>
      <c r="G234" t="s">
        <v>3562</v>
      </c>
      <c r="H234">
        <v>1</v>
      </c>
      <c r="I234">
        <v>1</v>
      </c>
      <c r="J234">
        <v>0</v>
      </c>
      <c r="K234">
        <v>0</v>
      </c>
      <c r="L234">
        <v>0</v>
      </c>
    </row>
    <row r="235" spans="1:12">
      <c r="A235" t="str">
        <f>HYPERLINK("http://bombeiros.sp.gov.br/hidrantes/03individual/226.html","226")</f>
        <v>226</v>
      </c>
      <c r="B235" t="str">
        <f>HYPERLINK("http://bombeiros.sp.gov.br/hidrantes/08bsg/qrcodeBSG.html?id=226&amp;lat=-23.54545&amp;long=-46.65242&amp;tipo=S","QRCODE")</f>
        <v>QRCODE</v>
      </c>
      <c r="C235" t="s">
        <v>5264</v>
      </c>
      <c r="D235" t="s">
        <v>276</v>
      </c>
      <c r="E235" t="s">
        <v>784</v>
      </c>
      <c r="F235" t="s">
        <v>21</v>
      </c>
      <c r="G235" t="s">
        <v>783</v>
      </c>
      <c r="H235">
        <v>0</v>
      </c>
      <c r="I235">
        <v>2</v>
      </c>
      <c r="J235">
        <v>0</v>
      </c>
      <c r="K235">
        <v>0</v>
      </c>
      <c r="L235">
        <v>0</v>
      </c>
    </row>
    <row r="236" spans="1:12">
      <c r="A236" t="str">
        <f>HYPERLINK("http://bombeiros.sp.gov.br/hidrantes/03individual/1606.html","1606")</f>
        <v>1606</v>
      </c>
      <c r="B236" t="str">
        <f>HYPERLINK("http://bombeiros.sp.gov.br/hidrantes/08bsg/qrcodeBSG.html?id=1606&amp;lat=-23.54220&amp;long=-46.65875&amp;tipo=S","QRCODE")</f>
        <v>QRCODE</v>
      </c>
      <c r="C236" t="s">
        <v>5264</v>
      </c>
      <c r="D236" t="s">
        <v>276</v>
      </c>
      <c r="E236" t="s">
        <v>784</v>
      </c>
      <c r="F236" t="s">
        <v>21</v>
      </c>
      <c r="G236" t="s">
        <v>3546</v>
      </c>
      <c r="H236">
        <v>1</v>
      </c>
      <c r="I236">
        <v>1</v>
      </c>
      <c r="J236">
        <v>0</v>
      </c>
      <c r="K236">
        <v>0</v>
      </c>
      <c r="L236">
        <v>0</v>
      </c>
    </row>
    <row r="237" spans="1:12">
      <c r="A237" t="str">
        <f>HYPERLINK("http://bombeiros.sp.gov.br/hidrantes/03individual/1833.html","1833")</f>
        <v>1833</v>
      </c>
      <c r="B237" t="str">
        <f>HYPERLINK("http://bombeiros.sp.gov.br/hidrantes/08bsg/qrcodeBSG.html?id=1833&amp;lat=-23.54367&amp;long=-46.65685&amp;tipo=S","QRCODE")</f>
        <v>QRCODE</v>
      </c>
      <c r="C237" t="s">
        <v>5264</v>
      </c>
      <c r="D237" t="s">
        <v>276</v>
      </c>
      <c r="E237" t="s">
        <v>784</v>
      </c>
      <c r="F237" t="s">
        <v>21</v>
      </c>
      <c r="G237" t="s">
        <v>3539</v>
      </c>
      <c r="H237">
        <v>1</v>
      </c>
      <c r="I237">
        <v>1</v>
      </c>
      <c r="J237">
        <v>0</v>
      </c>
      <c r="K237">
        <v>0</v>
      </c>
      <c r="L237">
        <v>0</v>
      </c>
    </row>
    <row r="238" spans="1:12">
      <c r="A238" t="str">
        <f>HYPERLINK("http://bombeiros.sp.gov.br/hidrantes/03individual/1857.html","1857")</f>
        <v>1857</v>
      </c>
      <c r="B238" t="str">
        <f>HYPERLINK("http://bombeiros.sp.gov.br/hidrantes/08bsg/qrcodeBSG.html?id=1857&amp;lat=-23.54445&amp;long=-46.65937&amp;tipo=S","QRCODE")</f>
        <v>QRCODE</v>
      </c>
      <c r="C238" t="s">
        <v>5264</v>
      </c>
      <c r="D238" t="s">
        <v>276</v>
      </c>
      <c r="E238" t="s">
        <v>784</v>
      </c>
      <c r="F238" t="s">
        <v>21</v>
      </c>
      <c r="G238" t="s">
        <v>2234</v>
      </c>
      <c r="H238">
        <v>0</v>
      </c>
      <c r="I238">
        <v>2</v>
      </c>
      <c r="J238">
        <v>0</v>
      </c>
      <c r="K238">
        <v>0</v>
      </c>
      <c r="L238">
        <v>0</v>
      </c>
    </row>
    <row r="239" spans="1:12">
      <c r="A239" t="str">
        <f>HYPERLINK("http://bombeiros.sp.gov.br/hidrantes/03individual/1863.html","1863")</f>
        <v>1863</v>
      </c>
      <c r="B239" t="str">
        <f>HYPERLINK("http://bombeiros.sp.gov.br/hidrantes/08bsg/qrcodeBSG.html?id=1863&amp;lat=-23.54632&amp;long=-46.65821&amp;tipo=S","QRCODE")</f>
        <v>QRCODE</v>
      </c>
      <c r="C239" t="s">
        <v>5264</v>
      </c>
      <c r="D239" t="s">
        <v>276</v>
      </c>
      <c r="E239" t="s">
        <v>784</v>
      </c>
      <c r="F239" t="s">
        <v>21</v>
      </c>
      <c r="G239" t="s">
        <v>3538</v>
      </c>
      <c r="H239">
        <v>2</v>
      </c>
      <c r="I239">
        <v>1</v>
      </c>
      <c r="J239">
        <v>0</v>
      </c>
      <c r="K239">
        <v>0</v>
      </c>
      <c r="L239">
        <v>0</v>
      </c>
    </row>
    <row r="240" spans="1:12">
      <c r="A240" t="str">
        <f>HYPERLINK("http://bombeiros.sp.gov.br/hidrantes/03individual/1891.html","1891")</f>
        <v>1891</v>
      </c>
      <c r="B240" t="str">
        <f>HYPERLINK("http://bombeiros.sp.gov.br/hidrantes/08bsg/qrcodeBSG.html?id=1891&amp;lat=-23.54545&amp;long=-46.65776&amp;tipo=S","QRCODE")</f>
        <v>QRCODE</v>
      </c>
      <c r="C240" t="s">
        <v>5264</v>
      </c>
      <c r="D240" t="s">
        <v>276</v>
      </c>
      <c r="E240" t="s">
        <v>784</v>
      </c>
      <c r="F240" t="s">
        <v>21</v>
      </c>
      <c r="G240" t="s">
        <v>2660</v>
      </c>
      <c r="H240">
        <v>0</v>
      </c>
      <c r="I240">
        <v>2</v>
      </c>
      <c r="J240">
        <v>0</v>
      </c>
      <c r="K240">
        <v>0</v>
      </c>
      <c r="L240">
        <v>0</v>
      </c>
    </row>
    <row r="241" spans="1:12">
      <c r="A241" t="str">
        <f>HYPERLINK("http://bombeiros.sp.gov.br/hidrantes/03individual/1897.html","1897")</f>
        <v>1897</v>
      </c>
      <c r="B241" t="str">
        <f>HYPERLINK("http://bombeiros.sp.gov.br/hidrantes/08bsg/qrcodeBSG.html?id=1897&amp;lat=-23.54492&amp;long=-46.65370&amp;tipo=S","QRCODE")</f>
        <v>QRCODE</v>
      </c>
      <c r="C241" t="s">
        <v>5264</v>
      </c>
      <c r="D241" t="s">
        <v>276</v>
      </c>
      <c r="E241" t="s">
        <v>784</v>
      </c>
      <c r="F241" t="s">
        <v>21</v>
      </c>
      <c r="G241" t="s">
        <v>3540</v>
      </c>
      <c r="H241">
        <v>1</v>
      </c>
      <c r="I241">
        <v>1</v>
      </c>
      <c r="J241">
        <v>0</v>
      </c>
      <c r="K241">
        <v>0</v>
      </c>
      <c r="L241">
        <v>0</v>
      </c>
    </row>
    <row r="242" spans="1:12">
      <c r="A242" t="str">
        <f>HYPERLINK("http://bombeiros.sp.gov.br/hidrantes/03individual/1922.html","1922")</f>
        <v>1922</v>
      </c>
      <c r="B242" t="str">
        <f>HYPERLINK("http://bombeiros.sp.gov.br/hidrantes/08bsg/qrcodeBSG.html?id=1922&amp;lat=-23.54873&amp;long=-46.65558&amp;tipo=S","QRCODE")</f>
        <v>QRCODE</v>
      </c>
      <c r="C242" t="s">
        <v>5264</v>
      </c>
      <c r="D242" t="s">
        <v>276</v>
      </c>
      <c r="E242" t="s">
        <v>784</v>
      </c>
      <c r="F242" t="s">
        <v>21</v>
      </c>
      <c r="G242" t="s">
        <v>2655</v>
      </c>
      <c r="H242">
        <v>0</v>
      </c>
      <c r="I242">
        <v>2</v>
      </c>
      <c r="J242">
        <v>0</v>
      </c>
      <c r="K242">
        <v>0</v>
      </c>
      <c r="L242">
        <v>0</v>
      </c>
    </row>
    <row r="243" spans="1:12">
      <c r="A243" t="str">
        <f>HYPERLINK("http://bombeiros.sp.gov.br/hidrantes/03individual/1929.html","1929")</f>
        <v>1929</v>
      </c>
      <c r="B243" t="str">
        <f>HYPERLINK("http://bombeiros.sp.gov.br/hidrantes/08bsg/qrcodeBSG.html?id=1929&amp;lat=-23.54826&amp;long=-46.65742&amp;tipo=S","QRCODE")</f>
        <v>QRCODE</v>
      </c>
      <c r="C243" t="s">
        <v>5264</v>
      </c>
      <c r="D243" t="s">
        <v>276</v>
      </c>
      <c r="E243" t="s">
        <v>784</v>
      </c>
      <c r="F243" t="s">
        <v>21</v>
      </c>
      <c r="G243" t="s">
        <v>3541</v>
      </c>
      <c r="H243">
        <v>1</v>
      </c>
      <c r="I243">
        <v>1</v>
      </c>
      <c r="J243">
        <v>0</v>
      </c>
      <c r="K243">
        <v>0</v>
      </c>
      <c r="L243">
        <v>0</v>
      </c>
    </row>
    <row r="244" spans="1:12">
      <c r="A244" t="str">
        <f>HYPERLINK("http://bombeiros.sp.gov.br/hidrantes/03individual/1934.html","1934")</f>
        <v>1934</v>
      </c>
      <c r="B244" t="str">
        <f>HYPERLINK("http://bombeiros.sp.gov.br/hidrantes/08bsg/qrcodeBSG.html?id=1934&amp;lat=-23.54894&amp;long=-46.65919&amp;tipo=S","QRCODE")</f>
        <v>QRCODE</v>
      </c>
      <c r="C244" t="s">
        <v>5264</v>
      </c>
      <c r="D244" t="s">
        <v>276</v>
      </c>
      <c r="E244" t="s">
        <v>784</v>
      </c>
      <c r="F244" t="s">
        <v>21</v>
      </c>
      <c r="G244" t="s">
        <v>2115</v>
      </c>
      <c r="H244">
        <v>2</v>
      </c>
      <c r="I244">
        <v>1</v>
      </c>
      <c r="J244">
        <v>0</v>
      </c>
      <c r="K244">
        <v>0</v>
      </c>
      <c r="L244">
        <v>0</v>
      </c>
    </row>
    <row r="245" spans="1:12">
      <c r="A245" t="str">
        <f>HYPERLINK("http://bombeiros.sp.gov.br/hidrantes/03individual/1941.html","1941")</f>
        <v>1941</v>
      </c>
      <c r="B245" t="str">
        <f>HYPERLINK("http://bombeiros.sp.gov.br/hidrantes/08bsg/qrcodeBSG.html?id=1941&amp;lat=-23.54824&amp;long=-46.66064&amp;tipo=S","QRCODE")</f>
        <v>QRCODE</v>
      </c>
      <c r="C245" t="s">
        <v>5264</v>
      </c>
      <c r="D245" t="s">
        <v>276</v>
      </c>
      <c r="E245" t="s">
        <v>784</v>
      </c>
      <c r="F245" t="s">
        <v>21</v>
      </c>
      <c r="G245" t="s">
        <v>3397</v>
      </c>
      <c r="H245">
        <v>0</v>
      </c>
      <c r="I245">
        <v>2</v>
      </c>
      <c r="J245">
        <v>0</v>
      </c>
      <c r="K245">
        <v>0</v>
      </c>
      <c r="L245">
        <v>0</v>
      </c>
    </row>
    <row r="246" spans="1:12">
      <c r="A246" t="str">
        <f>HYPERLINK("http://bombeiros.sp.gov.br/hidrantes/03individual/2676.html","2676")</f>
        <v>2676</v>
      </c>
      <c r="B246" t="str">
        <f>HYPERLINK("http://bombeiros.sp.gov.br/hidrantes/08bsg/qrcodeBSG.html?id=2676&amp;lat=-23.54277&amp;long=-46.65471&amp;tipo=S","QRCODE")</f>
        <v>QRCODE</v>
      </c>
      <c r="C246" t="s">
        <v>5264</v>
      </c>
      <c r="D246" t="s">
        <v>276</v>
      </c>
      <c r="E246" t="s">
        <v>784</v>
      </c>
      <c r="F246" t="s">
        <v>21</v>
      </c>
      <c r="G246" t="s">
        <v>3796</v>
      </c>
      <c r="H246">
        <v>0</v>
      </c>
      <c r="I246">
        <v>1</v>
      </c>
      <c r="J246">
        <v>0</v>
      </c>
      <c r="K246">
        <v>0</v>
      </c>
      <c r="L246">
        <v>0</v>
      </c>
    </row>
    <row r="247" spans="1:12">
      <c r="A247" t="str">
        <f>HYPERLINK("http://bombeiros.sp.gov.br/hidrantes/03individual/2844.html","2844")</f>
        <v>2844</v>
      </c>
      <c r="B247" t="str">
        <f>HYPERLINK("http://bombeiros.sp.gov.br/hidrantes/08bsg/qrcodeBSG.html?id=2844&amp;lat=-23.54165&amp;long=-46.65312&amp;tipo=S","QRCODE")</f>
        <v>QRCODE</v>
      </c>
      <c r="C247" t="s">
        <v>5264</v>
      </c>
      <c r="D247" t="s">
        <v>276</v>
      </c>
      <c r="E247" t="s">
        <v>784</v>
      </c>
      <c r="F247" t="s">
        <v>21</v>
      </c>
      <c r="G247" t="s">
        <v>948</v>
      </c>
      <c r="H247">
        <v>1</v>
      </c>
      <c r="I247">
        <v>2</v>
      </c>
      <c r="J247">
        <v>0</v>
      </c>
      <c r="K247">
        <v>0</v>
      </c>
      <c r="L247">
        <v>0</v>
      </c>
    </row>
    <row r="248" spans="1:12">
      <c r="A248" t="str">
        <f>HYPERLINK("http://bombeiros.sp.gov.br/hidrantes/03individual/26811.html","26811")</f>
        <v>26811</v>
      </c>
      <c r="B248" t="str">
        <f>HYPERLINK("http://bombeiros.sp.gov.br/hidrantes/08bsg/qrcodeBSG.html?id=26811&amp;lat=-23.54432&amp;long=-46.65716&amp;tipo=S","QRCODE")</f>
        <v>QRCODE</v>
      </c>
      <c r="C248" t="s">
        <v>5264</v>
      </c>
      <c r="D248" t="s">
        <v>276</v>
      </c>
      <c r="E248" t="s">
        <v>784</v>
      </c>
      <c r="F248" t="s">
        <v>21</v>
      </c>
      <c r="G248" t="s">
        <v>2448</v>
      </c>
      <c r="H248">
        <v>0</v>
      </c>
      <c r="I248">
        <v>2</v>
      </c>
      <c r="J248">
        <v>0</v>
      </c>
      <c r="K248">
        <v>0</v>
      </c>
      <c r="L248">
        <v>0</v>
      </c>
    </row>
    <row r="249" spans="1:12">
      <c r="A249" t="str">
        <f>HYPERLINK("http://bombeiros.sp.gov.br/hidrantes/03individual/27224.html","27224")</f>
        <v>27224</v>
      </c>
      <c r="B249" t="str">
        <f>HYPERLINK("http://bombeiros.sp.gov.br/hidrantes/08bsg/qrcodeBSG.html?id=27224&amp;lat=-23.54371&amp;long=-46.65450&amp;tipo=S","QRCODE")</f>
        <v>QRCODE</v>
      </c>
      <c r="C249" t="s">
        <v>5264</v>
      </c>
      <c r="D249" t="s">
        <v>276</v>
      </c>
      <c r="E249" t="s">
        <v>784</v>
      </c>
      <c r="F249" t="s">
        <v>21</v>
      </c>
      <c r="G249" t="s">
        <v>5267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>
      <c r="A250" t="str">
        <f>HYPERLINK("http://bombeiros.sp.gov.br/hidrantes/03individual/27225.html","27225")</f>
        <v>27225</v>
      </c>
      <c r="B250" t="str">
        <f>HYPERLINK("http://bombeiros.sp.gov.br/hidrantes/08bsg/qrcodeBSG.html?id=27225&amp;lat=-23.54377&amp;long=-46.65247&amp;tipo=S","QRCODE")</f>
        <v>QRCODE</v>
      </c>
      <c r="C250" t="s">
        <v>5264</v>
      </c>
      <c r="D250" t="s">
        <v>276</v>
      </c>
      <c r="E250" t="s">
        <v>784</v>
      </c>
      <c r="F250" t="s">
        <v>21</v>
      </c>
      <c r="G250" t="s">
        <v>1325</v>
      </c>
      <c r="H250">
        <v>0</v>
      </c>
      <c r="I250">
        <v>1</v>
      </c>
      <c r="J250">
        <v>0</v>
      </c>
      <c r="K250">
        <v>0</v>
      </c>
      <c r="L250">
        <v>0</v>
      </c>
    </row>
    <row r="251" spans="1:12">
      <c r="A251" t="str">
        <f>HYPERLINK("http://bombeiros.sp.gov.br/hidrantes/03individual/16569.html","16569")</f>
        <v>16569</v>
      </c>
      <c r="B251" t="str">
        <f>HYPERLINK("http://bombeiros.sp.gov.br/hidrantes/08bsg/qrcodeBSG.html?id=16569&amp;lat=-23.54842&amp;long=-46.66631&amp;tipo=C","QRCODE")</f>
        <v>QRCODE</v>
      </c>
      <c r="C251" t="s">
        <v>5264</v>
      </c>
      <c r="D251" t="s">
        <v>276</v>
      </c>
      <c r="E251" t="s">
        <v>1182</v>
      </c>
      <c r="F251" t="s">
        <v>12</v>
      </c>
      <c r="G251" t="s">
        <v>4892</v>
      </c>
      <c r="H251">
        <v>1</v>
      </c>
      <c r="I251">
        <v>1</v>
      </c>
      <c r="J251">
        <v>0</v>
      </c>
      <c r="K251">
        <v>0</v>
      </c>
      <c r="L251">
        <v>0</v>
      </c>
    </row>
    <row r="252" spans="1:12">
      <c r="A252" t="str">
        <f>HYPERLINK("http://bombeiros.sp.gov.br/hidrantes/03individual/2083.html","2083")</f>
        <v>2083</v>
      </c>
      <c r="B252" t="str">
        <f>HYPERLINK("http://bombeiros.sp.gov.br/hidrantes/08bsg/qrcodeBSG.html?id=2083&amp;lat=-23.54974&amp;long=-46.66360&amp;tipo=S","QRCODE")</f>
        <v>QRCODE</v>
      </c>
      <c r="C252" t="s">
        <v>5264</v>
      </c>
      <c r="D252" t="s">
        <v>276</v>
      </c>
      <c r="E252" t="s">
        <v>1182</v>
      </c>
      <c r="F252" t="s">
        <v>21</v>
      </c>
      <c r="G252" t="s">
        <v>3803</v>
      </c>
      <c r="H252">
        <v>0</v>
      </c>
      <c r="I252">
        <v>1</v>
      </c>
      <c r="J252">
        <v>0</v>
      </c>
      <c r="K252">
        <v>0</v>
      </c>
      <c r="L252">
        <v>0</v>
      </c>
    </row>
    <row r="253" spans="1:12">
      <c r="A253" t="str">
        <f>HYPERLINK("http://bombeiros.sp.gov.br/hidrantes/03individual/2101.html","2101")</f>
        <v>2101</v>
      </c>
      <c r="B253" t="str">
        <f>HYPERLINK("http://bombeiros.sp.gov.br/hidrantes/08bsg/qrcodeBSG.html?id=2101&amp;lat=-23.55220&amp;long=-46.66425&amp;tipo=S","QRCODE")</f>
        <v>QRCODE</v>
      </c>
      <c r="C253" t="s">
        <v>5264</v>
      </c>
      <c r="D253" t="s">
        <v>276</v>
      </c>
      <c r="E253" t="s">
        <v>1182</v>
      </c>
      <c r="F253" t="s">
        <v>21</v>
      </c>
      <c r="G253" t="s">
        <v>2054</v>
      </c>
      <c r="H253">
        <v>0</v>
      </c>
      <c r="I253">
        <v>2</v>
      </c>
      <c r="J253">
        <v>0</v>
      </c>
      <c r="K253">
        <v>0</v>
      </c>
      <c r="L253">
        <v>0</v>
      </c>
    </row>
    <row r="254" spans="1:12">
      <c r="A254" t="str">
        <f>HYPERLINK("http://bombeiros.sp.gov.br/hidrantes/03individual/4270.html","4270")</f>
        <v>4270</v>
      </c>
      <c r="B254" t="str">
        <f>HYPERLINK("http://bombeiros.sp.gov.br/hidrantes/08bsg/qrcodeBSG.html?id=4270&amp;lat=-23.54926&amp;long=-46.67087&amp;tipo=S","QRCODE")</f>
        <v>QRCODE</v>
      </c>
      <c r="C254" t="s">
        <v>5264</v>
      </c>
      <c r="D254" t="s">
        <v>276</v>
      </c>
      <c r="E254" t="s">
        <v>1182</v>
      </c>
      <c r="F254" t="s">
        <v>21</v>
      </c>
      <c r="G254" t="s">
        <v>1181</v>
      </c>
      <c r="H254">
        <v>1</v>
      </c>
      <c r="I254">
        <v>2</v>
      </c>
      <c r="J254">
        <v>0</v>
      </c>
      <c r="K254">
        <v>0</v>
      </c>
      <c r="L254">
        <v>0</v>
      </c>
    </row>
    <row r="255" spans="1:12">
      <c r="A255" t="str">
        <f>HYPERLINK("http://bombeiros.sp.gov.br/hidrantes/03individual/5598.html","5598")</f>
        <v>5598</v>
      </c>
      <c r="B255" t="str">
        <f>HYPERLINK("http://bombeiros.sp.gov.br/hidrantes/08bsg/qrcodeBSG.html?id=5598&amp;lat=-23.54973&amp;long=-46.66179&amp;tipo=S","QRCODE")</f>
        <v>QRCODE</v>
      </c>
      <c r="C255" t="s">
        <v>5264</v>
      </c>
      <c r="D255" t="s">
        <v>276</v>
      </c>
      <c r="E255" t="s">
        <v>1182</v>
      </c>
      <c r="F255" t="s">
        <v>21</v>
      </c>
      <c r="G255" t="s">
        <v>2874</v>
      </c>
      <c r="H255">
        <v>0</v>
      </c>
      <c r="I255">
        <v>2</v>
      </c>
      <c r="J255">
        <v>0</v>
      </c>
      <c r="K255">
        <v>0</v>
      </c>
      <c r="L255">
        <v>0</v>
      </c>
    </row>
    <row r="256" spans="1:12">
      <c r="A256" t="str">
        <f>HYPERLINK("http://bombeiros.sp.gov.br/hidrantes/03individual/17703.html","17703")</f>
        <v>17703</v>
      </c>
      <c r="B256" t="str">
        <f>HYPERLINK("http://bombeiros.sp.gov.br/hidrantes/08bsg/qrcodeBSG.html?id=17703&amp;lat=-23.55111&amp;long=-46.67078&amp;tipo=S","QRCODE")</f>
        <v>QRCODE</v>
      </c>
      <c r="C256" t="s">
        <v>5264</v>
      </c>
      <c r="D256" t="s">
        <v>276</v>
      </c>
      <c r="E256" t="s">
        <v>1182</v>
      </c>
      <c r="F256" t="s">
        <v>21</v>
      </c>
      <c r="G256" t="s">
        <v>3519</v>
      </c>
      <c r="H256">
        <v>1</v>
      </c>
      <c r="I256">
        <v>1</v>
      </c>
      <c r="J256">
        <v>0</v>
      </c>
      <c r="K256">
        <v>0</v>
      </c>
      <c r="L256">
        <v>0</v>
      </c>
    </row>
    <row r="257" spans="1:12">
      <c r="A257" t="str">
        <f>HYPERLINK("http://bombeiros.sp.gov.br/hidrantes/03individual/196.html","196")</f>
        <v>196</v>
      </c>
      <c r="B257" t="str">
        <f>HYPERLINK("http://bombeiros.sp.gov.br/hidrantes/08bsg/qrcodeBSG.html?id=196&amp;lat=-23.54896&amp;long=-46.65146&amp;tipo=C","QRCODE")</f>
        <v>QRCODE</v>
      </c>
      <c r="C257" t="s">
        <v>5264</v>
      </c>
      <c r="D257" t="s">
        <v>276</v>
      </c>
      <c r="E257" t="s">
        <v>284</v>
      </c>
      <c r="F257" t="s">
        <v>12</v>
      </c>
      <c r="G257" t="s">
        <v>587</v>
      </c>
      <c r="H257">
        <v>0</v>
      </c>
      <c r="I257">
        <v>2</v>
      </c>
      <c r="J257">
        <v>0</v>
      </c>
      <c r="K257">
        <v>0</v>
      </c>
      <c r="L257">
        <v>0</v>
      </c>
    </row>
    <row r="258" spans="1:12">
      <c r="A258" t="str">
        <f>HYPERLINK("http://bombeiros.sp.gov.br/hidrantes/03individual/207.html","207")</f>
        <v>207</v>
      </c>
      <c r="B258" t="str">
        <f>HYPERLINK("http://bombeiros.sp.gov.br/hidrantes/08bsg/qrcodeBSG.html?id=207&amp;lat=-23.54705&amp;long=-46.64814&amp;tipo=C","QRCODE")</f>
        <v>QRCODE</v>
      </c>
      <c r="C258" t="s">
        <v>5264</v>
      </c>
      <c r="D258" t="s">
        <v>276</v>
      </c>
      <c r="E258" t="s">
        <v>284</v>
      </c>
      <c r="F258" t="s">
        <v>12</v>
      </c>
      <c r="G258" t="s">
        <v>1396</v>
      </c>
      <c r="H258">
        <v>1</v>
      </c>
      <c r="I258">
        <v>2</v>
      </c>
      <c r="J258">
        <v>0</v>
      </c>
      <c r="K258">
        <v>0</v>
      </c>
      <c r="L258">
        <v>0</v>
      </c>
    </row>
    <row r="259" spans="1:12">
      <c r="A259" t="str">
        <f>HYPERLINK("http://bombeiros.sp.gov.br/hidrantes/03individual/691.html","691")</f>
        <v>691</v>
      </c>
      <c r="B259" t="str">
        <f>HYPERLINK("http://bombeiros.sp.gov.br/hidrantes/08bsg/qrcodeBSG.html?id=691&amp;lat=-23.54176&amp;long=-46.65081&amp;tipo=C","QRCODE")</f>
        <v>QRCODE</v>
      </c>
      <c r="C259" t="s">
        <v>5264</v>
      </c>
      <c r="D259" t="s">
        <v>276</v>
      </c>
      <c r="E259" t="s">
        <v>284</v>
      </c>
      <c r="F259" t="s">
        <v>12</v>
      </c>
      <c r="G259" t="s">
        <v>5198</v>
      </c>
      <c r="H259">
        <v>3</v>
      </c>
      <c r="I259">
        <v>0</v>
      </c>
      <c r="J259">
        <v>0</v>
      </c>
      <c r="K259">
        <v>0</v>
      </c>
      <c r="L259">
        <v>0</v>
      </c>
    </row>
    <row r="260" spans="1:12">
      <c r="A260" t="str">
        <f>HYPERLINK("http://bombeiros.sp.gov.br/hidrantes/03individual/1901.html","1901")</f>
        <v>1901</v>
      </c>
      <c r="B260" t="str">
        <f>HYPERLINK("http://bombeiros.sp.gov.br/hidrantes/08bsg/qrcodeBSG.html?id=1901&amp;lat=-23.54721&amp;long=-46.65359&amp;tipo=C","QRCODE")</f>
        <v>QRCODE</v>
      </c>
      <c r="C260" t="s">
        <v>5264</v>
      </c>
      <c r="D260" t="s">
        <v>276</v>
      </c>
      <c r="E260" t="s">
        <v>284</v>
      </c>
      <c r="F260" t="s">
        <v>12</v>
      </c>
      <c r="G260" t="s">
        <v>1023</v>
      </c>
      <c r="H260">
        <v>0</v>
      </c>
      <c r="I260">
        <v>2</v>
      </c>
      <c r="J260">
        <v>0</v>
      </c>
      <c r="K260">
        <v>0</v>
      </c>
      <c r="L260">
        <v>0</v>
      </c>
    </row>
    <row r="261" spans="1:12">
      <c r="A261" t="str">
        <f>HYPERLINK("http://bombeiros.sp.gov.br/hidrantes/03individual/2483.html","2483")</f>
        <v>2483</v>
      </c>
      <c r="B261" t="str">
        <f>HYPERLINK("http://bombeiros.sp.gov.br/hidrantes/08bsg/qrcodeBSG.html?id=2483&amp;lat=-23.55144&amp;long=-46.65642&amp;tipo=C","QRCODE")</f>
        <v>QRCODE</v>
      </c>
      <c r="C261" t="s">
        <v>5264</v>
      </c>
      <c r="D261" t="s">
        <v>276</v>
      </c>
      <c r="E261" t="s">
        <v>284</v>
      </c>
      <c r="F261" t="s">
        <v>12</v>
      </c>
      <c r="G261" t="s">
        <v>3530</v>
      </c>
      <c r="H261">
        <v>1</v>
      </c>
      <c r="I261">
        <v>1</v>
      </c>
      <c r="J261">
        <v>0</v>
      </c>
      <c r="K261">
        <v>0</v>
      </c>
      <c r="L261">
        <v>0</v>
      </c>
    </row>
    <row r="262" spans="1:12">
      <c r="A262" t="str">
        <f>HYPERLINK("http://bombeiros.sp.gov.br/hidrantes/03individual/2687.html","2687")</f>
        <v>2687</v>
      </c>
      <c r="B262" t="str">
        <f>HYPERLINK("http://bombeiros.sp.gov.br/hidrantes/08bsg/qrcodeBSG.html?id=2687&amp;lat=-23.54781&amp;long=-46.64945&amp;tipo=C","QRCODE")</f>
        <v>QRCODE</v>
      </c>
      <c r="C262" t="s">
        <v>5264</v>
      </c>
      <c r="D262" t="s">
        <v>276</v>
      </c>
      <c r="E262" t="s">
        <v>284</v>
      </c>
      <c r="F262" t="s">
        <v>12</v>
      </c>
      <c r="G262" t="s">
        <v>678</v>
      </c>
      <c r="H262">
        <v>0</v>
      </c>
      <c r="I262">
        <v>2</v>
      </c>
      <c r="J262">
        <v>0</v>
      </c>
      <c r="K262">
        <v>0</v>
      </c>
      <c r="L262">
        <v>0</v>
      </c>
    </row>
    <row r="263" spans="1:12">
      <c r="A263" t="str">
        <f>HYPERLINK("http://bombeiros.sp.gov.br/hidrantes/03individual/5602.html","5602")</f>
        <v>5602</v>
      </c>
      <c r="B263" t="str">
        <f>HYPERLINK("http://bombeiros.sp.gov.br/hidrantes/08bsg/qrcodeBSG.html?id=5602&amp;lat=-23.55131&amp;long=-46.65238&amp;tipo=C","QRCODE")</f>
        <v>QRCODE</v>
      </c>
      <c r="C263" t="s">
        <v>5264</v>
      </c>
      <c r="D263" t="s">
        <v>276</v>
      </c>
      <c r="E263" t="s">
        <v>284</v>
      </c>
      <c r="F263" t="s">
        <v>12</v>
      </c>
      <c r="G263" t="s">
        <v>5173</v>
      </c>
      <c r="H263">
        <v>0</v>
      </c>
      <c r="I263">
        <v>1</v>
      </c>
      <c r="J263">
        <v>0</v>
      </c>
      <c r="K263">
        <v>0</v>
      </c>
      <c r="L263">
        <v>0</v>
      </c>
    </row>
    <row r="264" spans="1:12">
      <c r="A264" t="str">
        <f>HYPERLINK("http://bombeiros.sp.gov.br/hidrantes/03individual/27133.html","27133")</f>
        <v>27133</v>
      </c>
      <c r="B264" t="str">
        <f>HYPERLINK("http://bombeiros.sp.gov.br/hidrantes/08bsg/qrcodeBSG.html?id=27133&amp;lat=-23.55017&amp;long=-46.64825&amp;tipo=C","QRCODE")</f>
        <v>QRCODE</v>
      </c>
      <c r="C264" t="s">
        <v>5264</v>
      </c>
      <c r="D264" t="s">
        <v>276</v>
      </c>
      <c r="E264" t="s">
        <v>284</v>
      </c>
      <c r="F264" t="s">
        <v>12</v>
      </c>
      <c r="G264" t="s">
        <v>3639</v>
      </c>
      <c r="H264">
        <v>0</v>
      </c>
      <c r="I264">
        <v>1</v>
      </c>
      <c r="J264">
        <v>0</v>
      </c>
      <c r="K264">
        <v>0</v>
      </c>
      <c r="L264">
        <v>0</v>
      </c>
    </row>
    <row r="265" spans="1:12">
      <c r="A265" t="str">
        <f>HYPERLINK("http://bombeiros.sp.gov.br/hidrantes/03individual/31.html","31")</f>
        <v>31</v>
      </c>
      <c r="B265" t="str">
        <f>HYPERLINK("http://bombeiros.sp.gov.br/hidrantes/08bsg/qrcodeBSG.html?id=31&amp;lat=-23.54384&amp;long=-46.65154&amp;tipo=S","QRCODE")</f>
        <v>QRCODE</v>
      </c>
      <c r="C265" t="s">
        <v>5264</v>
      </c>
      <c r="D265" t="s">
        <v>276</v>
      </c>
      <c r="E265" t="s">
        <v>284</v>
      </c>
      <c r="F265" t="s">
        <v>21</v>
      </c>
      <c r="G265" t="s">
        <v>3560</v>
      </c>
      <c r="H265">
        <v>2</v>
      </c>
      <c r="I265">
        <v>1</v>
      </c>
      <c r="J265">
        <v>0</v>
      </c>
      <c r="K265">
        <v>0</v>
      </c>
      <c r="L265">
        <v>0</v>
      </c>
    </row>
    <row r="266" spans="1:12">
      <c r="A266" t="str">
        <f>HYPERLINK("http://bombeiros.sp.gov.br/hidrantes/03individual/232.html","232")</f>
        <v>232</v>
      </c>
      <c r="B266" t="str">
        <f>HYPERLINK("http://bombeiros.sp.gov.br/hidrantes/08bsg/qrcodeBSG.html?id=232&amp;lat=-23.54522&amp;long=-46.64907&amp;tipo=S","QRCODE")</f>
        <v>QRCODE</v>
      </c>
      <c r="C266" t="s">
        <v>5264</v>
      </c>
      <c r="D266" t="s">
        <v>276</v>
      </c>
      <c r="E266" t="s">
        <v>284</v>
      </c>
      <c r="F266" t="s">
        <v>21</v>
      </c>
      <c r="G266" t="s">
        <v>1395</v>
      </c>
      <c r="H266">
        <v>2</v>
      </c>
      <c r="I266">
        <v>2</v>
      </c>
      <c r="J266">
        <v>0</v>
      </c>
      <c r="K266">
        <v>0</v>
      </c>
      <c r="L266">
        <v>0</v>
      </c>
    </row>
    <row r="267" spans="1:12">
      <c r="A267" t="str">
        <f>HYPERLINK("http://bombeiros.sp.gov.br/hidrantes/03individual/234.html","234")</f>
        <v>234</v>
      </c>
      <c r="B267" t="str">
        <f>HYPERLINK("http://bombeiros.sp.gov.br/hidrantes/08bsg/qrcodeBSG.html?id=234&amp;lat=-23.54522&amp;long=-46.64883&amp;tipo=S","QRCODE")</f>
        <v>QRCODE</v>
      </c>
      <c r="C267" t="s">
        <v>5264</v>
      </c>
      <c r="D267" t="s">
        <v>276</v>
      </c>
      <c r="E267" t="s">
        <v>284</v>
      </c>
      <c r="F267" t="s">
        <v>21</v>
      </c>
      <c r="G267" t="s">
        <v>1395</v>
      </c>
      <c r="H267">
        <v>1</v>
      </c>
      <c r="I267">
        <v>2</v>
      </c>
      <c r="J267">
        <v>0</v>
      </c>
      <c r="K267">
        <v>0</v>
      </c>
      <c r="L267">
        <v>0</v>
      </c>
    </row>
    <row r="268" spans="1:12">
      <c r="A268" t="str">
        <f>HYPERLINK("http://bombeiros.sp.gov.br/hidrantes/03individual/741.html","741")</f>
        <v>741</v>
      </c>
      <c r="B268" t="str">
        <f>HYPERLINK("http://bombeiros.sp.gov.br/hidrantes/08bsg/qrcodeBSG.html?id=741&amp;lat=-23.54185&amp;long=-46.64896&amp;tipo=S","QRCODE")</f>
        <v>QRCODE</v>
      </c>
      <c r="C268" t="s">
        <v>5264</v>
      </c>
      <c r="D268" t="s">
        <v>276</v>
      </c>
      <c r="E268" t="s">
        <v>284</v>
      </c>
      <c r="F268" t="s">
        <v>21</v>
      </c>
      <c r="G268" t="s">
        <v>1400</v>
      </c>
      <c r="H268">
        <v>1</v>
      </c>
      <c r="I268">
        <v>2</v>
      </c>
      <c r="J268">
        <v>0</v>
      </c>
      <c r="K268">
        <v>0</v>
      </c>
      <c r="L268">
        <v>0</v>
      </c>
    </row>
    <row r="269" spans="1:12">
      <c r="A269" t="str">
        <f>HYPERLINK("http://bombeiros.sp.gov.br/hidrantes/03individual/2281.html","2281")</f>
        <v>2281</v>
      </c>
      <c r="B269" t="str">
        <f>HYPERLINK("http://bombeiros.sp.gov.br/hidrantes/08bsg/qrcodeBSG.html?id=2281&amp;lat=-23.55260&amp;long=-46.65573&amp;tipo=S","QRCODE")</f>
        <v>QRCODE</v>
      </c>
      <c r="C269" t="s">
        <v>5264</v>
      </c>
      <c r="D269" t="s">
        <v>276</v>
      </c>
      <c r="E269" t="s">
        <v>284</v>
      </c>
      <c r="F269" t="s">
        <v>21</v>
      </c>
      <c r="G269" t="s">
        <v>938</v>
      </c>
      <c r="H269">
        <v>1</v>
      </c>
      <c r="I269">
        <v>2</v>
      </c>
      <c r="J269">
        <v>0</v>
      </c>
      <c r="K269">
        <v>0</v>
      </c>
      <c r="L269">
        <v>0</v>
      </c>
    </row>
    <row r="270" spans="1:12">
      <c r="A270" t="str">
        <f>HYPERLINK("http://bombeiros.sp.gov.br/hidrantes/03individual/2460.html","2460")</f>
        <v>2460</v>
      </c>
      <c r="B270" t="str">
        <f>HYPERLINK("http://bombeiros.sp.gov.br/hidrantes/08bsg/qrcodeBSG.html?id=2460&amp;lat=-23.54969&amp;long=-46.65401&amp;tipo=S","QRCODE")</f>
        <v>QRCODE</v>
      </c>
      <c r="C270" t="s">
        <v>5264</v>
      </c>
      <c r="D270" t="s">
        <v>276</v>
      </c>
      <c r="E270" t="s">
        <v>284</v>
      </c>
      <c r="F270" t="s">
        <v>21</v>
      </c>
      <c r="G270" t="s">
        <v>945</v>
      </c>
      <c r="H270">
        <v>1</v>
      </c>
      <c r="I270">
        <v>2</v>
      </c>
      <c r="J270">
        <v>0</v>
      </c>
      <c r="K270">
        <v>0</v>
      </c>
      <c r="L270">
        <v>0</v>
      </c>
    </row>
    <row r="271" spans="1:12">
      <c r="A271" t="str">
        <f>HYPERLINK("http://bombeiros.sp.gov.br/hidrantes/03individual/2674.html","2674")</f>
        <v>2674</v>
      </c>
      <c r="B271" t="str">
        <f>HYPERLINK("http://bombeiros.sp.gov.br/hidrantes/08bsg/qrcodeBSG.html?id=2674&amp;lat=-23.54654&amp;long=-46.65044&amp;tipo=S","QRCODE")</f>
        <v>QRCODE</v>
      </c>
      <c r="C271" t="s">
        <v>5264</v>
      </c>
      <c r="D271" t="s">
        <v>276</v>
      </c>
      <c r="E271" t="s">
        <v>284</v>
      </c>
      <c r="F271" t="s">
        <v>21</v>
      </c>
      <c r="G271" t="s">
        <v>1876</v>
      </c>
      <c r="H271">
        <v>0</v>
      </c>
      <c r="I271">
        <v>2</v>
      </c>
      <c r="J271">
        <v>0</v>
      </c>
      <c r="K271">
        <v>0</v>
      </c>
      <c r="L271">
        <v>0</v>
      </c>
    </row>
    <row r="272" spans="1:12">
      <c r="A272" t="str">
        <f>HYPERLINK("http://bombeiros.sp.gov.br/hidrantes/03individual/2775.html","2775")</f>
        <v>2775</v>
      </c>
      <c r="B272" t="str">
        <f>HYPERLINK("http://bombeiros.sp.gov.br/hidrantes/08bsg/qrcodeBSG.html?id=2775&amp;lat=-23.54919&amp;long=-46.64836&amp;tipo=S","QRCODE")</f>
        <v>QRCODE</v>
      </c>
      <c r="C272" t="s">
        <v>5264</v>
      </c>
      <c r="D272" t="s">
        <v>276</v>
      </c>
      <c r="E272" t="s">
        <v>284</v>
      </c>
      <c r="F272" t="s">
        <v>21</v>
      </c>
      <c r="G272" t="s">
        <v>1885</v>
      </c>
      <c r="H272">
        <v>0</v>
      </c>
      <c r="I272">
        <v>2</v>
      </c>
      <c r="J272">
        <v>0</v>
      </c>
      <c r="K272">
        <v>0</v>
      </c>
      <c r="L272">
        <v>0</v>
      </c>
    </row>
    <row r="273" spans="1:12">
      <c r="A273" t="str">
        <f>HYPERLINK("http://bombeiros.sp.gov.br/hidrantes/03individual/2776.html","2776")</f>
        <v>2776</v>
      </c>
      <c r="B273" t="str">
        <f>HYPERLINK("http://bombeiros.sp.gov.br/hidrantes/08bsg/qrcodeBSG.html?id=2776&amp;lat=-23.54885&amp;long=-46.64734&amp;tipo=S","QRCODE")</f>
        <v>QRCODE</v>
      </c>
      <c r="C273" t="s">
        <v>5264</v>
      </c>
      <c r="D273" t="s">
        <v>276</v>
      </c>
      <c r="E273" t="s">
        <v>284</v>
      </c>
      <c r="F273" t="s">
        <v>21</v>
      </c>
      <c r="G273" t="s">
        <v>283</v>
      </c>
      <c r="H273">
        <v>0</v>
      </c>
      <c r="I273">
        <v>2</v>
      </c>
      <c r="J273">
        <v>0</v>
      </c>
      <c r="K273">
        <v>0</v>
      </c>
      <c r="L273">
        <v>0</v>
      </c>
    </row>
    <row r="274" spans="1:12">
      <c r="A274" t="str">
        <f>HYPERLINK("http://bombeiros.sp.gov.br/hidrantes/03individual/2853.html","2853")</f>
        <v>2853</v>
      </c>
      <c r="B274" t="str">
        <f>HYPERLINK("http://bombeiros.sp.gov.br/hidrantes/08bsg/qrcodeBSG.html?id=2853&amp;lat=-23.54277&amp;long=-46.65133&amp;tipo=S","QRCODE")</f>
        <v>QRCODE</v>
      </c>
      <c r="C274" t="s">
        <v>5264</v>
      </c>
      <c r="D274" t="s">
        <v>276</v>
      </c>
      <c r="E274" t="s">
        <v>284</v>
      </c>
      <c r="F274" t="s">
        <v>21</v>
      </c>
      <c r="G274" t="s">
        <v>1343</v>
      </c>
      <c r="H274">
        <v>2</v>
      </c>
      <c r="I274">
        <v>2</v>
      </c>
      <c r="J274">
        <v>0</v>
      </c>
      <c r="K274">
        <v>0</v>
      </c>
      <c r="L274">
        <v>0</v>
      </c>
    </row>
    <row r="275" spans="1:12">
      <c r="A275" t="str">
        <f>HYPERLINK("http://bombeiros.sp.gov.br/hidrantes/03individual/5600.html","5600")</f>
        <v>5600</v>
      </c>
      <c r="B275" t="str">
        <f>HYPERLINK("http://bombeiros.sp.gov.br/hidrantes/08bsg/qrcodeBSG.html?id=5600&amp;lat=-23.54833&amp;long=-46.65287&amp;tipo=S","QRCODE")</f>
        <v>QRCODE</v>
      </c>
      <c r="C275" t="s">
        <v>5264</v>
      </c>
      <c r="D275" t="s">
        <v>276</v>
      </c>
      <c r="E275" t="s">
        <v>284</v>
      </c>
      <c r="F275" t="s">
        <v>21</v>
      </c>
      <c r="G275" t="s">
        <v>3534</v>
      </c>
      <c r="H275">
        <v>1</v>
      </c>
      <c r="I275">
        <v>1</v>
      </c>
      <c r="J275">
        <v>0</v>
      </c>
      <c r="K275">
        <v>0</v>
      </c>
      <c r="L275">
        <v>0</v>
      </c>
    </row>
    <row r="276" spans="1:12">
      <c r="A276" t="str">
        <f>HYPERLINK("http://bombeiros.sp.gov.br/hidrantes/03individual/16636.html","16636")</f>
        <v>16636</v>
      </c>
      <c r="B276" t="str">
        <f>HYPERLINK("http://bombeiros.sp.gov.br/hidrantes/08bsg/qrcodeBSG.html?id=16636&amp;lat=-23.55082&amp;long=-46.65325&amp;tipo=S","QRCODE")</f>
        <v>QRCODE</v>
      </c>
      <c r="C276" t="s">
        <v>5264</v>
      </c>
      <c r="D276" t="s">
        <v>276</v>
      </c>
      <c r="E276" t="s">
        <v>284</v>
      </c>
      <c r="F276" t="s">
        <v>21</v>
      </c>
      <c r="G276" t="s">
        <v>3518</v>
      </c>
      <c r="H276">
        <v>1</v>
      </c>
      <c r="I276">
        <v>1</v>
      </c>
      <c r="J276">
        <v>0</v>
      </c>
      <c r="K276">
        <v>0</v>
      </c>
      <c r="L276">
        <v>0</v>
      </c>
    </row>
    <row r="277" spans="1:12">
      <c r="A277" t="str">
        <f>HYPERLINK("http://bombeiros.sp.gov.br/hidrantes/03individual/17770.html","17770")</f>
        <v>17770</v>
      </c>
      <c r="B277" t="str">
        <f>HYPERLINK("http://bombeiros.sp.gov.br/hidrantes/08bsg/qrcodeBSG.html?id=17770&amp;lat=-23.54719&amp;long=-46.64891&amp;tipo=S","QRCODE")</f>
        <v>QRCODE</v>
      </c>
      <c r="C277" t="s">
        <v>5264</v>
      </c>
      <c r="D277" t="s">
        <v>276</v>
      </c>
      <c r="E277" t="s">
        <v>284</v>
      </c>
      <c r="F277" t="s">
        <v>21</v>
      </c>
      <c r="G277" t="s">
        <v>1327</v>
      </c>
      <c r="H277">
        <v>1</v>
      </c>
      <c r="I277">
        <v>2</v>
      </c>
      <c r="J277">
        <v>0</v>
      </c>
      <c r="K277">
        <v>0</v>
      </c>
      <c r="L277">
        <v>0</v>
      </c>
    </row>
    <row r="278" spans="1:12">
      <c r="A278" t="str">
        <f>HYPERLINK("http://bombeiros.sp.gov.br/hidrantes/03individual/26810.html","26810")</f>
        <v>26810</v>
      </c>
      <c r="B278" t="str">
        <f>HYPERLINK("http://bombeiros.sp.gov.br/hidrantes/08bsg/qrcodeBSG.html?id=26810&amp;lat=-23.54739&amp;long=-46.64826&amp;tipo=S","QRCODE")</f>
        <v>QRCODE</v>
      </c>
      <c r="C278" t="s">
        <v>5264</v>
      </c>
      <c r="D278" t="s">
        <v>276</v>
      </c>
      <c r="E278" t="s">
        <v>284</v>
      </c>
      <c r="F278" t="s">
        <v>21</v>
      </c>
      <c r="G278" t="s">
        <v>3644</v>
      </c>
      <c r="H278">
        <v>0</v>
      </c>
      <c r="I278">
        <v>1</v>
      </c>
      <c r="J278">
        <v>0</v>
      </c>
      <c r="K278">
        <v>0</v>
      </c>
      <c r="L278">
        <v>0</v>
      </c>
    </row>
    <row r="279" spans="1:12">
      <c r="A279" t="str">
        <f>HYPERLINK("http://bombeiros.sp.gov.br/hidrantes/03individual/27226.html","27226")</f>
        <v>27226</v>
      </c>
      <c r="B279" t="str">
        <f>HYPERLINK("http://bombeiros.sp.gov.br/hidrantes/08bsg/qrcodeBSG.html?id=27226&amp;lat=-23.54474&amp;long=-46.65044&amp;tipo=S","QRCODE")</f>
        <v>QRCODE</v>
      </c>
      <c r="C279" t="s">
        <v>5264</v>
      </c>
      <c r="D279" t="s">
        <v>276</v>
      </c>
      <c r="E279" t="s">
        <v>284</v>
      </c>
      <c r="F279" t="s">
        <v>21</v>
      </c>
      <c r="G279" t="s">
        <v>1326</v>
      </c>
      <c r="H279">
        <v>0</v>
      </c>
      <c r="I279">
        <v>1</v>
      </c>
      <c r="J279">
        <v>0</v>
      </c>
      <c r="K279">
        <v>0</v>
      </c>
      <c r="L279">
        <v>0</v>
      </c>
    </row>
    <row r="280" spans="1:12">
      <c r="A280" t="str">
        <f>HYPERLINK("http://bombeiros.sp.gov.br/hidrantes/03individual/69.html","69")</f>
        <v>69</v>
      </c>
      <c r="B280" t="str">
        <f>HYPERLINK("http://bombeiros.sp.gov.br/hidrantes/08bsg/qrcodeBSG.html?id=69&amp;lat=-23.57357&amp;long=-46.63137&amp;tipo=S","QRCODE")</f>
        <v>QRCODE</v>
      </c>
      <c r="C280" t="s">
        <v>5264</v>
      </c>
      <c r="D280" t="s">
        <v>904</v>
      </c>
      <c r="E280" t="s">
        <v>815</v>
      </c>
      <c r="F280" t="s">
        <v>21</v>
      </c>
      <c r="G280" t="s">
        <v>823</v>
      </c>
      <c r="H280">
        <v>1</v>
      </c>
      <c r="I280">
        <v>2</v>
      </c>
      <c r="J280">
        <v>0</v>
      </c>
      <c r="K280">
        <v>0</v>
      </c>
      <c r="L280">
        <v>0</v>
      </c>
    </row>
    <row r="281" spans="1:12">
      <c r="A281" t="str">
        <f>HYPERLINK("http://bombeiros.sp.gov.br/hidrantes/03individual/143.html","143")</f>
        <v>143</v>
      </c>
      <c r="B281" t="str">
        <f>HYPERLINK("http://bombeiros.sp.gov.br/hidrantes/08bsg/qrcodeBSG.html?id=143&amp;lat=-23.57257&amp;long=-46.63119&amp;tipo=S","QRCODE")</f>
        <v>QRCODE</v>
      </c>
      <c r="C281" t="s">
        <v>5264</v>
      </c>
      <c r="D281" t="s">
        <v>904</v>
      </c>
      <c r="E281" t="s">
        <v>815</v>
      </c>
      <c r="F281" t="s">
        <v>21</v>
      </c>
      <c r="G281" t="s">
        <v>819</v>
      </c>
      <c r="H281">
        <v>1</v>
      </c>
      <c r="I281">
        <v>2</v>
      </c>
      <c r="J281">
        <v>0</v>
      </c>
      <c r="K281">
        <v>0</v>
      </c>
      <c r="L281">
        <v>0</v>
      </c>
    </row>
    <row r="282" spans="1:12">
      <c r="A282" t="str">
        <f>HYPERLINK("http://bombeiros.sp.gov.br/hidrantes/03individual/144.html","144")</f>
        <v>144</v>
      </c>
      <c r="B282" t="str">
        <f>HYPERLINK("http://bombeiros.sp.gov.br/hidrantes/08bsg/qrcodeBSG.html?id=144&amp;lat=-23.57024&amp;long=-46.63005&amp;tipo=S","QRCODE")</f>
        <v>QRCODE</v>
      </c>
      <c r="C282" t="s">
        <v>5264</v>
      </c>
      <c r="D282" t="s">
        <v>904</v>
      </c>
      <c r="E282" t="s">
        <v>815</v>
      </c>
      <c r="F282" t="s">
        <v>21</v>
      </c>
      <c r="G282" t="s">
        <v>3266</v>
      </c>
      <c r="H282">
        <v>0</v>
      </c>
      <c r="I282">
        <v>2</v>
      </c>
      <c r="J282">
        <v>0</v>
      </c>
      <c r="K282">
        <v>0</v>
      </c>
      <c r="L282">
        <v>0</v>
      </c>
    </row>
    <row r="283" spans="1:12">
      <c r="A283" t="str">
        <f>HYPERLINK("http://bombeiros.sp.gov.br/hidrantes/03individual/208.html","208")</f>
        <v>208</v>
      </c>
      <c r="B283" t="str">
        <f>HYPERLINK("http://bombeiros.sp.gov.br/hidrantes/08bsg/qrcodeBSG.html?id=208&amp;lat=-23.57155&amp;long=-46.63324&amp;tipo=S","QRCODE")</f>
        <v>QRCODE</v>
      </c>
      <c r="C283" t="s">
        <v>5264</v>
      </c>
      <c r="D283" t="s">
        <v>904</v>
      </c>
      <c r="E283" t="s">
        <v>815</v>
      </c>
      <c r="F283" t="s">
        <v>21</v>
      </c>
      <c r="G283" t="s">
        <v>3267</v>
      </c>
      <c r="H283">
        <v>0</v>
      </c>
      <c r="I283">
        <v>2</v>
      </c>
      <c r="J283">
        <v>0</v>
      </c>
      <c r="K283">
        <v>0</v>
      </c>
      <c r="L283">
        <v>0</v>
      </c>
    </row>
    <row r="284" spans="1:12">
      <c r="A284" t="str">
        <f>HYPERLINK("http://bombeiros.sp.gov.br/hidrantes/03individual/209.html","209")</f>
        <v>209</v>
      </c>
      <c r="B284" t="str">
        <f>HYPERLINK("http://bombeiros.sp.gov.br/hidrantes/08bsg/qrcodeBSG.html?id=209&amp;lat=-23.57122&amp;long=-46.62812&amp;tipo=S","QRCODE")</f>
        <v>QRCODE</v>
      </c>
      <c r="C284" t="s">
        <v>5264</v>
      </c>
      <c r="D284" t="s">
        <v>904</v>
      </c>
      <c r="E284" t="s">
        <v>815</v>
      </c>
      <c r="F284" t="s">
        <v>21</v>
      </c>
      <c r="G284" t="s">
        <v>3268</v>
      </c>
      <c r="H284">
        <v>0</v>
      </c>
      <c r="I284">
        <v>2</v>
      </c>
      <c r="J284">
        <v>0</v>
      </c>
      <c r="K284">
        <v>0</v>
      </c>
      <c r="L284">
        <v>0</v>
      </c>
    </row>
    <row r="285" spans="1:12">
      <c r="A285" t="str">
        <f>HYPERLINK("http://bombeiros.sp.gov.br/hidrantes/03individual/210.html","210")</f>
        <v>210</v>
      </c>
      <c r="B285" t="str">
        <f>HYPERLINK("http://bombeiros.sp.gov.br/hidrantes/08bsg/qrcodeBSG.html?id=210&amp;lat=-23.56948&amp;long=-46.63217&amp;tipo=S","QRCODE")</f>
        <v>QRCODE</v>
      </c>
      <c r="C285" t="s">
        <v>5264</v>
      </c>
      <c r="D285" t="s">
        <v>904</v>
      </c>
      <c r="E285" t="s">
        <v>815</v>
      </c>
      <c r="F285" t="s">
        <v>21</v>
      </c>
      <c r="G285" t="s">
        <v>814</v>
      </c>
      <c r="H285">
        <v>1</v>
      </c>
      <c r="I285">
        <v>3</v>
      </c>
      <c r="J285">
        <v>0</v>
      </c>
      <c r="K285">
        <v>0</v>
      </c>
      <c r="L285">
        <v>0</v>
      </c>
    </row>
    <row r="286" spans="1:12">
      <c r="A286" t="str">
        <f>HYPERLINK("http://bombeiros.sp.gov.br/hidrantes/03individual/212.html","212")</f>
        <v>212</v>
      </c>
      <c r="B286" t="str">
        <f>HYPERLINK("http://bombeiros.sp.gov.br/hidrantes/08bsg/qrcodeBSG.html?id=212&amp;lat=-23.57455&amp;long=-46.63319&amp;tipo=S","QRCODE")</f>
        <v>QRCODE</v>
      </c>
      <c r="C286" t="s">
        <v>5264</v>
      </c>
      <c r="D286" t="s">
        <v>904</v>
      </c>
      <c r="E286" t="s">
        <v>815</v>
      </c>
      <c r="F286" t="s">
        <v>21</v>
      </c>
      <c r="G286" t="s">
        <v>816</v>
      </c>
      <c r="H286">
        <v>0</v>
      </c>
      <c r="I286">
        <v>2</v>
      </c>
      <c r="J286">
        <v>0</v>
      </c>
      <c r="K286">
        <v>0</v>
      </c>
      <c r="L286">
        <v>0</v>
      </c>
    </row>
    <row r="287" spans="1:12">
      <c r="A287" t="str">
        <f>HYPERLINK("http://bombeiros.sp.gov.br/hidrantes/03individual/2397.html","2397")</f>
        <v>2397</v>
      </c>
      <c r="B287" t="str">
        <f>HYPERLINK("http://bombeiros.sp.gov.br/hidrantes/08bsg/qrcodeBSG.html?id=2397&amp;lat=-23.56960&amp;long=-46.63385&amp;tipo=S","QRCODE")</f>
        <v>QRCODE</v>
      </c>
      <c r="C287" t="s">
        <v>5264</v>
      </c>
      <c r="D287" t="s">
        <v>904</v>
      </c>
      <c r="E287" t="s">
        <v>815</v>
      </c>
      <c r="F287" t="s">
        <v>21</v>
      </c>
      <c r="G287" t="s">
        <v>917</v>
      </c>
      <c r="H287">
        <v>1</v>
      </c>
      <c r="I287">
        <v>2</v>
      </c>
      <c r="J287">
        <v>0</v>
      </c>
      <c r="K287">
        <v>0</v>
      </c>
      <c r="L287">
        <v>0</v>
      </c>
    </row>
    <row r="288" spans="1:12">
      <c r="A288" t="str">
        <f>HYPERLINK("http://bombeiros.sp.gov.br/hidrantes/03individual/26624.html","26624")</f>
        <v>26624</v>
      </c>
      <c r="B288" t="str">
        <f>HYPERLINK("http://bombeiros.sp.gov.br/hidrantes/08bsg/qrcodeBSG.html?id=26624&amp;lat=-23.56836&amp;long=-46.62817&amp;tipo=S","QRCODE")</f>
        <v>QRCODE</v>
      </c>
      <c r="C288" t="s">
        <v>5264</v>
      </c>
      <c r="D288" t="s">
        <v>904</v>
      </c>
      <c r="E288" t="s">
        <v>815</v>
      </c>
      <c r="F288" t="s">
        <v>21</v>
      </c>
      <c r="G288" t="s">
        <v>4268</v>
      </c>
      <c r="H288">
        <v>0</v>
      </c>
      <c r="I288">
        <v>1</v>
      </c>
      <c r="J288">
        <v>0</v>
      </c>
      <c r="K288">
        <v>0</v>
      </c>
      <c r="L288">
        <v>0</v>
      </c>
    </row>
    <row r="289" spans="1:12">
      <c r="A289" t="str">
        <f>HYPERLINK("http://bombeiros.sp.gov.br/hidrantes/03individual/26776.html","26776")</f>
        <v>26776</v>
      </c>
      <c r="B289" t="str">
        <f>HYPERLINK("http://bombeiros.sp.gov.br/hidrantes/08bsg/qrcodeBSG.html?id=26776&amp;lat=-23.56642&amp;long=-46.63270&amp;tipo=S","QRCODE")</f>
        <v>QRCODE</v>
      </c>
      <c r="C289" t="s">
        <v>5264</v>
      </c>
      <c r="D289" t="s">
        <v>904</v>
      </c>
      <c r="E289" t="s">
        <v>815</v>
      </c>
      <c r="F289" t="s">
        <v>21</v>
      </c>
      <c r="G289" t="s">
        <v>3656</v>
      </c>
      <c r="H289">
        <v>0</v>
      </c>
      <c r="I289">
        <v>1</v>
      </c>
      <c r="J289">
        <v>0</v>
      </c>
      <c r="K289">
        <v>0</v>
      </c>
      <c r="L289">
        <v>0</v>
      </c>
    </row>
    <row r="290" spans="1:12">
      <c r="A290" t="str">
        <f>HYPERLINK("http://bombeiros.sp.gov.br/hidrantes/03individual/27208.html","27208")</f>
        <v>27208</v>
      </c>
      <c r="B290" t="str">
        <f>HYPERLINK("http://bombeiros.sp.gov.br/hidrantes/08bsg/qrcodeBSG.html?id=27208&amp;lat=-23.57199&amp;long=-46.63108&amp;tipo=S","QRCODE")</f>
        <v>QRCODE</v>
      </c>
      <c r="C290" t="s">
        <v>5264</v>
      </c>
      <c r="D290" t="s">
        <v>904</v>
      </c>
      <c r="E290" t="s">
        <v>815</v>
      </c>
      <c r="F290" t="s">
        <v>21</v>
      </c>
      <c r="G290" t="s">
        <v>5268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>
      <c r="A291" t="str">
        <f>HYPERLINK("http://bombeiros.sp.gov.br/hidrantes/03individual/27243.html","27243")</f>
        <v>27243</v>
      </c>
      <c r="B291" t="str">
        <f>HYPERLINK("http://bombeiros.sp.gov.br/hidrantes/08bsg/qrcodeBSG.html?id=27243&amp;lat=-23.57057&amp;long=-46.63420&amp;tipo=S","QRCODE")</f>
        <v>QRCODE</v>
      </c>
      <c r="C291" t="s">
        <v>5264</v>
      </c>
      <c r="D291" t="s">
        <v>904</v>
      </c>
      <c r="E291" t="s">
        <v>815</v>
      </c>
      <c r="F291" t="s">
        <v>21</v>
      </c>
      <c r="G291" t="s">
        <v>5269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>
      <c r="A292" t="str">
        <f>HYPERLINK("http://bombeiros.sp.gov.br/hidrantes/03individual/380.html","380")</f>
        <v>380</v>
      </c>
      <c r="B292" t="str">
        <f>HYPERLINK("http://bombeiros.sp.gov.br/hidrantes/08bsg/qrcodeBSG.html?id=380&amp;lat=-23.56651&amp;long=-46.63941&amp;tipo=C","QRCODE")</f>
        <v>QRCODE</v>
      </c>
      <c r="C292" t="s">
        <v>5264</v>
      </c>
      <c r="D292" t="s">
        <v>904</v>
      </c>
      <c r="E292" t="s">
        <v>646</v>
      </c>
      <c r="F292" t="s">
        <v>12</v>
      </c>
      <c r="G292" t="s">
        <v>4812</v>
      </c>
      <c r="H292">
        <v>2</v>
      </c>
      <c r="I292">
        <v>1</v>
      </c>
      <c r="J292">
        <v>0</v>
      </c>
      <c r="K292">
        <v>0</v>
      </c>
      <c r="L292">
        <v>0</v>
      </c>
    </row>
    <row r="293" spans="1:12">
      <c r="A293" t="str">
        <f>HYPERLINK("http://bombeiros.sp.gov.br/hidrantes/03individual/381.html","381")</f>
        <v>381</v>
      </c>
      <c r="B293" t="str">
        <f>HYPERLINK("http://bombeiros.sp.gov.br/hidrantes/08bsg/qrcodeBSG.html?id=381&amp;lat=-23.56878&amp;long=-46.64011&amp;tipo=C","QRCODE")</f>
        <v>QRCODE</v>
      </c>
      <c r="C293" t="s">
        <v>5264</v>
      </c>
      <c r="D293" t="s">
        <v>904</v>
      </c>
      <c r="E293" t="s">
        <v>646</v>
      </c>
      <c r="F293" t="s">
        <v>12</v>
      </c>
      <c r="G293" t="s">
        <v>4813</v>
      </c>
      <c r="H293">
        <v>1</v>
      </c>
      <c r="I293">
        <v>1</v>
      </c>
      <c r="J293">
        <v>0</v>
      </c>
      <c r="K293">
        <v>0</v>
      </c>
      <c r="L293">
        <v>0</v>
      </c>
    </row>
    <row r="294" spans="1:12">
      <c r="A294" t="str">
        <f>HYPERLINK("http://bombeiros.sp.gov.br/hidrantes/03individual/2683.html","2683")</f>
        <v>2683</v>
      </c>
      <c r="B294" t="str">
        <f>HYPERLINK("http://bombeiros.sp.gov.br/hidrantes/08bsg/qrcodeBSG.html?id=2683&amp;lat=-23.57202&amp;long=-46.63972&amp;tipo=C","QRCODE")</f>
        <v>QRCODE</v>
      </c>
      <c r="C294" t="s">
        <v>5264</v>
      </c>
      <c r="D294" t="s">
        <v>904</v>
      </c>
      <c r="E294" t="s">
        <v>646</v>
      </c>
      <c r="F294" t="s">
        <v>12</v>
      </c>
      <c r="G294" t="s">
        <v>2778</v>
      </c>
      <c r="H294">
        <v>1</v>
      </c>
      <c r="I294">
        <v>2</v>
      </c>
      <c r="J294">
        <v>0</v>
      </c>
      <c r="K294">
        <v>0</v>
      </c>
      <c r="L294">
        <v>0</v>
      </c>
    </row>
    <row r="295" spans="1:12">
      <c r="A295" t="str">
        <f>HYPERLINK("http://bombeiros.sp.gov.br/hidrantes/03individual/26917.html","26917")</f>
        <v>26917</v>
      </c>
      <c r="B295" t="str">
        <f>HYPERLINK("http://bombeiros.sp.gov.br/hidrantes/08bsg/qrcodeBSG.html?id=26917&amp;lat=-23.56497&amp;long=-46.63950&amp;tipo=C","QRCODE")</f>
        <v>QRCODE</v>
      </c>
      <c r="C295" t="s">
        <v>5264</v>
      </c>
      <c r="D295" t="s">
        <v>904</v>
      </c>
      <c r="E295" t="s">
        <v>646</v>
      </c>
      <c r="F295" t="s">
        <v>12</v>
      </c>
      <c r="G295" t="s">
        <v>3424</v>
      </c>
      <c r="H295">
        <v>0</v>
      </c>
      <c r="I295">
        <v>2</v>
      </c>
      <c r="J295">
        <v>0</v>
      </c>
      <c r="K295">
        <v>0</v>
      </c>
      <c r="L295">
        <v>0</v>
      </c>
    </row>
    <row r="296" spans="1:12">
      <c r="A296" t="str">
        <f>HYPERLINK("http://bombeiros.sp.gov.br/hidrantes/03individual/267.html","267")</f>
        <v>267</v>
      </c>
      <c r="B296" t="str">
        <f>HYPERLINK("http://bombeiros.sp.gov.br/hidrantes/08bsg/qrcodeBSG.html?id=267&amp;lat=-23.57113&amp;long=-46.63923&amp;tipo=S","QRCODE")</f>
        <v>QRCODE</v>
      </c>
      <c r="C296" t="s">
        <v>5264</v>
      </c>
      <c r="D296" t="s">
        <v>904</v>
      </c>
      <c r="E296" t="s">
        <v>646</v>
      </c>
      <c r="F296" t="s">
        <v>21</v>
      </c>
      <c r="G296" t="s">
        <v>811</v>
      </c>
      <c r="H296">
        <v>1</v>
      </c>
      <c r="I296">
        <v>2</v>
      </c>
      <c r="J296">
        <v>0</v>
      </c>
      <c r="K296">
        <v>0</v>
      </c>
      <c r="L296">
        <v>0</v>
      </c>
    </row>
    <row r="297" spans="1:12">
      <c r="A297" t="str">
        <f>HYPERLINK("http://bombeiros.sp.gov.br/hidrantes/03individual/2574.html","2574")</f>
        <v>2574</v>
      </c>
      <c r="B297" t="str">
        <f>HYPERLINK("http://bombeiros.sp.gov.br/hidrantes/08bsg/qrcodeBSG.html?id=2574&amp;lat=-23.56559&amp;long=-46.63758&amp;tipo=S","QRCODE")</f>
        <v>QRCODE</v>
      </c>
      <c r="C297" t="s">
        <v>5264</v>
      </c>
      <c r="D297" t="s">
        <v>904</v>
      </c>
      <c r="E297" t="s">
        <v>646</v>
      </c>
      <c r="F297" t="s">
        <v>21</v>
      </c>
      <c r="G297" t="s">
        <v>645</v>
      </c>
      <c r="H297">
        <v>0</v>
      </c>
      <c r="I297">
        <v>2</v>
      </c>
      <c r="J297">
        <v>0</v>
      </c>
      <c r="K297">
        <v>0</v>
      </c>
      <c r="L297">
        <v>0</v>
      </c>
    </row>
    <row r="298" spans="1:12">
      <c r="A298" t="str">
        <f>HYPERLINK("http://bombeiros.sp.gov.br/hidrantes/03individual/2590.html","2590")</f>
        <v>2590</v>
      </c>
      <c r="B298" t="str">
        <f>HYPERLINK("http://bombeiros.sp.gov.br/hidrantes/08bsg/qrcodeBSG.html?id=2590&amp;lat=-23.56310&amp;long=-46.63913&amp;tipo=S","QRCODE")</f>
        <v>QRCODE</v>
      </c>
      <c r="C298" t="s">
        <v>5264</v>
      </c>
      <c r="D298" t="s">
        <v>904</v>
      </c>
      <c r="E298" t="s">
        <v>646</v>
      </c>
      <c r="F298" t="s">
        <v>21</v>
      </c>
      <c r="G298" t="s">
        <v>942</v>
      </c>
      <c r="H298">
        <v>1</v>
      </c>
      <c r="I298">
        <v>2</v>
      </c>
      <c r="J298">
        <v>0</v>
      </c>
      <c r="K298">
        <v>0</v>
      </c>
      <c r="L298">
        <v>0</v>
      </c>
    </row>
    <row r="299" spans="1:12">
      <c r="A299" t="str">
        <f>HYPERLINK("http://bombeiros.sp.gov.br/hidrantes/03individual/11.html","11")</f>
        <v>11</v>
      </c>
      <c r="B299" t="str">
        <f>HYPERLINK("http://bombeiros.sp.gov.br/hidrantes/08bsg/qrcodeBSG.html?id=11&amp;lat=-23.56893&amp;long=-46.62370&amp;tipo=C","QRCODE")</f>
        <v>QRCODE</v>
      </c>
      <c r="C299" t="s">
        <v>5264</v>
      </c>
      <c r="D299" t="s">
        <v>904</v>
      </c>
      <c r="E299" t="s">
        <v>831</v>
      </c>
      <c r="F299" t="s">
        <v>12</v>
      </c>
      <c r="G299" t="s">
        <v>830</v>
      </c>
      <c r="H299">
        <v>1</v>
      </c>
      <c r="I299">
        <v>2</v>
      </c>
      <c r="J299">
        <v>0</v>
      </c>
      <c r="K299">
        <v>0</v>
      </c>
      <c r="L299">
        <v>0</v>
      </c>
    </row>
    <row r="300" spans="1:12">
      <c r="A300" t="str">
        <f>HYPERLINK("http://bombeiros.sp.gov.br/hidrantes/03individual/4174.html","4174")</f>
        <v>4174</v>
      </c>
      <c r="B300" t="str">
        <f>HYPERLINK("http://bombeiros.sp.gov.br/hidrantes/08bsg/qrcodeBSG.html?id=4174&amp;lat=-23.56684&amp;long=-46.62587&amp;tipo=C","QRCODE")</f>
        <v>QRCODE</v>
      </c>
      <c r="C300" t="s">
        <v>5264</v>
      </c>
      <c r="D300" t="s">
        <v>904</v>
      </c>
      <c r="E300" t="s">
        <v>831</v>
      </c>
      <c r="F300" t="s">
        <v>12</v>
      </c>
      <c r="G300" t="s">
        <v>4198</v>
      </c>
      <c r="H300">
        <v>0</v>
      </c>
      <c r="I300">
        <v>1</v>
      </c>
      <c r="J300">
        <v>0</v>
      </c>
      <c r="K300">
        <v>0</v>
      </c>
      <c r="L300">
        <v>0</v>
      </c>
    </row>
    <row r="301" spans="1:12">
      <c r="A301" t="str">
        <f>HYPERLINK("http://bombeiros.sp.gov.br/hidrantes/03individual/26357.html","26357")</f>
        <v>26357</v>
      </c>
      <c r="B301" t="str">
        <f>HYPERLINK("http://bombeiros.sp.gov.br/hidrantes/08bsg/qrcodeBSG.html?id=26357&amp;lat=-23.55818&amp;long=-46.62666&amp;tipo=C","QRCODE")</f>
        <v>QRCODE</v>
      </c>
      <c r="C301" t="s">
        <v>5264</v>
      </c>
      <c r="D301" t="s">
        <v>904</v>
      </c>
      <c r="E301" t="s">
        <v>831</v>
      </c>
      <c r="F301" t="s">
        <v>12</v>
      </c>
      <c r="G301" t="s">
        <v>2018</v>
      </c>
      <c r="H301">
        <v>0</v>
      </c>
      <c r="I301">
        <v>2</v>
      </c>
      <c r="J301">
        <v>0</v>
      </c>
      <c r="K301">
        <v>0</v>
      </c>
      <c r="L301">
        <v>0</v>
      </c>
    </row>
    <row r="302" spans="1:12">
      <c r="A302" t="str">
        <f>HYPERLINK("http://bombeiros.sp.gov.br/hidrantes/03individual/26665.html","26665")</f>
        <v>26665</v>
      </c>
      <c r="B302" t="str">
        <f>HYPERLINK("http://bombeiros.sp.gov.br/hidrantes/08bsg/qrcodeBSG.html?id=26665&amp;lat=-23.56032&amp;long=-46.62934&amp;tipo=C","QRCODE")</f>
        <v>QRCODE</v>
      </c>
      <c r="C302" t="s">
        <v>5264</v>
      </c>
      <c r="D302" t="s">
        <v>904</v>
      </c>
      <c r="E302" t="s">
        <v>831</v>
      </c>
      <c r="F302" t="s">
        <v>12</v>
      </c>
      <c r="G302" t="s">
        <v>4318</v>
      </c>
      <c r="H302">
        <v>0</v>
      </c>
      <c r="I302">
        <v>1</v>
      </c>
      <c r="J302">
        <v>0</v>
      </c>
      <c r="K302">
        <v>0</v>
      </c>
      <c r="L302">
        <v>0</v>
      </c>
    </row>
    <row r="303" spans="1:12">
      <c r="A303" t="str">
        <f>HYPERLINK("http://bombeiros.sp.gov.br/hidrantes/03individual/27134.html","27134")</f>
        <v>27134</v>
      </c>
      <c r="B303" t="str">
        <f>HYPERLINK("http://bombeiros.sp.gov.br/hidrantes/08bsg/qrcodeBSG.html?id=27134&amp;lat=-23.56137&amp;long=-46.62637&amp;tipo=C","QRCODE")</f>
        <v>QRCODE</v>
      </c>
      <c r="C303" t="s">
        <v>5264</v>
      </c>
      <c r="D303" t="s">
        <v>904</v>
      </c>
      <c r="E303" t="s">
        <v>831</v>
      </c>
      <c r="F303" t="s">
        <v>12</v>
      </c>
      <c r="G303" t="s">
        <v>2443</v>
      </c>
      <c r="H303">
        <v>0</v>
      </c>
      <c r="I303">
        <v>2</v>
      </c>
      <c r="J303">
        <v>0</v>
      </c>
      <c r="K303">
        <v>0</v>
      </c>
      <c r="L303">
        <v>0</v>
      </c>
    </row>
    <row r="304" spans="1:12">
      <c r="A304" t="str">
        <f>HYPERLINK("http://bombeiros.sp.gov.br/hidrantes/03individual/7.html","7")</f>
        <v>7</v>
      </c>
      <c r="B304" t="str">
        <f>HYPERLINK("http://bombeiros.sp.gov.br/hidrantes/08bsg/qrcodeBSG.html?id=7&amp;lat=-23.56366&amp;long=-46.62375&amp;tipo=S","QRCODE")</f>
        <v>QRCODE</v>
      </c>
      <c r="C304" t="s">
        <v>5264</v>
      </c>
      <c r="D304" t="s">
        <v>904</v>
      </c>
      <c r="E304" t="s">
        <v>831</v>
      </c>
      <c r="F304" t="s">
        <v>21</v>
      </c>
      <c r="G304" t="s">
        <v>1937</v>
      </c>
      <c r="H304">
        <v>0</v>
      </c>
      <c r="I304">
        <v>2</v>
      </c>
      <c r="J304">
        <v>0</v>
      </c>
      <c r="K304">
        <v>0</v>
      </c>
      <c r="L304">
        <v>0</v>
      </c>
    </row>
    <row r="305" spans="1:12">
      <c r="A305" t="str">
        <f>HYPERLINK("http://bombeiros.sp.gov.br/hidrantes/03individual/38.html","38")</f>
        <v>38</v>
      </c>
      <c r="B305" t="str">
        <f>HYPERLINK("http://bombeiros.sp.gov.br/hidrantes/08bsg/qrcodeBSG.html?id=38&amp;lat=-23.56016&amp;long=-46.63124&amp;tipo=S","QRCODE")</f>
        <v>QRCODE</v>
      </c>
      <c r="C305" t="s">
        <v>5264</v>
      </c>
      <c r="D305" t="s">
        <v>904</v>
      </c>
      <c r="E305" t="s">
        <v>831</v>
      </c>
      <c r="F305" t="s">
        <v>21</v>
      </c>
      <c r="G305" t="s">
        <v>4304</v>
      </c>
      <c r="H305">
        <v>0</v>
      </c>
      <c r="I305">
        <v>1</v>
      </c>
      <c r="J305">
        <v>0</v>
      </c>
      <c r="K305">
        <v>0</v>
      </c>
      <c r="L305">
        <v>0</v>
      </c>
    </row>
    <row r="306" spans="1:12">
      <c r="A306" t="str">
        <f>HYPERLINK("http://bombeiros.sp.gov.br/hidrantes/03individual/39.html","39")</f>
        <v>39</v>
      </c>
      <c r="B306" t="str">
        <f>HYPERLINK("http://bombeiros.sp.gov.br/hidrantes/08bsg/qrcodeBSG.html?id=39&amp;lat=-23.56608&amp;long=-46.62769&amp;tipo=S","QRCODE")</f>
        <v>QRCODE</v>
      </c>
      <c r="C306" t="s">
        <v>5264</v>
      </c>
      <c r="D306" t="s">
        <v>904</v>
      </c>
      <c r="E306" t="s">
        <v>831</v>
      </c>
      <c r="F306" t="s">
        <v>21</v>
      </c>
      <c r="G306" t="s">
        <v>3154</v>
      </c>
      <c r="H306">
        <v>2</v>
      </c>
      <c r="I306">
        <v>1</v>
      </c>
      <c r="J306">
        <v>0</v>
      </c>
      <c r="K306">
        <v>0</v>
      </c>
      <c r="L306">
        <v>0</v>
      </c>
    </row>
    <row r="307" spans="1:12">
      <c r="A307" t="str">
        <f>HYPERLINK("http://bombeiros.sp.gov.br/hidrantes/03individual/64.html","64")</f>
        <v>64</v>
      </c>
      <c r="B307" t="str">
        <f>HYPERLINK("http://bombeiros.sp.gov.br/hidrantes/08bsg/qrcodeBSG.html?id=64&amp;lat=-23.56433&amp;long=-46.62676&amp;tipo=S","QRCODE")</f>
        <v>QRCODE</v>
      </c>
      <c r="C307" t="s">
        <v>5264</v>
      </c>
      <c r="D307" t="s">
        <v>904</v>
      </c>
      <c r="E307" t="s">
        <v>831</v>
      </c>
      <c r="F307" t="s">
        <v>21</v>
      </c>
      <c r="G307" t="s">
        <v>2479</v>
      </c>
      <c r="H307">
        <v>0</v>
      </c>
      <c r="I307">
        <v>2</v>
      </c>
      <c r="J307">
        <v>0</v>
      </c>
      <c r="K307">
        <v>0</v>
      </c>
      <c r="L307">
        <v>0</v>
      </c>
    </row>
    <row r="308" spans="1:12">
      <c r="A308" t="str">
        <f>HYPERLINK("http://bombeiros.sp.gov.br/hidrantes/03individual/110.html","110")</f>
        <v>110</v>
      </c>
      <c r="B308" t="str">
        <f>HYPERLINK("http://bombeiros.sp.gov.br/hidrantes/08bsg/qrcodeBSG.html?id=110&amp;lat=-23.56939&amp;long=-46.62641&amp;tipo=S","QRCODE")</f>
        <v>QRCODE</v>
      </c>
      <c r="C308" t="s">
        <v>5264</v>
      </c>
      <c r="D308" t="s">
        <v>904</v>
      </c>
      <c r="E308" t="s">
        <v>831</v>
      </c>
      <c r="F308" t="s">
        <v>21</v>
      </c>
      <c r="G308" t="s">
        <v>3153</v>
      </c>
      <c r="H308">
        <v>0</v>
      </c>
      <c r="I308">
        <v>2</v>
      </c>
      <c r="J308">
        <v>0</v>
      </c>
      <c r="K308">
        <v>0</v>
      </c>
      <c r="L308">
        <v>0</v>
      </c>
    </row>
    <row r="309" spans="1:12">
      <c r="A309" t="str">
        <f>HYPERLINK("http://bombeiros.sp.gov.br/hidrantes/03individual/2184.html","2184")</f>
        <v>2184</v>
      </c>
      <c r="B309" t="str">
        <f>HYPERLINK("http://bombeiros.sp.gov.br/hidrantes/08bsg/qrcodeBSG.html?id=2184&amp;lat=-23.56361&amp;long=-46.62554&amp;tipo=S","QRCODE")</f>
        <v>QRCODE</v>
      </c>
      <c r="C309" t="s">
        <v>5264</v>
      </c>
      <c r="D309" t="s">
        <v>904</v>
      </c>
      <c r="E309" t="s">
        <v>831</v>
      </c>
      <c r="F309" t="s">
        <v>21</v>
      </c>
      <c r="G309" t="s">
        <v>2451</v>
      </c>
      <c r="H309">
        <v>0</v>
      </c>
      <c r="I309">
        <v>2</v>
      </c>
      <c r="J309">
        <v>0</v>
      </c>
      <c r="K309">
        <v>0</v>
      </c>
      <c r="L309">
        <v>0</v>
      </c>
    </row>
    <row r="310" spans="1:12">
      <c r="A310" t="str">
        <f>HYPERLINK("http://bombeiros.sp.gov.br/hidrantes/03individual/27309.html","27309")</f>
        <v>27309</v>
      </c>
      <c r="B310" t="str">
        <f>HYPERLINK("http://bombeiros.sp.gov.br/hidrantes/08bsg/qrcodeBSG.html?id=27309&amp;lat=-23.56260&amp;long=-46.62645&amp;tipo=S","QRCODE")</f>
        <v>QRCODE</v>
      </c>
      <c r="C310" t="s">
        <v>5264</v>
      </c>
      <c r="D310" t="s">
        <v>904</v>
      </c>
      <c r="E310" t="s">
        <v>831</v>
      </c>
      <c r="F310" t="s">
        <v>21</v>
      </c>
      <c r="G310" t="s">
        <v>5270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>
      <c r="A311" t="str">
        <f>HYPERLINK("http://bombeiros.sp.gov.br/hidrantes/03individual/2476.html","2476")</f>
        <v>2476</v>
      </c>
      <c r="B311" t="str">
        <f>HYPERLINK("http://bombeiros.sp.gov.br/hidrantes/08bsg/qrcodeBSG.html?id=2476&amp;lat=-23.56038&amp;long=-46.63348&amp;tipo=C","QRCODE")</f>
        <v>QRCODE</v>
      </c>
      <c r="C311" t="s">
        <v>5264</v>
      </c>
      <c r="D311" t="s">
        <v>904</v>
      </c>
      <c r="E311" t="s">
        <v>904</v>
      </c>
      <c r="F311" t="s">
        <v>12</v>
      </c>
      <c r="G311" t="s">
        <v>903</v>
      </c>
      <c r="H311">
        <v>1</v>
      </c>
      <c r="I311">
        <v>3</v>
      </c>
      <c r="J311">
        <v>0</v>
      </c>
      <c r="K311">
        <v>0</v>
      </c>
      <c r="L311">
        <v>0</v>
      </c>
    </row>
    <row r="312" spans="1:12">
      <c r="A312" t="str">
        <f>HYPERLINK("http://bombeiros.sp.gov.br/hidrantes/03individual/2488.html","2488")</f>
        <v>2488</v>
      </c>
      <c r="B312" t="str">
        <f>HYPERLINK("http://bombeiros.sp.gov.br/hidrantes/08bsg/qrcodeBSG.html?id=2488&amp;lat=-23.55865&amp;long=-46.63750&amp;tipo=C","QRCODE")</f>
        <v>QRCODE</v>
      </c>
      <c r="C312" t="s">
        <v>5264</v>
      </c>
      <c r="D312" t="s">
        <v>904</v>
      </c>
      <c r="E312" t="s">
        <v>904</v>
      </c>
      <c r="F312" t="s">
        <v>12</v>
      </c>
      <c r="G312" t="s">
        <v>4832</v>
      </c>
      <c r="H312">
        <v>1</v>
      </c>
      <c r="I312">
        <v>1</v>
      </c>
      <c r="J312">
        <v>0</v>
      </c>
      <c r="K312">
        <v>0</v>
      </c>
      <c r="L312">
        <v>0</v>
      </c>
    </row>
    <row r="313" spans="1:12">
      <c r="A313" t="str">
        <f>HYPERLINK("http://bombeiros.sp.gov.br/hidrantes/03individual/2491.html","2491")</f>
        <v>2491</v>
      </c>
      <c r="B313" t="str">
        <f>HYPERLINK("http://bombeiros.sp.gov.br/hidrantes/08bsg/qrcodeBSG.html?id=2491&amp;lat=-23.55675&amp;long=-46.63655&amp;tipo=C","QRCODE")</f>
        <v>QRCODE</v>
      </c>
      <c r="C313" t="s">
        <v>5264</v>
      </c>
      <c r="D313" t="s">
        <v>904</v>
      </c>
      <c r="E313" t="s">
        <v>904</v>
      </c>
      <c r="F313" t="s">
        <v>12</v>
      </c>
      <c r="G313" t="s">
        <v>5031</v>
      </c>
      <c r="H313">
        <v>0</v>
      </c>
      <c r="I313">
        <v>2</v>
      </c>
      <c r="J313">
        <v>0</v>
      </c>
      <c r="K313">
        <v>0</v>
      </c>
      <c r="L313">
        <v>0</v>
      </c>
    </row>
    <row r="314" spans="1:12">
      <c r="A314" t="str">
        <f>HYPERLINK("http://bombeiros.sp.gov.br/hidrantes/03individual/2522.html","2522")</f>
        <v>2522</v>
      </c>
      <c r="B314" t="str">
        <f>HYPERLINK("http://bombeiros.sp.gov.br/hidrantes/08bsg/qrcodeBSG.html?id=2522&amp;lat=-23.56171&amp;long=-46.63842&amp;tipo=C","QRCODE")</f>
        <v>QRCODE</v>
      </c>
      <c r="C314" t="s">
        <v>5264</v>
      </c>
      <c r="D314" t="s">
        <v>904</v>
      </c>
      <c r="E314" t="s">
        <v>904</v>
      </c>
      <c r="F314" t="s">
        <v>12</v>
      </c>
      <c r="G314" t="s">
        <v>4831</v>
      </c>
      <c r="H314">
        <v>1</v>
      </c>
      <c r="I314">
        <v>1</v>
      </c>
      <c r="J314">
        <v>0</v>
      </c>
      <c r="K314">
        <v>0</v>
      </c>
      <c r="L314">
        <v>0</v>
      </c>
    </row>
    <row r="315" spans="1:12">
      <c r="A315" t="str">
        <f>HYPERLINK("http://bombeiros.sp.gov.br/hidrantes/03individual/16381.html","16381")</f>
        <v>16381</v>
      </c>
      <c r="B315" t="str">
        <f>HYPERLINK("http://bombeiros.sp.gov.br/hidrantes/08bsg/qrcodeBSG.html?id=16381&amp;lat=-23.55835&amp;long=-46.63406&amp;tipo=C","QRCODE")</f>
        <v>QRCODE</v>
      </c>
      <c r="C315" t="s">
        <v>5264</v>
      </c>
      <c r="D315" t="s">
        <v>904</v>
      </c>
      <c r="E315" t="s">
        <v>904</v>
      </c>
      <c r="F315" t="s">
        <v>12</v>
      </c>
      <c r="G315" t="s">
        <v>2907</v>
      </c>
      <c r="H315">
        <v>0</v>
      </c>
      <c r="I315">
        <v>2</v>
      </c>
      <c r="J315">
        <v>0</v>
      </c>
      <c r="K315">
        <v>0</v>
      </c>
      <c r="L315">
        <v>0</v>
      </c>
    </row>
    <row r="316" spans="1:12">
      <c r="A316" t="str">
        <f>HYPERLINK("http://bombeiros.sp.gov.br/hidrantes/03individual/19.html","19")</f>
        <v>19</v>
      </c>
      <c r="B316" t="str">
        <f>HYPERLINK("http://bombeiros.sp.gov.br/hidrantes/08bsg/qrcodeBSG.html?id=19&amp;lat=-23.55804&amp;long=-46.63152&amp;tipo=S","QRCODE")</f>
        <v>QRCODE</v>
      </c>
      <c r="C316" t="s">
        <v>5264</v>
      </c>
      <c r="D316" t="s">
        <v>904</v>
      </c>
      <c r="E316" t="s">
        <v>904</v>
      </c>
      <c r="F316" t="s">
        <v>21</v>
      </c>
      <c r="G316" t="s">
        <v>2090</v>
      </c>
      <c r="H316">
        <v>0</v>
      </c>
      <c r="I316">
        <v>2</v>
      </c>
      <c r="J316">
        <v>0</v>
      </c>
      <c r="K316">
        <v>0</v>
      </c>
      <c r="L316">
        <v>0</v>
      </c>
    </row>
    <row r="317" spans="1:12">
      <c r="A317" t="str">
        <f>HYPERLINK("http://bombeiros.sp.gov.br/hidrantes/03individual/49.html","49")</f>
        <v>49</v>
      </c>
      <c r="B317" t="str">
        <f>HYPERLINK("http://bombeiros.sp.gov.br/hidrantes/08bsg/qrcodeBSG.html?id=49&amp;lat=-23.56019&amp;long=-46.63505&amp;tipo=S","QRCODE")</f>
        <v>QRCODE</v>
      </c>
      <c r="C317" t="s">
        <v>5264</v>
      </c>
      <c r="D317" t="s">
        <v>904</v>
      </c>
      <c r="E317" t="s">
        <v>904</v>
      </c>
      <c r="F317" t="s">
        <v>21</v>
      </c>
      <c r="G317" t="s">
        <v>2477</v>
      </c>
      <c r="H317">
        <v>0</v>
      </c>
      <c r="I317">
        <v>2</v>
      </c>
      <c r="J317">
        <v>0</v>
      </c>
      <c r="K317">
        <v>0</v>
      </c>
      <c r="L317">
        <v>0</v>
      </c>
    </row>
    <row r="318" spans="1:12">
      <c r="A318" t="str">
        <f>HYPERLINK("http://bombeiros.sp.gov.br/hidrantes/03individual/50.html","50")</f>
        <v>50</v>
      </c>
      <c r="B318" t="str">
        <f>HYPERLINK("http://bombeiros.sp.gov.br/hidrantes/08bsg/qrcodeBSG.html?id=50&amp;lat=-23.55718&amp;long=-46.63395&amp;tipo=S","QRCODE")</f>
        <v>QRCODE</v>
      </c>
      <c r="C318" t="s">
        <v>5264</v>
      </c>
      <c r="D318" t="s">
        <v>904</v>
      </c>
      <c r="E318" t="s">
        <v>904</v>
      </c>
      <c r="F318" t="s">
        <v>21</v>
      </c>
      <c r="G318" t="s">
        <v>2868</v>
      </c>
      <c r="H318">
        <v>0</v>
      </c>
      <c r="I318">
        <v>2</v>
      </c>
      <c r="J318">
        <v>0</v>
      </c>
      <c r="K318">
        <v>0</v>
      </c>
      <c r="L318">
        <v>0</v>
      </c>
    </row>
    <row r="319" spans="1:12">
      <c r="A319" t="str">
        <f>HYPERLINK("http://bombeiros.sp.gov.br/hidrantes/03individual/2547.html","2547")</f>
        <v>2547</v>
      </c>
      <c r="B319" t="str">
        <f>HYPERLINK("http://bombeiros.sp.gov.br/hidrantes/08bsg/qrcodeBSG.html?id=2547&amp;lat=-23.55831&amp;long=-46.63177&amp;tipo=S","QRCODE")</f>
        <v>QRCODE</v>
      </c>
      <c r="C319" t="s">
        <v>5264</v>
      </c>
      <c r="D319" t="s">
        <v>904</v>
      </c>
      <c r="E319" t="s">
        <v>904</v>
      </c>
      <c r="F319" t="s">
        <v>21</v>
      </c>
      <c r="G319" t="s">
        <v>909</v>
      </c>
      <c r="H319">
        <v>0</v>
      </c>
      <c r="I319">
        <v>2</v>
      </c>
      <c r="J319">
        <v>0</v>
      </c>
      <c r="K319">
        <v>0</v>
      </c>
      <c r="L319">
        <v>0</v>
      </c>
    </row>
    <row r="320" spans="1:12">
      <c r="A320" t="str">
        <f>HYPERLINK("http://bombeiros.sp.gov.br/hidrantes/03individual/2549.html","2549")</f>
        <v>2549</v>
      </c>
      <c r="B320" t="str">
        <f>HYPERLINK("http://bombeiros.sp.gov.br/hidrantes/08bsg/qrcodeBSG.html?id=2549&amp;lat=-23.55833&amp;long=-46.63205&amp;tipo=S","QRCODE")</f>
        <v>QRCODE</v>
      </c>
      <c r="C320" t="s">
        <v>5264</v>
      </c>
      <c r="D320" t="s">
        <v>904</v>
      </c>
      <c r="E320" t="s">
        <v>904</v>
      </c>
      <c r="F320" t="s">
        <v>21</v>
      </c>
      <c r="G320" t="s">
        <v>909</v>
      </c>
      <c r="H320">
        <v>1</v>
      </c>
      <c r="I320">
        <v>2</v>
      </c>
      <c r="J320">
        <v>0</v>
      </c>
      <c r="K320">
        <v>0</v>
      </c>
      <c r="L320">
        <v>0</v>
      </c>
    </row>
    <row r="321" spans="1:12">
      <c r="A321" t="str">
        <f>HYPERLINK("http://bombeiros.sp.gov.br/hidrantes/03individual/2936.html","2936")</f>
        <v>2936</v>
      </c>
      <c r="B321" t="str">
        <f>HYPERLINK("http://bombeiros.sp.gov.br/hidrantes/08bsg/qrcodeBSG.html?id=2936&amp;lat=-23.55720&amp;long=-46.63511&amp;tipo=S","QRCODE")</f>
        <v>QRCODE</v>
      </c>
      <c r="C321" t="s">
        <v>5264</v>
      </c>
      <c r="D321" t="s">
        <v>904</v>
      </c>
      <c r="E321" t="s">
        <v>904</v>
      </c>
      <c r="F321" t="s">
        <v>21</v>
      </c>
      <c r="G321" t="s">
        <v>2883</v>
      </c>
      <c r="H321">
        <v>0</v>
      </c>
      <c r="I321">
        <v>2</v>
      </c>
      <c r="J321">
        <v>0</v>
      </c>
      <c r="K321">
        <v>0</v>
      </c>
      <c r="L321">
        <v>0</v>
      </c>
    </row>
    <row r="322" spans="1:12">
      <c r="A322" t="str">
        <f>HYPERLINK("http://bombeiros.sp.gov.br/hidrantes/03individual/2937.html","2937")</f>
        <v>2937</v>
      </c>
      <c r="B322" t="str">
        <f>HYPERLINK("http://bombeiros.sp.gov.br/hidrantes/08bsg/qrcodeBSG.html?id=2937&amp;lat=-23.55840&amp;long=-46.63500&amp;tipo=S","QRCODE")</f>
        <v>QRCODE</v>
      </c>
      <c r="C322" t="s">
        <v>5264</v>
      </c>
      <c r="D322" t="s">
        <v>904</v>
      </c>
      <c r="E322" t="s">
        <v>904</v>
      </c>
      <c r="F322" t="s">
        <v>21</v>
      </c>
      <c r="G322" t="s">
        <v>971</v>
      </c>
      <c r="H322">
        <v>1</v>
      </c>
      <c r="I322">
        <v>2</v>
      </c>
      <c r="J322">
        <v>0</v>
      </c>
      <c r="K322">
        <v>0</v>
      </c>
      <c r="L322">
        <v>0</v>
      </c>
    </row>
    <row r="323" spans="1:12">
      <c r="A323" t="str">
        <f>HYPERLINK("http://bombeiros.sp.gov.br/hidrantes/03individual/12.html","12")</f>
        <v>12</v>
      </c>
      <c r="B323" t="str">
        <f>HYPERLINK("http://bombeiros.sp.gov.br/hidrantes/08bsg/qrcodeBSG.html?id=12&amp;lat=-23.56329&amp;long=-46.63243&amp;tipo=S","QRCODE")</f>
        <v>QRCODE</v>
      </c>
      <c r="C323" t="s">
        <v>5264</v>
      </c>
      <c r="D323" t="s">
        <v>904</v>
      </c>
      <c r="E323" t="s">
        <v>821</v>
      </c>
      <c r="F323" t="s">
        <v>21</v>
      </c>
      <c r="G323" t="s">
        <v>2483</v>
      </c>
      <c r="H323">
        <v>0</v>
      </c>
      <c r="I323">
        <v>2</v>
      </c>
      <c r="J323">
        <v>0</v>
      </c>
      <c r="K323">
        <v>0</v>
      </c>
      <c r="L323">
        <v>0</v>
      </c>
    </row>
    <row r="324" spans="1:12">
      <c r="A324" t="str">
        <f>HYPERLINK("http://bombeiros.sp.gov.br/hidrantes/03individual/54.html","54")</f>
        <v>54</v>
      </c>
      <c r="B324" t="str">
        <f>HYPERLINK("http://bombeiros.sp.gov.br/hidrantes/08bsg/qrcodeBSG.html?id=54&amp;lat=-23.56978&amp;long=-46.63579&amp;tipo=S","QRCODE")</f>
        <v>QRCODE</v>
      </c>
      <c r="C324" t="s">
        <v>5264</v>
      </c>
      <c r="D324" t="s">
        <v>904</v>
      </c>
      <c r="E324" t="s">
        <v>821</v>
      </c>
      <c r="F324" t="s">
        <v>21</v>
      </c>
      <c r="G324" t="s">
        <v>820</v>
      </c>
      <c r="H324">
        <v>1</v>
      </c>
      <c r="I324">
        <v>2</v>
      </c>
      <c r="J324">
        <v>0</v>
      </c>
      <c r="K324">
        <v>0</v>
      </c>
      <c r="L324">
        <v>0</v>
      </c>
    </row>
    <row r="325" spans="1:12">
      <c r="A325" t="str">
        <f>HYPERLINK("http://bombeiros.sp.gov.br/hidrantes/03individual/55.html","55")</f>
        <v>55</v>
      </c>
      <c r="B325" t="str">
        <f>HYPERLINK("http://bombeiros.sp.gov.br/hidrantes/08bsg/qrcodeBSG.html?id=55&amp;lat=-23.57035&amp;long=-46.63803&amp;tipo=S","QRCODE")</f>
        <v>QRCODE</v>
      </c>
      <c r="C325" t="s">
        <v>5264</v>
      </c>
      <c r="D325" t="s">
        <v>904</v>
      </c>
      <c r="E325" t="s">
        <v>821</v>
      </c>
      <c r="F325" t="s">
        <v>21</v>
      </c>
      <c r="G325" t="s">
        <v>2817</v>
      </c>
      <c r="H325">
        <v>0</v>
      </c>
      <c r="I325">
        <v>2</v>
      </c>
      <c r="J325">
        <v>0</v>
      </c>
      <c r="K325">
        <v>0</v>
      </c>
      <c r="L325">
        <v>0</v>
      </c>
    </row>
    <row r="326" spans="1:12">
      <c r="A326" t="str">
        <f>HYPERLINK("http://bombeiros.sp.gov.br/hidrantes/03individual/56.html","56")</f>
        <v>56</v>
      </c>
      <c r="B326" t="str">
        <f>HYPERLINK("http://bombeiros.sp.gov.br/hidrantes/08bsg/qrcodeBSG.html?id=56&amp;lat=-23.56782&amp;long=-46.63808&amp;tipo=S","QRCODE")</f>
        <v>QRCODE</v>
      </c>
      <c r="C326" t="s">
        <v>5264</v>
      </c>
      <c r="D326" t="s">
        <v>904</v>
      </c>
      <c r="E326" t="s">
        <v>821</v>
      </c>
      <c r="F326" t="s">
        <v>21</v>
      </c>
      <c r="G326" t="s">
        <v>1038</v>
      </c>
      <c r="H326">
        <v>1</v>
      </c>
      <c r="I326">
        <v>2</v>
      </c>
      <c r="J326">
        <v>0</v>
      </c>
      <c r="K326">
        <v>0</v>
      </c>
      <c r="L326">
        <v>0</v>
      </c>
    </row>
    <row r="327" spans="1:12">
      <c r="A327" t="str">
        <f>HYPERLINK("http://bombeiros.sp.gov.br/hidrantes/03individual/108.html","108")</f>
        <v>108</v>
      </c>
      <c r="B327" t="str">
        <f>HYPERLINK("http://bombeiros.sp.gov.br/hidrantes/08bsg/qrcodeBSG.html?id=108&amp;lat=-23.56702&amp;long=-46.63351&amp;tipo=S","QRCODE")</f>
        <v>QRCODE</v>
      </c>
      <c r="C327" t="s">
        <v>5264</v>
      </c>
      <c r="D327" t="s">
        <v>904</v>
      </c>
      <c r="E327" t="s">
        <v>821</v>
      </c>
      <c r="F327" t="s">
        <v>21</v>
      </c>
      <c r="G327" t="s">
        <v>834</v>
      </c>
      <c r="H327">
        <v>1</v>
      </c>
      <c r="I327">
        <v>2</v>
      </c>
      <c r="J327">
        <v>0</v>
      </c>
      <c r="K327">
        <v>0</v>
      </c>
      <c r="L327">
        <v>0</v>
      </c>
    </row>
    <row r="328" spans="1:12">
      <c r="A328" t="str">
        <f>HYPERLINK("http://bombeiros.sp.gov.br/hidrantes/03individual/126.html","126")</f>
        <v>126</v>
      </c>
      <c r="B328" t="str">
        <f>HYPERLINK("http://bombeiros.sp.gov.br/hidrantes/08bsg/qrcodeBSG.html?id=126&amp;lat=-23.56646&amp;long=-46.63688&amp;tipo=S","QRCODE")</f>
        <v>QRCODE</v>
      </c>
      <c r="C328" t="s">
        <v>5264</v>
      </c>
      <c r="D328" t="s">
        <v>904</v>
      </c>
      <c r="E328" t="s">
        <v>821</v>
      </c>
      <c r="F328" t="s">
        <v>21</v>
      </c>
      <c r="G328" t="s">
        <v>2088</v>
      </c>
      <c r="H328">
        <v>0</v>
      </c>
      <c r="I328">
        <v>2</v>
      </c>
      <c r="J328">
        <v>0</v>
      </c>
      <c r="K328">
        <v>0</v>
      </c>
      <c r="L328">
        <v>0</v>
      </c>
    </row>
    <row r="329" spans="1:12">
      <c r="A329" t="str">
        <f>HYPERLINK("http://bombeiros.sp.gov.br/hidrantes/03individual/2395.html","2395")</f>
        <v>2395</v>
      </c>
      <c r="B329" t="str">
        <f>HYPERLINK("http://bombeiros.sp.gov.br/hidrantes/08bsg/qrcodeBSG.html?id=2395&amp;lat=-23.56911&amp;long=-46.63637&amp;tipo=S","QRCODE")</f>
        <v>QRCODE</v>
      </c>
      <c r="C329" t="s">
        <v>5264</v>
      </c>
      <c r="D329" t="s">
        <v>904</v>
      </c>
      <c r="E329" t="s">
        <v>821</v>
      </c>
      <c r="F329" t="s">
        <v>21</v>
      </c>
      <c r="G329" t="s">
        <v>918</v>
      </c>
      <c r="H329">
        <v>1</v>
      </c>
      <c r="I329">
        <v>2</v>
      </c>
      <c r="J329">
        <v>0</v>
      </c>
      <c r="K329">
        <v>0</v>
      </c>
      <c r="L329">
        <v>0</v>
      </c>
    </row>
    <row r="330" spans="1:12">
      <c r="A330" t="str">
        <f>HYPERLINK("http://bombeiros.sp.gov.br/hidrantes/03individual/2455.html","2455")</f>
        <v>2455</v>
      </c>
      <c r="B330" t="str">
        <f>HYPERLINK("http://bombeiros.sp.gov.br/hidrantes/08bsg/qrcodeBSG.html?id=2455&amp;lat=-23.56174&amp;long=-46.63277&amp;tipo=S","QRCODE")</f>
        <v>QRCODE</v>
      </c>
      <c r="C330" t="s">
        <v>5264</v>
      </c>
      <c r="D330" t="s">
        <v>904</v>
      </c>
      <c r="E330" t="s">
        <v>821</v>
      </c>
      <c r="F330" t="s">
        <v>21</v>
      </c>
      <c r="G330" t="s">
        <v>2452</v>
      </c>
      <c r="H330">
        <v>0</v>
      </c>
      <c r="I330">
        <v>2</v>
      </c>
      <c r="J330">
        <v>0</v>
      </c>
      <c r="K330">
        <v>0</v>
      </c>
      <c r="L330">
        <v>0</v>
      </c>
    </row>
    <row r="331" spans="1:12">
      <c r="A331" t="str">
        <f>HYPERLINK("http://bombeiros.sp.gov.br/hidrantes/03individual/2456.html","2456")</f>
        <v>2456</v>
      </c>
      <c r="B331" t="str">
        <f>HYPERLINK("http://bombeiros.sp.gov.br/hidrantes/08bsg/qrcodeBSG.html?id=2456&amp;lat=-23.56290&amp;long=-46.63390&amp;tipo=S","QRCODE")</f>
        <v>QRCODE</v>
      </c>
      <c r="C331" t="s">
        <v>5264</v>
      </c>
      <c r="D331" t="s">
        <v>904</v>
      </c>
      <c r="E331" t="s">
        <v>821</v>
      </c>
      <c r="F331" t="s">
        <v>21</v>
      </c>
      <c r="G331" t="s">
        <v>3172</v>
      </c>
      <c r="H331">
        <v>1</v>
      </c>
      <c r="I331">
        <v>1</v>
      </c>
      <c r="J331">
        <v>0</v>
      </c>
      <c r="K331">
        <v>0</v>
      </c>
      <c r="L331">
        <v>0</v>
      </c>
    </row>
    <row r="332" spans="1:12">
      <c r="A332" t="str">
        <f>HYPERLINK("http://bombeiros.sp.gov.br/hidrantes/03individual/2777.html","2777")</f>
        <v>2777</v>
      </c>
      <c r="B332" t="str">
        <f>HYPERLINK("http://bombeiros.sp.gov.br/hidrantes/08bsg/qrcodeBSG.html?id=2777&amp;lat=-23.54936&amp;long=-46.64626&amp;tipo=C","QRCODE")</f>
        <v>QRCODE</v>
      </c>
      <c r="C332" t="s">
        <v>5264</v>
      </c>
      <c r="D332" t="s">
        <v>264</v>
      </c>
      <c r="E332" t="s">
        <v>517</v>
      </c>
      <c r="F332" t="s">
        <v>12</v>
      </c>
      <c r="G332" t="s">
        <v>516</v>
      </c>
      <c r="H332">
        <v>0</v>
      </c>
      <c r="I332">
        <v>2</v>
      </c>
      <c r="J332">
        <v>0</v>
      </c>
      <c r="K332">
        <v>0</v>
      </c>
      <c r="L332">
        <v>0</v>
      </c>
    </row>
    <row r="333" spans="1:12">
      <c r="A333" t="str">
        <f>HYPERLINK("http://bombeiros.sp.gov.br/hidrantes/03individual/2789.html","2789")</f>
        <v>2789</v>
      </c>
      <c r="B333" t="str">
        <f>HYPERLINK("http://bombeiros.sp.gov.br/hidrantes/08bsg/qrcodeBSG.html?id=2789&amp;lat=-23.55514&amp;long=-46.64188&amp;tipo=C","QRCODE")</f>
        <v>QRCODE</v>
      </c>
      <c r="C333" t="s">
        <v>5264</v>
      </c>
      <c r="D333" t="s">
        <v>264</v>
      </c>
      <c r="E333" t="s">
        <v>517</v>
      </c>
      <c r="F333" t="s">
        <v>12</v>
      </c>
      <c r="G333" t="s">
        <v>1340</v>
      </c>
      <c r="H333">
        <v>1</v>
      </c>
      <c r="I333">
        <v>2</v>
      </c>
      <c r="J333">
        <v>0</v>
      </c>
      <c r="K333">
        <v>0</v>
      </c>
      <c r="L333">
        <v>0</v>
      </c>
    </row>
    <row r="334" spans="1:12">
      <c r="A334" t="str">
        <f>HYPERLINK("http://bombeiros.sp.gov.br/hidrantes/03individual/4175.html","4175")</f>
        <v>4175</v>
      </c>
      <c r="B334" t="str">
        <f>HYPERLINK("http://bombeiros.sp.gov.br/hidrantes/08bsg/qrcodeBSG.html?id=4175&amp;lat=-23.54817&amp;long=-46.64331&amp;tipo=C","QRCODE")</f>
        <v>QRCODE</v>
      </c>
      <c r="C334" t="s">
        <v>5264</v>
      </c>
      <c r="D334" t="s">
        <v>264</v>
      </c>
      <c r="E334" t="s">
        <v>517</v>
      </c>
      <c r="F334" t="s">
        <v>12</v>
      </c>
      <c r="G334" t="s">
        <v>1362</v>
      </c>
      <c r="H334">
        <v>1</v>
      </c>
      <c r="I334">
        <v>2</v>
      </c>
      <c r="J334">
        <v>0</v>
      </c>
      <c r="K334">
        <v>0</v>
      </c>
      <c r="L334">
        <v>0</v>
      </c>
    </row>
    <row r="335" spans="1:12">
      <c r="A335" t="str">
        <f>HYPERLINK("http://bombeiros.sp.gov.br/hidrantes/03individual/4282.html","4282")</f>
        <v>4282</v>
      </c>
      <c r="B335" t="str">
        <f>HYPERLINK("http://bombeiros.sp.gov.br/hidrantes/08bsg/qrcodeBSG.html?id=4282&amp;lat=-23.54880&amp;long=-46.64089&amp;tipo=C","QRCODE")</f>
        <v>QRCODE</v>
      </c>
      <c r="C335" t="s">
        <v>5264</v>
      </c>
      <c r="D335" t="s">
        <v>264</v>
      </c>
      <c r="E335" t="s">
        <v>517</v>
      </c>
      <c r="F335" t="s">
        <v>12</v>
      </c>
      <c r="G335" t="s">
        <v>4925</v>
      </c>
      <c r="H335">
        <v>1</v>
      </c>
      <c r="I335">
        <v>1</v>
      </c>
      <c r="J335">
        <v>0</v>
      </c>
      <c r="K335">
        <v>0</v>
      </c>
      <c r="L335">
        <v>0</v>
      </c>
    </row>
    <row r="336" spans="1:12">
      <c r="A336" t="str">
        <f>HYPERLINK("http://bombeiros.sp.gov.br/hidrantes/03individual/48.html","48")</f>
        <v>48</v>
      </c>
      <c r="B336" t="str">
        <f>HYPERLINK("http://bombeiros.sp.gov.br/hidrantes/08bsg/qrcodeBSG.html?id=48&amp;lat=-23.55433&amp;long=-46.63892&amp;tipo=S","QRCODE")</f>
        <v>QRCODE</v>
      </c>
      <c r="C336" t="s">
        <v>5264</v>
      </c>
      <c r="D336" t="s">
        <v>264</v>
      </c>
      <c r="E336" t="s">
        <v>517</v>
      </c>
      <c r="F336" t="s">
        <v>21</v>
      </c>
      <c r="G336" t="s">
        <v>4849</v>
      </c>
      <c r="H336">
        <v>1</v>
      </c>
      <c r="I336">
        <v>1</v>
      </c>
      <c r="J336">
        <v>0</v>
      </c>
      <c r="K336">
        <v>0</v>
      </c>
      <c r="L336">
        <v>0</v>
      </c>
    </row>
    <row r="337" spans="1:12">
      <c r="A337" t="str">
        <f>HYPERLINK("http://bombeiros.sp.gov.br/hidrantes/03individual/187.html","187")</f>
        <v>187</v>
      </c>
      <c r="B337" t="str">
        <f>HYPERLINK("http://bombeiros.sp.gov.br/hidrantes/08bsg/qrcodeBSG.html?id=187&amp;lat=-23.55087&amp;long=-46.64326&amp;tipo=S","QRCODE")</f>
        <v>QRCODE</v>
      </c>
      <c r="C337" t="s">
        <v>5264</v>
      </c>
      <c r="D337" t="s">
        <v>264</v>
      </c>
      <c r="E337" t="s">
        <v>517</v>
      </c>
      <c r="F337" t="s">
        <v>21</v>
      </c>
      <c r="G337" t="s">
        <v>4924</v>
      </c>
      <c r="H337">
        <v>2</v>
      </c>
      <c r="I337">
        <v>1</v>
      </c>
      <c r="J337">
        <v>0</v>
      </c>
      <c r="K337">
        <v>0</v>
      </c>
      <c r="L337">
        <v>0</v>
      </c>
    </row>
    <row r="338" spans="1:12">
      <c r="A338" t="str">
        <f>HYPERLINK("http://bombeiros.sp.gov.br/hidrantes/03individual/247.html","247")</f>
        <v>247</v>
      </c>
      <c r="B338" t="str">
        <f>HYPERLINK("http://bombeiros.sp.gov.br/hidrantes/08bsg/qrcodeBSG.html?id=247&amp;lat=-23.55366&amp;long=-46.63962&amp;tipo=S","QRCODE")</f>
        <v>QRCODE</v>
      </c>
      <c r="C338" t="s">
        <v>5264</v>
      </c>
      <c r="D338" t="s">
        <v>264</v>
      </c>
      <c r="E338" t="s">
        <v>517</v>
      </c>
      <c r="F338" t="s">
        <v>21</v>
      </c>
      <c r="G338" t="s">
        <v>5109</v>
      </c>
      <c r="H338">
        <v>0</v>
      </c>
      <c r="I338">
        <v>1</v>
      </c>
      <c r="J338">
        <v>0</v>
      </c>
      <c r="K338">
        <v>0</v>
      </c>
      <c r="L338">
        <v>0</v>
      </c>
    </row>
    <row r="339" spans="1:12">
      <c r="A339" t="str">
        <f>HYPERLINK("http://bombeiros.sp.gov.br/hidrantes/03individual/262.html","262")</f>
        <v>262</v>
      </c>
      <c r="B339" t="str">
        <f>HYPERLINK("http://bombeiros.sp.gov.br/hidrantes/08bsg/qrcodeBSG.html?id=262&amp;lat=-23.54978&amp;long=-46.64502&amp;tipo=S","QRCODE")</f>
        <v>QRCODE</v>
      </c>
      <c r="C339" t="s">
        <v>5264</v>
      </c>
      <c r="D339" t="s">
        <v>264</v>
      </c>
      <c r="E339" t="s">
        <v>517</v>
      </c>
      <c r="F339" t="s">
        <v>21</v>
      </c>
      <c r="G339" t="s">
        <v>1040</v>
      </c>
      <c r="H339">
        <v>1</v>
      </c>
      <c r="I339">
        <v>2</v>
      </c>
      <c r="J339">
        <v>0</v>
      </c>
      <c r="K339">
        <v>0</v>
      </c>
      <c r="L339">
        <v>0</v>
      </c>
    </row>
    <row r="340" spans="1:12">
      <c r="A340" t="str">
        <f>HYPERLINK("http://bombeiros.sp.gov.br/hidrantes/03individual/2627.html","2627")</f>
        <v>2627</v>
      </c>
      <c r="B340" t="str">
        <f>HYPERLINK("http://bombeiros.sp.gov.br/hidrantes/08bsg/qrcodeBSG.html?id=2627&amp;lat=-23.55384&amp;long=-46.64041&amp;tipo=S","QRCODE")</f>
        <v>QRCODE</v>
      </c>
      <c r="C340" t="s">
        <v>5264</v>
      </c>
      <c r="D340" t="s">
        <v>264</v>
      </c>
      <c r="E340" t="s">
        <v>517</v>
      </c>
      <c r="F340" t="s">
        <v>21</v>
      </c>
      <c r="G340" t="s">
        <v>1346</v>
      </c>
      <c r="H340">
        <v>1</v>
      </c>
      <c r="I340">
        <v>2</v>
      </c>
      <c r="J340">
        <v>0</v>
      </c>
      <c r="K340">
        <v>0</v>
      </c>
      <c r="L340">
        <v>0</v>
      </c>
    </row>
    <row r="341" spans="1:12">
      <c r="A341" t="str">
        <f>HYPERLINK("http://bombeiros.sp.gov.br/hidrantes/03individual/2629.html","2629")</f>
        <v>2629</v>
      </c>
      <c r="B341" t="str">
        <f>HYPERLINK("http://bombeiros.sp.gov.br/hidrantes/08bsg/qrcodeBSG.html?id=2629&amp;lat=-23.55280&amp;long=-46.64312&amp;tipo=S","QRCODE")</f>
        <v>QRCODE</v>
      </c>
      <c r="C341" t="s">
        <v>5264</v>
      </c>
      <c r="D341" t="s">
        <v>264</v>
      </c>
      <c r="E341" t="s">
        <v>517</v>
      </c>
      <c r="F341" t="s">
        <v>21</v>
      </c>
      <c r="G341" t="s">
        <v>3613</v>
      </c>
      <c r="H341">
        <v>1</v>
      </c>
      <c r="I341">
        <v>1</v>
      </c>
      <c r="J341">
        <v>0</v>
      </c>
      <c r="K341">
        <v>0</v>
      </c>
      <c r="L341">
        <v>0</v>
      </c>
    </row>
    <row r="342" spans="1:12">
      <c r="A342" t="str">
        <f>HYPERLINK("http://bombeiros.sp.gov.br/hidrantes/03individual/2632.html","2632")</f>
        <v>2632</v>
      </c>
      <c r="B342" t="str">
        <f>HYPERLINK("http://bombeiros.sp.gov.br/hidrantes/08bsg/qrcodeBSG.html?id=2632&amp;lat=-23.55235&amp;long=-46.64489&amp;tipo=S","QRCODE")</f>
        <v>QRCODE</v>
      </c>
      <c r="C342" t="s">
        <v>5264</v>
      </c>
      <c r="D342" t="s">
        <v>264</v>
      </c>
      <c r="E342" t="s">
        <v>517</v>
      </c>
      <c r="F342" t="s">
        <v>21</v>
      </c>
      <c r="G342" t="s">
        <v>4861</v>
      </c>
      <c r="H342">
        <v>1</v>
      </c>
      <c r="I342">
        <v>1</v>
      </c>
      <c r="J342">
        <v>0</v>
      </c>
      <c r="K342">
        <v>0</v>
      </c>
      <c r="L342">
        <v>0</v>
      </c>
    </row>
    <row r="343" spans="1:12">
      <c r="A343" t="str">
        <f>HYPERLINK("http://bombeiros.sp.gov.br/hidrantes/03individual/2770.html","2770")</f>
        <v>2770</v>
      </c>
      <c r="B343" t="str">
        <f>HYPERLINK("http://bombeiros.sp.gov.br/hidrantes/08bsg/qrcodeBSG.html?id=2770&amp;lat=-23.54758&amp;long=-46.64522&amp;tipo=S","QRCODE")</f>
        <v>QRCODE</v>
      </c>
      <c r="C343" t="s">
        <v>5264</v>
      </c>
      <c r="D343" t="s">
        <v>264</v>
      </c>
      <c r="E343" t="s">
        <v>517</v>
      </c>
      <c r="F343" t="s">
        <v>21</v>
      </c>
      <c r="G343" t="s">
        <v>1338</v>
      </c>
      <c r="H343">
        <v>1</v>
      </c>
      <c r="I343">
        <v>2</v>
      </c>
      <c r="J343">
        <v>0</v>
      </c>
      <c r="K343">
        <v>0</v>
      </c>
      <c r="L343">
        <v>0</v>
      </c>
    </row>
    <row r="344" spans="1:12">
      <c r="A344" t="str">
        <f>HYPERLINK("http://bombeiros.sp.gov.br/hidrantes/03individual/2790.html","2790")</f>
        <v>2790</v>
      </c>
      <c r="B344" t="str">
        <f>HYPERLINK("http://bombeiros.sp.gov.br/hidrantes/08bsg/qrcodeBSG.html?id=2790&amp;lat=-23.55230&amp;long=-46.63786&amp;tipo=S","QRCODE")</f>
        <v>QRCODE</v>
      </c>
      <c r="C344" t="s">
        <v>5264</v>
      </c>
      <c r="D344" t="s">
        <v>264</v>
      </c>
      <c r="E344" t="s">
        <v>517</v>
      </c>
      <c r="F344" t="s">
        <v>21</v>
      </c>
      <c r="G344" t="s">
        <v>2024</v>
      </c>
      <c r="H344">
        <v>0</v>
      </c>
      <c r="I344">
        <v>2</v>
      </c>
      <c r="J344">
        <v>0</v>
      </c>
      <c r="K344">
        <v>0</v>
      </c>
      <c r="L344">
        <v>0</v>
      </c>
    </row>
    <row r="345" spans="1:12">
      <c r="A345" t="str">
        <f>HYPERLINK("http://bombeiros.sp.gov.br/hidrantes/03individual/17708.html","17708")</f>
        <v>17708</v>
      </c>
      <c r="B345" t="str">
        <f>HYPERLINK("http://bombeiros.sp.gov.br/hidrantes/08bsg/qrcodeBSG.html?id=17708&amp;lat=-23.55107&amp;long=-46.64171&amp;tipo=S","QRCODE")</f>
        <v>QRCODE</v>
      </c>
      <c r="C345" t="s">
        <v>5264</v>
      </c>
      <c r="D345" t="s">
        <v>264</v>
      </c>
      <c r="E345" t="s">
        <v>517</v>
      </c>
      <c r="F345" t="s">
        <v>21</v>
      </c>
      <c r="G345" t="s">
        <v>4914</v>
      </c>
      <c r="H345">
        <v>1</v>
      </c>
      <c r="I345">
        <v>1</v>
      </c>
      <c r="J345">
        <v>0</v>
      </c>
      <c r="K345">
        <v>0</v>
      </c>
      <c r="L345">
        <v>0</v>
      </c>
    </row>
    <row r="346" spans="1:12">
      <c r="A346" t="str">
        <f>HYPERLINK("http://bombeiros.sp.gov.br/hidrantes/03individual/508.html","508")</f>
        <v>508</v>
      </c>
      <c r="B346" t="str">
        <f>HYPERLINK("http://bombeiros.sp.gov.br/hidrantes/08bsg/qrcodeBSG.html?id=508&amp;lat=-23.54072&amp;long=-46.64520&amp;tipo=C","QRCODE")</f>
        <v>QRCODE</v>
      </c>
      <c r="C346" t="s">
        <v>5264</v>
      </c>
      <c r="D346" t="s">
        <v>264</v>
      </c>
      <c r="E346" t="s">
        <v>264</v>
      </c>
      <c r="F346" t="s">
        <v>12</v>
      </c>
      <c r="G346" t="s">
        <v>3577</v>
      </c>
      <c r="H346">
        <v>1</v>
      </c>
      <c r="I346">
        <v>1</v>
      </c>
      <c r="J346">
        <v>0</v>
      </c>
      <c r="K346">
        <v>0</v>
      </c>
      <c r="L346">
        <v>0</v>
      </c>
    </row>
    <row r="347" spans="1:12">
      <c r="A347" t="str">
        <f>HYPERLINK("http://bombeiros.sp.gov.br/hidrantes/03individual/511.html","511")</f>
        <v>511</v>
      </c>
      <c r="B347" t="str">
        <f>HYPERLINK("http://bombeiros.sp.gov.br/hidrantes/08bsg/qrcodeBSG.html?id=511&amp;lat=-23.54480&amp;long=-46.63822&amp;tipo=C","QRCODE")</f>
        <v>QRCODE</v>
      </c>
      <c r="C347" t="s">
        <v>5264</v>
      </c>
      <c r="D347" t="s">
        <v>264</v>
      </c>
      <c r="E347" t="s">
        <v>264</v>
      </c>
      <c r="F347" t="s">
        <v>12</v>
      </c>
      <c r="G347" t="s">
        <v>3466</v>
      </c>
      <c r="H347">
        <v>1</v>
      </c>
      <c r="I347">
        <v>1</v>
      </c>
      <c r="J347">
        <v>0</v>
      </c>
      <c r="K347">
        <v>0</v>
      </c>
      <c r="L347">
        <v>0</v>
      </c>
    </row>
    <row r="348" spans="1:12">
      <c r="A348" t="str">
        <f>HYPERLINK("http://bombeiros.sp.gov.br/hidrantes/03individual/646.html","646")</f>
        <v>646</v>
      </c>
      <c r="B348" t="str">
        <f>HYPERLINK("http://bombeiros.sp.gov.br/hidrantes/08bsg/qrcodeBSG.html?id=646&amp;lat=-23.54324&amp;long=-46.64409&amp;tipo=C","QRCODE")</f>
        <v>QRCODE</v>
      </c>
      <c r="C348" t="s">
        <v>5264</v>
      </c>
      <c r="D348" t="s">
        <v>264</v>
      </c>
      <c r="E348" t="s">
        <v>264</v>
      </c>
      <c r="F348" t="s">
        <v>12</v>
      </c>
      <c r="G348" t="s">
        <v>1401</v>
      </c>
      <c r="H348">
        <v>1</v>
      </c>
      <c r="I348">
        <v>2</v>
      </c>
      <c r="J348">
        <v>0</v>
      </c>
      <c r="K348">
        <v>0</v>
      </c>
      <c r="L348">
        <v>0</v>
      </c>
    </row>
    <row r="349" spans="1:12">
      <c r="A349" t="str">
        <f>HYPERLINK("http://bombeiros.sp.gov.br/hidrantes/03individual/777.html","777")</f>
        <v>777</v>
      </c>
      <c r="B349" t="str">
        <f>HYPERLINK("http://bombeiros.sp.gov.br/hidrantes/08bsg/qrcodeBSG.html?id=777&amp;lat=-23.54685&amp;long=-46.64652&amp;tipo=C","QRCODE")</f>
        <v>QRCODE</v>
      </c>
      <c r="C349" t="s">
        <v>5264</v>
      </c>
      <c r="D349" t="s">
        <v>264</v>
      </c>
      <c r="E349" t="s">
        <v>264</v>
      </c>
      <c r="F349" t="s">
        <v>12</v>
      </c>
      <c r="G349" t="s">
        <v>3262</v>
      </c>
      <c r="H349">
        <v>0</v>
      </c>
      <c r="I349">
        <v>1</v>
      </c>
      <c r="J349">
        <v>0</v>
      </c>
      <c r="K349">
        <v>0</v>
      </c>
      <c r="L349">
        <v>0</v>
      </c>
    </row>
    <row r="350" spans="1:12">
      <c r="A350" t="str">
        <f>HYPERLINK("http://bombeiros.sp.gov.br/hidrantes/03individual/2828.html","2828")</f>
        <v>2828</v>
      </c>
      <c r="B350" t="str">
        <f>HYPERLINK("http://bombeiros.sp.gov.br/hidrantes/08bsg/qrcodeBSG.html?id=2828&amp;lat=-23.54764&amp;long=-46.63901&amp;tipo=C","QRCODE")</f>
        <v>QRCODE</v>
      </c>
      <c r="C350" t="s">
        <v>5264</v>
      </c>
      <c r="D350" t="s">
        <v>264</v>
      </c>
      <c r="E350" t="s">
        <v>264</v>
      </c>
      <c r="F350" t="s">
        <v>12</v>
      </c>
      <c r="G350" t="s">
        <v>3436</v>
      </c>
      <c r="H350">
        <v>0</v>
      </c>
      <c r="I350">
        <v>2</v>
      </c>
      <c r="J350">
        <v>0</v>
      </c>
      <c r="K350">
        <v>0</v>
      </c>
      <c r="L350">
        <v>0</v>
      </c>
    </row>
    <row r="351" spans="1:12">
      <c r="A351" t="str">
        <f>HYPERLINK("http://bombeiros.sp.gov.br/hidrantes/03individual/2861.html","2861")</f>
        <v>2861</v>
      </c>
      <c r="B351" t="str">
        <f>HYPERLINK("http://bombeiros.sp.gov.br/hidrantes/08bsg/qrcodeBSG.html?id=2861&amp;lat=-23.54419&amp;long=-46.64427&amp;tipo=C","QRCODE")</f>
        <v>QRCODE</v>
      </c>
      <c r="C351" t="s">
        <v>5264</v>
      </c>
      <c r="D351" t="s">
        <v>264</v>
      </c>
      <c r="E351" t="s">
        <v>264</v>
      </c>
      <c r="F351" t="s">
        <v>12</v>
      </c>
      <c r="G351" t="s">
        <v>1880</v>
      </c>
      <c r="H351">
        <v>0</v>
      </c>
      <c r="I351">
        <v>2</v>
      </c>
      <c r="J351">
        <v>0</v>
      </c>
      <c r="K351">
        <v>0</v>
      </c>
      <c r="L351">
        <v>0</v>
      </c>
    </row>
    <row r="352" spans="1:12">
      <c r="A352" t="str">
        <f>HYPERLINK("http://bombeiros.sp.gov.br/hidrantes/03individual/2938.html","2938")</f>
        <v>2938</v>
      </c>
      <c r="B352" t="str">
        <f>HYPERLINK("http://bombeiros.sp.gov.br/hidrantes/08bsg/qrcodeBSG.html?id=2938&amp;lat=-23.54278&amp;long=-46.64123&amp;tipo=C","QRCODE")</f>
        <v>QRCODE</v>
      </c>
      <c r="C352" t="s">
        <v>5264</v>
      </c>
      <c r="D352" t="s">
        <v>264</v>
      </c>
      <c r="E352" t="s">
        <v>264</v>
      </c>
      <c r="F352" t="s">
        <v>12</v>
      </c>
      <c r="G352" t="s">
        <v>972</v>
      </c>
      <c r="H352">
        <v>1</v>
      </c>
      <c r="I352">
        <v>2</v>
      </c>
      <c r="J352">
        <v>0</v>
      </c>
      <c r="K352">
        <v>0</v>
      </c>
      <c r="L352">
        <v>0</v>
      </c>
    </row>
    <row r="353" spans="1:12">
      <c r="A353" t="str">
        <f>HYPERLINK("http://bombeiros.sp.gov.br/hidrantes/03individual/4281.html","4281")</f>
        <v>4281</v>
      </c>
      <c r="B353" t="str">
        <f>HYPERLINK("http://bombeiros.sp.gov.br/hidrantes/08bsg/qrcodeBSG.html?id=4281&amp;lat=-23.54525&amp;long=-46.64318&amp;tipo=C","QRCODE")</f>
        <v>QRCODE</v>
      </c>
      <c r="C353" t="s">
        <v>5264</v>
      </c>
      <c r="D353" t="s">
        <v>264</v>
      </c>
      <c r="E353" t="s">
        <v>264</v>
      </c>
      <c r="F353" t="s">
        <v>12</v>
      </c>
      <c r="G353" t="s">
        <v>1361</v>
      </c>
      <c r="H353">
        <v>1</v>
      </c>
      <c r="I353">
        <v>2</v>
      </c>
      <c r="J353">
        <v>0</v>
      </c>
      <c r="K353">
        <v>0</v>
      </c>
      <c r="L353">
        <v>0</v>
      </c>
    </row>
    <row r="354" spans="1:12">
      <c r="A354" t="str">
        <f>HYPERLINK("http://bombeiros.sp.gov.br/hidrantes/03individual/197.html","197")</f>
        <v>197</v>
      </c>
      <c r="B354" t="str">
        <f>HYPERLINK("http://bombeiros.sp.gov.br/hidrantes/08bsg/qrcodeBSG.html?id=197&amp;lat=-23.54574&amp;long=-46.64652&amp;tipo=S","QRCODE")</f>
        <v>QRCODE</v>
      </c>
      <c r="C354" t="s">
        <v>5264</v>
      </c>
      <c r="D354" t="s">
        <v>264</v>
      </c>
      <c r="E354" t="s">
        <v>264</v>
      </c>
      <c r="F354" t="s">
        <v>21</v>
      </c>
      <c r="G354" t="s">
        <v>3152</v>
      </c>
      <c r="H354">
        <v>0</v>
      </c>
      <c r="I354">
        <v>2</v>
      </c>
      <c r="J354">
        <v>0</v>
      </c>
      <c r="K354">
        <v>0</v>
      </c>
      <c r="L354">
        <v>0</v>
      </c>
    </row>
    <row r="355" spans="1:12">
      <c r="A355" t="str">
        <f>HYPERLINK("http://bombeiros.sp.gov.br/hidrantes/03individual/233.html","233")</f>
        <v>233</v>
      </c>
      <c r="B355" t="str">
        <f>HYPERLINK("http://bombeiros.sp.gov.br/hidrantes/08bsg/qrcodeBSG.html?id=233&amp;lat=-23.54477&amp;long=-46.64671&amp;tipo=S","QRCODE")</f>
        <v>QRCODE</v>
      </c>
      <c r="C355" t="s">
        <v>5264</v>
      </c>
      <c r="D355" t="s">
        <v>264</v>
      </c>
      <c r="E355" t="s">
        <v>264</v>
      </c>
      <c r="F355" t="s">
        <v>21</v>
      </c>
      <c r="G355" t="s">
        <v>1399</v>
      </c>
      <c r="H355">
        <v>1</v>
      </c>
      <c r="I355">
        <v>2</v>
      </c>
      <c r="J355">
        <v>0</v>
      </c>
      <c r="K355">
        <v>0</v>
      </c>
      <c r="L355">
        <v>0</v>
      </c>
    </row>
    <row r="356" spans="1:12">
      <c r="A356" t="str">
        <f>HYPERLINK("http://bombeiros.sp.gov.br/hidrantes/03individual/277.html","277")</f>
        <v>277</v>
      </c>
      <c r="B356" t="str">
        <f>HYPERLINK("http://bombeiros.sp.gov.br/hidrantes/08bsg/qrcodeBSG.html?id=277&amp;lat=-23.54555&amp;long=-46.64482&amp;tipo=S","QRCODE")</f>
        <v>QRCODE</v>
      </c>
      <c r="C356" t="s">
        <v>5264</v>
      </c>
      <c r="D356" t="s">
        <v>264</v>
      </c>
      <c r="E356" t="s">
        <v>264</v>
      </c>
      <c r="F356" t="s">
        <v>21</v>
      </c>
      <c r="G356" t="s">
        <v>2864</v>
      </c>
      <c r="H356">
        <v>0</v>
      </c>
      <c r="I356">
        <v>2</v>
      </c>
      <c r="J356">
        <v>0</v>
      </c>
      <c r="K356">
        <v>0</v>
      </c>
      <c r="L356">
        <v>0</v>
      </c>
    </row>
    <row r="357" spans="1:12">
      <c r="A357" t="str">
        <f>HYPERLINK("http://bombeiros.sp.gov.br/hidrantes/03individual/278.html","278")</f>
        <v>278</v>
      </c>
      <c r="B357" t="str">
        <f>HYPERLINK("http://bombeiros.sp.gov.br/hidrantes/08bsg/qrcodeBSG.html?id=278&amp;lat=-23.54397&amp;long=-46.64546&amp;tipo=S","QRCODE")</f>
        <v>QRCODE</v>
      </c>
      <c r="C357" t="s">
        <v>5264</v>
      </c>
      <c r="D357" t="s">
        <v>264</v>
      </c>
      <c r="E357" t="s">
        <v>264</v>
      </c>
      <c r="F357" t="s">
        <v>21</v>
      </c>
      <c r="G357" t="s">
        <v>2865</v>
      </c>
      <c r="H357">
        <v>1</v>
      </c>
      <c r="I357">
        <v>2</v>
      </c>
      <c r="J357">
        <v>0</v>
      </c>
      <c r="K357">
        <v>0</v>
      </c>
      <c r="L357">
        <v>0</v>
      </c>
    </row>
    <row r="358" spans="1:12">
      <c r="A358" t="str">
        <f>HYPERLINK("http://bombeiros.sp.gov.br/hidrantes/03individual/279.html","279")</f>
        <v>279</v>
      </c>
      <c r="B358" t="str">
        <f>HYPERLINK("http://bombeiros.sp.gov.br/hidrantes/08bsg/qrcodeBSG.html?id=279&amp;lat=-23.54285&amp;long=-46.64537&amp;tipo=S","QRCODE")</f>
        <v>QRCODE</v>
      </c>
      <c r="C358" t="s">
        <v>5264</v>
      </c>
      <c r="D358" t="s">
        <v>264</v>
      </c>
      <c r="E358" t="s">
        <v>264</v>
      </c>
      <c r="F358" t="s">
        <v>21</v>
      </c>
      <c r="G358" t="s">
        <v>3584</v>
      </c>
      <c r="H358">
        <v>1</v>
      </c>
      <c r="I358">
        <v>1</v>
      </c>
      <c r="J358">
        <v>0</v>
      </c>
      <c r="K358">
        <v>0</v>
      </c>
      <c r="L358">
        <v>0</v>
      </c>
    </row>
    <row r="359" spans="1:12">
      <c r="A359" t="str">
        <f>HYPERLINK("http://bombeiros.sp.gov.br/hidrantes/03individual/505.html","505")</f>
        <v>505</v>
      </c>
      <c r="B359" t="str">
        <f>HYPERLINK("http://bombeiros.sp.gov.br/hidrantes/08bsg/qrcodeBSG.html?id=505&amp;lat=-23.54060&amp;long=-46.64363&amp;tipo=S","QRCODE")</f>
        <v>QRCODE</v>
      </c>
      <c r="C359" t="s">
        <v>5264</v>
      </c>
      <c r="D359" t="s">
        <v>264</v>
      </c>
      <c r="E359" t="s">
        <v>264</v>
      </c>
      <c r="F359" t="s">
        <v>21</v>
      </c>
      <c r="G359" t="s">
        <v>1934</v>
      </c>
      <c r="H359">
        <v>3</v>
      </c>
      <c r="I359">
        <v>2</v>
      </c>
      <c r="J359">
        <v>0</v>
      </c>
      <c r="K359">
        <v>0</v>
      </c>
      <c r="L359">
        <v>0</v>
      </c>
    </row>
    <row r="360" spans="1:12">
      <c r="A360" t="str">
        <f>HYPERLINK("http://bombeiros.sp.gov.br/hidrantes/03individual/510.html","510")</f>
        <v>510</v>
      </c>
      <c r="B360" t="str">
        <f>HYPERLINK("http://bombeiros.sp.gov.br/hidrantes/08bsg/qrcodeBSG.html?id=510&amp;lat=-23.54359&amp;long=-46.64406&amp;tipo=S","QRCODE")</f>
        <v>QRCODE</v>
      </c>
      <c r="C360" t="s">
        <v>5264</v>
      </c>
      <c r="D360" t="s">
        <v>264</v>
      </c>
      <c r="E360" t="s">
        <v>264</v>
      </c>
      <c r="F360" t="s">
        <v>21</v>
      </c>
      <c r="G360" t="s">
        <v>1389</v>
      </c>
      <c r="H360">
        <v>1</v>
      </c>
      <c r="I360">
        <v>2</v>
      </c>
      <c r="J360">
        <v>0</v>
      </c>
      <c r="K360">
        <v>0</v>
      </c>
      <c r="L360">
        <v>0</v>
      </c>
    </row>
    <row r="361" spans="1:12">
      <c r="A361" t="str">
        <f>HYPERLINK("http://bombeiros.sp.gov.br/hidrantes/03individual/641.html","641")</f>
        <v>641</v>
      </c>
      <c r="B361" t="str">
        <f>HYPERLINK("http://bombeiros.sp.gov.br/hidrantes/08bsg/qrcodeBSG.html?id=641&amp;lat=-23.54523&amp;long=-46.64009&amp;tipo=S","QRCODE")</f>
        <v>QRCODE</v>
      </c>
      <c r="C361" t="s">
        <v>5264</v>
      </c>
      <c r="D361" t="s">
        <v>264</v>
      </c>
      <c r="E361" t="s">
        <v>264</v>
      </c>
      <c r="F361" t="s">
        <v>21</v>
      </c>
      <c r="G361" t="s">
        <v>2855</v>
      </c>
      <c r="H361">
        <v>0</v>
      </c>
      <c r="I361">
        <v>2</v>
      </c>
      <c r="J361">
        <v>0</v>
      </c>
      <c r="K361">
        <v>0</v>
      </c>
      <c r="L361">
        <v>0</v>
      </c>
    </row>
    <row r="362" spans="1:12">
      <c r="A362" t="str">
        <f>HYPERLINK("http://bombeiros.sp.gov.br/hidrantes/03individual/656.html","656")</f>
        <v>656</v>
      </c>
      <c r="B362" t="str">
        <f>HYPERLINK("http://bombeiros.sp.gov.br/hidrantes/08bsg/qrcodeBSG.html?id=656&amp;lat=-23.54391&amp;long=-46.64654&amp;tipo=S","QRCODE")</f>
        <v>QRCODE</v>
      </c>
      <c r="C362" t="s">
        <v>5264</v>
      </c>
      <c r="D362" t="s">
        <v>264</v>
      </c>
      <c r="E362" t="s">
        <v>264</v>
      </c>
      <c r="F362" t="s">
        <v>21</v>
      </c>
      <c r="G362" t="s">
        <v>3156</v>
      </c>
      <c r="H362">
        <v>1</v>
      </c>
      <c r="I362">
        <v>2</v>
      </c>
      <c r="J362">
        <v>0</v>
      </c>
      <c r="K362">
        <v>0</v>
      </c>
      <c r="L362">
        <v>0</v>
      </c>
    </row>
    <row r="363" spans="1:12">
      <c r="A363" t="str">
        <f>HYPERLINK("http://bombeiros.sp.gov.br/hidrantes/03individual/794.html","794")</f>
        <v>794</v>
      </c>
      <c r="B363" t="str">
        <f>HYPERLINK("http://bombeiros.sp.gov.br/hidrantes/08bsg/qrcodeBSG.html?id=794&amp;lat=-23.54288&amp;long=-46.64670&amp;tipo=S","QRCODE")</f>
        <v>QRCODE</v>
      </c>
      <c r="C363" t="s">
        <v>5264</v>
      </c>
      <c r="D363" t="s">
        <v>264</v>
      </c>
      <c r="E363" t="s">
        <v>264</v>
      </c>
      <c r="F363" t="s">
        <v>21</v>
      </c>
      <c r="G363" t="s">
        <v>1406</v>
      </c>
      <c r="H363">
        <v>1</v>
      </c>
      <c r="I363">
        <v>2</v>
      </c>
      <c r="J363">
        <v>0</v>
      </c>
      <c r="K363">
        <v>0</v>
      </c>
      <c r="L363">
        <v>0</v>
      </c>
    </row>
    <row r="364" spans="1:12">
      <c r="A364" t="str">
        <f>HYPERLINK("http://bombeiros.sp.gov.br/hidrantes/03individual/2858.html","2858")</f>
        <v>2858</v>
      </c>
      <c r="B364" t="str">
        <f>HYPERLINK("http://bombeiros.sp.gov.br/hidrantes/08bsg/qrcodeBSG.html?id=2858&amp;lat=-23.54541&amp;long=-46.64569&amp;tipo=S","QRCODE")</f>
        <v>QRCODE</v>
      </c>
      <c r="C364" t="s">
        <v>5264</v>
      </c>
      <c r="D364" t="s">
        <v>264</v>
      </c>
      <c r="E364" t="s">
        <v>264</v>
      </c>
      <c r="F364" t="s">
        <v>21</v>
      </c>
      <c r="G364" t="s">
        <v>1881</v>
      </c>
      <c r="H364">
        <v>0</v>
      </c>
      <c r="I364">
        <v>2</v>
      </c>
      <c r="J364">
        <v>0</v>
      </c>
      <c r="K364">
        <v>0</v>
      </c>
      <c r="L364">
        <v>0</v>
      </c>
    </row>
    <row r="365" spans="1:12">
      <c r="A365" t="str">
        <f>HYPERLINK("http://bombeiros.sp.gov.br/hidrantes/03individual/2859.html","2859")</f>
        <v>2859</v>
      </c>
      <c r="B365" t="str">
        <f>HYPERLINK("http://bombeiros.sp.gov.br/hidrantes/08bsg/qrcodeBSG.html?id=2859&amp;lat=-23.54477&amp;long=-46.64550&amp;tipo=S","QRCODE")</f>
        <v>QRCODE</v>
      </c>
      <c r="C365" t="s">
        <v>5264</v>
      </c>
      <c r="D365" t="s">
        <v>264</v>
      </c>
      <c r="E365" t="s">
        <v>264</v>
      </c>
      <c r="F365" t="s">
        <v>21</v>
      </c>
      <c r="G365" t="s">
        <v>1344</v>
      </c>
      <c r="H365">
        <v>1</v>
      </c>
      <c r="I365">
        <v>3</v>
      </c>
      <c r="J365">
        <v>0</v>
      </c>
      <c r="K365">
        <v>0</v>
      </c>
      <c r="L365">
        <v>0</v>
      </c>
    </row>
    <row r="366" spans="1:12">
      <c r="A366" t="str">
        <f>HYPERLINK("http://bombeiros.sp.gov.br/hidrantes/03individual/2866.html","2866")</f>
        <v>2866</v>
      </c>
      <c r="B366" t="str">
        <f>HYPERLINK("http://bombeiros.sp.gov.br/hidrantes/08bsg/qrcodeBSG.html?id=2866&amp;lat=-23.54268&amp;long=-46.64442&amp;tipo=S","QRCODE")</f>
        <v>QRCODE</v>
      </c>
      <c r="C366" t="s">
        <v>5264</v>
      </c>
      <c r="D366" t="s">
        <v>264</v>
      </c>
      <c r="E366" t="s">
        <v>264</v>
      </c>
      <c r="F366" t="s">
        <v>21</v>
      </c>
      <c r="G366" t="s">
        <v>2892</v>
      </c>
      <c r="H366">
        <v>1</v>
      </c>
      <c r="I366">
        <v>2</v>
      </c>
      <c r="J366">
        <v>0</v>
      </c>
      <c r="K366">
        <v>0</v>
      </c>
      <c r="L366">
        <v>0</v>
      </c>
    </row>
    <row r="367" spans="1:12">
      <c r="A367" t="str">
        <f>HYPERLINK("http://bombeiros.sp.gov.br/hidrantes/03individual/2869.html","2869")</f>
        <v>2869</v>
      </c>
      <c r="B367" t="str">
        <f>HYPERLINK("http://bombeiros.sp.gov.br/hidrantes/08bsg/qrcodeBSG.html?id=2869&amp;lat=-23.54253&amp;long=-46.64444&amp;tipo=S","QRCODE")</f>
        <v>QRCODE</v>
      </c>
      <c r="C367" t="s">
        <v>5264</v>
      </c>
      <c r="D367" t="s">
        <v>264</v>
      </c>
      <c r="E367" t="s">
        <v>264</v>
      </c>
      <c r="F367" t="s">
        <v>21</v>
      </c>
      <c r="G367" t="s">
        <v>3616</v>
      </c>
      <c r="H367">
        <v>1</v>
      </c>
      <c r="I367">
        <v>1</v>
      </c>
      <c r="J367">
        <v>0</v>
      </c>
      <c r="K367">
        <v>0</v>
      </c>
      <c r="L367">
        <v>0</v>
      </c>
    </row>
    <row r="368" spans="1:12">
      <c r="A368" t="str">
        <f>HYPERLINK("http://bombeiros.sp.gov.br/hidrantes/03individual/2876.html","2876")</f>
        <v>2876</v>
      </c>
      <c r="B368" t="str">
        <f>HYPERLINK("http://bombeiros.sp.gov.br/hidrantes/08bsg/qrcodeBSG.html?id=2876&amp;lat=-23.54180&amp;long=-46.64539&amp;tipo=S","QRCODE")</f>
        <v>QRCODE</v>
      </c>
      <c r="C368" t="s">
        <v>5264</v>
      </c>
      <c r="D368" t="s">
        <v>264</v>
      </c>
      <c r="E368" t="s">
        <v>264</v>
      </c>
      <c r="F368" t="s">
        <v>21</v>
      </c>
      <c r="G368" t="s">
        <v>1352</v>
      </c>
      <c r="H368">
        <v>1</v>
      </c>
      <c r="I368">
        <v>2</v>
      </c>
      <c r="J368">
        <v>0</v>
      </c>
      <c r="K368">
        <v>0</v>
      </c>
      <c r="L368">
        <v>0</v>
      </c>
    </row>
    <row r="369" spans="1:12">
      <c r="A369" t="str">
        <f>HYPERLINK("http://bombeiros.sp.gov.br/hidrantes/03individual/2881.html","2881")</f>
        <v>2881</v>
      </c>
      <c r="B369" t="str">
        <f>HYPERLINK("http://bombeiros.sp.gov.br/hidrantes/08bsg/qrcodeBSG.html?id=2881&amp;lat=-23.54182&amp;long=-46.64646&amp;tipo=S","QRCODE")</f>
        <v>QRCODE</v>
      </c>
      <c r="C369" t="s">
        <v>5264</v>
      </c>
      <c r="D369" t="s">
        <v>264</v>
      </c>
      <c r="E369" t="s">
        <v>264</v>
      </c>
      <c r="F369" t="s">
        <v>21</v>
      </c>
      <c r="G369" t="s">
        <v>3170</v>
      </c>
      <c r="H369">
        <v>0</v>
      </c>
      <c r="I369">
        <v>2</v>
      </c>
      <c r="J369">
        <v>0</v>
      </c>
      <c r="K369">
        <v>0</v>
      </c>
      <c r="L369">
        <v>0</v>
      </c>
    </row>
    <row r="370" spans="1:12">
      <c r="A370" t="str">
        <f>HYPERLINK("http://bombeiros.sp.gov.br/hidrantes/03individual/2883.html","2883")</f>
        <v>2883</v>
      </c>
      <c r="B370" t="str">
        <f>HYPERLINK("http://bombeiros.sp.gov.br/hidrantes/08bsg/qrcodeBSG.html?id=2883&amp;lat=-23.54137&amp;long=-46.64646&amp;tipo=S","QRCODE")</f>
        <v>QRCODE</v>
      </c>
      <c r="C370" t="s">
        <v>5264</v>
      </c>
      <c r="D370" t="s">
        <v>264</v>
      </c>
      <c r="E370" t="s">
        <v>264</v>
      </c>
      <c r="F370" t="s">
        <v>21</v>
      </c>
      <c r="G370" t="s">
        <v>1869</v>
      </c>
      <c r="H370">
        <v>0</v>
      </c>
      <c r="I370">
        <v>2</v>
      </c>
      <c r="J370">
        <v>0</v>
      </c>
      <c r="K370">
        <v>0</v>
      </c>
      <c r="L370">
        <v>0</v>
      </c>
    </row>
    <row r="371" spans="1:12">
      <c r="A371" t="str">
        <f>HYPERLINK("http://bombeiros.sp.gov.br/hidrantes/03individual/2900.html","2900")</f>
        <v>2900</v>
      </c>
      <c r="B371" t="str">
        <f>HYPERLINK("http://bombeiros.sp.gov.br/hidrantes/08bsg/qrcodeBSG.html?id=2900&amp;lat=-23.54206&amp;long=-46.64379&amp;tipo=S","QRCODE")</f>
        <v>QRCODE</v>
      </c>
      <c r="C371" t="s">
        <v>5264</v>
      </c>
      <c r="D371" t="s">
        <v>264</v>
      </c>
      <c r="E371" t="s">
        <v>264</v>
      </c>
      <c r="F371" t="s">
        <v>21</v>
      </c>
      <c r="G371" t="s">
        <v>2876</v>
      </c>
      <c r="H371">
        <v>1</v>
      </c>
      <c r="I371">
        <v>2</v>
      </c>
      <c r="J371">
        <v>0</v>
      </c>
      <c r="K371">
        <v>0</v>
      </c>
      <c r="L371">
        <v>0</v>
      </c>
    </row>
    <row r="372" spans="1:12">
      <c r="A372" t="str">
        <f>HYPERLINK("http://bombeiros.sp.gov.br/hidrantes/03individual/2916.html","2916")</f>
        <v>2916</v>
      </c>
      <c r="B372" t="str">
        <f>HYPERLINK("http://bombeiros.sp.gov.br/hidrantes/08bsg/qrcodeBSG.html?id=2916&amp;lat=-23.54515&amp;long=-46.64343&amp;tipo=S","QRCODE")</f>
        <v>QRCODE</v>
      </c>
      <c r="C372" t="s">
        <v>5264</v>
      </c>
      <c r="D372" t="s">
        <v>264</v>
      </c>
      <c r="E372" t="s">
        <v>264</v>
      </c>
      <c r="F372" t="s">
        <v>21</v>
      </c>
      <c r="G372" t="s">
        <v>1870</v>
      </c>
      <c r="H372">
        <v>0</v>
      </c>
      <c r="I372">
        <v>2</v>
      </c>
      <c r="J372">
        <v>0</v>
      </c>
      <c r="K372">
        <v>0</v>
      </c>
      <c r="L372">
        <v>0</v>
      </c>
    </row>
    <row r="373" spans="1:12">
      <c r="A373" t="str">
        <f>HYPERLINK("http://bombeiros.sp.gov.br/hidrantes/03individual/2933.html","2933")</f>
        <v>2933</v>
      </c>
      <c r="B373" t="str">
        <f>HYPERLINK("http://bombeiros.sp.gov.br/hidrantes/08bsg/qrcodeBSG.html?id=2933&amp;lat=-23.54463&amp;long=-46.63669&amp;tipo=S","QRCODE")</f>
        <v>QRCODE</v>
      </c>
      <c r="C373" t="s">
        <v>5264</v>
      </c>
      <c r="D373" t="s">
        <v>264</v>
      </c>
      <c r="E373" t="s">
        <v>264</v>
      </c>
      <c r="F373" t="s">
        <v>21</v>
      </c>
      <c r="G373" t="s">
        <v>3442</v>
      </c>
      <c r="H373">
        <v>1</v>
      </c>
      <c r="I373">
        <v>1</v>
      </c>
      <c r="J373">
        <v>0</v>
      </c>
      <c r="K373">
        <v>0</v>
      </c>
      <c r="L373">
        <v>0</v>
      </c>
    </row>
    <row r="374" spans="1:12">
      <c r="A374" t="str">
        <f>HYPERLINK("http://bombeiros.sp.gov.br/hidrantes/03individual/2940.html","2940")</f>
        <v>2940</v>
      </c>
      <c r="B374" t="str">
        <f>HYPERLINK("http://bombeiros.sp.gov.br/hidrantes/08bsg/qrcodeBSG.html?id=2940&amp;lat=-23.54245&amp;long=-46.64181&amp;tipo=S","QRCODE")</f>
        <v>QRCODE</v>
      </c>
      <c r="C374" t="s">
        <v>5264</v>
      </c>
      <c r="D374" t="s">
        <v>264</v>
      </c>
      <c r="E374" t="s">
        <v>264</v>
      </c>
      <c r="F374" t="s">
        <v>21</v>
      </c>
      <c r="G374" t="s">
        <v>3441</v>
      </c>
      <c r="H374">
        <v>1</v>
      </c>
      <c r="I374">
        <v>1</v>
      </c>
      <c r="J374">
        <v>0</v>
      </c>
      <c r="K374">
        <v>0</v>
      </c>
      <c r="L374">
        <v>0</v>
      </c>
    </row>
    <row r="375" spans="1:12">
      <c r="A375" t="str">
        <f>HYPERLINK("http://bombeiros.sp.gov.br/hidrantes/03individual/2944.html","2944")</f>
        <v>2944</v>
      </c>
      <c r="B375" t="str">
        <f>HYPERLINK("http://bombeiros.sp.gov.br/hidrantes/08bsg/qrcodeBSG.html?id=2944&amp;lat=-23.53979&amp;long=-46.64515&amp;tipo=S","QRCODE")</f>
        <v>QRCODE</v>
      </c>
      <c r="C375" t="s">
        <v>5264</v>
      </c>
      <c r="D375" t="s">
        <v>264</v>
      </c>
      <c r="E375" t="s">
        <v>264</v>
      </c>
      <c r="F375" t="s">
        <v>21</v>
      </c>
      <c r="G375" t="s">
        <v>3629</v>
      </c>
      <c r="H375">
        <v>1</v>
      </c>
      <c r="I375">
        <v>1</v>
      </c>
      <c r="J375">
        <v>0</v>
      </c>
      <c r="K375">
        <v>0</v>
      </c>
      <c r="L375">
        <v>0</v>
      </c>
    </row>
    <row r="376" spans="1:12">
      <c r="A376" t="str">
        <f>HYPERLINK("http://bombeiros.sp.gov.br/hidrantes/03individual/5498.html","5498")</f>
        <v>5498</v>
      </c>
      <c r="B376" t="str">
        <f>HYPERLINK("http://bombeiros.sp.gov.br/hidrantes/08bsg/qrcodeBSG.html?id=5498&amp;lat=-23.54439&amp;long=-46.64245&amp;tipo=S","QRCODE")</f>
        <v>QRCODE</v>
      </c>
      <c r="C376" t="s">
        <v>5264</v>
      </c>
      <c r="D376" t="s">
        <v>264</v>
      </c>
      <c r="E376" t="s">
        <v>264</v>
      </c>
      <c r="F376" t="s">
        <v>21</v>
      </c>
      <c r="G376" t="s">
        <v>1358</v>
      </c>
      <c r="H376">
        <v>1</v>
      </c>
      <c r="I376">
        <v>2</v>
      </c>
      <c r="J376">
        <v>0</v>
      </c>
      <c r="K376">
        <v>0</v>
      </c>
      <c r="L376">
        <v>0</v>
      </c>
    </row>
    <row r="377" spans="1:12">
      <c r="A377" t="str">
        <f>HYPERLINK("http://bombeiros.sp.gov.br/hidrantes/03individual/5635.html","5635")</f>
        <v>5635</v>
      </c>
      <c r="B377" t="str">
        <f>HYPERLINK("http://bombeiros.sp.gov.br/hidrantes/08bsg/qrcodeBSG.html?id=5635&amp;lat=-23.54590&amp;long=-46.64241&amp;tipo=S","QRCODE")</f>
        <v>QRCODE</v>
      </c>
      <c r="C377" t="s">
        <v>5264</v>
      </c>
      <c r="D377" t="s">
        <v>264</v>
      </c>
      <c r="E377" t="s">
        <v>264</v>
      </c>
      <c r="F377" t="s">
        <v>21</v>
      </c>
      <c r="G377" t="s">
        <v>1359</v>
      </c>
      <c r="H377">
        <v>1</v>
      </c>
      <c r="I377">
        <v>2</v>
      </c>
      <c r="J377">
        <v>0</v>
      </c>
      <c r="K377">
        <v>0</v>
      </c>
      <c r="L377">
        <v>0</v>
      </c>
    </row>
    <row r="378" spans="1:12">
      <c r="A378" t="str">
        <f>HYPERLINK("http://bombeiros.sp.gov.br/hidrantes/03individual/6786.html","6786")</f>
        <v>6786</v>
      </c>
      <c r="B378" t="str">
        <f>HYPERLINK("http://bombeiros.sp.gov.br/hidrantes/08bsg/qrcodeBSG.html?id=6786&amp;lat=-23.54436&amp;long=-46.63950&amp;tipo=S","QRCODE")</f>
        <v>QRCODE</v>
      </c>
      <c r="C378" t="s">
        <v>5264</v>
      </c>
      <c r="D378" t="s">
        <v>264</v>
      </c>
      <c r="E378" t="s">
        <v>264</v>
      </c>
      <c r="F378" t="s">
        <v>21</v>
      </c>
      <c r="G378" t="s">
        <v>2875</v>
      </c>
      <c r="H378">
        <v>0</v>
      </c>
      <c r="I378">
        <v>2</v>
      </c>
      <c r="J378">
        <v>0</v>
      </c>
      <c r="K378">
        <v>0</v>
      </c>
      <c r="L378">
        <v>0</v>
      </c>
    </row>
    <row r="379" spans="1:12">
      <c r="A379" t="str">
        <f>HYPERLINK("http://bombeiros.sp.gov.br/hidrantes/03individual/16647.html","16647")</f>
        <v>16647</v>
      </c>
      <c r="B379" t="str">
        <f>HYPERLINK("http://bombeiros.sp.gov.br/hidrantes/08bsg/qrcodeBSG.html?id=16647&amp;lat=-23.54402&amp;long=-46.63995&amp;tipo=S","QRCODE")</f>
        <v>QRCODE</v>
      </c>
      <c r="C379" t="s">
        <v>5264</v>
      </c>
      <c r="D379" t="s">
        <v>264</v>
      </c>
      <c r="E379" t="s">
        <v>264</v>
      </c>
      <c r="F379" t="s">
        <v>21</v>
      </c>
      <c r="G379" t="s">
        <v>2909</v>
      </c>
      <c r="H379">
        <v>0</v>
      </c>
      <c r="I379">
        <v>2</v>
      </c>
      <c r="J379">
        <v>0</v>
      </c>
      <c r="K379">
        <v>0</v>
      </c>
      <c r="L379">
        <v>0</v>
      </c>
    </row>
    <row r="380" spans="1:12">
      <c r="A380" t="str">
        <f>HYPERLINK("http://bombeiros.sp.gov.br/hidrantes/03individual/17718.html","17718")</f>
        <v>17718</v>
      </c>
      <c r="B380" t="str">
        <f>HYPERLINK("http://bombeiros.sp.gov.br/hidrantes/08bsg/qrcodeBSG.html?id=17718&amp;lat=-23.53998&amp;long=-46.64482&amp;tipo=S","QRCODE")</f>
        <v>QRCODE</v>
      </c>
      <c r="C380" t="s">
        <v>5264</v>
      </c>
      <c r="D380" t="s">
        <v>264</v>
      </c>
      <c r="E380" t="s">
        <v>264</v>
      </c>
      <c r="F380" t="s">
        <v>21</v>
      </c>
      <c r="G380" t="s">
        <v>1328</v>
      </c>
      <c r="H380">
        <v>1</v>
      </c>
      <c r="I380">
        <v>4</v>
      </c>
      <c r="J380">
        <v>0</v>
      </c>
      <c r="K380">
        <v>0</v>
      </c>
      <c r="L380">
        <v>0</v>
      </c>
    </row>
    <row r="381" spans="1:12">
      <c r="A381" t="str">
        <f>HYPERLINK("http://bombeiros.sp.gov.br/hidrantes/03individual/17771.html","17771")</f>
        <v>17771</v>
      </c>
      <c r="B381" t="str">
        <f>HYPERLINK("http://bombeiros.sp.gov.br/hidrantes/08bsg/qrcodeBSG.html?id=17771&amp;lat=-23.54701&amp;long=-46.64051&amp;tipo=S","QRCODE")</f>
        <v>QRCODE</v>
      </c>
      <c r="C381" t="s">
        <v>5264</v>
      </c>
      <c r="D381" t="s">
        <v>264</v>
      </c>
      <c r="E381" t="s">
        <v>264</v>
      </c>
      <c r="F381" t="s">
        <v>21</v>
      </c>
      <c r="G381" t="s">
        <v>1850</v>
      </c>
      <c r="H381">
        <v>0</v>
      </c>
      <c r="I381">
        <v>3</v>
      </c>
      <c r="J381">
        <v>0</v>
      </c>
      <c r="K381">
        <v>0</v>
      </c>
      <c r="L381">
        <v>0</v>
      </c>
    </row>
    <row r="382" spans="1:12">
      <c r="A382" t="str">
        <f>HYPERLINK("http://bombeiros.sp.gov.br/hidrantes/03individual/23061.html","23061")</f>
        <v>23061</v>
      </c>
      <c r="B382" t="str">
        <f>HYPERLINK("http://bombeiros.sp.gov.br/hidrantes/08bsg/qrcodeBSG.html?id=23061&amp;lat=-23.54313&amp;long=-46.63900&amp;tipo=S","QRCODE")</f>
        <v>QRCODE</v>
      </c>
      <c r="C382" t="s">
        <v>5264</v>
      </c>
      <c r="D382" t="s">
        <v>264</v>
      </c>
      <c r="E382" t="s">
        <v>264</v>
      </c>
      <c r="F382" t="s">
        <v>21</v>
      </c>
      <c r="G382" t="s">
        <v>3505</v>
      </c>
      <c r="H382">
        <v>1</v>
      </c>
      <c r="I382">
        <v>1</v>
      </c>
      <c r="J382">
        <v>0</v>
      </c>
      <c r="K382">
        <v>0</v>
      </c>
      <c r="L382">
        <v>0</v>
      </c>
    </row>
    <row r="383" spans="1:12">
      <c r="A383" t="str">
        <f>HYPERLINK("http://bombeiros.sp.gov.br/hidrantes/03individual/26618.html","26618")</f>
        <v>26618</v>
      </c>
      <c r="B383" t="str">
        <f>HYPERLINK("http://bombeiros.sp.gov.br/hidrantes/08bsg/qrcodeBSG.html?id=26618&amp;lat=-23.54763&amp;long=-46.64155&amp;tipo=S","QRCODE")</f>
        <v>QRCODE</v>
      </c>
      <c r="C383" t="s">
        <v>5264</v>
      </c>
      <c r="D383" t="s">
        <v>264</v>
      </c>
      <c r="E383" t="s">
        <v>264</v>
      </c>
      <c r="F383" t="s">
        <v>21</v>
      </c>
      <c r="G383" t="s">
        <v>2914</v>
      </c>
      <c r="H383">
        <v>0</v>
      </c>
      <c r="I383">
        <v>2</v>
      </c>
      <c r="J383">
        <v>0</v>
      </c>
      <c r="K383">
        <v>0</v>
      </c>
      <c r="L383">
        <v>0</v>
      </c>
    </row>
    <row r="384" spans="1:12">
      <c r="A384" t="str">
        <f>HYPERLINK("http://bombeiros.sp.gov.br/hidrantes/03individual/26622.html","26622")</f>
        <v>26622</v>
      </c>
      <c r="B384" t="str">
        <f>HYPERLINK("http://bombeiros.sp.gov.br/hidrantes/08bsg/qrcodeBSG.html?id=26622&amp;lat=-23.54654&amp;long=-46.63898&amp;tipo=S","QRCODE")</f>
        <v>QRCODE</v>
      </c>
      <c r="C384" t="s">
        <v>5264</v>
      </c>
      <c r="D384" t="s">
        <v>264</v>
      </c>
      <c r="E384" t="s">
        <v>264</v>
      </c>
      <c r="F384" t="s">
        <v>21</v>
      </c>
      <c r="G384" t="s">
        <v>2915</v>
      </c>
      <c r="H384">
        <v>0</v>
      </c>
      <c r="I384">
        <v>2</v>
      </c>
      <c r="J384">
        <v>0</v>
      </c>
      <c r="K384">
        <v>0</v>
      </c>
      <c r="L384">
        <v>0</v>
      </c>
    </row>
    <row r="385" spans="1:12">
      <c r="A385" t="str">
        <f>HYPERLINK("http://bombeiros.sp.gov.br/hidrantes/03individual/26631.html","26631")</f>
        <v>26631</v>
      </c>
      <c r="B385" t="str">
        <f>HYPERLINK("http://bombeiros.sp.gov.br/hidrantes/08bsg/qrcodeBSG.html?id=26631&amp;lat=-23.54666&amp;long=-46.64519&amp;tipo=S","QRCODE")</f>
        <v>QRCODE</v>
      </c>
      <c r="C385" t="s">
        <v>5264</v>
      </c>
      <c r="D385" t="s">
        <v>264</v>
      </c>
      <c r="E385" t="s">
        <v>264</v>
      </c>
      <c r="F385" t="s">
        <v>21</v>
      </c>
      <c r="G385" t="s">
        <v>1845</v>
      </c>
      <c r="H385">
        <v>0</v>
      </c>
      <c r="I385">
        <v>2</v>
      </c>
      <c r="J385">
        <v>0</v>
      </c>
      <c r="K385">
        <v>0</v>
      </c>
      <c r="L385">
        <v>0</v>
      </c>
    </row>
    <row r="386" spans="1:12">
      <c r="A386" t="str">
        <f>HYPERLINK("http://bombeiros.sp.gov.br/hidrantes/03individual/26632.html","26632")</f>
        <v>26632</v>
      </c>
      <c r="B386" t="str">
        <f>HYPERLINK("http://bombeiros.sp.gov.br/hidrantes/08bsg/qrcodeBSG.html?id=26632&amp;lat=-23.54529&amp;long=-46.64762&amp;tipo=S","QRCODE")</f>
        <v>QRCODE</v>
      </c>
      <c r="C386" t="s">
        <v>5264</v>
      </c>
      <c r="D386" t="s">
        <v>264</v>
      </c>
      <c r="E386" t="s">
        <v>264</v>
      </c>
      <c r="F386" t="s">
        <v>21</v>
      </c>
      <c r="G386" t="s">
        <v>263</v>
      </c>
      <c r="H386">
        <v>0</v>
      </c>
      <c r="I386">
        <v>2</v>
      </c>
      <c r="J386">
        <v>0</v>
      </c>
      <c r="K386">
        <v>0</v>
      </c>
      <c r="L386">
        <v>0</v>
      </c>
    </row>
    <row r="387" spans="1:12">
      <c r="A387" t="str">
        <f>HYPERLINK("http://bombeiros.sp.gov.br/hidrantes/03individual/26633.html","26633")</f>
        <v>26633</v>
      </c>
      <c r="B387" t="str">
        <f>HYPERLINK("http://bombeiros.sp.gov.br/hidrantes/08bsg/qrcodeBSG.html?id=26633&amp;lat=-23.54460&amp;long=-46.64759&amp;tipo=S","QRCODE")</f>
        <v>QRCODE</v>
      </c>
      <c r="C387" t="s">
        <v>5264</v>
      </c>
      <c r="D387" t="s">
        <v>264</v>
      </c>
      <c r="E387" t="s">
        <v>264</v>
      </c>
      <c r="F387" t="s">
        <v>21</v>
      </c>
      <c r="G387" t="s">
        <v>265</v>
      </c>
      <c r="H387">
        <v>0</v>
      </c>
      <c r="I387">
        <v>2</v>
      </c>
      <c r="J387">
        <v>0</v>
      </c>
      <c r="K387">
        <v>0</v>
      </c>
      <c r="L387">
        <v>0</v>
      </c>
    </row>
    <row r="388" spans="1:12">
      <c r="A388" t="str">
        <f>HYPERLINK("http://bombeiros.sp.gov.br/hidrantes/03individual/26859.html","26859")</f>
        <v>26859</v>
      </c>
      <c r="B388" t="str">
        <f>HYPERLINK("http://bombeiros.sp.gov.br/hidrantes/08bsg/qrcodeBSG.html?id=26859&amp;lat=-23.54260&amp;long=-46.64026&amp;tipo=S","QRCODE")</f>
        <v>QRCODE</v>
      </c>
      <c r="C388" t="s">
        <v>5264</v>
      </c>
      <c r="D388" t="s">
        <v>264</v>
      </c>
      <c r="E388" t="s">
        <v>264</v>
      </c>
      <c r="F388" t="s">
        <v>21</v>
      </c>
      <c r="G388" t="s">
        <v>2916</v>
      </c>
      <c r="H388">
        <v>0</v>
      </c>
      <c r="I388">
        <v>2</v>
      </c>
      <c r="J388">
        <v>0</v>
      </c>
      <c r="K388">
        <v>0</v>
      </c>
      <c r="L388">
        <v>0</v>
      </c>
    </row>
    <row r="389" spans="1:12">
      <c r="A389" t="str">
        <f>HYPERLINK("http://bombeiros.sp.gov.br/hidrantes/03individual/506.html","506")</f>
        <v>506</v>
      </c>
      <c r="B389" t="str">
        <f>HYPERLINK("http://bombeiros.sp.gov.br/hidrantes/08bsg/qrcodeBSG.html?id=506&amp;lat=-23.53935&amp;long=-46.63488&amp;tipo=C","QRCODE")</f>
        <v>QRCODE</v>
      </c>
      <c r="C389" t="s">
        <v>5264</v>
      </c>
      <c r="D389" t="s">
        <v>264</v>
      </c>
      <c r="E389" t="s">
        <v>132</v>
      </c>
      <c r="F389" t="s">
        <v>12</v>
      </c>
      <c r="G389" t="s">
        <v>4900</v>
      </c>
      <c r="H389">
        <v>3</v>
      </c>
      <c r="I389">
        <v>1</v>
      </c>
      <c r="J389">
        <v>0</v>
      </c>
      <c r="K389">
        <v>0</v>
      </c>
      <c r="L389">
        <v>0</v>
      </c>
    </row>
    <row r="390" spans="1:12">
      <c r="A390" t="str">
        <f>HYPERLINK("http://bombeiros.sp.gov.br/hidrantes/03individual/604.html","604")</f>
        <v>604</v>
      </c>
      <c r="B390" t="str">
        <f>HYPERLINK("http://bombeiros.sp.gov.br/hidrantes/08bsg/qrcodeBSG.html?id=604&amp;lat=-23.53841&amp;long=-46.63480&amp;tipo=C","QRCODE")</f>
        <v>QRCODE</v>
      </c>
      <c r="C390" t="s">
        <v>5264</v>
      </c>
      <c r="D390" t="s">
        <v>264</v>
      </c>
      <c r="E390" t="s">
        <v>132</v>
      </c>
      <c r="F390" t="s">
        <v>12</v>
      </c>
      <c r="G390" t="s">
        <v>1928</v>
      </c>
      <c r="H390">
        <v>0</v>
      </c>
      <c r="I390">
        <v>3</v>
      </c>
      <c r="J390">
        <v>0</v>
      </c>
      <c r="K390">
        <v>0</v>
      </c>
      <c r="L390">
        <v>0</v>
      </c>
    </row>
    <row r="391" spans="1:12">
      <c r="A391" t="str">
        <f>HYPERLINK("http://bombeiros.sp.gov.br/hidrantes/03individual/812.html","812")</f>
        <v>812</v>
      </c>
      <c r="B391" t="str">
        <f>HYPERLINK("http://bombeiros.sp.gov.br/hidrantes/08bsg/qrcodeBSG.html?id=812&amp;lat=-23.53820&amp;long=-46.63614&amp;tipo=C","QRCODE")</f>
        <v>QRCODE</v>
      </c>
      <c r="C391" t="s">
        <v>5264</v>
      </c>
      <c r="D391" t="s">
        <v>264</v>
      </c>
      <c r="E391" t="s">
        <v>132</v>
      </c>
      <c r="F391" t="s">
        <v>12</v>
      </c>
      <c r="G391" t="s">
        <v>2396</v>
      </c>
      <c r="H391">
        <v>1</v>
      </c>
      <c r="I391">
        <v>2</v>
      </c>
      <c r="J391">
        <v>0</v>
      </c>
      <c r="K391">
        <v>0</v>
      </c>
      <c r="L391">
        <v>0</v>
      </c>
    </row>
    <row r="392" spans="1:12">
      <c r="A392" t="str">
        <f>HYPERLINK("http://bombeiros.sp.gov.br/hidrantes/03individual/2829.html","2829")</f>
        <v>2829</v>
      </c>
      <c r="B392" t="str">
        <f>HYPERLINK("http://bombeiros.sp.gov.br/hidrantes/08bsg/qrcodeBSG.html?id=2829&amp;lat=-23.54376&amp;long=-46.63628&amp;tipo=C","QRCODE")</f>
        <v>QRCODE</v>
      </c>
      <c r="C392" t="s">
        <v>5264</v>
      </c>
      <c r="D392" t="s">
        <v>264</v>
      </c>
      <c r="E392" t="s">
        <v>132</v>
      </c>
      <c r="F392" t="s">
        <v>12</v>
      </c>
      <c r="G392" t="s">
        <v>1878</v>
      </c>
      <c r="H392">
        <v>1</v>
      </c>
      <c r="I392">
        <v>2</v>
      </c>
      <c r="J392">
        <v>0</v>
      </c>
      <c r="K392">
        <v>0</v>
      </c>
      <c r="L392">
        <v>0</v>
      </c>
    </row>
    <row r="393" spans="1:12">
      <c r="A393" t="str">
        <f>HYPERLINK("http://bombeiros.sp.gov.br/hidrantes/03individual/2830.html","2830")</f>
        <v>2830</v>
      </c>
      <c r="B393" t="str">
        <f>HYPERLINK("http://bombeiros.sp.gov.br/hidrantes/08bsg/qrcodeBSG.html?id=2830&amp;lat=-23.54203&amp;long=-46.63607&amp;tipo=C","QRCODE")</f>
        <v>QRCODE</v>
      </c>
      <c r="C393" t="s">
        <v>5264</v>
      </c>
      <c r="D393" t="s">
        <v>264</v>
      </c>
      <c r="E393" t="s">
        <v>132</v>
      </c>
      <c r="F393" t="s">
        <v>12</v>
      </c>
      <c r="G393" t="s">
        <v>3437</v>
      </c>
      <c r="H393">
        <v>0</v>
      </c>
      <c r="I393">
        <v>2</v>
      </c>
      <c r="J393">
        <v>0</v>
      </c>
      <c r="K393">
        <v>0</v>
      </c>
      <c r="L393">
        <v>0</v>
      </c>
    </row>
    <row r="394" spans="1:12">
      <c r="A394" t="str">
        <f>HYPERLINK("http://bombeiros.sp.gov.br/hidrantes/03individual/2847.html","2847")</f>
        <v>2847</v>
      </c>
      <c r="B394" t="str">
        <f>HYPERLINK("http://bombeiros.sp.gov.br/hidrantes/08bsg/qrcodeBSG.html?id=2847&amp;lat=-23.53807&amp;long=-46.63958&amp;tipo=C","QRCODE")</f>
        <v>QRCODE</v>
      </c>
      <c r="C394" t="s">
        <v>5264</v>
      </c>
      <c r="D394" t="s">
        <v>264</v>
      </c>
      <c r="E394" t="s">
        <v>132</v>
      </c>
      <c r="F394" t="s">
        <v>12</v>
      </c>
      <c r="G394" t="s">
        <v>2583</v>
      </c>
      <c r="H394">
        <v>1</v>
      </c>
      <c r="I394">
        <v>2</v>
      </c>
      <c r="J394">
        <v>0</v>
      </c>
      <c r="K394">
        <v>0</v>
      </c>
      <c r="L394">
        <v>0</v>
      </c>
    </row>
    <row r="395" spans="1:12">
      <c r="A395" t="str">
        <f>HYPERLINK("http://bombeiros.sp.gov.br/hidrantes/03individual/2848.html","2848")</f>
        <v>2848</v>
      </c>
      <c r="B395" t="str">
        <f>HYPERLINK("http://bombeiros.sp.gov.br/hidrantes/08bsg/qrcodeBSG.html?id=2848&amp;lat=-23.53543&amp;long=-46.64074&amp;tipo=C","QRCODE")</f>
        <v>QRCODE</v>
      </c>
      <c r="C395" t="s">
        <v>5264</v>
      </c>
      <c r="D395" t="s">
        <v>264</v>
      </c>
      <c r="E395" t="s">
        <v>132</v>
      </c>
      <c r="F395" t="s">
        <v>12</v>
      </c>
      <c r="G395" t="s">
        <v>949</v>
      </c>
      <c r="H395">
        <v>0</v>
      </c>
      <c r="I395">
        <v>3</v>
      </c>
      <c r="J395">
        <v>0</v>
      </c>
      <c r="K395">
        <v>0</v>
      </c>
      <c r="L395">
        <v>0</v>
      </c>
    </row>
    <row r="396" spans="1:12">
      <c r="A396" t="str">
        <f>HYPERLINK("http://bombeiros.sp.gov.br/hidrantes/03individual/2901.html","2901")</f>
        <v>2901</v>
      </c>
      <c r="B396" t="str">
        <f>HYPERLINK("http://bombeiros.sp.gov.br/hidrantes/08bsg/qrcodeBSG.html?id=2901&amp;lat=-23.54016&amp;long=-46.64292&amp;tipo=C","QRCODE")</f>
        <v>QRCODE</v>
      </c>
      <c r="C396" t="s">
        <v>5264</v>
      </c>
      <c r="D396" t="s">
        <v>264</v>
      </c>
      <c r="E396" t="s">
        <v>132</v>
      </c>
      <c r="F396" t="s">
        <v>12</v>
      </c>
      <c r="G396" t="s">
        <v>3627</v>
      </c>
      <c r="H396">
        <v>1</v>
      </c>
      <c r="I396">
        <v>1</v>
      </c>
      <c r="J396">
        <v>0</v>
      </c>
      <c r="K396">
        <v>0</v>
      </c>
      <c r="L396">
        <v>0</v>
      </c>
    </row>
    <row r="397" spans="1:12">
      <c r="A397" t="str">
        <f>HYPERLINK("http://bombeiros.sp.gov.br/hidrantes/03individual/2939.html","2939")</f>
        <v>2939</v>
      </c>
      <c r="B397" t="str">
        <f>HYPERLINK("http://bombeiros.sp.gov.br/hidrantes/08bsg/qrcodeBSG.html?id=2939&amp;lat=-23.53857&amp;long=-46.63644&amp;tipo=C","QRCODE")</f>
        <v>QRCODE</v>
      </c>
      <c r="C397" t="s">
        <v>5264</v>
      </c>
      <c r="D397" t="s">
        <v>264</v>
      </c>
      <c r="E397" t="s">
        <v>132</v>
      </c>
      <c r="F397" t="s">
        <v>12</v>
      </c>
      <c r="G397" t="s">
        <v>888</v>
      </c>
      <c r="H397">
        <v>1</v>
      </c>
      <c r="I397">
        <v>3</v>
      </c>
      <c r="J397">
        <v>0</v>
      </c>
      <c r="K397">
        <v>0</v>
      </c>
      <c r="L397">
        <v>0</v>
      </c>
    </row>
    <row r="398" spans="1:12">
      <c r="A398" t="str">
        <f>HYPERLINK("http://bombeiros.sp.gov.br/hidrantes/03individual/2941.html","2941")</f>
        <v>2941</v>
      </c>
      <c r="B398" t="str">
        <f>HYPERLINK("http://bombeiros.sp.gov.br/hidrantes/08bsg/qrcodeBSG.html?id=2941&amp;lat=-23.54123&amp;long=-46.64237&amp;tipo=C","QRCODE")</f>
        <v>QRCODE</v>
      </c>
      <c r="C398" t="s">
        <v>5264</v>
      </c>
      <c r="D398" t="s">
        <v>264</v>
      </c>
      <c r="E398" t="s">
        <v>132</v>
      </c>
      <c r="F398" t="s">
        <v>12</v>
      </c>
      <c r="G398" t="s">
        <v>973</v>
      </c>
      <c r="H398">
        <v>1</v>
      </c>
      <c r="I398">
        <v>2</v>
      </c>
      <c r="J398">
        <v>0</v>
      </c>
      <c r="K398">
        <v>0</v>
      </c>
      <c r="L398">
        <v>0</v>
      </c>
    </row>
    <row r="399" spans="1:12">
      <c r="A399" t="str">
        <f>HYPERLINK("http://bombeiros.sp.gov.br/hidrantes/03individual/2942.html","2942")</f>
        <v>2942</v>
      </c>
      <c r="B399" t="str">
        <f>HYPERLINK("http://bombeiros.sp.gov.br/hidrantes/08bsg/qrcodeBSG.html?id=2942&amp;lat=-23.54067&amp;long=-46.64152&amp;tipo=C","QRCODE")</f>
        <v>QRCODE</v>
      </c>
      <c r="C399" t="s">
        <v>5264</v>
      </c>
      <c r="D399" t="s">
        <v>264</v>
      </c>
      <c r="E399" t="s">
        <v>132</v>
      </c>
      <c r="F399" t="s">
        <v>12</v>
      </c>
      <c r="G399" t="s">
        <v>4927</v>
      </c>
      <c r="H399">
        <v>1</v>
      </c>
      <c r="I399">
        <v>1</v>
      </c>
      <c r="J399">
        <v>0</v>
      </c>
      <c r="K399">
        <v>0</v>
      </c>
      <c r="L399">
        <v>0</v>
      </c>
    </row>
    <row r="400" spans="1:12">
      <c r="A400" t="str">
        <f>HYPERLINK("http://bombeiros.sp.gov.br/hidrantes/03individual/2949.html","2949")</f>
        <v>2949</v>
      </c>
      <c r="B400" t="str">
        <f>HYPERLINK("http://bombeiros.sp.gov.br/hidrantes/08bsg/qrcodeBSG.html?id=2949&amp;lat=-23.53524&amp;long=-46.63912&amp;tipo=C","QRCODE")</f>
        <v>QRCODE</v>
      </c>
      <c r="C400" t="s">
        <v>5264</v>
      </c>
      <c r="D400" t="s">
        <v>264</v>
      </c>
      <c r="E400" t="s">
        <v>132</v>
      </c>
      <c r="F400" t="s">
        <v>12</v>
      </c>
      <c r="G400" t="s">
        <v>4858</v>
      </c>
      <c r="H400">
        <v>1</v>
      </c>
      <c r="I400">
        <v>1</v>
      </c>
      <c r="J400">
        <v>0</v>
      </c>
      <c r="K400">
        <v>0</v>
      </c>
      <c r="L400">
        <v>0</v>
      </c>
    </row>
    <row r="401" spans="1:12">
      <c r="A401" t="str">
        <f>HYPERLINK("http://bombeiros.sp.gov.br/hidrantes/03individual/14991.html","14991")</f>
        <v>14991</v>
      </c>
      <c r="B401" t="str">
        <f>HYPERLINK("http://bombeiros.sp.gov.br/hidrantes/08bsg/qrcodeBSG.html?id=14991&amp;lat=-23.53580&amp;long=-46.64115&amp;tipo=C","QRCODE")</f>
        <v>QRCODE</v>
      </c>
      <c r="C401" t="s">
        <v>5264</v>
      </c>
      <c r="D401" t="s">
        <v>264</v>
      </c>
      <c r="E401" t="s">
        <v>132</v>
      </c>
      <c r="F401" t="s">
        <v>12</v>
      </c>
      <c r="G401" t="s">
        <v>3421</v>
      </c>
      <c r="H401">
        <v>1</v>
      </c>
      <c r="I401">
        <v>2</v>
      </c>
      <c r="J401">
        <v>0</v>
      </c>
      <c r="K401">
        <v>0</v>
      </c>
      <c r="L401">
        <v>0</v>
      </c>
    </row>
    <row r="402" spans="1:12">
      <c r="A402" t="str">
        <f>HYPERLINK("http://bombeiros.sp.gov.br/hidrantes/03individual/26676.html","26676")</f>
        <v>26676</v>
      </c>
      <c r="B402" t="str">
        <f>HYPERLINK("http://bombeiros.sp.gov.br/hidrantes/08bsg/qrcodeBSG.html?id=26676&amp;lat=-23.53968&amp;long=-46.63970&amp;tipo=C","QRCODE")</f>
        <v>QRCODE</v>
      </c>
      <c r="C402" t="s">
        <v>5264</v>
      </c>
      <c r="D402" t="s">
        <v>264</v>
      </c>
      <c r="E402" t="s">
        <v>132</v>
      </c>
      <c r="F402" t="s">
        <v>12</v>
      </c>
      <c r="G402" t="s">
        <v>3419</v>
      </c>
      <c r="H402">
        <v>0</v>
      </c>
      <c r="I402">
        <v>2</v>
      </c>
      <c r="J402">
        <v>0</v>
      </c>
      <c r="K402">
        <v>0</v>
      </c>
      <c r="L402">
        <v>0</v>
      </c>
    </row>
    <row r="403" spans="1:12">
      <c r="A403" t="str">
        <f>HYPERLINK("http://bombeiros.sp.gov.br/hidrantes/03individual/27144.html","27144")</f>
        <v>27144</v>
      </c>
      <c r="B403" t="str">
        <f>HYPERLINK("http://bombeiros.sp.gov.br/hidrantes/08bsg/qrcodeBSG.html?id=27144&amp;lat=-23.54148&amp;long=-46.63902&amp;tipo=C","QRCODE")</f>
        <v>QRCODE</v>
      </c>
      <c r="C403" t="s">
        <v>5264</v>
      </c>
      <c r="D403" t="s">
        <v>264</v>
      </c>
      <c r="E403" t="s">
        <v>132</v>
      </c>
      <c r="F403" t="s">
        <v>12</v>
      </c>
      <c r="G403" t="s">
        <v>2444</v>
      </c>
      <c r="H403">
        <v>0</v>
      </c>
      <c r="I403">
        <v>2</v>
      </c>
      <c r="J403">
        <v>0</v>
      </c>
      <c r="K403">
        <v>0</v>
      </c>
      <c r="L403">
        <v>0</v>
      </c>
    </row>
    <row r="404" spans="1:12">
      <c r="A404" t="str">
        <f>HYPERLINK("http://bombeiros.sp.gov.br/hidrantes/03individual/527.html","527")</f>
        <v>527</v>
      </c>
      <c r="B404" t="str">
        <f>HYPERLINK("http://bombeiros.sp.gov.br/hidrantes/08bsg/qrcodeBSG.html?id=527&amp;lat=-23.54248&amp;long=-46.63786&amp;tipo=S","QRCODE")</f>
        <v>QRCODE</v>
      </c>
      <c r="C404" t="s">
        <v>5264</v>
      </c>
      <c r="D404" t="s">
        <v>264</v>
      </c>
      <c r="E404" t="s">
        <v>132</v>
      </c>
      <c r="F404" t="s">
        <v>21</v>
      </c>
      <c r="G404" t="s">
        <v>5065</v>
      </c>
      <c r="H404">
        <v>1</v>
      </c>
      <c r="I404">
        <v>1</v>
      </c>
      <c r="J404">
        <v>0</v>
      </c>
      <c r="K404">
        <v>0</v>
      </c>
      <c r="L404">
        <v>0</v>
      </c>
    </row>
    <row r="405" spans="1:12">
      <c r="A405" t="str">
        <f>HYPERLINK("http://bombeiros.sp.gov.br/hidrantes/03individual/528.html","528")</f>
        <v>528</v>
      </c>
      <c r="B405" t="str">
        <f>HYPERLINK("http://bombeiros.sp.gov.br/hidrantes/08bsg/qrcodeBSG.html?id=528&amp;lat=-23.54269&amp;long=-46.63846&amp;tipo=S","QRCODE")</f>
        <v>QRCODE</v>
      </c>
      <c r="C405" t="s">
        <v>5264</v>
      </c>
      <c r="D405" t="s">
        <v>264</v>
      </c>
      <c r="E405" t="s">
        <v>132</v>
      </c>
      <c r="F405" t="s">
        <v>21</v>
      </c>
      <c r="G405" t="s">
        <v>3465</v>
      </c>
      <c r="H405">
        <v>1</v>
      </c>
      <c r="I405">
        <v>1</v>
      </c>
      <c r="J405">
        <v>0</v>
      </c>
      <c r="K405">
        <v>0</v>
      </c>
      <c r="L405">
        <v>0</v>
      </c>
    </row>
    <row r="406" spans="1:12">
      <c r="A406" t="str">
        <f>HYPERLINK("http://bombeiros.sp.gov.br/hidrantes/03individual/557.html","557")</f>
        <v>557</v>
      </c>
      <c r="B406" t="str">
        <f>HYPERLINK("http://bombeiros.sp.gov.br/hidrantes/08bsg/qrcodeBSG.html?id=557&amp;lat=-23.53831&amp;long=-46.64466&amp;tipo=S","QRCODE")</f>
        <v>QRCODE</v>
      </c>
      <c r="C406" t="s">
        <v>5264</v>
      </c>
      <c r="D406" t="s">
        <v>264</v>
      </c>
      <c r="E406" t="s">
        <v>132</v>
      </c>
      <c r="F406" t="s">
        <v>21</v>
      </c>
      <c r="G406" t="s">
        <v>1041</v>
      </c>
      <c r="H406">
        <v>1</v>
      </c>
      <c r="I406">
        <v>2</v>
      </c>
      <c r="J406">
        <v>0</v>
      </c>
      <c r="K406">
        <v>0</v>
      </c>
      <c r="L406">
        <v>0</v>
      </c>
    </row>
    <row r="407" spans="1:12">
      <c r="A407" t="str">
        <f>HYPERLINK("http://bombeiros.sp.gov.br/hidrantes/03individual/587.html","587")</f>
        <v>587</v>
      </c>
      <c r="B407" t="str">
        <f>HYPERLINK("http://bombeiros.sp.gov.br/hidrantes/08bsg/qrcodeBSG.html?id=587&amp;lat=-23.53972&amp;long=-46.63975&amp;tipo=S","QRCODE")</f>
        <v>QRCODE</v>
      </c>
      <c r="C407" t="s">
        <v>5264</v>
      </c>
      <c r="D407" t="s">
        <v>264</v>
      </c>
      <c r="E407" t="s">
        <v>132</v>
      </c>
      <c r="F407" t="s">
        <v>21</v>
      </c>
      <c r="G407" t="s">
        <v>5057</v>
      </c>
      <c r="H407">
        <v>3</v>
      </c>
      <c r="I407">
        <v>1</v>
      </c>
      <c r="J407">
        <v>0</v>
      </c>
      <c r="K407">
        <v>0</v>
      </c>
      <c r="L407">
        <v>0</v>
      </c>
    </row>
    <row r="408" spans="1:12">
      <c r="A408" t="str">
        <f>HYPERLINK("http://bombeiros.sp.gov.br/hidrantes/03individual/682.html","682")</f>
        <v>682</v>
      </c>
      <c r="B408" t="str">
        <f>HYPERLINK("http://bombeiros.sp.gov.br/hidrantes/08bsg/qrcodeBSG.html?id=682&amp;lat=-23.53615&amp;long=-46.63816&amp;tipo=S","QRCODE")</f>
        <v>QRCODE</v>
      </c>
      <c r="C408" t="s">
        <v>5264</v>
      </c>
      <c r="D408" t="s">
        <v>264</v>
      </c>
      <c r="E408" t="s">
        <v>132</v>
      </c>
      <c r="F408" t="s">
        <v>21</v>
      </c>
      <c r="G408" t="s">
        <v>2531</v>
      </c>
      <c r="H408">
        <v>0</v>
      </c>
      <c r="I408">
        <v>2</v>
      </c>
      <c r="J408">
        <v>0</v>
      </c>
      <c r="K408">
        <v>0</v>
      </c>
      <c r="L408">
        <v>0</v>
      </c>
    </row>
    <row r="409" spans="1:12">
      <c r="A409" t="str">
        <f>HYPERLINK("http://bombeiros.sp.gov.br/hidrantes/03individual/733.html","733")</f>
        <v>733</v>
      </c>
      <c r="B409" t="str">
        <f>HYPERLINK("http://bombeiros.sp.gov.br/hidrantes/08bsg/qrcodeBSG.html?id=733&amp;lat=-23.53938&amp;long=-46.64169&amp;tipo=S","QRCODE")</f>
        <v>QRCODE</v>
      </c>
      <c r="C409" t="s">
        <v>5264</v>
      </c>
      <c r="D409" t="s">
        <v>264</v>
      </c>
      <c r="E409" t="s">
        <v>132</v>
      </c>
      <c r="F409" t="s">
        <v>21</v>
      </c>
      <c r="G409" t="s">
        <v>1043</v>
      </c>
      <c r="H409">
        <v>1</v>
      </c>
      <c r="I409">
        <v>2</v>
      </c>
      <c r="J409">
        <v>0</v>
      </c>
      <c r="K409">
        <v>0</v>
      </c>
      <c r="L409">
        <v>0</v>
      </c>
    </row>
    <row r="410" spans="1:12">
      <c r="A410" t="str">
        <f>HYPERLINK("http://bombeiros.sp.gov.br/hidrantes/03individual/734.html","734")</f>
        <v>734</v>
      </c>
      <c r="B410" t="str">
        <f>HYPERLINK("http://bombeiros.sp.gov.br/hidrantes/08bsg/qrcodeBSG.html?id=734&amp;lat=-23.53724&amp;long=-46.64156&amp;tipo=S","QRCODE")</f>
        <v>QRCODE</v>
      </c>
      <c r="C410" t="s">
        <v>5264</v>
      </c>
      <c r="D410" t="s">
        <v>264</v>
      </c>
      <c r="E410" t="s">
        <v>132</v>
      </c>
      <c r="F410" t="s">
        <v>21</v>
      </c>
      <c r="G410" t="s">
        <v>5245</v>
      </c>
      <c r="H410">
        <v>1</v>
      </c>
      <c r="I410">
        <v>0</v>
      </c>
      <c r="J410">
        <v>0</v>
      </c>
      <c r="K410">
        <v>0</v>
      </c>
      <c r="L410">
        <v>0</v>
      </c>
    </row>
    <row r="411" spans="1:12">
      <c r="A411" t="str">
        <f>HYPERLINK("http://bombeiros.sp.gov.br/hidrantes/03individual/737.html","737")</f>
        <v>737</v>
      </c>
      <c r="B411" t="str">
        <f>HYPERLINK("http://bombeiros.sp.gov.br/hidrantes/08bsg/qrcodeBSG.html?id=737&amp;lat=-23.54188&amp;long=-46.64120&amp;tipo=S","QRCODE")</f>
        <v>QRCODE</v>
      </c>
      <c r="C411" t="s">
        <v>5264</v>
      </c>
      <c r="D411" t="s">
        <v>264</v>
      </c>
      <c r="E411" t="s">
        <v>132</v>
      </c>
      <c r="F411" t="s">
        <v>21</v>
      </c>
      <c r="G411" t="s">
        <v>131</v>
      </c>
      <c r="H411">
        <v>1</v>
      </c>
      <c r="I411">
        <v>3</v>
      </c>
      <c r="J411">
        <v>0</v>
      </c>
      <c r="K411">
        <v>0</v>
      </c>
      <c r="L411">
        <v>0</v>
      </c>
    </row>
    <row r="412" spans="1:12">
      <c r="A412" t="str">
        <f>HYPERLINK("http://bombeiros.sp.gov.br/hidrantes/03individual/890.html","890")</f>
        <v>890</v>
      </c>
      <c r="B412" t="str">
        <f>HYPERLINK("http://bombeiros.sp.gov.br/hidrantes/08bsg/qrcodeBSG.html?id=890&amp;lat=-23.53737&amp;long=-46.64009&amp;tipo=S","QRCODE")</f>
        <v>QRCODE</v>
      </c>
      <c r="C412" t="s">
        <v>5264</v>
      </c>
      <c r="D412" t="s">
        <v>264</v>
      </c>
      <c r="E412" t="s">
        <v>132</v>
      </c>
      <c r="F412" t="s">
        <v>21</v>
      </c>
      <c r="G412" t="s">
        <v>3572</v>
      </c>
      <c r="H412">
        <v>1</v>
      </c>
      <c r="I412">
        <v>1</v>
      </c>
      <c r="J412">
        <v>0</v>
      </c>
      <c r="K412">
        <v>0</v>
      </c>
      <c r="L412">
        <v>0</v>
      </c>
    </row>
    <row r="413" spans="1:12">
      <c r="A413" t="str">
        <f>HYPERLINK("http://bombeiros.sp.gov.br/hidrantes/03individual/2658.html","2658")</f>
        <v>2658</v>
      </c>
      <c r="B413" t="str">
        <f>HYPERLINK("http://bombeiros.sp.gov.br/hidrantes/08bsg/qrcodeBSG.html?id=2658&amp;lat=-23.53899&amp;long=-46.63481&amp;tipo=S","QRCODE")</f>
        <v>QRCODE</v>
      </c>
      <c r="C413" t="s">
        <v>5264</v>
      </c>
      <c r="D413" t="s">
        <v>264</v>
      </c>
      <c r="E413" t="s">
        <v>132</v>
      </c>
      <c r="F413" t="s">
        <v>21</v>
      </c>
      <c r="G413" t="s">
        <v>907</v>
      </c>
      <c r="H413">
        <v>1</v>
      </c>
      <c r="I413">
        <v>2</v>
      </c>
      <c r="J413">
        <v>0</v>
      </c>
      <c r="K413">
        <v>0</v>
      </c>
      <c r="L413">
        <v>0</v>
      </c>
    </row>
    <row r="414" spans="1:12">
      <c r="A414" t="str">
        <f>HYPERLINK("http://bombeiros.sp.gov.br/hidrantes/03individual/2831.html","2831")</f>
        <v>2831</v>
      </c>
      <c r="B414" t="str">
        <f>HYPERLINK("http://bombeiros.sp.gov.br/hidrantes/08bsg/qrcodeBSG.html?id=2831&amp;lat=-23.54101&amp;long=-46.63633&amp;tipo=S","QRCODE")</f>
        <v>QRCODE</v>
      </c>
      <c r="C414" t="s">
        <v>5264</v>
      </c>
      <c r="D414" t="s">
        <v>264</v>
      </c>
      <c r="E414" t="s">
        <v>132</v>
      </c>
      <c r="F414" t="s">
        <v>21</v>
      </c>
      <c r="G414" t="s">
        <v>1879</v>
      </c>
      <c r="H414">
        <v>0</v>
      </c>
      <c r="I414">
        <v>2</v>
      </c>
      <c r="J414">
        <v>0</v>
      </c>
      <c r="K414">
        <v>0</v>
      </c>
      <c r="L414">
        <v>0</v>
      </c>
    </row>
    <row r="415" spans="1:12">
      <c r="A415" t="str">
        <f>HYPERLINK("http://bombeiros.sp.gov.br/hidrantes/03individual/2837.html","2837")</f>
        <v>2837</v>
      </c>
      <c r="B415" t="str">
        <f>HYPERLINK("http://bombeiros.sp.gov.br/hidrantes/08bsg/qrcodeBSG.html?id=2837&amp;lat=-23.54170&amp;long=-46.63930&amp;tipo=S","QRCODE")</f>
        <v>QRCODE</v>
      </c>
      <c r="C415" t="s">
        <v>5264</v>
      </c>
      <c r="D415" t="s">
        <v>264</v>
      </c>
      <c r="E415" t="s">
        <v>132</v>
      </c>
      <c r="F415" t="s">
        <v>21</v>
      </c>
      <c r="G415" t="s">
        <v>5034</v>
      </c>
      <c r="H415">
        <v>0</v>
      </c>
      <c r="I415">
        <v>1</v>
      </c>
      <c r="J415">
        <v>0</v>
      </c>
      <c r="K415">
        <v>0</v>
      </c>
      <c r="L415">
        <v>0</v>
      </c>
    </row>
    <row r="416" spans="1:12">
      <c r="A416" t="str">
        <f>HYPERLINK("http://bombeiros.sp.gov.br/hidrantes/03individual/2839.html","2839")</f>
        <v>2839</v>
      </c>
      <c r="B416" t="str">
        <f>HYPERLINK("http://bombeiros.sp.gov.br/hidrantes/08bsg/qrcodeBSG.html?id=2839&amp;lat=-23.54095&amp;long=-46.63885&amp;tipo=S","QRCODE")</f>
        <v>QRCODE</v>
      </c>
      <c r="C416" t="s">
        <v>5264</v>
      </c>
      <c r="D416" t="s">
        <v>264</v>
      </c>
      <c r="E416" t="s">
        <v>132</v>
      </c>
      <c r="F416" t="s">
        <v>21</v>
      </c>
      <c r="G416" t="s">
        <v>287</v>
      </c>
      <c r="H416">
        <v>0</v>
      </c>
      <c r="I416">
        <v>2</v>
      </c>
      <c r="J416">
        <v>0</v>
      </c>
      <c r="K416">
        <v>0</v>
      </c>
      <c r="L416">
        <v>0</v>
      </c>
    </row>
    <row r="417" spans="1:12">
      <c r="A417" t="str">
        <f>HYPERLINK("http://bombeiros.sp.gov.br/hidrantes/03individual/2863.html","2863")</f>
        <v>2863</v>
      </c>
      <c r="B417" t="str">
        <f>HYPERLINK("http://bombeiros.sp.gov.br/hidrantes/08bsg/qrcodeBSG.html?id=2863&amp;lat=-23.53912&amp;long=-46.64270&amp;tipo=S","QRCODE")</f>
        <v>QRCODE</v>
      </c>
      <c r="C417" t="s">
        <v>5264</v>
      </c>
      <c r="D417" t="s">
        <v>264</v>
      </c>
      <c r="E417" t="s">
        <v>132</v>
      </c>
      <c r="F417" t="s">
        <v>21</v>
      </c>
      <c r="G417" t="s">
        <v>2436</v>
      </c>
      <c r="H417">
        <v>3</v>
      </c>
      <c r="I417">
        <v>2</v>
      </c>
      <c r="J417">
        <v>0</v>
      </c>
      <c r="K417">
        <v>0</v>
      </c>
      <c r="L417">
        <v>0</v>
      </c>
    </row>
    <row r="418" spans="1:12">
      <c r="A418" t="str">
        <f>HYPERLINK("http://bombeiros.sp.gov.br/hidrantes/03individual/2864.html","2864")</f>
        <v>2864</v>
      </c>
      <c r="B418" t="str">
        <f>HYPERLINK("http://bombeiros.sp.gov.br/hidrantes/08bsg/qrcodeBSG.html?id=2864&amp;lat=-23.53845&amp;long=-46.64318&amp;tipo=S","QRCODE")</f>
        <v>QRCODE</v>
      </c>
      <c r="C418" t="s">
        <v>5264</v>
      </c>
      <c r="D418" t="s">
        <v>264</v>
      </c>
      <c r="E418" t="s">
        <v>132</v>
      </c>
      <c r="F418" t="s">
        <v>21</v>
      </c>
      <c r="G418" t="s">
        <v>3615</v>
      </c>
      <c r="H418">
        <v>1</v>
      </c>
      <c r="I418">
        <v>1</v>
      </c>
      <c r="J418">
        <v>0</v>
      </c>
      <c r="K418">
        <v>0</v>
      </c>
      <c r="L418">
        <v>0</v>
      </c>
    </row>
    <row r="419" spans="1:12">
      <c r="A419" t="str">
        <f>HYPERLINK("http://bombeiros.sp.gov.br/hidrantes/03individual/2903.html","2903")</f>
        <v>2903</v>
      </c>
      <c r="B419" t="str">
        <f>HYPERLINK("http://bombeiros.sp.gov.br/hidrantes/08bsg/qrcodeBSG.html?id=2903&amp;lat=-23.53814&amp;long=-46.64263&amp;tipo=S","QRCODE")</f>
        <v>QRCODE</v>
      </c>
      <c r="C419" t="s">
        <v>5264</v>
      </c>
      <c r="D419" t="s">
        <v>264</v>
      </c>
      <c r="E419" t="s">
        <v>132</v>
      </c>
      <c r="F419" t="s">
        <v>21</v>
      </c>
      <c r="G419" t="s">
        <v>3628</v>
      </c>
      <c r="H419">
        <v>1</v>
      </c>
      <c r="I419">
        <v>1</v>
      </c>
      <c r="J419">
        <v>0</v>
      </c>
      <c r="K419">
        <v>0</v>
      </c>
      <c r="L419">
        <v>0</v>
      </c>
    </row>
    <row r="420" spans="1:12">
      <c r="A420" t="str">
        <f>HYPERLINK("http://bombeiros.sp.gov.br/hidrantes/03individual/2909.html","2909")</f>
        <v>2909</v>
      </c>
      <c r="B420" t="str">
        <f>HYPERLINK("http://bombeiros.sp.gov.br/hidrantes/08bsg/qrcodeBSG.html?id=2909&amp;lat=-23.53598&amp;long=-46.63973&amp;tipo=S","QRCODE")</f>
        <v>QRCODE</v>
      </c>
      <c r="C420" t="s">
        <v>5264</v>
      </c>
      <c r="D420" t="s">
        <v>264</v>
      </c>
      <c r="E420" t="s">
        <v>132</v>
      </c>
      <c r="F420" t="s">
        <v>21</v>
      </c>
      <c r="G420" t="s">
        <v>2574</v>
      </c>
      <c r="H420">
        <v>0</v>
      </c>
      <c r="I420">
        <v>2</v>
      </c>
      <c r="J420">
        <v>0</v>
      </c>
      <c r="K420">
        <v>0</v>
      </c>
      <c r="L420">
        <v>0</v>
      </c>
    </row>
    <row r="421" spans="1:12">
      <c r="A421" t="str">
        <f>HYPERLINK("http://bombeiros.sp.gov.br/hidrantes/03individual/2931.html","2931")</f>
        <v>2931</v>
      </c>
      <c r="B421" t="str">
        <f>HYPERLINK("http://bombeiros.sp.gov.br/hidrantes/08bsg/qrcodeBSG.html?id=2931&amp;lat=-23.54118&amp;long=-46.63542&amp;tipo=S","QRCODE")</f>
        <v>QRCODE</v>
      </c>
      <c r="C421" t="s">
        <v>5264</v>
      </c>
      <c r="D421" t="s">
        <v>264</v>
      </c>
      <c r="E421" t="s">
        <v>132</v>
      </c>
      <c r="F421" t="s">
        <v>21</v>
      </c>
      <c r="G421" t="s">
        <v>5082</v>
      </c>
      <c r="H421">
        <v>0</v>
      </c>
      <c r="I421">
        <v>1</v>
      </c>
      <c r="J421">
        <v>0</v>
      </c>
      <c r="K421">
        <v>0</v>
      </c>
      <c r="L421">
        <v>0</v>
      </c>
    </row>
    <row r="422" spans="1:12">
      <c r="A422" t="str">
        <f>HYPERLINK("http://bombeiros.sp.gov.br/hidrantes/03individual/2934.html","2934")</f>
        <v>2934</v>
      </c>
      <c r="B422" t="str">
        <f>HYPERLINK("http://bombeiros.sp.gov.br/hidrantes/08bsg/qrcodeBSG.html?id=2934&amp;lat=-23.54218&amp;long=-46.64047&amp;tipo=S","QRCODE")</f>
        <v>QRCODE</v>
      </c>
      <c r="C422" t="s">
        <v>5264</v>
      </c>
      <c r="D422" t="s">
        <v>264</v>
      </c>
      <c r="E422" t="s">
        <v>132</v>
      </c>
      <c r="F422" t="s">
        <v>21</v>
      </c>
      <c r="G422" t="s">
        <v>1871</v>
      </c>
      <c r="H422">
        <v>0</v>
      </c>
      <c r="I422">
        <v>2</v>
      </c>
      <c r="J422">
        <v>0</v>
      </c>
      <c r="K422">
        <v>0</v>
      </c>
      <c r="L422">
        <v>0</v>
      </c>
    </row>
    <row r="423" spans="1:12">
      <c r="A423" t="str">
        <f>HYPERLINK("http://bombeiros.sp.gov.br/hidrantes/03individual/2947.html","2947")</f>
        <v>2947</v>
      </c>
      <c r="B423" t="str">
        <f>HYPERLINK("http://bombeiros.sp.gov.br/hidrantes/08bsg/qrcodeBSG.html?id=2947&amp;lat=-23.53652&amp;long=-46.63414&amp;tipo=S","QRCODE")</f>
        <v>QRCODE</v>
      </c>
      <c r="C423" t="s">
        <v>5264</v>
      </c>
      <c r="D423" t="s">
        <v>264</v>
      </c>
      <c r="E423" t="s">
        <v>132</v>
      </c>
      <c r="F423" t="s">
        <v>21</v>
      </c>
      <c r="G423" t="s">
        <v>2430</v>
      </c>
      <c r="H423">
        <v>0</v>
      </c>
      <c r="I423">
        <v>2</v>
      </c>
      <c r="J423">
        <v>0</v>
      </c>
      <c r="K423">
        <v>0</v>
      </c>
      <c r="L423">
        <v>0</v>
      </c>
    </row>
    <row r="424" spans="1:12">
      <c r="A424" t="str">
        <f>HYPERLINK("http://bombeiros.sp.gov.br/hidrantes/03individual/16634.html","16634")</f>
        <v>16634</v>
      </c>
      <c r="B424" t="str">
        <f>HYPERLINK("http://bombeiros.sp.gov.br/hidrantes/08bsg/qrcodeBSG.html?id=16634&amp;lat=-23.54283&amp;long=-46.63653&amp;tipo=S","QRCODE")</f>
        <v>QRCODE</v>
      </c>
      <c r="C424" t="s">
        <v>5264</v>
      </c>
      <c r="D424" t="s">
        <v>264</v>
      </c>
      <c r="E424" t="s">
        <v>132</v>
      </c>
      <c r="F424" t="s">
        <v>21</v>
      </c>
      <c r="G424" t="s">
        <v>3513</v>
      </c>
      <c r="H424">
        <v>1</v>
      </c>
      <c r="I424">
        <v>1</v>
      </c>
      <c r="J424">
        <v>0</v>
      </c>
      <c r="K424">
        <v>0</v>
      </c>
      <c r="L424">
        <v>0</v>
      </c>
    </row>
    <row r="425" spans="1:12">
      <c r="A425" t="str">
        <f>HYPERLINK("http://bombeiros.sp.gov.br/hidrantes/03individual/16635.html","16635")</f>
        <v>16635</v>
      </c>
      <c r="B425" t="str">
        <f>HYPERLINK("http://bombeiros.sp.gov.br/hidrantes/08bsg/qrcodeBSG.html?id=16635&amp;lat=-23.53886&amp;long=-46.64047&amp;tipo=S","QRCODE")</f>
        <v>QRCODE</v>
      </c>
      <c r="C425" t="s">
        <v>5264</v>
      </c>
      <c r="D425" t="s">
        <v>264</v>
      </c>
      <c r="E425" t="s">
        <v>132</v>
      </c>
      <c r="F425" t="s">
        <v>21</v>
      </c>
      <c r="G425" t="s">
        <v>2590</v>
      </c>
      <c r="H425">
        <v>0</v>
      </c>
      <c r="I425">
        <v>2</v>
      </c>
      <c r="J425">
        <v>0</v>
      </c>
      <c r="K425">
        <v>0</v>
      </c>
      <c r="L425">
        <v>0</v>
      </c>
    </row>
    <row r="426" spans="1:12">
      <c r="A426" t="str">
        <f>HYPERLINK("http://bombeiros.sp.gov.br/hidrantes/03individual/17717.html","17717")</f>
        <v>17717</v>
      </c>
      <c r="B426" t="str">
        <f>HYPERLINK("http://bombeiros.sp.gov.br/hidrantes/08bsg/qrcodeBSG.html?id=17717&amp;lat=-23.53987&amp;long=-46.64241&amp;tipo=S","QRCODE")</f>
        <v>QRCODE</v>
      </c>
      <c r="C426" t="s">
        <v>5264</v>
      </c>
      <c r="D426" t="s">
        <v>264</v>
      </c>
      <c r="E426" t="s">
        <v>132</v>
      </c>
      <c r="F426" t="s">
        <v>21</v>
      </c>
      <c r="G426" t="s">
        <v>3647</v>
      </c>
      <c r="H426">
        <v>1</v>
      </c>
      <c r="I426">
        <v>1</v>
      </c>
      <c r="J426">
        <v>0</v>
      </c>
      <c r="K426">
        <v>0</v>
      </c>
      <c r="L426">
        <v>0</v>
      </c>
    </row>
    <row r="427" spans="1:12">
      <c r="A427" t="str">
        <f>HYPERLINK("http://bombeiros.sp.gov.br/hidrantes/03individual/23060.html","23060")</f>
        <v>23060</v>
      </c>
      <c r="B427" t="str">
        <f>HYPERLINK("http://bombeiros.sp.gov.br/hidrantes/08bsg/qrcodeBSG.html?id=23060&amp;lat=-23.53920&amp;long=-46.63411&amp;tipo=S","QRCODE")</f>
        <v>QRCODE</v>
      </c>
      <c r="C427" t="s">
        <v>5264</v>
      </c>
      <c r="D427" t="s">
        <v>264</v>
      </c>
      <c r="E427" t="s">
        <v>132</v>
      </c>
      <c r="F427" t="s">
        <v>21</v>
      </c>
      <c r="G427" t="s">
        <v>4891</v>
      </c>
      <c r="H427">
        <v>1</v>
      </c>
      <c r="I427">
        <v>1</v>
      </c>
      <c r="J427">
        <v>0</v>
      </c>
      <c r="K427">
        <v>0</v>
      </c>
      <c r="L427">
        <v>0</v>
      </c>
    </row>
    <row r="428" spans="1:12">
      <c r="A428" t="str">
        <f>HYPERLINK("http://bombeiros.sp.gov.br/hidrantes/03individual/793.html","793")</f>
        <v>793</v>
      </c>
      <c r="B428" t="str">
        <f>HYPERLINK("http://bombeiros.sp.gov.br/hidrantes/08bsg/qrcodeBSG.html?id=793&amp;lat=-23.52966&amp;long=-46.65648&amp;tipo=C","QRCODE")</f>
        <v>QRCODE</v>
      </c>
      <c r="C428" t="s">
        <v>5264</v>
      </c>
      <c r="D428" t="s">
        <v>519</v>
      </c>
      <c r="E428" t="s">
        <v>682</v>
      </c>
      <c r="F428" t="s">
        <v>12</v>
      </c>
      <c r="G428" t="s">
        <v>2433</v>
      </c>
      <c r="H428">
        <v>2</v>
      </c>
      <c r="I428">
        <v>1</v>
      </c>
      <c r="J428">
        <v>0</v>
      </c>
      <c r="K428">
        <v>0</v>
      </c>
      <c r="L428">
        <v>0</v>
      </c>
    </row>
    <row r="429" spans="1:12">
      <c r="A429" t="str">
        <f>HYPERLINK("http://bombeiros.sp.gov.br/hidrantes/03individual/2885.html","2885")</f>
        <v>2885</v>
      </c>
      <c r="B429" t="str">
        <f>HYPERLINK("http://bombeiros.sp.gov.br/hidrantes/08bsg/qrcodeBSG.html?id=2885&amp;lat=-23.53104&amp;long=-46.65795&amp;tipo=C","QRCODE")</f>
        <v>QRCODE</v>
      </c>
      <c r="C429" t="s">
        <v>5264</v>
      </c>
      <c r="D429" t="s">
        <v>519</v>
      </c>
      <c r="E429" t="s">
        <v>682</v>
      </c>
      <c r="F429" t="s">
        <v>12</v>
      </c>
      <c r="G429" t="s">
        <v>1353</v>
      </c>
      <c r="H429">
        <v>1</v>
      </c>
      <c r="I429">
        <v>2</v>
      </c>
      <c r="J429">
        <v>0</v>
      </c>
      <c r="K429">
        <v>0</v>
      </c>
      <c r="L429">
        <v>0</v>
      </c>
    </row>
    <row r="430" spans="1:12">
      <c r="A430" t="str">
        <f>HYPERLINK("http://bombeiros.sp.gov.br/hidrantes/03individual/2919.html","2919")</f>
        <v>2919</v>
      </c>
      <c r="B430" t="str">
        <f>HYPERLINK("http://bombeiros.sp.gov.br/hidrantes/08bsg/qrcodeBSG.html?id=2919&amp;lat=-23.53303&amp;long=-46.65634&amp;tipo=C","QRCODE")</f>
        <v>QRCODE</v>
      </c>
      <c r="C430" t="s">
        <v>5264</v>
      </c>
      <c r="D430" t="s">
        <v>519</v>
      </c>
      <c r="E430" t="s">
        <v>682</v>
      </c>
      <c r="F430" t="s">
        <v>12</v>
      </c>
      <c r="G430" t="s">
        <v>1355</v>
      </c>
      <c r="H430">
        <v>1</v>
      </c>
      <c r="I430">
        <v>3</v>
      </c>
      <c r="J430">
        <v>0</v>
      </c>
      <c r="K430">
        <v>0</v>
      </c>
      <c r="L430">
        <v>0</v>
      </c>
    </row>
    <row r="431" spans="1:12">
      <c r="A431" t="str">
        <f>HYPERLINK("http://bombeiros.sp.gov.br/hidrantes/03individual/2920.html","2920")</f>
        <v>2920</v>
      </c>
      <c r="B431" t="str">
        <f>HYPERLINK("http://bombeiros.sp.gov.br/hidrantes/08bsg/qrcodeBSG.html?id=2920&amp;lat=-23.53349&amp;long=-46.65563&amp;tipo=C","QRCODE")</f>
        <v>QRCODE</v>
      </c>
      <c r="C431" t="s">
        <v>5264</v>
      </c>
      <c r="D431" t="s">
        <v>519</v>
      </c>
      <c r="E431" t="s">
        <v>682</v>
      </c>
      <c r="F431" t="s">
        <v>12</v>
      </c>
      <c r="G431" t="s">
        <v>3404</v>
      </c>
      <c r="H431">
        <v>1</v>
      </c>
      <c r="I431">
        <v>2</v>
      </c>
      <c r="J431">
        <v>0</v>
      </c>
      <c r="K431">
        <v>0</v>
      </c>
      <c r="L431">
        <v>0</v>
      </c>
    </row>
    <row r="432" spans="1:12">
      <c r="A432" t="str">
        <f>HYPERLINK("http://bombeiros.sp.gov.br/hidrantes/03individual/2921.html","2921")</f>
        <v>2921</v>
      </c>
      <c r="B432" t="str">
        <f>HYPERLINK("http://bombeiros.sp.gov.br/hidrantes/08bsg/qrcodeBSG.html?id=2921&amp;lat=-23.53397&amp;long=-46.65589&amp;tipo=C","QRCODE")</f>
        <v>QRCODE</v>
      </c>
      <c r="C432" t="s">
        <v>5264</v>
      </c>
      <c r="D432" t="s">
        <v>519</v>
      </c>
      <c r="E432" t="s">
        <v>682</v>
      </c>
      <c r="F432" t="s">
        <v>12</v>
      </c>
      <c r="G432" t="s">
        <v>2185</v>
      </c>
      <c r="H432">
        <v>1</v>
      </c>
      <c r="I432">
        <v>3</v>
      </c>
      <c r="J432">
        <v>0</v>
      </c>
      <c r="K432">
        <v>0</v>
      </c>
      <c r="L432">
        <v>0</v>
      </c>
    </row>
    <row r="433" spans="1:12">
      <c r="A433" t="str">
        <f>HYPERLINK("http://bombeiros.sp.gov.br/hidrantes/03individual/251.html","251")</f>
        <v>251</v>
      </c>
      <c r="B433" t="str">
        <f>HYPERLINK("http://bombeiros.sp.gov.br/hidrantes/08bsg/qrcodeBSG.html?id=251&amp;lat=-23.53211&amp;long=-46.66013&amp;tipo=S","QRCODE")</f>
        <v>QRCODE</v>
      </c>
      <c r="C433" t="s">
        <v>5264</v>
      </c>
      <c r="D433" t="s">
        <v>519</v>
      </c>
      <c r="E433" t="s">
        <v>682</v>
      </c>
      <c r="F433" t="s">
        <v>21</v>
      </c>
      <c r="G433" t="s">
        <v>2255</v>
      </c>
      <c r="H433">
        <v>2</v>
      </c>
      <c r="I433">
        <v>2</v>
      </c>
      <c r="J433">
        <v>0</v>
      </c>
      <c r="K433">
        <v>0</v>
      </c>
      <c r="L433">
        <v>0</v>
      </c>
    </row>
    <row r="434" spans="1:12">
      <c r="A434" t="str">
        <f>HYPERLINK("http://bombeiros.sp.gov.br/hidrantes/03individual/521.html","521")</f>
        <v>521</v>
      </c>
      <c r="B434" t="str">
        <f>HYPERLINK("http://bombeiros.sp.gov.br/hidrantes/08bsg/qrcodeBSG.html?id=521&amp;lat=-23.53524&amp;long=-46.65935&amp;tipo=S","QRCODE")</f>
        <v>QRCODE</v>
      </c>
      <c r="C434" t="s">
        <v>5264</v>
      </c>
      <c r="D434" t="s">
        <v>519</v>
      </c>
      <c r="E434" t="s">
        <v>682</v>
      </c>
      <c r="F434" t="s">
        <v>21</v>
      </c>
      <c r="G434" t="s">
        <v>1428</v>
      </c>
      <c r="H434">
        <v>1</v>
      </c>
      <c r="I434">
        <v>3</v>
      </c>
      <c r="J434">
        <v>0</v>
      </c>
      <c r="K434">
        <v>0</v>
      </c>
      <c r="L434">
        <v>0</v>
      </c>
    </row>
    <row r="435" spans="1:12">
      <c r="A435" t="str">
        <f>HYPERLINK("http://bombeiros.sp.gov.br/hidrantes/03individual/530.html","530")</f>
        <v>530</v>
      </c>
      <c r="B435" t="str">
        <f>HYPERLINK("http://bombeiros.sp.gov.br/hidrantes/08bsg/qrcodeBSG.html?id=530&amp;lat=-23.53911&amp;long=-46.65790&amp;tipo=S","QRCODE")</f>
        <v>QRCODE</v>
      </c>
      <c r="C435" t="s">
        <v>5264</v>
      </c>
      <c r="D435" t="s">
        <v>519</v>
      </c>
      <c r="E435" t="s">
        <v>682</v>
      </c>
      <c r="F435" t="s">
        <v>21</v>
      </c>
      <c r="G435" t="s">
        <v>1429</v>
      </c>
      <c r="H435">
        <v>1</v>
      </c>
      <c r="I435">
        <v>3</v>
      </c>
      <c r="J435">
        <v>0</v>
      </c>
      <c r="K435">
        <v>0</v>
      </c>
      <c r="L435">
        <v>0</v>
      </c>
    </row>
    <row r="436" spans="1:12">
      <c r="A436" t="str">
        <f>HYPERLINK("http://bombeiros.sp.gov.br/hidrantes/03individual/559.html","559")</f>
        <v>559</v>
      </c>
      <c r="B436" t="str">
        <f>HYPERLINK("http://bombeiros.sp.gov.br/hidrantes/08bsg/qrcodeBSG.html?id=559&amp;lat=-23.53464&amp;long=-46.65502&amp;tipo=S","QRCODE")</f>
        <v>QRCODE</v>
      </c>
      <c r="C436" t="s">
        <v>5264</v>
      </c>
      <c r="D436" t="s">
        <v>519</v>
      </c>
      <c r="E436" t="s">
        <v>682</v>
      </c>
      <c r="F436" t="s">
        <v>21</v>
      </c>
      <c r="G436" t="s">
        <v>1042</v>
      </c>
      <c r="H436">
        <v>2</v>
      </c>
      <c r="I436">
        <v>3</v>
      </c>
      <c r="J436">
        <v>0</v>
      </c>
      <c r="K436">
        <v>0</v>
      </c>
      <c r="L436">
        <v>0</v>
      </c>
    </row>
    <row r="437" spans="1:12">
      <c r="A437" t="str">
        <f>HYPERLINK("http://bombeiros.sp.gov.br/hidrantes/03individual/600.html","600")</f>
        <v>600</v>
      </c>
      <c r="B437" t="str">
        <f>HYPERLINK("http://bombeiros.sp.gov.br/hidrantes/08bsg/qrcodeBSG.html?id=600&amp;lat=-23.52980&amp;long=-46.65796&amp;tipo=S","QRCODE")</f>
        <v>QRCODE</v>
      </c>
      <c r="C437" t="s">
        <v>5264</v>
      </c>
      <c r="D437" t="s">
        <v>519</v>
      </c>
      <c r="E437" t="s">
        <v>682</v>
      </c>
      <c r="F437" t="s">
        <v>21</v>
      </c>
      <c r="G437" t="s">
        <v>1402</v>
      </c>
      <c r="H437">
        <v>0</v>
      </c>
      <c r="I437">
        <v>3</v>
      </c>
      <c r="J437">
        <v>0</v>
      </c>
      <c r="K437">
        <v>0</v>
      </c>
      <c r="L437">
        <v>0</v>
      </c>
    </row>
    <row r="438" spans="1:12">
      <c r="A438" t="str">
        <f>HYPERLINK("http://bombeiros.sp.gov.br/hidrantes/03individual/601.html","601")</f>
        <v>601</v>
      </c>
      <c r="B438" t="str">
        <f>HYPERLINK("http://bombeiros.sp.gov.br/hidrantes/08bsg/qrcodeBSG.html?id=601&amp;lat=-23.53121&amp;long=-46.65673&amp;tipo=S","QRCODE")</f>
        <v>QRCODE</v>
      </c>
      <c r="C438" t="s">
        <v>5264</v>
      </c>
      <c r="D438" t="s">
        <v>519</v>
      </c>
      <c r="E438" t="s">
        <v>682</v>
      </c>
      <c r="F438" t="s">
        <v>21</v>
      </c>
      <c r="G438" t="s">
        <v>1403</v>
      </c>
      <c r="H438">
        <v>2</v>
      </c>
      <c r="I438">
        <v>3</v>
      </c>
      <c r="J438">
        <v>0</v>
      </c>
      <c r="K438">
        <v>0</v>
      </c>
      <c r="L438">
        <v>0</v>
      </c>
    </row>
    <row r="439" spans="1:12">
      <c r="A439" t="str">
        <f>HYPERLINK("http://bombeiros.sp.gov.br/hidrantes/03individual/602.html","602")</f>
        <v>602</v>
      </c>
      <c r="B439" t="str">
        <f>HYPERLINK("http://bombeiros.sp.gov.br/hidrantes/08bsg/qrcodeBSG.html?id=602&amp;lat=-23.53194&amp;long=-46.65590&amp;tipo=S","QRCODE")</f>
        <v>QRCODE</v>
      </c>
      <c r="C439" t="s">
        <v>5264</v>
      </c>
      <c r="D439" t="s">
        <v>519</v>
      </c>
      <c r="E439" t="s">
        <v>682</v>
      </c>
      <c r="F439" t="s">
        <v>21</v>
      </c>
      <c r="G439" t="s">
        <v>1404</v>
      </c>
      <c r="H439">
        <v>1</v>
      </c>
      <c r="I439">
        <v>2</v>
      </c>
      <c r="J439">
        <v>0</v>
      </c>
      <c r="K439">
        <v>0</v>
      </c>
      <c r="L439">
        <v>0</v>
      </c>
    </row>
    <row r="440" spans="1:12">
      <c r="A440" t="str">
        <f>HYPERLINK("http://bombeiros.sp.gov.br/hidrantes/03individual/603.html","603")</f>
        <v>603</v>
      </c>
      <c r="B440" t="str">
        <f>HYPERLINK("http://bombeiros.sp.gov.br/hidrantes/08bsg/qrcodeBSG.html?id=603&amp;lat=-23.53317&amp;long=-46.65446&amp;tipo=S","QRCODE")</f>
        <v>QRCODE</v>
      </c>
      <c r="C440" t="s">
        <v>5264</v>
      </c>
      <c r="D440" t="s">
        <v>519</v>
      </c>
      <c r="E440" t="s">
        <v>682</v>
      </c>
      <c r="F440" t="s">
        <v>21</v>
      </c>
      <c r="G440" t="s">
        <v>1405</v>
      </c>
      <c r="H440">
        <v>2</v>
      </c>
      <c r="I440">
        <v>3</v>
      </c>
      <c r="J440">
        <v>0</v>
      </c>
      <c r="K440">
        <v>0</v>
      </c>
      <c r="L440">
        <v>0</v>
      </c>
    </row>
    <row r="441" spans="1:12">
      <c r="A441" t="str">
        <f>HYPERLINK("http://bombeiros.sp.gov.br/hidrantes/03individual/605.html","605")</f>
        <v>605</v>
      </c>
      <c r="B441" t="str">
        <f>HYPERLINK("http://bombeiros.sp.gov.br/hidrantes/08bsg/qrcodeBSG.html?id=605&amp;lat=-23.53045&amp;long=-46.65887&amp;tipo=S","QRCODE")</f>
        <v>QRCODE</v>
      </c>
      <c r="C441" t="s">
        <v>5264</v>
      </c>
      <c r="D441" t="s">
        <v>519</v>
      </c>
      <c r="E441" t="s">
        <v>682</v>
      </c>
      <c r="F441" t="s">
        <v>21</v>
      </c>
      <c r="G441" t="s">
        <v>789</v>
      </c>
      <c r="H441">
        <v>0</v>
      </c>
      <c r="I441">
        <v>2</v>
      </c>
      <c r="J441">
        <v>0</v>
      </c>
      <c r="K441">
        <v>0</v>
      </c>
      <c r="L441">
        <v>0</v>
      </c>
    </row>
    <row r="442" spans="1:12">
      <c r="A442" t="str">
        <f>HYPERLINK("http://bombeiros.sp.gov.br/hidrantes/03individual/606.html","606")</f>
        <v>606</v>
      </c>
      <c r="B442" t="str">
        <f>HYPERLINK("http://bombeiros.sp.gov.br/hidrantes/08bsg/qrcodeBSG.html?id=606&amp;lat=-23.52948&amp;long=-46.65280&amp;tipo=S","QRCODE")</f>
        <v>QRCODE</v>
      </c>
      <c r="C442" t="s">
        <v>5264</v>
      </c>
      <c r="D442" t="s">
        <v>519</v>
      </c>
      <c r="E442" t="s">
        <v>682</v>
      </c>
      <c r="F442" t="s">
        <v>21</v>
      </c>
      <c r="G442" t="s">
        <v>2858</v>
      </c>
      <c r="H442">
        <v>2</v>
      </c>
      <c r="I442">
        <v>2</v>
      </c>
      <c r="J442">
        <v>0</v>
      </c>
      <c r="K442">
        <v>0</v>
      </c>
      <c r="L442">
        <v>0</v>
      </c>
    </row>
    <row r="443" spans="1:12">
      <c r="A443" t="str">
        <f>HYPERLINK("http://bombeiros.sp.gov.br/hidrantes/03individual/610.html","610")</f>
        <v>610</v>
      </c>
      <c r="B443" t="str">
        <f>HYPERLINK("http://bombeiros.sp.gov.br/hidrantes/08bsg/qrcodeBSG.html?id=610&amp;lat=-23.52841&amp;long=-46.65290&amp;tipo=S","QRCODE")</f>
        <v>QRCODE</v>
      </c>
      <c r="C443" t="s">
        <v>5264</v>
      </c>
      <c r="D443" t="s">
        <v>519</v>
      </c>
      <c r="E443" t="s">
        <v>682</v>
      </c>
      <c r="F443" t="s">
        <v>21</v>
      </c>
      <c r="G443" t="s">
        <v>2237</v>
      </c>
      <c r="H443">
        <v>0</v>
      </c>
      <c r="I443">
        <v>2</v>
      </c>
      <c r="J443">
        <v>0</v>
      </c>
      <c r="K443">
        <v>0</v>
      </c>
      <c r="L443">
        <v>0</v>
      </c>
    </row>
    <row r="444" spans="1:12">
      <c r="A444" t="str">
        <f>HYPERLINK("http://bombeiros.sp.gov.br/hidrantes/03individual/654.html","654")</f>
        <v>654</v>
      </c>
      <c r="B444" t="str">
        <f>HYPERLINK("http://bombeiros.sp.gov.br/hidrantes/08bsg/qrcodeBSG.html?id=654&amp;lat=-23.53018&amp;long=-46.65541&amp;tipo=S","QRCODE")</f>
        <v>QRCODE</v>
      </c>
      <c r="C444" t="s">
        <v>5264</v>
      </c>
      <c r="D444" t="s">
        <v>519</v>
      </c>
      <c r="E444" t="s">
        <v>682</v>
      </c>
      <c r="F444" t="s">
        <v>21</v>
      </c>
      <c r="G444" t="s">
        <v>2842</v>
      </c>
      <c r="H444">
        <v>0</v>
      </c>
      <c r="I444">
        <v>2</v>
      </c>
      <c r="J444">
        <v>0</v>
      </c>
      <c r="K444">
        <v>0</v>
      </c>
      <c r="L444">
        <v>0</v>
      </c>
    </row>
    <row r="445" spans="1:12">
      <c r="A445" t="str">
        <f>HYPERLINK("http://bombeiros.sp.gov.br/hidrantes/03individual/686.html","686")</f>
        <v>686</v>
      </c>
      <c r="B445" t="str">
        <f>HYPERLINK("http://bombeiros.sp.gov.br/hidrantes/08bsg/qrcodeBSG.html?id=686&amp;lat=-23.53555&amp;long=-46.66187&amp;tipo=S","QRCODE")</f>
        <v>QRCODE</v>
      </c>
      <c r="C445" t="s">
        <v>5264</v>
      </c>
      <c r="D445" t="s">
        <v>519</v>
      </c>
      <c r="E445" t="s">
        <v>682</v>
      </c>
      <c r="F445" t="s">
        <v>21</v>
      </c>
      <c r="G445" t="s">
        <v>2242</v>
      </c>
      <c r="H445">
        <v>0</v>
      </c>
      <c r="I445">
        <v>2</v>
      </c>
      <c r="J445">
        <v>0</v>
      </c>
      <c r="K445">
        <v>0</v>
      </c>
      <c r="L445">
        <v>0</v>
      </c>
    </row>
    <row r="446" spans="1:12">
      <c r="A446" t="str">
        <f>HYPERLINK("http://bombeiros.sp.gov.br/hidrantes/03individual/699.html","699")</f>
        <v>699</v>
      </c>
      <c r="B446" t="str">
        <f>HYPERLINK("http://bombeiros.sp.gov.br/hidrantes/08bsg/qrcodeBSG.html?id=699&amp;lat=-23.52765&amp;long=-46.65700&amp;tipo=S","QRCODE")</f>
        <v>QRCODE</v>
      </c>
      <c r="C446" t="s">
        <v>5264</v>
      </c>
      <c r="D446" t="s">
        <v>519</v>
      </c>
      <c r="E446" t="s">
        <v>682</v>
      </c>
      <c r="F446" t="s">
        <v>21</v>
      </c>
      <c r="G446" t="s">
        <v>2846</v>
      </c>
      <c r="H446">
        <v>1</v>
      </c>
      <c r="I446">
        <v>2</v>
      </c>
      <c r="J446">
        <v>0</v>
      </c>
      <c r="K446">
        <v>0</v>
      </c>
      <c r="L446">
        <v>0</v>
      </c>
    </row>
    <row r="447" spans="1:12">
      <c r="A447" t="str">
        <f>HYPERLINK("http://bombeiros.sp.gov.br/hidrantes/03individual/740.html","740")</f>
        <v>740</v>
      </c>
      <c r="B447" t="str">
        <f>HYPERLINK("http://bombeiros.sp.gov.br/hidrantes/08bsg/qrcodeBSG.html?id=740&amp;lat=-23.53306&amp;long=-46.66059&amp;tipo=S","QRCODE")</f>
        <v>QRCODE</v>
      </c>
      <c r="C447" t="s">
        <v>5264</v>
      </c>
      <c r="D447" t="s">
        <v>519</v>
      </c>
      <c r="E447" t="s">
        <v>682</v>
      </c>
      <c r="F447" t="s">
        <v>21</v>
      </c>
      <c r="G447" t="s">
        <v>1422</v>
      </c>
      <c r="H447">
        <v>1</v>
      </c>
      <c r="I447">
        <v>3</v>
      </c>
      <c r="J447">
        <v>0</v>
      </c>
      <c r="K447">
        <v>0</v>
      </c>
      <c r="L447">
        <v>0</v>
      </c>
    </row>
    <row r="448" spans="1:12">
      <c r="A448" t="str">
        <f>HYPERLINK("http://bombeiros.sp.gov.br/hidrantes/03individual/809.html","809")</f>
        <v>809</v>
      </c>
      <c r="B448" t="str">
        <f>HYPERLINK("http://bombeiros.sp.gov.br/hidrantes/08bsg/qrcodeBSG.html?id=809&amp;lat=-23.53024&amp;long=-46.65359&amp;tipo=S","QRCODE")</f>
        <v>QRCODE</v>
      </c>
      <c r="C448" t="s">
        <v>5264</v>
      </c>
      <c r="D448" t="s">
        <v>519</v>
      </c>
      <c r="E448" t="s">
        <v>682</v>
      </c>
      <c r="F448" t="s">
        <v>21</v>
      </c>
      <c r="G448" t="s">
        <v>1047</v>
      </c>
      <c r="H448">
        <v>0</v>
      </c>
      <c r="I448">
        <v>3</v>
      </c>
      <c r="J448">
        <v>0</v>
      </c>
      <c r="K448">
        <v>0</v>
      </c>
      <c r="L448">
        <v>0</v>
      </c>
    </row>
    <row r="449" spans="1:12">
      <c r="A449" t="str">
        <f>HYPERLINK("http://bombeiros.sp.gov.br/hidrantes/03individual/1596.html","1596")</f>
        <v>1596</v>
      </c>
      <c r="B449" t="str">
        <f>HYPERLINK("http://bombeiros.sp.gov.br/hidrantes/08bsg/qrcodeBSG.html?id=1596&amp;lat=-23.54141&amp;long=-46.65591&amp;tipo=S","QRCODE")</f>
        <v>QRCODE</v>
      </c>
      <c r="C449" t="s">
        <v>5264</v>
      </c>
      <c r="D449" t="s">
        <v>519</v>
      </c>
      <c r="E449" t="s">
        <v>682</v>
      </c>
      <c r="F449" t="s">
        <v>21</v>
      </c>
      <c r="G449" t="s">
        <v>2231</v>
      </c>
      <c r="H449">
        <v>2</v>
      </c>
      <c r="I449">
        <v>2</v>
      </c>
      <c r="J449">
        <v>0</v>
      </c>
      <c r="K449">
        <v>0</v>
      </c>
      <c r="L449">
        <v>0</v>
      </c>
    </row>
    <row r="450" spans="1:12">
      <c r="A450" t="str">
        <f>HYPERLINK("http://bombeiros.sp.gov.br/hidrantes/03individual/2698.html","2698")</f>
        <v>2698</v>
      </c>
      <c r="B450" t="str">
        <f>HYPERLINK("http://bombeiros.sp.gov.br/hidrantes/08bsg/qrcodeBSG.html?id=2698&amp;lat=-23.53500&amp;long=-46.66001&amp;tipo=S","QRCODE")</f>
        <v>QRCODE</v>
      </c>
      <c r="C450" t="s">
        <v>5264</v>
      </c>
      <c r="D450" t="s">
        <v>519</v>
      </c>
      <c r="E450" t="s">
        <v>682</v>
      </c>
      <c r="F450" t="s">
        <v>21</v>
      </c>
      <c r="G450" t="s">
        <v>1471</v>
      </c>
      <c r="H450">
        <v>1</v>
      </c>
      <c r="I450">
        <v>3</v>
      </c>
      <c r="J450">
        <v>0</v>
      </c>
      <c r="K450">
        <v>0</v>
      </c>
      <c r="L450">
        <v>0</v>
      </c>
    </row>
    <row r="451" spans="1:12">
      <c r="A451" t="str">
        <f>HYPERLINK("http://bombeiros.sp.gov.br/hidrantes/03individual/2701.html","2701")</f>
        <v>2701</v>
      </c>
      <c r="B451" t="str">
        <f>HYPERLINK("http://bombeiros.sp.gov.br/hidrantes/08bsg/qrcodeBSG.html?id=2701&amp;lat=-23.53469&amp;long=-46.66014&amp;tipo=S","QRCODE")</f>
        <v>QRCODE</v>
      </c>
      <c r="C451" t="s">
        <v>5264</v>
      </c>
      <c r="D451" t="s">
        <v>519</v>
      </c>
      <c r="E451" t="s">
        <v>682</v>
      </c>
      <c r="F451" t="s">
        <v>21</v>
      </c>
      <c r="G451" t="s">
        <v>3531</v>
      </c>
      <c r="H451">
        <v>1</v>
      </c>
      <c r="I451">
        <v>1</v>
      </c>
      <c r="J451">
        <v>0</v>
      </c>
      <c r="K451">
        <v>0</v>
      </c>
      <c r="L451">
        <v>0</v>
      </c>
    </row>
    <row r="452" spans="1:12">
      <c r="A452" t="str">
        <f>HYPERLINK("http://bombeiros.sp.gov.br/hidrantes/03individual/2741.html","2741")</f>
        <v>2741</v>
      </c>
      <c r="B452" t="str">
        <f>HYPERLINK("http://bombeiros.sp.gov.br/hidrantes/08bsg/qrcodeBSG.html?id=2741&amp;lat=-23.53762&amp;long=-46.66261&amp;tipo=S","QRCODE")</f>
        <v>QRCODE</v>
      </c>
      <c r="C452" t="s">
        <v>5264</v>
      </c>
      <c r="D452" t="s">
        <v>519</v>
      </c>
      <c r="E452" t="s">
        <v>682</v>
      </c>
      <c r="F452" t="s">
        <v>21</v>
      </c>
      <c r="G452" t="s">
        <v>1476</v>
      </c>
      <c r="H452">
        <v>1</v>
      </c>
      <c r="I452">
        <v>2</v>
      </c>
      <c r="J452">
        <v>0</v>
      </c>
      <c r="K452">
        <v>0</v>
      </c>
      <c r="L452">
        <v>0</v>
      </c>
    </row>
    <row r="453" spans="1:12">
      <c r="A453" t="str">
        <f>HYPERLINK("http://bombeiros.sp.gov.br/hidrantes/03individual/2742.html","2742")</f>
        <v>2742</v>
      </c>
      <c r="B453" t="str">
        <f>HYPERLINK("http://bombeiros.sp.gov.br/hidrantes/08bsg/qrcodeBSG.html?id=2742&amp;lat=-23.53707&amp;long=-46.66230&amp;tipo=S","QRCODE")</f>
        <v>QRCODE</v>
      </c>
      <c r="C453" t="s">
        <v>5264</v>
      </c>
      <c r="D453" t="s">
        <v>519</v>
      </c>
      <c r="E453" t="s">
        <v>682</v>
      </c>
      <c r="F453" t="s">
        <v>21</v>
      </c>
      <c r="G453" t="s">
        <v>1477</v>
      </c>
      <c r="H453">
        <v>1</v>
      </c>
      <c r="I453">
        <v>3</v>
      </c>
      <c r="J453">
        <v>0</v>
      </c>
      <c r="K453">
        <v>0</v>
      </c>
      <c r="L453">
        <v>0</v>
      </c>
    </row>
    <row r="454" spans="1:12">
      <c r="A454" t="str">
        <f>HYPERLINK("http://bombeiros.sp.gov.br/hidrantes/03individual/2767.html","2767")</f>
        <v>2767</v>
      </c>
      <c r="B454" t="str">
        <f>HYPERLINK("http://bombeiros.sp.gov.br/hidrantes/08bsg/qrcodeBSG.html?id=2767&amp;lat=-23.54055&amp;long=-46.65829&amp;tipo=S","QRCODE")</f>
        <v>QRCODE</v>
      </c>
      <c r="C454" t="s">
        <v>5264</v>
      </c>
      <c r="D454" t="s">
        <v>519</v>
      </c>
      <c r="E454" t="s">
        <v>682</v>
      </c>
      <c r="F454" t="s">
        <v>21</v>
      </c>
      <c r="G454" t="s">
        <v>684</v>
      </c>
      <c r="H454">
        <v>0</v>
      </c>
      <c r="I454">
        <v>2</v>
      </c>
      <c r="J454">
        <v>0</v>
      </c>
      <c r="K454">
        <v>0</v>
      </c>
      <c r="L454">
        <v>0</v>
      </c>
    </row>
    <row r="455" spans="1:12">
      <c r="A455" t="str">
        <f>HYPERLINK("http://bombeiros.sp.gov.br/hidrantes/03individual/2769.html","2769")</f>
        <v>2769</v>
      </c>
      <c r="B455" t="str">
        <f>HYPERLINK("http://bombeiros.sp.gov.br/hidrantes/08bsg/qrcodeBSG.html?id=2769&amp;lat=-23.53956&amp;long=-46.65670&amp;tipo=S","QRCODE")</f>
        <v>QRCODE</v>
      </c>
      <c r="C455" t="s">
        <v>5264</v>
      </c>
      <c r="D455" t="s">
        <v>519</v>
      </c>
      <c r="E455" t="s">
        <v>682</v>
      </c>
      <c r="F455" t="s">
        <v>21</v>
      </c>
      <c r="G455" t="s">
        <v>3795</v>
      </c>
      <c r="H455">
        <v>0</v>
      </c>
      <c r="I455">
        <v>1</v>
      </c>
      <c r="J455">
        <v>0</v>
      </c>
      <c r="K455">
        <v>0</v>
      </c>
      <c r="L455">
        <v>0</v>
      </c>
    </row>
    <row r="456" spans="1:12">
      <c r="A456" t="str">
        <f>HYPERLINK("http://bombeiros.sp.gov.br/hidrantes/03individual/2780.html","2780")</f>
        <v>2780</v>
      </c>
      <c r="B456" t="str">
        <f>HYPERLINK("http://bombeiros.sp.gov.br/hidrantes/08bsg/qrcodeBSG.html?id=2780&amp;lat=-23.53630&amp;long=-46.65728&amp;tipo=S","QRCODE")</f>
        <v>QRCODE</v>
      </c>
      <c r="C456" t="s">
        <v>5264</v>
      </c>
      <c r="D456" t="s">
        <v>519</v>
      </c>
      <c r="E456" t="s">
        <v>682</v>
      </c>
      <c r="F456" t="s">
        <v>21</v>
      </c>
      <c r="G456" t="s">
        <v>686</v>
      </c>
      <c r="H456">
        <v>0</v>
      </c>
      <c r="I456">
        <v>2</v>
      </c>
      <c r="J456">
        <v>0</v>
      </c>
      <c r="K456">
        <v>0</v>
      </c>
      <c r="L456">
        <v>0</v>
      </c>
    </row>
    <row r="457" spans="1:12">
      <c r="A457" t="str">
        <f>HYPERLINK("http://bombeiros.sp.gov.br/hidrantes/03individual/2819.html","2819")</f>
        <v>2819</v>
      </c>
      <c r="B457" t="str">
        <f>HYPERLINK("http://bombeiros.sp.gov.br/hidrantes/08bsg/qrcodeBSG.html?id=2819&amp;lat=-23.53007&amp;long=-46.65930&amp;tipo=S","QRCODE")</f>
        <v>QRCODE</v>
      </c>
      <c r="C457" t="s">
        <v>5264</v>
      </c>
      <c r="D457" t="s">
        <v>519</v>
      </c>
      <c r="E457" t="s">
        <v>682</v>
      </c>
      <c r="F457" t="s">
        <v>21</v>
      </c>
      <c r="G457" t="s">
        <v>947</v>
      </c>
      <c r="H457">
        <v>1</v>
      </c>
      <c r="I457">
        <v>2</v>
      </c>
      <c r="J457">
        <v>0</v>
      </c>
      <c r="K457">
        <v>0</v>
      </c>
      <c r="L457">
        <v>0</v>
      </c>
    </row>
    <row r="458" spans="1:12">
      <c r="A458" t="str">
        <f>HYPERLINK("http://bombeiros.sp.gov.br/hidrantes/03individual/2820.html","2820")</f>
        <v>2820</v>
      </c>
      <c r="B458" t="str">
        <f>HYPERLINK("http://bombeiros.sp.gov.br/hidrantes/08bsg/qrcodeBSG.html?id=2820&amp;lat=-23.52884&amp;long=-46.65888&amp;tipo=S","QRCODE")</f>
        <v>QRCODE</v>
      </c>
      <c r="C458" t="s">
        <v>5264</v>
      </c>
      <c r="D458" t="s">
        <v>519</v>
      </c>
      <c r="E458" t="s">
        <v>682</v>
      </c>
      <c r="F458" t="s">
        <v>21</v>
      </c>
      <c r="G458" t="s">
        <v>1341</v>
      </c>
      <c r="H458">
        <v>1</v>
      </c>
      <c r="I458">
        <v>2</v>
      </c>
      <c r="J458">
        <v>0</v>
      </c>
      <c r="K458">
        <v>0</v>
      </c>
      <c r="L458">
        <v>0</v>
      </c>
    </row>
    <row r="459" spans="1:12">
      <c r="A459" t="str">
        <f>HYPERLINK("http://bombeiros.sp.gov.br/hidrantes/03individual/2822.html","2822")</f>
        <v>2822</v>
      </c>
      <c r="B459" t="str">
        <f>HYPERLINK("http://bombeiros.sp.gov.br/hidrantes/08bsg/qrcodeBSG.html?id=2822&amp;lat=-23.52867&amp;long=-46.65950&amp;tipo=S","QRCODE")</f>
        <v>QRCODE</v>
      </c>
      <c r="C459" t="s">
        <v>5264</v>
      </c>
      <c r="D459" t="s">
        <v>519</v>
      </c>
      <c r="E459" t="s">
        <v>682</v>
      </c>
      <c r="F459" t="s">
        <v>21</v>
      </c>
      <c r="G459" t="s">
        <v>681</v>
      </c>
      <c r="H459">
        <v>1</v>
      </c>
      <c r="I459">
        <v>1</v>
      </c>
      <c r="J459">
        <v>0</v>
      </c>
      <c r="K459">
        <v>0</v>
      </c>
      <c r="L459">
        <v>0</v>
      </c>
    </row>
    <row r="460" spans="1:12">
      <c r="A460" t="str">
        <f>HYPERLINK("http://bombeiros.sp.gov.br/hidrantes/03individual/2833.html","2833")</f>
        <v>2833</v>
      </c>
      <c r="B460" t="str">
        <f>HYPERLINK("http://bombeiros.sp.gov.br/hidrantes/08bsg/qrcodeBSG.html?id=2833&amp;lat=-23.52830&amp;long=-46.65506&amp;tipo=S","QRCODE")</f>
        <v>QRCODE</v>
      </c>
      <c r="C460" t="s">
        <v>5264</v>
      </c>
      <c r="D460" t="s">
        <v>519</v>
      </c>
      <c r="E460" t="s">
        <v>682</v>
      </c>
      <c r="F460" t="s">
        <v>21</v>
      </c>
      <c r="G460" t="s">
        <v>2895</v>
      </c>
      <c r="H460">
        <v>0</v>
      </c>
      <c r="I460">
        <v>2</v>
      </c>
      <c r="J460">
        <v>0</v>
      </c>
      <c r="K460">
        <v>0</v>
      </c>
      <c r="L460">
        <v>0</v>
      </c>
    </row>
    <row r="461" spans="1:12">
      <c r="A461" t="str">
        <f>HYPERLINK("http://bombeiros.sp.gov.br/hidrantes/03individual/2834.html","2834")</f>
        <v>2834</v>
      </c>
      <c r="B461" t="str">
        <f>HYPERLINK("http://bombeiros.sp.gov.br/hidrantes/08bsg/qrcodeBSG.html?id=2834&amp;lat=-23.52861&amp;long=-46.65571&amp;tipo=S","QRCODE")</f>
        <v>QRCODE</v>
      </c>
      <c r="C461" t="s">
        <v>5264</v>
      </c>
      <c r="D461" t="s">
        <v>519</v>
      </c>
      <c r="E461" t="s">
        <v>682</v>
      </c>
      <c r="F461" t="s">
        <v>21</v>
      </c>
      <c r="G461" t="s">
        <v>2896</v>
      </c>
      <c r="H461">
        <v>1</v>
      </c>
      <c r="I461">
        <v>2</v>
      </c>
      <c r="J461">
        <v>0</v>
      </c>
      <c r="K461">
        <v>0</v>
      </c>
      <c r="L461">
        <v>0</v>
      </c>
    </row>
    <row r="462" spans="1:12">
      <c r="A462" t="str">
        <f>HYPERLINK("http://bombeiros.sp.gov.br/hidrantes/03individual/2846.html","2846")</f>
        <v>2846</v>
      </c>
      <c r="B462" t="str">
        <f>HYPERLINK("http://bombeiros.sp.gov.br/hidrantes/08bsg/qrcodeBSG.html?id=2846&amp;lat=-23.53054&amp;long=-46.65703&amp;tipo=S","QRCODE")</f>
        <v>QRCODE</v>
      </c>
      <c r="C462" t="s">
        <v>5264</v>
      </c>
      <c r="D462" t="s">
        <v>519</v>
      </c>
      <c r="E462" t="s">
        <v>682</v>
      </c>
      <c r="F462" t="s">
        <v>21</v>
      </c>
      <c r="G462" t="s">
        <v>683</v>
      </c>
      <c r="H462">
        <v>1</v>
      </c>
      <c r="I462">
        <v>2</v>
      </c>
      <c r="J462">
        <v>0</v>
      </c>
      <c r="K462">
        <v>0</v>
      </c>
      <c r="L462">
        <v>0</v>
      </c>
    </row>
    <row r="463" spans="1:12">
      <c r="A463" t="str">
        <f>HYPERLINK("http://bombeiros.sp.gov.br/hidrantes/03individual/2857.html","2857")</f>
        <v>2857</v>
      </c>
      <c r="B463" t="str">
        <f>HYPERLINK("http://bombeiros.sp.gov.br/hidrantes/08bsg/qrcodeBSG.html?id=2857&amp;lat=-23.53075&amp;long=-46.66024&amp;tipo=S","QRCODE")</f>
        <v>QRCODE</v>
      </c>
      <c r="C463" t="s">
        <v>5264</v>
      </c>
      <c r="D463" t="s">
        <v>519</v>
      </c>
      <c r="E463" t="s">
        <v>682</v>
      </c>
      <c r="F463" t="s">
        <v>21</v>
      </c>
      <c r="G463" t="s">
        <v>950</v>
      </c>
      <c r="H463">
        <v>2</v>
      </c>
      <c r="I463">
        <v>2</v>
      </c>
      <c r="J463">
        <v>0</v>
      </c>
      <c r="K463">
        <v>0</v>
      </c>
      <c r="L463">
        <v>0</v>
      </c>
    </row>
    <row r="464" spans="1:12">
      <c r="A464" t="str">
        <f>HYPERLINK("http://bombeiros.sp.gov.br/hidrantes/03individual/2892.html","2892")</f>
        <v>2892</v>
      </c>
      <c r="B464" t="str">
        <f>HYPERLINK("http://bombeiros.sp.gov.br/hidrantes/08bsg/qrcodeBSG.html?id=2892&amp;lat=-23.53187&amp;long=-46.65373&amp;tipo=S","QRCODE")</f>
        <v>QRCODE</v>
      </c>
      <c r="C464" t="s">
        <v>5264</v>
      </c>
      <c r="D464" t="s">
        <v>519</v>
      </c>
      <c r="E464" t="s">
        <v>682</v>
      </c>
      <c r="F464" t="s">
        <v>21</v>
      </c>
      <c r="G464" t="s">
        <v>2881</v>
      </c>
      <c r="H464">
        <v>0</v>
      </c>
      <c r="I464">
        <v>2</v>
      </c>
      <c r="J464">
        <v>0</v>
      </c>
      <c r="K464">
        <v>0</v>
      </c>
      <c r="L464">
        <v>0</v>
      </c>
    </row>
    <row r="465" spans="1:12">
      <c r="A465" t="str">
        <f>HYPERLINK("http://bombeiros.sp.gov.br/hidrantes/03individual/2893.html","2893")</f>
        <v>2893</v>
      </c>
      <c r="B465" t="str">
        <f>HYPERLINK("http://bombeiros.sp.gov.br/hidrantes/08bsg/qrcodeBSG.html?id=2893&amp;lat=-23.53689&amp;long=-46.65993&amp;tipo=S","QRCODE")</f>
        <v>QRCODE</v>
      </c>
      <c r="C465" t="s">
        <v>5264</v>
      </c>
      <c r="D465" t="s">
        <v>519</v>
      </c>
      <c r="E465" t="s">
        <v>682</v>
      </c>
      <c r="F465" t="s">
        <v>21</v>
      </c>
      <c r="G465" t="s">
        <v>1465</v>
      </c>
      <c r="H465">
        <v>1</v>
      </c>
      <c r="I465">
        <v>3</v>
      </c>
      <c r="J465">
        <v>0</v>
      </c>
      <c r="K465">
        <v>0</v>
      </c>
      <c r="L465">
        <v>0</v>
      </c>
    </row>
    <row r="466" spans="1:12">
      <c r="A466" t="str">
        <f>HYPERLINK("http://bombeiros.sp.gov.br/hidrantes/03individual/2896.html","2896")</f>
        <v>2896</v>
      </c>
      <c r="B466" t="str">
        <f>HYPERLINK("http://bombeiros.sp.gov.br/hidrantes/08bsg/qrcodeBSG.html?id=2896&amp;lat=-23.53290&amp;long=-46.65298&amp;tipo=S","QRCODE")</f>
        <v>QRCODE</v>
      </c>
      <c r="C466" t="s">
        <v>5264</v>
      </c>
      <c r="D466" t="s">
        <v>519</v>
      </c>
      <c r="E466" t="s">
        <v>682</v>
      </c>
      <c r="F466" t="s">
        <v>21</v>
      </c>
      <c r="G466" t="s">
        <v>2187</v>
      </c>
      <c r="H466">
        <v>0</v>
      </c>
      <c r="I466">
        <v>2</v>
      </c>
      <c r="J466">
        <v>0</v>
      </c>
      <c r="K466">
        <v>0</v>
      </c>
      <c r="L466">
        <v>0</v>
      </c>
    </row>
    <row r="467" spans="1:12">
      <c r="A467" t="str">
        <f>HYPERLINK("http://bombeiros.sp.gov.br/hidrantes/03individual/2897.html","2897")</f>
        <v>2897</v>
      </c>
      <c r="B467" t="str">
        <f>HYPERLINK("http://bombeiros.sp.gov.br/hidrantes/08bsg/qrcodeBSG.html?id=2897&amp;lat=-23.53225&amp;long=-46.65192&amp;tipo=S","QRCODE")</f>
        <v>QRCODE</v>
      </c>
      <c r="C467" t="s">
        <v>5264</v>
      </c>
      <c r="D467" t="s">
        <v>519</v>
      </c>
      <c r="E467" t="s">
        <v>682</v>
      </c>
      <c r="F467" t="s">
        <v>21</v>
      </c>
      <c r="G467" t="s">
        <v>3626</v>
      </c>
      <c r="H467">
        <v>0</v>
      </c>
      <c r="I467">
        <v>1</v>
      </c>
      <c r="J467">
        <v>0</v>
      </c>
      <c r="K467">
        <v>0</v>
      </c>
      <c r="L467">
        <v>0</v>
      </c>
    </row>
    <row r="468" spans="1:12">
      <c r="A468" t="str">
        <f>HYPERLINK("http://bombeiros.sp.gov.br/hidrantes/03individual/2898.html","2898")</f>
        <v>2898</v>
      </c>
      <c r="B468" t="str">
        <f>HYPERLINK("http://bombeiros.sp.gov.br/hidrantes/08bsg/qrcodeBSG.html?id=2898&amp;lat=-23.52944&amp;long=-46.65475&amp;tipo=S","QRCODE")</f>
        <v>QRCODE</v>
      </c>
      <c r="C468" t="s">
        <v>5264</v>
      </c>
      <c r="D468" t="s">
        <v>519</v>
      </c>
      <c r="E468" t="s">
        <v>682</v>
      </c>
      <c r="F468" t="s">
        <v>21</v>
      </c>
      <c r="G468" t="s">
        <v>2786</v>
      </c>
      <c r="H468">
        <v>0</v>
      </c>
      <c r="I468">
        <v>2</v>
      </c>
      <c r="J468">
        <v>0</v>
      </c>
      <c r="K468">
        <v>0</v>
      </c>
      <c r="L468">
        <v>0</v>
      </c>
    </row>
    <row r="469" spans="1:12">
      <c r="A469" t="str">
        <f>HYPERLINK("http://bombeiros.sp.gov.br/hidrantes/03individual/2908.html","2908")</f>
        <v>2908</v>
      </c>
      <c r="B469" t="str">
        <f>HYPERLINK("http://bombeiros.sp.gov.br/hidrantes/08bsg/qrcodeBSG.html?id=2908&amp;lat=-23.52734&amp;long=-46.65863&amp;tipo=S","QRCODE")</f>
        <v>QRCODE</v>
      </c>
      <c r="C469" t="s">
        <v>5264</v>
      </c>
      <c r="D469" t="s">
        <v>519</v>
      </c>
      <c r="E469" t="s">
        <v>682</v>
      </c>
      <c r="F469" t="s">
        <v>21</v>
      </c>
      <c r="G469" t="s">
        <v>1351</v>
      </c>
      <c r="H469">
        <v>1</v>
      </c>
      <c r="I469">
        <v>3</v>
      </c>
      <c r="J469">
        <v>0</v>
      </c>
      <c r="K469">
        <v>0</v>
      </c>
      <c r="L469">
        <v>0</v>
      </c>
    </row>
    <row r="470" spans="1:12">
      <c r="A470" t="str">
        <f>HYPERLINK("http://bombeiros.sp.gov.br/hidrantes/03individual/2910.html","2910")</f>
        <v>2910</v>
      </c>
      <c r="B470" t="str">
        <f>HYPERLINK("http://bombeiros.sp.gov.br/hidrantes/08bsg/qrcodeBSG.html?id=2910&amp;lat=-23.52932&amp;long=-46.65866&amp;tipo=S","QRCODE")</f>
        <v>QRCODE</v>
      </c>
      <c r="C470" t="s">
        <v>5264</v>
      </c>
      <c r="D470" t="s">
        <v>519</v>
      </c>
      <c r="E470" t="s">
        <v>682</v>
      </c>
      <c r="F470" t="s">
        <v>21</v>
      </c>
      <c r="G470" t="s">
        <v>1357</v>
      </c>
      <c r="H470">
        <v>1</v>
      </c>
      <c r="I470">
        <v>2</v>
      </c>
      <c r="J470">
        <v>0</v>
      </c>
      <c r="K470">
        <v>0</v>
      </c>
      <c r="L470">
        <v>0</v>
      </c>
    </row>
    <row r="471" spans="1:12">
      <c r="A471" t="str">
        <f>HYPERLINK("http://bombeiros.sp.gov.br/hidrantes/03individual/2911.html","2911")</f>
        <v>2911</v>
      </c>
      <c r="B471" t="str">
        <f>HYPERLINK("http://bombeiros.sp.gov.br/hidrantes/08bsg/qrcodeBSG.html?id=2911&amp;lat=-23.52903&amp;long=-46.65617&amp;tipo=S","QRCODE")</f>
        <v>QRCODE</v>
      </c>
      <c r="C471" t="s">
        <v>5264</v>
      </c>
      <c r="D471" t="s">
        <v>519</v>
      </c>
      <c r="E471" t="s">
        <v>682</v>
      </c>
      <c r="F471" t="s">
        <v>21</v>
      </c>
      <c r="G471" t="s">
        <v>976</v>
      </c>
      <c r="H471">
        <v>1</v>
      </c>
      <c r="I471">
        <v>2</v>
      </c>
      <c r="J471">
        <v>0</v>
      </c>
      <c r="K471">
        <v>0</v>
      </c>
      <c r="L471">
        <v>0</v>
      </c>
    </row>
    <row r="472" spans="1:12">
      <c r="A472" t="str">
        <f>HYPERLINK("http://bombeiros.sp.gov.br/hidrantes/03individual/2913.html","2913")</f>
        <v>2913</v>
      </c>
      <c r="B472" t="str">
        <f>HYPERLINK("http://bombeiros.sp.gov.br/hidrantes/08bsg/qrcodeBSG.html?id=2913&amp;lat=-23.52952&amp;long=-46.65669&amp;tipo=S","QRCODE")</f>
        <v>QRCODE</v>
      </c>
      <c r="C472" t="s">
        <v>5264</v>
      </c>
      <c r="D472" t="s">
        <v>519</v>
      </c>
      <c r="E472" t="s">
        <v>682</v>
      </c>
      <c r="F472" t="s">
        <v>21</v>
      </c>
      <c r="G472" t="s">
        <v>2433</v>
      </c>
      <c r="H472">
        <v>0</v>
      </c>
      <c r="I472">
        <v>2</v>
      </c>
      <c r="J472">
        <v>0</v>
      </c>
      <c r="K472">
        <v>0</v>
      </c>
      <c r="L472">
        <v>0</v>
      </c>
    </row>
    <row r="473" spans="1:12">
      <c r="A473" t="str">
        <f>HYPERLINK("http://bombeiros.sp.gov.br/hidrantes/03individual/2914.html","2914")</f>
        <v>2914</v>
      </c>
      <c r="B473" t="str">
        <f>HYPERLINK("http://bombeiros.sp.gov.br/hidrantes/08bsg/qrcodeBSG.html?id=2914&amp;lat=-23.52844&amp;long=-46.65780&amp;tipo=S","QRCODE")</f>
        <v>QRCODE</v>
      </c>
      <c r="C473" t="s">
        <v>5264</v>
      </c>
      <c r="D473" t="s">
        <v>519</v>
      </c>
      <c r="E473" t="s">
        <v>682</v>
      </c>
      <c r="F473" t="s">
        <v>21</v>
      </c>
      <c r="G473" t="s">
        <v>1356</v>
      </c>
      <c r="H473">
        <v>1</v>
      </c>
      <c r="I473">
        <v>3</v>
      </c>
      <c r="J473">
        <v>0</v>
      </c>
      <c r="K473">
        <v>0</v>
      </c>
      <c r="L473">
        <v>0</v>
      </c>
    </row>
    <row r="474" spans="1:12">
      <c r="A474" t="str">
        <f>HYPERLINK("http://bombeiros.sp.gov.br/hidrantes/03individual/2922.html","2922")</f>
        <v>2922</v>
      </c>
      <c r="B474" t="str">
        <f>HYPERLINK("http://bombeiros.sp.gov.br/hidrantes/08bsg/qrcodeBSG.html?id=2922&amp;lat=-23.53154&amp;long=-46.65593&amp;tipo=S","QRCODE")</f>
        <v>QRCODE</v>
      </c>
      <c r="C474" t="s">
        <v>5264</v>
      </c>
      <c r="D474" t="s">
        <v>519</v>
      </c>
      <c r="E474" t="s">
        <v>682</v>
      </c>
      <c r="F474" t="s">
        <v>21</v>
      </c>
      <c r="G474" t="s">
        <v>1354</v>
      </c>
      <c r="H474">
        <v>1</v>
      </c>
      <c r="I474">
        <v>2</v>
      </c>
      <c r="J474">
        <v>0</v>
      </c>
      <c r="K474">
        <v>0</v>
      </c>
      <c r="L474">
        <v>0</v>
      </c>
    </row>
    <row r="475" spans="1:12">
      <c r="A475" t="str">
        <f>HYPERLINK("http://bombeiros.sp.gov.br/hidrantes/03individual/5500.html","5500")</f>
        <v>5500</v>
      </c>
      <c r="B475" t="str">
        <f>HYPERLINK("http://bombeiros.sp.gov.br/hidrantes/08bsg/qrcodeBSG.html?id=5500&amp;lat=-23.52862&amp;long=-46.64826&amp;tipo=S","QRCODE")</f>
        <v>QRCODE</v>
      </c>
      <c r="C475" t="s">
        <v>5264</v>
      </c>
      <c r="D475" t="s">
        <v>519</v>
      </c>
      <c r="E475" t="s">
        <v>682</v>
      </c>
      <c r="F475" t="s">
        <v>21</v>
      </c>
      <c r="G475" t="s">
        <v>4843</v>
      </c>
      <c r="H475">
        <v>0</v>
      </c>
      <c r="I475">
        <v>1</v>
      </c>
      <c r="J475">
        <v>0</v>
      </c>
      <c r="K475">
        <v>0</v>
      </c>
      <c r="L475">
        <v>0</v>
      </c>
    </row>
    <row r="476" spans="1:12">
      <c r="A476" t="str">
        <f>HYPERLINK("http://bombeiros.sp.gov.br/hidrantes/03individual/16583.html","16583")</f>
        <v>16583</v>
      </c>
      <c r="B476" t="str">
        <f>HYPERLINK("http://bombeiros.sp.gov.br/hidrantes/08bsg/qrcodeBSG.html?id=16583&amp;lat=-23.53665&amp;long=-46.65596&amp;tipo=S","QRCODE")</f>
        <v>QRCODE</v>
      </c>
      <c r="C476" t="s">
        <v>5264</v>
      </c>
      <c r="D476" t="s">
        <v>519</v>
      </c>
      <c r="E476" t="s">
        <v>682</v>
      </c>
      <c r="F476" t="s">
        <v>21</v>
      </c>
      <c r="G476" t="s">
        <v>3515</v>
      </c>
      <c r="H476">
        <v>1</v>
      </c>
      <c r="I476">
        <v>1</v>
      </c>
      <c r="J476">
        <v>0</v>
      </c>
      <c r="K476">
        <v>0</v>
      </c>
      <c r="L476">
        <v>0</v>
      </c>
    </row>
    <row r="477" spans="1:12">
      <c r="A477" t="str">
        <f>HYPERLINK("http://bombeiros.sp.gov.br/hidrantes/03individual/16584.html","16584")</f>
        <v>16584</v>
      </c>
      <c r="B477" t="str">
        <f>HYPERLINK("http://bombeiros.sp.gov.br/hidrantes/08bsg/qrcodeBSG.html?id=16584&amp;lat=-23.53882&amp;long=-46.66130&amp;tipo=S","QRCODE")</f>
        <v>QRCODE</v>
      </c>
      <c r="C477" t="s">
        <v>5264</v>
      </c>
      <c r="D477" t="s">
        <v>519</v>
      </c>
      <c r="E477" t="s">
        <v>682</v>
      </c>
      <c r="F477" t="s">
        <v>21</v>
      </c>
      <c r="G477" t="s">
        <v>1493</v>
      </c>
      <c r="H477">
        <v>1</v>
      </c>
      <c r="I477">
        <v>2</v>
      </c>
      <c r="J477">
        <v>0</v>
      </c>
      <c r="K477">
        <v>0</v>
      </c>
      <c r="L477">
        <v>0</v>
      </c>
    </row>
    <row r="478" spans="1:12">
      <c r="A478" t="str">
        <f>HYPERLINK("http://bombeiros.sp.gov.br/hidrantes/03individual/2783.html","2783")</f>
        <v>2783</v>
      </c>
      <c r="B478" t="str">
        <f>HYPERLINK("http://bombeiros.sp.gov.br/hidrantes/08bsg/qrcodeBSG.html?id=2783&amp;lat=-23.52554&amp;long=-46.65550&amp;tipo=C","QRCODE")</f>
        <v>QRCODE</v>
      </c>
      <c r="C478" t="s">
        <v>5264</v>
      </c>
      <c r="D478" t="s">
        <v>519</v>
      </c>
      <c r="E478" t="s">
        <v>791</v>
      </c>
      <c r="F478" t="s">
        <v>12</v>
      </c>
      <c r="G478" t="s">
        <v>3405</v>
      </c>
      <c r="H478">
        <v>1</v>
      </c>
      <c r="I478">
        <v>2</v>
      </c>
      <c r="J478">
        <v>0</v>
      </c>
      <c r="K478">
        <v>0</v>
      </c>
      <c r="L478">
        <v>0</v>
      </c>
    </row>
    <row r="479" spans="1:12">
      <c r="A479" t="str">
        <f>HYPERLINK("http://bombeiros.sp.gov.br/hidrantes/03individual/2793.html","2793")</f>
        <v>2793</v>
      </c>
      <c r="B479" t="str">
        <f>HYPERLINK("http://bombeiros.sp.gov.br/hidrantes/08bsg/qrcodeBSG.html?id=2793&amp;lat=-23.52181&amp;long=-46.65159&amp;tipo=C","QRCODE")</f>
        <v>QRCODE</v>
      </c>
      <c r="C479" t="s">
        <v>5264</v>
      </c>
      <c r="D479" t="s">
        <v>519</v>
      </c>
      <c r="E479" t="s">
        <v>791</v>
      </c>
      <c r="F479" t="s">
        <v>12</v>
      </c>
      <c r="G479" t="s">
        <v>4394</v>
      </c>
      <c r="H479">
        <v>1</v>
      </c>
      <c r="I479">
        <v>1</v>
      </c>
      <c r="J479">
        <v>0</v>
      </c>
      <c r="K479">
        <v>0</v>
      </c>
      <c r="L479">
        <v>0</v>
      </c>
    </row>
    <row r="480" spans="1:12">
      <c r="A480" t="str">
        <f>HYPERLINK("http://bombeiros.sp.gov.br/hidrantes/03individual/2924.html","2924")</f>
        <v>2924</v>
      </c>
      <c r="B480" t="str">
        <f>HYPERLINK("http://bombeiros.sp.gov.br/hidrantes/08bsg/qrcodeBSG.html?id=2924&amp;lat=-23.52650&amp;long=-46.64909&amp;tipo=C","QRCODE")</f>
        <v>QRCODE</v>
      </c>
      <c r="C480" t="s">
        <v>5264</v>
      </c>
      <c r="D480" t="s">
        <v>519</v>
      </c>
      <c r="E480" t="s">
        <v>791</v>
      </c>
      <c r="F480" t="s">
        <v>12</v>
      </c>
      <c r="G480" t="s">
        <v>3630</v>
      </c>
      <c r="H480">
        <v>1</v>
      </c>
      <c r="I480">
        <v>1</v>
      </c>
      <c r="J480">
        <v>0</v>
      </c>
      <c r="K480">
        <v>0</v>
      </c>
      <c r="L480">
        <v>0</v>
      </c>
    </row>
    <row r="481" spans="1:12">
      <c r="A481" t="str">
        <f>HYPERLINK("http://bombeiros.sp.gov.br/hidrantes/03individual/624.html","624")</f>
        <v>624</v>
      </c>
      <c r="B481" t="str">
        <f>HYPERLINK("http://bombeiros.sp.gov.br/hidrantes/08bsg/qrcodeBSG.html?id=624&amp;lat=-23.51898&amp;long=-46.65418&amp;tipo=S","QRCODE")</f>
        <v>QRCODE</v>
      </c>
      <c r="C481" t="s">
        <v>5264</v>
      </c>
      <c r="D481" t="s">
        <v>519</v>
      </c>
      <c r="E481" t="s">
        <v>791</v>
      </c>
      <c r="F481" t="s">
        <v>21</v>
      </c>
      <c r="G481" t="s">
        <v>2678</v>
      </c>
      <c r="H481">
        <v>0</v>
      </c>
      <c r="I481">
        <v>2</v>
      </c>
      <c r="J481">
        <v>0</v>
      </c>
      <c r="K481">
        <v>0</v>
      </c>
      <c r="L481">
        <v>0</v>
      </c>
    </row>
    <row r="482" spans="1:12">
      <c r="A482" t="str">
        <f>HYPERLINK("http://bombeiros.sp.gov.br/hidrantes/03individual/625.html","625")</f>
        <v>625</v>
      </c>
      <c r="B482" t="str">
        <f>HYPERLINK("http://bombeiros.sp.gov.br/hidrantes/08bsg/qrcodeBSG.html?id=625&amp;lat=-23.52064&amp;long=-46.65439&amp;tipo=S","QRCODE")</f>
        <v>QRCODE</v>
      </c>
      <c r="C482" t="s">
        <v>5264</v>
      </c>
      <c r="D482" t="s">
        <v>519</v>
      </c>
      <c r="E482" t="s">
        <v>791</v>
      </c>
      <c r="F482" t="s">
        <v>21</v>
      </c>
      <c r="G482" t="s">
        <v>4376</v>
      </c>
      <c r="H482">
        <v>1</v>
      </c>
      <c r="I482">
        <v>1</v>
      </c>
      <c r="J482">
        <v>0</v>
      </c>
      <c r="K482">
        <v>0</v>
      </c>
      <c r="L482">
        <v>0</v>
      </c>
    </row>
    <row r="483" spans="1:12">
      <c r="A483" t="str">
        <f>HYPERLINK("http://bombeiros.sp.gov.br/hidrantes/03individual/626.html","626")</f>
        <v>626</v>
      </c>
      <c r="B483" t="str">
        <f>HYPERLINK("http://bombeiros.sp.gov.br/hidrantes/08bsg/qrcodeBSG.html?id=626&amp;lat=-23.52670&amp;long=-46.65395&amp;tipo=S","QRCODE")</f>
        <v>QRCODE</v>
      </c>
      <c r="C483" t="s">
        <v>5264</v>
      </c>
      <c r="D483" t="s">
        <v>519</v>
      </c>
      <c r="E483" t="s">
        <v>791</v>
      </c>
      <c r="F483" t="s">
        <v>21</v>
      </c>
      <c r="G483" t="s">
        <v>2852</v>
      </c>
      <c r="H483">
        <v>0</v>
      </c>
      <c r="I483">
        <v>2</v>
      </c>
      <c r="J483">
        <v>0</v>
      </c>
      <c r="K483">
        <v>0</v>
      </c>
      <c r="L483">
        <v>0</v>
      </c>
    </row>
    <row r="484" spans="1:12">
      <c r="A484" t="str">
        <f>HYPERLINK("http://bombeiros.sp.gov.br/hidrantes/03individual/629.html","629")</f>
        <v>629</v>
      </c>
      <c r="B484" t="str">
        <f>HYPERLINK("http://bombeiros.sp.gov.br/hidrantes/08bsg/qrcodeBSG.html?id=629&amp;lat=-23.52598&amp;long=-46.66013&amp;tipo=S","QRCODE")</f>
        <v>QRCODE</v>
      </c>
      <c r="C484" t="s">
        <v>5264</v>
      </c>
      <c r="D484" t="s">
        <v>519</v>
      </c>
      <c r="E484" t="s">
        <v>791</v>
      </c>
      <c r="F484" t="s">
        <v>21</v>
      </c>
      <c r="G484" t="s">
        <v>790</v>
      </c>
      <c r="H484">
        <v>0</v>
      </c>
      <c r="I484">
        <v>2</v>
      </c>
      <c r="J484">
        <v>0</v>
      </c>
      <c r="K484">
        <v>0</v>
      </c>
      <c r="L484">
        <v>0</v>
      </c>
    </row>
    <row r="485" spans="1:12">
      <c r="A485" t="str">
        <f>HYPERLINK("http://bombeiros.sp.gov.br/hidrantes/03individual/631.html","631")</f>
        <v>631</v>
      </c>
      <c r="B485" t="str">
        <f>HYPERLINK("http://bombeiros.sp.gov.br/hidrantes/08bsg/qrcodeBSG.html?id=631&amp;lat=-23.52454&amp;long=-46.65940&amp;tipo=S","QRCODE")</f>
        <v>QRCODE</v>
      </c>
      <c r="C485" t="s">
        <v>5264</v>
      </c>
      <c r="D485" t="s">
        <v>519</v>
      </c>
      <c r="E485" t="s">
        <v>791</v>
      </c>
      <c r="F485" t="s">
        <v>21</v>
      </c>
      <c r="G485" t="s">
        <v>4374</v>
      </c>
      <c r="H485">
        <v>1</v>
      </c>
      <c r="I485">
        <v>1</v>
      </c>
      <c r="J485">
        <v>0</v>
      </c>
      <c r="K485">
        <v>0</v>
      </c>
      <c r="L485">
        <v>0</v>
      </c>
    </row>
    <row r="486" spans="1:12">
      <c r="A486" t="str">
        <f>HYPERLINK("http://bombeiros.sp.gov.br/hidrantes/03individual/657.html","657")</f>
        <v>657</v>
      </c>
      <c r="B486" t="str">
        <f>HYPERLINK("http://bombeiros.sp.gov.br/hidrantes/08bsg/qrcodeBSG.html?id=657&amp;lat=-23.52777&amp;long=-46.65169&amp;tipo=S","QRCODE")</f>
        <v>QRCODE</v>
      </c>
      <c r="C486" t="s">
        <v>5264</v>
      </c>
      <c r="D486" t="s">
        <v>519</v>
      </c>
      <c r="E486" t="s">
        <v>791</v>
      </c>
      <c r="F486" t="s">
        <v>21</v>
      </c>
      <c r="G486" t="s">
        <v>2844</v>
      </c>
      <c r="H486">
        <v>0</v>
      </c>
      <c r="I486">
        <v>2</v>
      </c>
      <c r="J486">
        <v>0</v>
      </c>
      <c r="K486">
        <v>0</v>
      </c>
      <c r="L486">
        <v>0</v>
      </c>
    </row>
    <row r="487" spans="1:12">
      <c r="A487" t="str">
        <f>HYPERLINK("http://bombeiros.sp.gov.br/hidrantes/03individual/658.html","658")</f>
        <v>658</v>
      </c>
      <c r="B487" t="str">
        <f>HYPERLINK("http://bombeiros.sp.gov.br/hidrantes/08bsg/qrcodeBSG.html?id=658&amp;lat=-23.52691&amp;long=-46.65147&amp;tipo=S","QRCODE")</f>
        <v>QRCODE</v>
      </c>
      <c r="C487" t="s">
        <v>5264</v>
      </c>
      <c r="D487" t="s">
        <v>519</v>
      </c>
      <c r="E487" t="s">
        <v>791</v>
      </c>
      <c r="F487" t="s">
        <v>21</v>
      </c>
      <c r="G487" t="s">
        <v>1045</v>
      </c>
      <c r="H487">
        <v>1</v>
      </c>
      <c r="I487">
        <v>2</v>
      </c>
      <c r="J487">
        <v>0</v>
      </c>
      <c r="K487">
        <v>0</v>
      </c>
      <c r="L487">
        <v>0</v>
      </c>
    </row>
    <row r="488" spans="1:12">
      <c r="A488" t="str">
        <f>HYPERLINK("http://bombeiros.sp.gov.br/hidrantes/03individual/2782.html","2782")</f>
        <v>2782</v>
      </c>
      <c r="B488" t="str">
        <f>HYPERLINK("http://bombeiros.sp.gov.br/hidrantes/08bsg/qrcodeBSG.html?id=2782&amp;lat=-23.52292&amp;long=-46.65434&amp;tipo=S","QRCODE")</f>
        <v>QRCODE</v>
      </c>
      <c r="C488" t="s">
        <v>5264</v>
      </c>
      <c r="D488" t="s">
        <v>519</v>
      </c>
      <c r="E488" t="s">
        <v>791</v>
      </c>
      <c r="F488" t="s">
        <v>21</v>
      </c>
      <c r="G488" t="s">
        <v>2596</v>
      </c>
      <c r="H488">
        <v>0</v>
      </c>
      <c r="I488">
        <v>2</v>
      </c>
      <c r="J488">
        <v>0</v>
      </c>
      <c r="K488">
        <v>0</v>
      </c>
      <c r="L488">
        <v>0</v>
      </c>
    </row>
    <row r="489" spans="1:12">
      <c r="A489" t="str">
        <f>HYPERLINK("http://bombeiros.sp.gov.br/hidrantes/03individual/2784.html","2784")</f>
        <v>2784</v>
      </c>
      <c r="B489" t="str">
        <f>HYPERLINK("http://bombeiros.sp.gov.br/hidrantes/08bsg/qrcodeBSG.html?id=2784&amp;lat=-23.52650&amp;long=-46.65518&amp;tipo=S","QRCODE")</f>
        <v>QRCODE</v>
      </c>
      <c r="C489" t="s">
        <v>5264</v>
      </c>
      <c r="D489" t="s">
        <v>519</v>
      </c>
      <c r="E489" t="s">
        <v>791</v>
      </c>
      <c r="F489" t="s">
        <v>21</v>
      </c>
      <c r="G489" t="s">
        <v>2198</v>
      </c>
      <c r="H489">
        <v>0</v>
      </c>
      <c r="I489">
        <v>2</v>
      </c>
      <c r="J489">
        <v>0</v>
      </c>
      <c r="K489">
        <v>0</v>
      </c>
      <c r="L489">
        <v>0</v>
      </c>
    </row>
    <row r="490" spans="1:12">
      <c r="A490" t="str">
        <f>HYPERLINK("http://bombeiros.sp.gov.br/hidrantes/03individual/2785.html","2785")</f>
        <v>2785</v>
      </c>
      <c r="B490" t="str">
        <f>HYPERLINK("http://bombeiros.sp.gov.br/hidrantes/08bsg/qrcodeBSG.html?id=2785&amp;lat=-23.52593&amp;long=-46.65264&amp;tipo=S","QRCODE")</f>
        <v>QRCODE</v>
      </c>
      <c r="C490" t="s">
        <v>5264</v>
      </c>
      <c r="D490" t="s">
        <v>519</v>
      </c>
      <c r="E490" t="s">
        <v>791</v>
      </c>
      <c r="F490" t="s">
        <v>21</v>
      </c>
      <c r="G490" t="s">
        <v>952</v>
      </c>
      <c r="H490">
        <v>2</v>
      </c>
      <c r="I490">
        <v>2</v>
      </c>
      <c r="J490">
        <v>0</v>
      </c>
      <c r="K490">
        <v>0</v>
      </c>
      <c r="L490">
        <v>0</v>
      </c>
    </row>
    <row r="491" spans="1:12">
      <c r="A491" t="str">
        <f>HYPERLINK("http://bombeiros.sp.gov.br/hidrantes/03individual/2786.html","2786")</f>
        <v>2786</v>
      </c>
      <c r="B491" t="str">
        <f>HYPERLINK("http://bombeiros.sp.gov.br/hidrantes/08bsg/qrcodeBSG.html?id=2786&amp;lat=-23.52614&amp;long=-46.65148&amp;tipo=S","QRCODE")</f>
        <v>QRCODE</v>
      </c>
      <c r="C491" t="s">
        <v>5264</v>
      </c>
      <c r="D491" t="s">
        <v>519</v>
      </c>
      <c r="E491" t="s">
        <v>791</v>
      </c>
      <c r="F491" t="s">
        <v>21</v>
      </c>
      <c r="G491" t="s">
        <v>953</v>
      </c>
      <c r="H491">
        <v>1</v>
      </c>
      <c r="I491">
        <v>2</v>
      </c>
      <c r="J491">
        <v>0</v>
      </c>
      <c r="K491">
        <v>0</v>
      </c>
      <c r="L491">
        <v>0</v>
      </c>
    </row>
    <row r="492" spans="1:12">
      <c r="A492" t="str">
        <f>HYPERLINK("http://bombeiros.sp.gov.br/hidrantes/03individual/2788.html","2788")</f>
        <v>2788</v>
      </c>
      <c r="B492" t="str">
        <f>HYPERLINK("http://bombeiros.sp.gov.br/hidrantes/08bsg/qrcodeBSG.html?id=2788&amp;lat=-23.52400&amp;long=-46.65554&amp;tipo=S","QRCODE")</f>
        <v>QRCODE</v>
      </c>
      <c r="C492" t="s">
        <v>5264</v>
      </c>
      <c r="D492" t="s">
        <v>519</v>
      </c>
      <c r="E492" t="s">
        <v>791</v>
      </c>
      <c r="F492" t="s">
        <v>21</v>
      </c>
      <c r="G492" t="s">
        <v>2197</v>
      </c>
      <c r="H492">
        <v>0</v>
      </c>
      <c r="I492">
        <v>2</v>
      </c>
      <c r="J492">
        <v>0</v>
      </c>
      <c r="K492">
        <v>0</v>
      </c>
      <c r="L492">
        <v>0</v>
      </c>
    </row>
    <row r="493" spans="1:12">
      <c r="A493" t="str">
        <f>HYPERLINK("http://bombeiros.sp.gov.br/hidrantes/03individual/27385.html","27385")</f>
        <v>27385</v>
      </c>
      <c r="B493" t="str">
        <f>HYPERLINK("http://bombeiros.sp.gov.br/hidrantes/08bsg/qrcodeBSG.html?id=27385&amp;lat=-23.52187&amp;long=-46.65436&amp;tipo=S","QRCODE")</f>
        <v>QRCODE</v>
      </c>
      <c r="C493" t="s">
        <v>5264</v>
      </c>
      <c r="D493" t="s">
        <v>519</v>
      </c>
      <c r="E493" t="s">
        <v>791</v>
      </c>
      <c r="F493" t="s">
        <v>21</v>
      </c>
      <c r="G493" t="s">
        <v>5271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>
      <c r="A494" t="str">
        <f>HYPERLINK("http://bombeiros.sp.gov.br/hidrantes/03individual/501.html","501")</f>
        <v>501</v>
      </c>
      <c r="B494" t="str">
        <f>HYPERLINK("http://bombeiros.sp.gov.br/hidrantes/08bsg/qrcodeBSG.html?id=501&amp;lat=-23.53227&amp;long=-46.64267&amp;tipo=C","QRCODE")</f>
        <v>QRCODE</v>
      </c>
      <c r="C494" t="s">
        <v>5264</v>
      </c>
      <c r="D494" t="s">
        <v>519</v>
      </c>
      <c r="E494" t="s">
        <v>519</v>
      </c>
      <c r="F494" t="s">
        <v>12</v>
      </c>
      <c r="G494" t="s">
        <v>1029</v>
      </c>
      <c r="H494">
        <v>1</v>
      </c>
      <c r="I494">
        <v>2</v>
      </c>
      <c r="J494">
        <v>0</v>
      </c>
      <c r="K494">
        <v>0</v>
      </c>
      <c r="L494">
        <v>0</v>
      </c>
    </row>
    <row r="495" spans="1:12">
      <c r="A495" t="str">
        <f>HYPERLINK("http://bombeiros.sp.gov.br/hidrantes/03individual/522.html","522")</f>
        <v>522</v>
      </c>
      <c r="B495" t="str">
        <f>HYPERLINK("http://bombeiros.sp.gov.br/hidrantes/08bsg/qrcodeBSG.html?id=522&amp;lat=-23.53577&amp;long=-46.64530&amp;tipo=C","QRCODE")</f>
        <v>QRCODE</v>
      </c>
      <c r="C495" t="s">
        <v>5264</v>
      </c>
      <c r="D495" t="s">
        <v>519</v>
      </c>
      <c r="E495" t="s">
        <v>519</v>
      </c>
      <c r="F495" t="s">
        <v>12</v>
      </c>
      <c r="G495" t="s">
        <v>1031</v>
      </c>
      <c r="H495">
        <v>1</v>
      </c>
      <c r="I495">
        <v>2</v>
      </c>
      <c r="J495">
        <v>0</v>
      </c>
      <c r="K495">
        <v>0</v>
      </c>
      <c r="L495">
        <v>0</v>
      </c>
    </row>
    <row r="496" spans="1:12">
      <c r="A496" t="str">
        <f>HYPERLINK("http://bombeiros.sp.gov.br/hidrantes/03individual/560.html","560")</f>
        <v>560</v>
      </c>
      <c r="B496" t="str">
        <f>HYPERLINK("http://bombeiros.sp.gov.br/hidrantes/08bsg/qrcodeBSG.html?id=560&amp;lat=-23.53587&amp;long=-46.65307&amp;tipo=C","QRCODE")</f>
        <v>QRCODE</v>
      </c>
      <c r="C496" t="s">
        <v>5264</v>
      </c>
      <c r="D496" t="s">
        <v>519</v>
      </c>
      <c r="E496" t="s">
        <v>519</v>
      </c>
      <c r="F496" t="s">
        <v>12</v>
      </c>
      <c r="G496" t="s">
        <v>2241</v>
      </c>
      <c r="H496">
        <v>0</v>
      </c>
      <c r="I496">
        <v>2</v>
      </c>
      <c r="J496">
        <v>0</v>
      </c>
      <c r="K496">
        <v>0</v>
      </c>
      <c r="L496">
        <v>0</v>
      </c>
    </row>
    <row r="497" spans="1:12">
      <c r="A497" t="str">
        <f>HYPERLINK("http://bombeiros.sp.gov.br/hidrantes/03individual/690.html","690")</f>
        <v>690</v>
      </c>
      <c r="B497" t="str">
        <f>HYPERLINK("http://bombeiros.sp.gov.br/hidrantes/08bsg/qrcodeBSG.html?id=690&amp;lat=-23.53821&amp;long=-46.64989&amp;tipo=C","QRCODE")</f>
        <v>QRCODE</v>
      </c>
      <c r="C497" t="s">
        <v>5264</v>
      </c>
      <c r="D497" t="s">
        <v>519</v>
      </c>
      <c r="E497" t="s">
        <v>519</v>
      </c>
      <c r="F497" t="s">
        <v>12</v>
      </c>
      <c r="G497" t="s">
        <v>3567</v>
      </c>
      <c r="H497">
        <v>1</v>
      </c>
      <c r="I497">
        <v>1</v>
      </c>
      <c r="J497">
        <v>0</v>
      </c>
      <c r="K497">
        <v>0</v>
      </c>
      <c r="L497">
        <v>0</v>
      </c>
    </row>
    <row r="498" spans="1:12">
      <c r="A498" t="str">
        <f>HYPERLINK("http://bombeiros.sp.gov.br/hidrantes/03individual/2805.html","2805")</f>
        <v>2805</v>
      </c>
      <c r="B498" t="str">
        <f>HYPERLINK("http://bombeiros.sp.gov.br/hidrantes/08bsg/qrcodeBSG.html?id=2805&amp;lat=-23.53650&amp;long=-46.65210&amp;tipo=C","QRCODE")</f>
        <v>QRCODE</v>
      </c>
      <c r="C498" t="s">
        <v>5264</v>
      </c>
      <c r="D498" t="s">
        <v>519</v>
      </c>
      <c r="E498" t="s">
        <v>519</v>
      </c>
      <c r="F498" t="s">
        <v>12</v>
      </c>
      <c r="G498" t="s">
        <v>2195</v>
      </c>
      <c r="H498">
        <v>0</v>
      </c>
      <c r="I498">
        <v>2</v>
      </c>
      <c r="J498">
        <v>0</v>
      </c>
      <c r="K498">
        <v>0</v>
      </c>
      <c r="L498">
        <v>0</v>
      </c>
    </row>
    <row r="499" spans="1:12">
      <c r="A499" t="str">
        <f>HYPERLINK("http://bombeiros.sp.gov.br/hidrantes/03individual/2810.html","2810")</f>
        <v>2810</v>
      </c>
      <c r="B499" t="str">
        <f>HYPERLINK("http://bombeiros.sp.gov.br/hidrantes/08bsg/qrcodeBSG.html?id=2810&amp;lat=-23.53678&amp;long=-46.64972&amp;tipo=C","QRCODE")</f>
        <v>QRCODE</v>
      </c>
      <c r="C499" t="s">
        <v>5264</v>
      </c>
      <c r="D499" t="s">
        <v>519</v>
      </c>
      <c r="E499" t="s">
        <v>519</v>
      </c>
      <c r="F499" t="s">
        <v>12</v>
      </c>
      <c r="G499" t="s">
        <v>3794</v>
      </c>
      <c r="H499">
        <v>0</v>
      </c>
      <c r="I499">
        <v>1</v>
      </c>
      <c r="J499">
        <v>0</v>
      </c>
      <c r="K499">
        <v>0</v>
      </c>
      <c r="L499">
        <v>0</v>
      </c>
    </row>
    <row r="500" spans="1:12">
      <c r="A500" t="str">
        <f>HYPERLINK("http://bombeiros.sp.gov.br/hidrantes/03individual/2824.html","2824")</f>
        <v>2824</v>
      </c>
      <c r="B500" t="str">
        <f>HYPERLINK("http://bombeiros.sp.gov.br/hidrantes/08bsg/qrcodeBSG.html?id=2824&amp;lat=-23.53785&amp;long=-46.65079&amp;tipo=C","QRCODE")</f>
        <v>QRCODE</v>
      </c>
      <c r="C500" t="s">
        <v>5264</v>
      </c>
      <c r="D500" t="s">
        <v>519</v>
      </c>
      <c r="E500" t="s">
        <v>519</v>
      </c>
      <c r="F500" t="s">
        <v>12</v>
      </c>
      <c r="G500" t="s">
        <v>3617</v>
      </c>
      <c r="H500">
        <v>1</v>
      </c>
      <c r="I500">
        <v>1</v>
      </c>
      <c r="J500">
        <v>0</v>
      </c>
      <c r="K500">
        <v>0</v>
      </c>
      <c r="L500">
        <v>0</v>
      </c>
    </row>
    <row r="501" spans="1:12">
      <c r="A501" t="str">
        <f>HYPERLINK("http://bombeiros.sp.gov.br/hidrantes/03individual/2867.html","2867")</f>
        <v>2867</v>
      </c>
      <c r="B501" t="str">
        <f>HYPERLINK("http://bombeiros.sp.gov.br/hidrantes/08bsg/qrcodeBSG.html?id=2867&amp;lat=-23.53869&amp;long=-46.64972&amp;tipo=C","QRCODE")</f>
        <v>QRCODE</v>
      </c>
      <c r="C501" t="s">
        <v>5264</v>
      </c>
      <c r="D501" t="s">
        <v>519</v>
      </c>
      <c r="E501" t="s">
        <v>519</v>
      </c>
      <c r="F501" t="s">
        <v>12</v>
      </c>
      <c r="G501" t="s">
        <v>3406</v>
      </c>
      <c r="H501">
        <v>1</v>
      </c>
      <c r="I501">
        <v>2</v>
      </c>
      <c r="J501">
        <v>0</v>
      </c>
      <c r="K501">
        <v>0</v>
      </c>
      <c r="L501">
        <v>0</v>
      </c>
    </row>
    <row r="502" spans="1:12">
      <c r="A502" t="str">
        <f>HYPERLINK("http://bombeiros.sp.gov.br/hidrantes/03individual/2895.html","2895")</f>
        <v>2895</v>
      </c>
      <c r="B502" t="str">
        <f>HYPERLINK("http://bombeiros.sp.gov.br/hidrantes/08bsg/qrcodeBSG.html?id=2895&amp;lat=-23.53121&amp;long=-46.64996&amp;tipo=C","QRCODE")</f>
        <v>QRCODE</v>
      </c>
      <c r="C502" t="s">
        <v>5264</v>
      </c>
      <c r="D502" t="s">
        <v>519</v>
      </c>
      <c r="E502" t="s">
        <v>519</v>
      </c>
      <c r="F502" t="s">
        <v>12</v>
      </c>
      <c r="G502" t="s">
        <v>3624</v>
      </c>
      <c r="H502">
        <v>1</v>
      </c>
      <c r="I502">
        <v>1</v>
      </c>
      <c r="J502">
        <v>0</v>
      </c>
      <c r="K502">
        <v>0</v>
      </c>
      <c r="L502">
        <v>0</v>
      </c>
    </row>
    <row r="503" spans="1:12">
      <c r="A503" t="str">
        <f>HYPERLINK("http://bombeiros.sp.gov.br/hidrantes/03individual/2905.html","2905")</f>
        <v>2905</v>
      </c>
      <c r="B503" t="str">
        <f>HYPERLINK("http://bombeiros.sp.gov.br/hidrantes/08bsg/qrcodeBSG.html?id=2905&amp;lat=-23.53717&amp;long=-46.64520&amp;tipo=C","QRCODE")</f>
        <v>QRCODE</v>
      </c>
      <c r="C503" t="s">
        <v>5264</v>
      </c>
      <c r="D503" t="s">
        <v>519</v>
      </c>
      <c r="E503" t="s">
        <v>519</v>
      </c>
      <c r="F503" t="s">
        <v>12</v>
      </c>
      <c r="G503" t="s">
        <v>518</v>
      </c>
      <c r="H503">
        <v>1</v>
      </c>
      <c r="I503">
        <v>1</v>
      </c>
      <c r="J503">
        <v>0</v>
      </c>
      <c r="K503">
        <v>0</v>
      </c>
      <c r="L503">
        <v>0</v>
      </c>
    </row>
    <row r="504" spans="1:12">
      <c r="A504" t="str">
        <f>HYPERLINK("http://bombeiros.sp.gov.br/hidrantes/03individual/2912.html","2912")</f>
        <v>2912</v>
      </c>
      <c r="B504" t="str">
        <f>HYPERLINK("http://bombeiros.sp.gov.br/hidrantes/08bsg/qrcodeBSG.html?id=2912&amp;lat=-23.53367&amp;long=-46.64571&amp;tipo=C","QRCODE")</f>
        <v>QRCODE</v>
      </c>
      <c r="C504" t="s">
        <v>5264</v>
      </c>
      <c r="D504" t="s">
        <v>519</v>
      </c>
      <c r="E504" t="s">
        <v>519</v>
      </c>
      <c r="F504" t="s">
        <v>12</v>
      </c>
      <c r="G504" t="s">
        <v>977</v>
      </c>
      <c r="H504">
        <v>1</v>
      </c>
      <c r="I504">
        <v>2</v>
      </c>
      <c r="J504">
        <v>0</v>
      </c>
      <c r="K504">
        <v>0</v>
      </c>
      <c r="L504">
        <v>0</v>
      </c>
    </row>
    <row r="505" spans="1:12">
      <c r="A505" t="str">
        <f>HYPERLINK("http://bombeiros.sp.gov.br/hidrantes/03individual/2950.html","2950")</f>
        <v>2950</v>
      </c>
      <c r="B505" t="str">
        <f>HYPERLINK("http://bombeiros.sp.gov.br/hidrantes/08bsg/qrcodeBSG.html?id=2950&amp;lat=-23.53701&amp;long=-46.65190&amp;tipo=C","QRCODE")</f>
        <v>QRCODE</v>
      </c>
      <c r="C505" t="s">
        <v>5264</v>
      </c>
      <c r="D505" t="s">
        <v>519</v>
      </c>
      <c r="E505" t="s">
        <v>519</v>
      </c>
      <c r="F505" t="s">
        <v>12</v>
      </c>
      <c r="G505" t="s">
        <v>982</v>
      </c>
      <c r="H505">
        <v>1</v>
      </c>
      <c r="I505">
        <v>2</v>
      </c>
      <c r="J505">
        <v>0</v>
      </c>
      <c r="K505">
        <v>0</v>
      </c>
      <c r="L505">
        <v>0</v>
      </c>
    </row>
    <row r="506" spans="1:12">
      <c r="A506" t="str">
        <f>HYPERLINK("http://bombeiros.sp.gov.br/hidrantes/03individual/5614.html","5614")</f>
        <v>5614</v>
      </c>
      <c r="B506" t="str">
        <f>HYPERLINK("http://bombeiros.sp.gov.br/hidrantes/08bsg/qrcodeBSG.html?id=5614&amp;lat=-23.53516&amp;long=-46.64199&amp;tipo=C","QRCODE")</f>
        <v>QRCODE</v>
      </c>
      <c r="C506" t="s">
        <v>5264</v>
      </c>
      <c r="D506" t="s">
        <v>519</v>
      </c>
      <c r="E506" t="s">
        <v>519</v>
      </c>
      <c r="F506" t="s">
        <v>12</v>
      </c>
      <c r="G506" t="s">
        <v>5215</v>
      </c>
      <c r="H506">
        <v>1</v>
      </c>
      <c r="I506">
        <v>0</v>
      </c>
      <c r="J506">
        <v>0</v>
      </c>
      <c r="K506">
        <v>0</v>
      </c>
      <c r="L506">
        <v>0</v>
      </c>
    </row>
    <row r="507" spans="1:12">
      <c r="A507" t="str">
        <f>HYPERLINK("http://bombeiros.sp.gov.br/hidrantes/03individual/27420.html","27420")</f>
        <v>27420</v>
      </c>
      <c r="B507" t="str">
        <f>HYPERLINK("http://bombeiros.sp.gov.br/hidrantes/08bsg/qrcodeBSG.html?id=27420&amp;lat=-23.53400&amp;long=-46.64282&amp;tipo=C","QRCODE")</f>
        <v>QRCODE</v>
      </c>
      <c r="C507" t="s">
        <v>5264</v>
      </c>
      <c r="D507" t="s">
        <v>519</v>
      </c>
      <c r="E507" t="s">
        <v>519</v>
      </c>
      <c r="F507" t="s">
        <v>12</v>
      </c>
      <c r="G507" t="s">
        <v>5272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>
      <c r="A508" t="str">
        <f>HYPERLINK("http://bombeiros.sp.gov.br/hidrantes/03individual/500.html","500")</f>
        <v>500</v>
      </c>
      <c r="B508" t="str">
        <f>HYPERLINK("http://bombeiros.sp.gov.br/hidrantes/08bsg/qrcodeBSG.html?id=500&amp;lat=-23.53415&amp;long=-46.64561&amp;tipo=S","QRCODE")</f>
        <v>QRCODE</v>
      </c>
      <c r="C508" t="s">
        <v>5264</v>
      </c>
      <c r="D508" t="s">
        <v>519</v>
      </c>
      <c r="E508" t="s">
        <v>519</v>
      </c>
      <c r="F508" t="s">
        <v>21</v>
      </c>
      <c r="G508" t="s">
        <v>1028</v>
      </c>
      <c r="H508">
        <v>1</v>
      </c>
      <c r="I508">
        <v>2</v>
      </c>
      <c r="J508">
        <v>0</v>
      </c>
      <c r="K508">
        <v>0</v>
      </c>
      <c r="L508">
        <v>0</v>
      </c>
    </row>
    <row r="509" spans="1:12">
      <c r="A509" t="str">
        <f>HYPERLINK("http://bombeiros.sp.gov.br/hidrantes/03individual/502.html","502")</f>
        <v>502</v>
      </c>
      <c r="B509" t="str">
        <f>HYPERLINK("http://bombeiros.sp.gov.br/hidrantes/08bsg/qrcodeBSG.html?id=502&amp;lat=-23.53114&amp;long=-46.64747&amp;tipo=S","QRCODE")</f>
        <v>QRCODE</v>
      </c>
      <c r="C509" t="s">
        <v>5264</v>
      </c>
      <c r="D509" t="s">
        <v>519</v>
      </c>
      <c r="E509" t="s">
        <v>519</v>
      </c>
      <c r="F509" t="s">
        <v>21</v>
      </c>
      <c r="G509" t="s">
        <v>1030</v>
      </c>
      <c r="H509">
        <v>2</v>
      </c>
      <c r="I509">
        <v>2</v>
      </c>
      <c r="J509">
        <v>0</v>
      </c>
      <c r="K509">
        <v>0</v>
      </c>
      <c r="L509">
        <v>0</v>
      </c>
    </row>
    <row r="510" spans="1:12">
      <c r="A510" t="str">
        <f>HYPERLINK("http://bombeiros.sp.gov.br/hidrantes/03individual/509.html","509")</f>
        <v>509</v>
      </c>
      <c r="B510" t="str">
        <f>HYPERLINK("http://bombeiros.sp.gov.br/hidrantes/08bsg/qrcodeBSG.html?id=509&amp;lat=-23.53983&amp;long=-46.65018&amp;tipo=S","QRCODE")</f>
        <v>QRCODE</v>
      </c>
      <c r="C510" t="s">
        <v>5264</v>
      </c>
      <c r="D510" t="s">
        <v>519</v>
      </c>
      <c r="E510" t="s">
        <v>519</v>
      </c>
      <c r="F510" t="s">
        <v>21</v>
      </c>
      <c r="G510" t="s">
        <v>779</v>
      </c>
      <c r="H510">
        <v>1</v>
      </c>
      <c r="I510">
        <v>2</v>
      </c>
      <c r="J510">
        <v>0</v>
      </c>
      <c r="K510">
        <v>0</v>
      </c>
      <c r="L510">
        <v>0</v>
      </c>
    </row>
    <row r="511" spans="1:12">
      <c r="A511" t="str">
        <f>HYPERLINK("http://bombeiros.sp.gov.br/hidrantes/03individual/523.html","523")</f>
        <v>523</v>
      </c>
      <c r="B511" t="str">
        <f>HYPERLINK("http://bombeiros.sp.gov.br/hidrantes/08bsg/qrcodeBSG.html?id=523&amp;lat=-23.53621&amp;long=-46.65162&amp;tipo=S","QRCODE")</f>
        <v>QRCODE</v>
      </c>
      <c r="C511" t="s">
        <v>5264</v>
      </c>
      <c r="D511" t="s">
        <v>519</v>
      </c>
      <c r="E511" t="s">
        <v>519</v>
      </c>
      <c r="F511" t="s">
        <v>21</v>
      </c>
      <c r="G511" t="s">
        <v>1032</v>
      </c>
      <c r="H511">
        <v>2</v>
      </c>
      <c r="I511">
        <v>3</v>
      </c>
      <c r="J511">
        <v>0</v>
      </c>
      <c r="K511">
        <v>0</v>
      </c>
      <c r="L511">
        <v>0</v>
      </c>
    </row>
    <row r="512" spans="1:12">
      <c r="A512" t="str">
        <f>HYPERLINK("http://bombeiros.sp.gov.br/hidrantes/03individual/524.html","524")</f>
        <v>524</v>
      </c>
      <c r="B512" t="str">
        <f>HYPERLINK("http://bombeiros.sp.gov.br/hidrantes/08bsg/qrcodeBSG.html?id=524&amp;lat=-23.53301&amp;long=-46.64993&amp;tipo=S","QRCODE")</f>
        <v>QRCODE</v>
      </c>
      <c r="C512" t="s">
        <v>5264</v>
      </c>
      <c r="D512" t="s">
        <v>519</v>
      </c>
      <c r="E512" t="s">
        <v>519</v>
      </c>
      <c r="F512" t="s">
        <v>21</v>
      </c>
      <c r="G512" t="s">
        <v>1033</v>
      </c>
      <c r="H512">
        <v>1</v>
      </c>
      <c r="I512">
        <v>2</v>
      </c>
      <c r="J512">
        <v>0</v>
      </c>
      <c r="K512">
        <v>0</v>
      </c>
      <c r="L512">
        <v>0</v>
      </c>
    </row>
    <row r="513" spans="1:12">
      <c r="A513" t="str">
        <f>HYPERLINK("http://bombeiros.sp.gov.br/hidrantes/03individual/525.html","525")</f>
        <v>525</v>
      </c>
      <c r="B513" t="str">
        <f>HYPERLINK("http://bombeiros.sp.gov.br/hidrantes/08bsg/qrcodeBSG.html?id=525&amp;lat=-23.53912&amp;long=-46.64642&amp;tipo=S","QRCODE")</f>
        <v>QRCODE</v>
      </c>
      <c r="C513" t="s">
        <v>5264</v>
      </c>
      <c r="D513" t="s">
        <v>519</v>
      </c>
      <c r="E513" t="s">
        <v>519</v>
      </c>
      <c r="F513" t="s">
        <v>21</v>
      </c>
      <c r="G513" t="s">
        <v>1388</v>
      </c>
      <c r="H513">
        <v>2</v>
      </c>
      <c r="I513">
        <v>3</v>
      </c>
      <c r="J513">
        <v>0</v>
      </c>
      <c r="K513">
        <v>0</v>
      </c>
      <c r="L513">
        <v>0</v>
      </c>
    </row>
    <row r="514" spans="1:12">
      <c r="A514" t="str">
        <f>HYPERLINK("http://bombeiros.sp.gov.br/hidrantes/03individual/552.html","552")</f>
        <v>552</v>
      </c>
      <c r="B514" t="str">
        <f>HYPERLINK("http://bombeiros.sp.gov.br/hidrantes/08bsg/qrcodeBSG.html?id=552&amp;lat=-23.52897&amp;long=-46.64653&amp;tipo=S","QRCODE")</f>
        <v>QRCODE</v>
      </c>
      <c r="C514" t="s">
        <v>5264</v>
      </c>
      <c r="D514" t="s">
        <v>519</v>
      </c>
      <c r="E514" t="s">
        <v>519</v>
      </c>
      <c r="F514" t="s">
        <v>21</v>
      </c>
      <c r="G514" t="s">
        <v>2239</v>
      </c>
      <c r="H514">
        <v>0</v>
      </c>
      <c r="I514">
        <v>2</v>
      </c>
      <c r="J514">
        <v>0</v>
      </c>
      <c r="K514">
        <v>0</v>
      </c>
      <c r="L514">
        <v>0</v>
      </c>
    </row>
    <row r="515" spans="1:12">
      <c r="A515" t="str">
        <f>HYPERLINK("http://bombeiros.sp.gov.br/hidrantes/03individual/553.html","553")</f>
        <v>553</v>
      </c>
      <c r="B515" t="str">
        <f>HYPERLINK("http://bombeiros.sp.gov.br/hidrantes/08bsg/qrcodeBSG.html?id=553&amp;lat=-23.53432&amp;long=-46.64903&amp;tipo=S","QRCODE")</f>
        <v>QRCODE</v>
      </c>
      <c r="C515" t="s">
        <v>5264</v>
      </c>
      <c r="D515" t="s">
        <v>519</v>
      </c>
      <c r="E515" t="s">
        <v>519</v>
      </c>
      <c r="F515" t="s">
        <v>21</v>
      </c>
      <c r="G515" t="s">
        <v>4908</v>
      </c>
      <c r="H515">
        <v>1</v>
      </c>
      <c r="I515">
        <v>2</v>
      </c>
      <c r="J515">
        <v>0</v>
      </c>
      <c r="K515">
        <v>0</v>
      </c>
      <c r="L515">
        <v>0</v>
      </c>
    </row>
    <row r="516" spans="1:12">
      <c r="A516" t="str">
        <f>HYPERLINK("http://bombeiros.sp.gov.br/hidrantes/03individual/554.html","554")</f>
        <v>554</v>
      </c>
      <c r="B516" t="str">
        <f>HYPERLINK("http://bombeiros.sp.gov.br/hidrantes/08bsg/qrcodeBSG.html?id=554&amp;lat=-23.53386&amp;long=-46.64835&amp;tipo=S","QRCODE")</f>
        <v>QRCODE</v>
      </c>
      <c r="C516" t="s">
        <v>5264</v>
      </c>
      <c r="D516" t="s">
        <v>519</v>
      </c>
      <c r="E516" t="s">
        <v>519</v>
      </c>
      <c r="F516" t="s">
        <v>21</v>
      </c>
      <c r="G516" t="s">
        <v>2240</v>
      </c>
      <c r="H516">
        <v>0</v>
      </c>
      <c r="I516">
        <v>2</v>
      </c>
      <c r="J516">
        <v>0</v>
      </c>
      <c r="K516">
        <v>0</v>
      </c>
      <c r="L516">
        <v>0</v>
      </c>
    </row>
    <row r="517" spans="1:12">
      <c r="A517" t="str">
        <f>HYPERLINK("http://bombeiros.sp.gov.br/hidrantes/03individual/555.html","555")</f>
        <v>555</v>
      </c>
      <c r="B517" t="str">
        <f>HYPERLINK("http://bombeiros.sp.gov.br/hidrantes/08bsg/qrcodeBSG.html?id=555&amp;lat=-23.53197&amp;long=-46.64546&amp;tipo=S","QRCODE")</f>
        <v>QRCODE</v>
      </c>
      <c r="C517" t="s">
        <v>5264</v>
      </c>
      <c r="D517" t="s">
        <v>519</v>
      </c>
      <c r="E517" t="s">
        <v>519</v>
      </c>
      <c r="F517" t="s">
        <v>21</v>
      </c>
      <c r="G517" t="s">
        <v>598</v>
      </c>
      <c r="H517">
        <v>0</v>
      </c>
      <c r="I517">
        <v>2</v>
      </c>
      <c r="J517">
        <v>0</v>
      </c>
      <c r="K517">
        <v>0</v>
      </c>
      <c r="L517">
        <v>0</v>
      </c>
    </row>
    <row r="518" spans="1:12">
      <c r="A518" t="str">
        <f>HYPERLINK("http://bombeiros.sp.gov.br/hidrantes/03individual/590.html","590")</f>
        <v>590</v>
      </c>
      <c r="B518" t="str">
        <f>HYPERLINK("http://bombeiros.sp.gov.br/hidrantes/08bsg/qrcodeBSG.html?id=590&amp;lat=-23.53994&amp;long=-46.65516&amp;tipo=S","QRCODE")</f>
        <v>QRCODE</v>
      </c>
      <c r="C518" t="s">
        <v>5264</v>
      </c>
      <c r="D518" t="s">
        <v>519</v>
      </c>
      <c r="E518" t="s">
        <v>519</v>
      </c>
      <c r="F518" t="s">
        <v>21</v>
      </c>
      <c r="G518" t="s">
        <v>3566</v>
      </c>
      <c r="H518">
        <v>1</v>
      </c>
      <c r="I518">
        <v>1</v>
      </c>
      <c r="J518">
        <v>0</v>
      </c>
      <c r="K518">
        <v>0</v>
      </c>
      <c r="L518">
        <v>0</v>
      </c>
    </row>
    <row r="519" spans="1:12">
      <c r="A519" t="str">
        <f>HYPERLINK("http://bombeiros.sp.gov.br/hidrantes/03individual/609.html","609")</f>
        <v>609</v>
      </c>
      <c r="B519" t="str">
        <f>HYPERLINK("http://bombeiros.sp.gov.br/hidrantes/08bsg/qrcodeBSG.html?id=609&amp;lat=-23.54003&amp;long=-46.65303&amp;tipo=S","QRCODE")</f>
        <v>QRCODE</v>
      </c>
      <c r="C519" t="s">
        <v>5264</v>
      </c>
      <c r="D519" t="s">
        <v>519</v>
      </c>
      <c r="E519" t="s">
        <v>519</v>
      </c>
      <c r="F519" t="s">
        <v>21</v>
      </c>
      <c r="G519" t="s">
        <v>2238</v>
      </c>
      <c r="H519">
        <v>0</v>
      </c>
      <c r="I519">
        <v>2</v>
      </c>
      <c r="J519">
        <v>0</v>
      </c>
      <c r="K519">
        <v>0</v>
      </c>
      <c r="L519">
        <v>0</v>
      </c>
    </row>
    <row r="520" spans="1:12">
      <c r="A520" t="str">
        <f>HYPERLINK("http://bombeiros.sp.gov.br/hidrantes/03individual/655.html","655")</f>
        <v>655</v>
      </c>
      <c r="B520" t="str">
        <f>HYPERLINK("http://bombeiros.sp.gov.br/hidrantes/08bsg/qrcodeBSG.html?id=655&amp;lat=-23.53341&amp;long=-46.65241&amp;tipo=S","QRCODE")</f>
        <v>QRCODE</v>
      </c>
      <c r="C520" t="s">
        <v>5264</v>
      </c>
      <c r="D520" t="s">
        <v>519</v>
      </c>
      <c r="E520" t="s">
        <v>519</v>
      </c>
      <c r="F520" t="s">
        <v>21</v>
      </c>
      <c r="G520" t="s">
        <v>1044</v>
      </c>
      <c r="H520">
        <v>1</v>
      </c>
      <c r="I520">
        <v>2</v>
      </c>
      <c r="J520">
        <v>0</v>
      </c>
      <c r="K520">
        <v>0</v>
      </c>
      <c r="L520">
        <v>0</v>
      </c>
    </row>
    <row r="521" spans="1:12">
      <c r="A521" t="str">
        <f>HYPERLINK("http://bombeiros.sp.gov.br/hidrantes/03individual/684.html","684")</f>
        <v>684</v>
      </c>
      <c r="B521" t="str">
        <f>HYPERLINK("http://bombeiros.sp.gov.br/hidrantes/08bsg/qrcodeBSG.html?id=684&amp;lat=-23.53909&amp;long=-46.65124&amp;tipo=S","QRCODE")</f>
        <v>QRCODE</v>
      </c>
      <c r="C521" t="s">
        <v>5264</v>
      </c>
      <c r="D521" t="s">
        <v>519</v>
      </c>
      <c r="E521" t="s">
        <v>519</v>
      </c>
      <c r="F521" t="s">
        <v>21</v>
      </c>
      <c r="G521" t="s">
        <v>3568</v>
      </c>
      <c r="H521">
        <v>1</v>
      </c>
      <c r="I521">
        <v>1</v>
      </c>
      <c r="J521">
        <v>0</v>
      </c>
      <c r="K521">
        <v>0</v>
      </c>
      <c r="L521">
        <v>0</v>
      </c>
    </row>
    <row r="522" spans="1:12">
      <c r="A522" t="str">
        <f>HYPERLINK("http://bombeiros.sp.gov.br/hidrantes/03individual/685.html","685")</f>
        <v>685</v>
      </c>
      <c r="B522" t="str">
        <f>HYPERLINK("http://bombeiros.sp.gov.br/hidrantes/08bsg/qrcodeBSG.html?id=685&amp;lat=-23.53418&amp;long=-46.65185&amp;tipo=S","QRCODE")</f>
        <v>QRCODE</v>
      </c>
      <c r="C522" t="s">
        <v>5264</v>
      </c>
      <c r="D522" t="s">
        <v>519</v>
      </c>
      <c r="E522" t="s">
        <v>519</v>
      </c>
      <c r="F522" t="s">
        <v>21</v>
      </c>
      <c r="G522" t="s">
        <v>2850</v>
      </c>
      <c r="H522">
        <v>0</v>
      </c>
      <c r="I522">
        <v>2</v>
      </c>
      <c r="J522">
        <v>0</v>
      </c>
      <c r="K522">
        <v>0</v>
      </c>
      <c r="L522">
        <v>0</v>
      </c>
    </row>
    <row r="523" spans="1:12">
      <c r="A523" t="str">
        <f>HYPERLINK("http://bombeiros.sp.gov.br/hidrantes/03individual/688.html","688")</f>
        <v>688</v>
      </c>
      <c r="B523" t="str">
        <f>HYPERLINK("http://bombeiros.sp.gov.br/hidrantes/08bsg/qrcodeBSG.html?id=688&amp;lat=-23.53540&amp;long=-46.64464&amp;tipo=S","QRCODE")</f>
        <v>QRCODE</v>
      </c>
      <c r="C523" t="s">
        <v>5264</v>
      </c>
      <c r="D523" t="s">
        <v>519</v>
      </c>
      <c r="E523" t="s">
        <v>519</v>
      </c>
      <c r="F523" t="s">
        <v>21</v>
      </c>
      <c r="G523" t="s">
        <v>3396</v>
      </c>
      <c r="H523">
        <v>0</v>
      </c>
      <c r="I523">
        <v>1</v>
      </c>
      <c r="J523">
        <v>0</v>
      </c>
      <c r="K523">
        <v>0</v>
      </c>
      <c r="L523">
        <v>0</v>
      </c>
    </row>
    <row r="524" spans="1:12">
      <c r="A524" t="str">
        <f>HYPERLINK("http://bombeiros.sp.gov.br/hidrantes/03individual/689.html","689")</f>
        <v>689</v>
      </c>
      <c r="B524" t="str">
        <f>HYPERLINK("http://bombeiros.sp.gov.br/hidrantes/08bsg/qrcodeBSG.html?id=689&amp;lat=-23.53630&amp;long=-46.64600&amp;tipo=S","QRCODE")</f>
        <v>QRCODE</v>
      </c>
      <c r="C524" t="s">
        <v>5264</v>
      </c>
      <c r="D524" t="s">
        <v>519</v>
      </c>
      <c r="E524" t="s">
        <v>519</v>
      </c>
      <c r="F524" t="s">
        <v>21</v>
      </c>
      <c r="G524" t="s">
        <v>597</v>
      </c>
      <c r="H524">
        <v>1</v>
      </c>
      <c r="I524">
        <v>1</v>
      </c>
      <c r="J524">
        <v>0</v>
      </c>
      <c r="K524">
        <v>0</v>
      </c>
      <c r="L524">
        <v>0</v>
      </c>
    </row>
    <row r="525" spans="1:12">
      <c r="A525" t="str">
        <f>HYPERLINK("http://bombeiros.sp.gov.br/hidrantes/03individual/784.html","784")</f>
        <v>784</v>
      </c>
      <c r="B525" t="str">
        <f>HYPERLINK("http://bombeiros.sp.gov.br/hidrantes/08bsg/qrcodeBSG.html?id=784&amp;lat=-23.53061&amp;long=-46.64280&amp;tipo=S","QRCODE")</f>
        <v>QRCODE</v>
      </c>
      <c r="C525" t="s">
        <v>5264</v>
      </c>
      <c r="D525" t="s">
        <v>519</v>
      </c>
      <c r="E525" t="s">
        <v>519</v>
      </c>
      <c r="F525" t="s">
        <v>21</v>
      </c>
      <c r="G525" t="s">
        <v>4960</v>
      </c>
      <c r="H525">
        <v>0</v>
      </c>
      <c r="I525">
        <v>1</v>
      </c>
      <c r="J525">
        <v>0</v>
      </c>
      <c r="K525">
        <v>0</v>
      </c>
      <c r="L525">
        <v>0</v>
      </c>
    </row>
    <row r="526" spans="1:12">
      <c r="A526" t="str">
        <f>HYPERLINK("http://bombeiros.sp.gov.br/hidrantes/03individual/807.html","807")</f>
        <v>807</v>
      </c>
      <c r="B526" t="str">
        <f>HYPERLINK("http://bombeiros.sp.gov.br/hidrantes/08bsg/qrcodeBSG.html?id=807&amp;lat=-23.53407&amp;long=-46.65034&amp;tipo=S","QRCODE")</f>
        <v>QRCODE</v>
      </c>
      <c r="C526" t="s">
        <v>5264</v>
      </c>
      <c r="D526" t="s">
        <v>519</v>
      </c>
      <c r="E526" t="s">
        <v>519</v>
      </c>
      <c r="F526" t="s">
        <v>21</v>
      </c>
      <c r="G526" t="s">
        <v>2236</v>
      </c>
      <c r="H526">
        <v>0</v>
      </c>
      <c r="I526">
        <v>2</v>
      </c>
      <c r="J526">
        <v>0</v>
      </c>
      <c r="K526">
        <v>0</v>
      </c>
      <c r="L526">
        <v>0</v>
      </c>
    </row>
    <row r="527" spans="1:12">
      <c r="A527" t="str">
        <f>HYPERLINK("http://bombeiros.sp.gov.br/hidrantes/03individual/1578.html","1578")</f>
        <v>1578</v>
      </c>
      <c r="B527" t="str">
        <f>HYPERLINK("http://bombeiros.sp.gov.br/hidrantes/08bsg/qrcodeBSG.html?id=1578&amp;lat=-23.54135&amp;long=-46.65508&amp;tipo=S","QRCODE")</f>
        <v>QRCODE</v>
      </c>
      <c r="C527" t="s">
        <v>5264</v>
      </c>
      <c r="D527" t="s">
        <v>519</v>
      </c>
      <c r="E527" t="s">
        <v>519</v>
      </c>
      <c r="F527" t="s">
        <v>21</v>
      </c>
      <c r="G527" t="s">
        <v>3157</v>
      </c>
      <c r="H527">
        <v>0</v>
      </c>
      <c r="I527">
        <v>2</v>
      </c>
      <c r="J527">
        <v>0</v>
      </c>
      <c r="K527">
        <v>0</v>
      </c>
      <c r="L527">
        <v>0</v>
      </c>
    </row>
    <row r="528" spans="1:12">
      <c r="A528" t="str">
        <f>HYPERLINK("http://bombeiros.sp.gov.br/hidrantes/03individual/2797.html","2797")</f>
        <v>2797</v>
      </c>
      <c r="B528" t="str">
        <f>HYPERLINK("http://bombeiros.sp.gov.br/hidrantes/08bsg/qrcodeBSG.html?id=2797&amp;lat=-23.53716&amp;long=-46.65428&amp;tipo=S","QRCODE")</f>
        <v>QRCODE</v>
      </c>
      <c r="C528" t="s">
        <v>5264</v>
      </c>
      <c r="D528" t="s">
        <v>519</v>
      </c>
      <c r="E528" t="s">
        <v>519</v>
      </c>
      <c r="F528" t="s">
        <v>21</v>
      </c>
      <c r="G528" t="s">
        <v>685</v>
      </c>
      <c r="H528">
        <v>0</v>
      </c>
      <c r="I528">
        <v>2</v>
      </c>
      <c r="J528">
        <v>0</v>
      </c>
      <c r="K528">
        <v>0</v>
      </c>
      <c r="L528">
        <v>0</v>
      </c>
    </row>
    <row r="529" spans="1:12">
      <c r="A529" t="str">
        <f>HYPERLINK("http://bombeiros.sp.gov.br/hidrantes/03individual/2812.html","2812")</f>
        <v>2812</v>
      </c>
      <c r="B529" t="str">
        <f>HYPERLINK("http://bombeiros.sp.gov.br/hidrantes/08bsg/qrcodeBSG.html?id=2812&amp;lat=-23.53616&amp;long=-46.64879&amp;tipo=S","QRCODE")</f>
        <v>QRCODE</v>
      </c>
      <c r="C529" t="s">
        <v>5264</v>
      </c>
      <c r="D529" t="s">
        <v>519</v>
      </c>
      <c r="E529" t="s">
        <v>519</v>
      </c>
      <c r="F529" t="s">
        <v>21</v>
      </c>
      <c r="G529" t="s">
        <v>2894</v>
      </c>
      <c r="H529">
        <v>0</v>
      </c>
      <c r="I529">
        <v>2</v>
      </c>
      <c r="J529">
        <v>0</v>
      </c>
      <c r="K529">
        <v>0</v>
      </c>
      <c r="L529">
        <v>0</v>
      </c>
    </row>
    <row r="530" spans="1:12">
      <c r="A530" t="str">
        <f>HYPERLINK("http://bombeiros.sp.gov.br/hidrantes/03individual/2821.html","2821")</f>
        <v>2821</v>
      </c>
      <c r="B530" t="str">
        <f>HYPERLINK("http://bombeiros.sp.gov.br/hidrantes/08bsg/qrcodeBSG.html?id=2821&amp;lat=-23.53839&amp;long=-46.65177&amp;tipo=S","QRCODE")</f>
        <v>QRCODE</v>
      </c>
      <c r="C530" t="s">
        <v>5264</v>
      </c>
      <c r="D530" t="s">
        <v>519</v>
      </c>
      <c r="E530" t="s">
        <v>519</v>
      </c>
      <c r="F530" t="s">
        <v>21</v>
      </c>
      <c r="G530" t="s">
        <v>2200</v>
      </c>
      <c r="H530">
        <v>0</v>
      </c>
      <c r="I530">
        <v>2</v>
      </c>
      <c r="J530">
        <v>0</v>
      </c>
      <c r="K530">
        <v>0</v>
      </c>
      <c r="L530">
        <v>0</v>
      </c>
    </row>
    <row r="531" spans="1:12">
      <c r="A531" t="str">
        <f>HYPERLINK("http://bombeiros.sp.gov.br/hidrantes/03individual/2836.html","2836")</f>
        <v>2836</v>
      </c>
      <c r="B531" t="str">
        <f>HYPERLINK("http://bombeiros.sp.gov.br/hidrantes/08bsg/qrcodeBSG.html?id=2836&amp;lat=-23.54156&amp;long=-46.65321&amp;tipo=S","QRCODE")</f>
        <v>QRCODE</v>
      </c>
      <c r="C531" t="s">
        <v>5264</v>
      </c>
      <c r="D531" t="s">
        <v>519</v>
      </c>
      <c r="E531" t="s">
        <v>519</v>
      </c>
      <c r="F531" t="s">
        <v>21</v>
      </c>
      <c r="G531" t="s">
        <v>946</v>
      </c>
      <c r="H531">
        <v>1</v>
      </c>
      <c r="I531">
        <v>2</v>
      </c>
      <c r="J531">
        <v>0</v>
      </c>
      <c r="K531">
        <v>0</v>
      </c>
      <c r="L531">
        <v>0</v>
      </c>
    </row>
    <row r="532" spans="1:12">
      <c r="A532" t="str">
        <f>HYPERLINK("http://bombeiros.sp.gov.br/hidrantes/03individual/2849.html","2849")</f>
        <v>2849</v>
      </c>
      <c r="B532" t="str">
        <f>HYPERLINK("http://bombeiros.sp.gov.br/hidrantes/08bsg/qrcodeBSG.html?id=2849&amp;lat=-23.53573&amp;long=-46.64180&amp;tipo=S","QRCODE")</f>
        <v>QRCODE</v>
      </c>
      <c r="C532" t="s">
        <v>5264</v>
      </c>
      <c r="D532" t="s">
        <v>519</v>
      </c>
      <c r="E532" t="s">
        <v>519</v>
      </c>
      <c r="F532" t="s">
        <v>21</v>
      </c>
      <c r="G532" t="s">
        <v>2582</v>
      </c>
      <c r="H532">
        <v>0</v>
      </c>
      <c r="I532">
        <v>2</v>
      </c>
      <c r="J532">
        <v>0</v>
      </c>
      <c r="K532">
        <v>0</v>
      </c>
      <c r="L532">
        <v>0</v>
      </c>
    </row>
    <row r="533" spans="1:12">
      <c r="A533" t="str">
        <f>HYPERLINK("http://bombeiros.sp.gov.br/hidrantes/03individual/2851.html","2851")</f>
        <v>2851</v>
      </c>
      <c r="B533" t="str">
        <f>HYPERLINK("http://bombeiros.sp.gov.br/hidrantes/08bsg/qrcodeBSG.html?id=2851&amp;lat=-23.54157&amp;long=-46.64989&amp;tipo=S","QRCODE")</f>
        <v>QRCODE</v>
      </c>
      <c r="C533" t="s">
        <v>5264</v>
      </c>
      <c r="D533" t="s">
        <v>519</v>
      </c>
      <c r="E533" t="s">
        <v>519</v>
      </c>
      <c r="F533" t="s">
        <v>21</v>
      </c>
      <c r="G533" t="s">
        <v>4844</v>
      </c>
      <c r="H533">
        <v>1</v>
      </c>
      <c r="I533">
        <v>2</v>
      </c>
      <c r="J533">
        <v>0</v>
      </c>
      <c r="K533">
        <v>0</v>
      </c>
      <c r="L533">
        <v>0</v>
      </c>
    </row>
    <row r="534" spans="1:12">
      <c r="A534" t="str">
        <f>HYPERLINK("http://bombeiros.sp.gov.br/hidrantes/03individual/2854.html","2854")</f>
        <v>2854</v>
      </c>
      <c r="B534" t="str">
        <f>HYPERLINK("http://bombeiros.sp.gov.br/hidrantes/08bsg/qrcodeBSG.html?id=2854&amp;lat=-23.54051&amp;long=-46.65070&amp;tipo=S","QRCODE")</f>
        <v>QRCODE</v>
      </c>
      <c r="C534" t="s">
        <v>5264</v>
      </c>
      <c r="D534" t="s">
        <v>519</v>
      </c>
      <c r="E534" t="s">
        <v>519</v>
      </c>
      <c r="F534" t="s">
        <v>21</v>
      </c>
      <c r="G534" t="s">
        <v>3499</v>
      </c>
      <c r="H534">
        <v>1</v>
      </c>
      <c r="I534">
        <v>2</v>
      </c>
      <c r="J534">
        <v>0</v>
      </c>
      <c r="K534">
        <v>0</v>
      </c>
      <c r="L534">
        <v>0</v>
      </c>
    </row>
    <row r="535" spans="1:12">
      <c r="A535" t="str">
        <f>HYPERLINK("http://bombeiros.sp.gov.br/hidrantes/03individual/2862.html","2862")</f>
        <v>2862</v>
      </c>
      <c r="B535" t="str">
        <f>HYPERLINK("http://bombeiros.sp.gov.br/hidrantes/08bsg/qrcodeBSG.html?id=2862&amp;lat=-23.53288&amp;long=-46.64362&amp;tipo=S","QRCODE")</f>
        <v>QRCODE</v>
      </c>
      <c r="C535" t="s">
        <v>5264</v>
      </c>
      <c r="D535" t="s">
        <v>519</v>
      </c>
      <c r="E535" t="s">
        <v>519</v>
      </c>
      <c r="F535" t="s">
        <v>21</v>
      </c>
      <c r="G535" t="s">
        <v>3614</v>
      </c>
      <c r="H535">
        <v>2</v>
      </c>
      <c r="I535">
        <v>1</v>
      </c>
      <c r="J535">
        <v>0</v>
      </c>
      <c r="K535">
        <v>0</v>
      </c>
      <c r="L535">
        <v>0</v>
      </c>
    </row>
    <row r="536" spans="1:12">
      <c r="A536" t="str">
        <f>HYPERLINK("http://bombeiros.sp.gov.br/hidrantes/03individual/2878.html","2878")</f>
        <v>2878</v>
      </c>
      <c r="B536" t="str">
        <f>HYPERLINK("http://bombeiros.sp.gov.br/hidrantes/08bsg/qrcodeBSG.html?id=2878&amp;lat=-23.53497&amp;long=-46.64969&amp;tipo=S","QRCODE")</f>
        <v>QRCODE</v>
      </c>
      <c r="C536" t="s">
        <v>5264</v>
      </c>
      <c r="D536" t="s">
        <v>519</v>
      </c>
      <c r="E536" t="s">
        <v>519</v>
      </c>
      <c r="F536" t="s">
        <v>21</v>
      </c>
      <c r="G536" t="s">
        <v>2879</v>
      </c>
      <c r="H536">
        <v>0</v>
      </c>
      <c r="I536">
        <v>2</v>
      </c>
      <c r="J536">
        <v>0</v>
      </c>
      <c r="K536">
        <v>0</v>
      </c>
      <c r="L536">
        <v>0</v>
      </c>
    </row>
    <row r="537" spans="1:12">
      <c r="A537" t="str">
        <f>HYPERLINK("http://bombeiros.sp.gov.br/hidrantes/03individual/2899.html","2899")</f>
        <v>2899</v>
      </c>
      <c r="B537" t="str">
        <f>HYPERLINK("http://bombeiros.sp.gov.br/hidrantes/08bsg/qrcodeBSG.html?id=2899&amp;lat=-23.53521&amp;long=-46.64682&amp;tipo=S","QRCODE")</f>
        <v>QRCODE</v>
      </c>
      <c r="C537" t="s">
        <v>5264</v>
      </c>
      <c r="D537" t="s">
        <v>519</v>
      </c>
      <c r="E537" t="s">
        <v>519</v>
      </c>
      <c r="F537" t="s">
        <v>21</v>
      </c>
      <c r="G537" t="s">
        <v>3625</v>
      </c>
      <c r="H537">
        <v>1</v>
      </c>
      <c r="I537">
        <v>1</v>
      </c>
      <c r="J537">
        <v>0</v>
      </c>
      <c r="K537">
        <v>0</v>
      </c>
      <c r="L537">
        <v>0</v>
      </c>
    </row>
    <row r="538" spans="1:12">
      <c r="A538" t="str">
        <f>HYPERLINK("http://bombeiros.sp.gov.br/hidrantes/03individual/2907.html","2907")</f>
        <v>2907</v>
      </c>
      <c r="B538" t="str">
        <f>HYPERLINK("http://bombeiros.sp.gov.br/hidrantes/08bsg/qrcodeBSG.html?id=2907&amp;lat=-23.53785&amp;long=-46.64874&amp;tipo=S","QRCODE")</f>
        <v>QRCODE</v>
      </c>
      <c r="C538" t="s">
        <v>5264</v>
      </c>
      <c r="D538" t="s">
        <v>519</v>
      </c>
      <c r="E538" t="s">
        <v>519</v>
      </c>
      <c r="F538" t="s">
        <v>21</v>
      </c>
      <c r="G538" t="s">
        <v>2877</v>
      </c>
      <c r="H538">
        <v>1</v>
      </c>
      <c r="I538">
        <v>2</v>
      </c>
      <c r="J538">
        <v>0</v>
      </c>
      <c r="K538">
        <v>0</v>
      </c>
      <c r="L538">
        <v>0</v>
      </c>
    </row>
    <row r="539" spans="1:12">
      <c r="A539" t="str">
        <f>HYPERLINK("http://bombeiros.sp.gov.br/hidrantes/03individual/2917.html","2917")</f>
        <v>2917</v>
      </c>
      <c r="B539" t="str">
        <f>HYPERLINK("http://bombeiros.sp.gov.br/hidrantes/08bsg/qrcodeBSG.html?id=2917&amp;lat=-23.52949&amp;long=-46.64487&amp;tipo=S","QRCODE")</f>
        <v>QRCODE</v>
      </c>
      <c r="C539" t="s">
        <v>5264</v>
      </c>
      <c r="D539" t="s">
        <v>519</v>
      </c>
      <c r="E539" t="s">
        <v>519</v>
      </c>
      <c r="F539" t="s">
        <v>21</v>
      </c>
      <c r="G539" t="s">
        <v>3631</v>
      </c>
      <c r="H539">
        <v>1</v>
      </c>
      <c r="I539">
        <v>1</v>
      </c>
      <c r="J539">
        <v>0</v>
      </c>
      <c r="K539">
        <v>0</v>
      </c>
      <c r="L539">
        <v>0</v>
      </c>
    </row>
    <row r="540" spans="1:12">
      <c r="A540" t="str">
        <f>HYPERLINK("http://bombeiros.sp.gov.br/hidrantes/03individual/2918.html","2918")</f>
        <v>2918</v>
      </c>
      <c r="B540" t="str">
        <f>HYPERLINK("http://bombeiros.sp.gov.br/hidrantes/08bsg/qrcodeBSG.html?id=2918&amp;lat=-23.52900&amp;long=-46.64398&amp;tipo=S","QRCODE")</f>
        <v>QRCODE</v>
      </c>
      <c r="C540" t="s">
        <v>5264</v>
      </c>
      <c r="D540" t="s">
        <v>519</v>
      </c>
      <c r="E540" t="s">
        <v>519</v>
      </c>
      <c r="F540" t="s">
        <v>21</v>
      </c>
      <c r="G540" t="s">
        <v>2573</v>
      </c>
      <c r="H540">
        <v>0</v>
      </c>
      <c r="I540">
        <v>2</v>
      </c>
      <c r="J540">
        <v>0</v>
      </c>
      <c r="K540">
        <v>0</v>
      </c>
      <c r="L540">
        <v>0</v>
      </c>
    </row>
    <row r="541" spans="1:12">
      <c r="A541" t="str">
        <f>HYPERLINK("http://bombeiros.sp.gov.br/hidrantes/03individual/17905.html","17905")</f>
        <v>17905</v>
      </c>
      <c r="B541" t="str">
        <f>HYPERLINK("http://bombeiros.sp.gov.br/hidrantes/08bsg/qrcodeBSG.html?id=17905&amp;lat=-23.53299&amp;long=-46.64101&amp;tipo=S","QRCODE")</f>
        <v>QRCODE</v>
      </c>
      <c r="C541" t="s">
        <v>5264</v>
      </c>
      <c r="D541" t="s">
        <v>519</v>
      </c>
      <c r="E541" t="s">
        <v>519</v>
      </c>
      <c r="F541" t="s">
        <v>21</v>
      </c>
      <c r="G541" t="s">
        <v>4840</v>
      </c>
      <c r="H541">
        <v>0</v>
      </c>
      <c r="I541">
        <v>2</v>
      </c>
      <c r="J541">
        <v>0</v>
      </c>
      <c r="K541">
        <v>0</v>
      </c>
      <c r="L541">
        <v>0</v>
      </c>
    </row>
    <row r="542" spans="1:12">
      <c r="A542" t="str">
        <f>HYPERLINK("http://bombeiros.sp.gov.br/hidrantes/03individual/25220.html","25220")</f>
        <v>25220</v>
      </c>
      <c r="B542" t="str">
        <f>HYPERLINK("http://bombeiros.sp.gov.br/hidrantes/08bsg/qrcodeBSG.html?id=25220&amp;lat=-23.54150&amp;long=-46.65203&amp;tipo=S","QRCODE")</f>
        <v>QRCODE</v>
      </c>
      <c r="C542" t="s">
        <v>5264</v>
      </c>
      <c r="D542" t="s">
        <v>519</v>
      </c>
      <c r="E542" t="s">
        <v>519</v>
      </c>
      <c r="F542" t="s">
        <v>21</v>
      </c>
      <c r="G542" t="s">
        <v>2180</v>
      </c>
      <c r="H542">
        <v>0</v>
      </c>
      <c r="I542">
        <v>2</v>
      </c>
      <c r="J542">
        <v>0</v>
      </c>
      <c r="K542">
        <v>0</v>
      </c>
      <c r="L542">
        <v>0</v>
      </c>
    </row>
    <row r="543" spans="1:12">
      <c r="A543" t="str">
        <f>HYPERLINK("http://bombeiros.sp.gov.br/hidrantes/03individual/2150.html","2150")</f>
        <v>2150</v>
      </c>
      <c r="B543" t="str">
        <f>HYPERLINK("http://bombeiros.sp.gov.br/hidrantes/08bsg/qrcodeBSG.html?id=2150&amp;lat=-23.54480&amp;long=-46.62675&amp;tipo=C","QRCODE")</f>
        <v>QRCODE</v>
      </c>
      <c r="C543" t="s">
        <v>5264</v>
      </c>
      <c r="D543" t="s">
        <v>133</v>
      </c>
      <c r="E543" t="s">
        <v>561</v>
      </c>
      <c r="F543" t="s">
        <v>12</v>
      </c>
      <c r="G543" t="s">
        <v>560</v>
      </c>
      <c r="H543">
        <v>1</v>
      </c>
      <c r="I543">
        <v>1</v>
      </c>
      <c r="J543">
        <v>0</v>
      </c>
      <c r="K543">
        <v>0</v>
      </c>
      <c r="L543">
        <v>0</v>
      </c>
    </row>
    <row r="544" spans="1:12">
      <c r="A544" t="str">
        <f>HYPERLINK("http://bombeiros.sp.gov.br/hidrantes/03individual/2164.html","2164")</f>
        <v>2164</v>
      </c>
      <c r="B544" t="str">
        <f>HYPERLINK("http://bombeiros.sp.gov.br/hidrantes/08bsg/qrcodeBSG.html?id=2164&amp;lat=-23.54479&amp;long=-46.63379&amp;tipo=C","QRCODE")</f>
        <v>QRCODE</v>
      </c>
      <c r="C544" t="s">
        <v>5264</v>
      </c>
      <c r="D544" t="s">
        <v>133</v>
      </c>
      <c r="E544" t="s">
        <v>561</v>
      </c>
      <c r="F544" t="s">
        <v>12</v>
      </c>
      <c r="G544" t="s">
        <v>1025</v>
      </c>
      <c r="H544">
        <v>1</v>
      </c>
      <c r="I544">
        <v>2</v>
      </c>
      <c r="J544">
        <v>0</v>
      </c>
      <c r="K544">
        <v>0</v>
      </c>
      <c r="L544">
        <v>0</v>
      </c>
    </row>
    <row r="545" spans="1:12">
      <c r="A545" t="str">
        <f>HYPERLINK("http://bombeiros.sp.gov.br/hidrantes/03individual/2588.html","2588")</f>
        <v>2588</v>
      </c>
      <c r="B545" t="str">
        <f>HYPERLINK("http://bombeiros.sp.gov.br/hidrantes/08bsg/qrcodeBSG.html?id=2588&amp;lat=-23.54070&amp;long=-46.63227&amp;tipo=C","QRCODE")</f>
        <v>QRCODE</v>
      </c>
      <c r="C545" t="s">
        <v>5264</v>
      </c>
      <c r="D545" t="s">
        <v>133</v>
      </c>
      <c r="E545" t="s">
        <v>561</v>
      </c>
      <c r="F545" t="s">
        <v>12</v>
      </c>
      <c r="G545" t="s">
        <v>5218</v>
      </c>
      <c r="H545">
        <v>1</v>
      </c>
      <c r="I545">
        <v>0</v>
      </c>
      <c r="J545">
        <v>0</v>
      </c>
      <c r="K545">
        <v>0</v>
      </c>
      <c r="L545">
        <v>0</v>
      </c>
    </row>
    <row r="546" spans="1:12">
      <c r="A546" t="str">
        <f>HYPERLINK("http://bombeiros.sp.gov.br/hidrantes/03individual/2634.html","2634")</f>
        <v>2634</v>
      </c>
      <c r="B546" t="str">
        <f>HYPERLINK("http://bombeiros.sp.gov.br/hidrantes/08bsg/qrcodeBSG.html?id=2634&amp;lat=-23.53921&amp;long=-46.63294&amp;tipo=C","QRCODE")</f>
        <v>QRCODE</v>
      </c>
      <c r="C546" t="s">
        <v>5264</v>
      </c>
      <c r="D546" t="s">
        <v>133</v>
      </c>
      <c r="E546" t="s">
        <v>561</v>
      </c>
      <c r="F546" t="s">
        <v>12</v>
      </c>
      <c r="G546" t="s">
        <v>5097</v>
      </c>
      <c r="H546">
        <v>0</v>
      </c>
      <c r="I546">
        <v>2</v>
      </c>
      <c r="J546">
        <v>0</v>
      </c>
      <c r="K546">
        <v>0</v>
      </c>
      <c r="L546">
        <v>0</v>
      </c>
    </row>
    <row r="547" spans="1:12">
      <c r="A547" t="str">
        <f>HYPERLINK("http://bombeiros.sp.gov.br/hidrantes/03individual/2818.html","2818")</f>
        <v>2818</v>
      </c>
      <c r="B547" t="str">
        <f>HYPERLINK("http://bombeiros.sp.gov.br/hidrantes/08bsg/qrcodeBSG.html?id=2818&amp;lat=-23.55105&amp;long=-46.62787&amp;tipo=C","QRCODE")</f>
        <v>QRCODE</v>
      </c>
      <c r="C547" t="s">
        <v>5264</v>
      </c>
      <c r="D547" t="s">
        <v>133</v>
      </c>
      <c r="E547" t="s">
        <v>561</v>
      </c>
      <c r="F547" t="s">
        <v>12</v>
      </c>
      <c r="G547" t="s">
        <v>2454</v>
      </c>
      <c r="H547">
        <v>1</v>
      </c>
      <c r="I547">
        <v>1</v>
      </c>
      <c r="J547">
        <v>0</v>
      </c>
      <c r="K547">
        <v>0</v>
      </c>
      <c r="L547">
        <v>0</v>
      </c>
    </row>
    <row r="548" spans="1:12">
      <c r="A548" t="str">
        <f>HYPERLINK("http://bombeiros.sp.gov.br/hidrantes/03individual/2948.html","2948")</f>
        <v>2948</v>
      </c>
      <c r="B548" t="str">
        <f>HYPERLINK("http://bombeiros.sp.gov.br/hidrantes/08bsg/qrcodeBSG.html?id=2948&amp;lat=-23.53640&amp;long=-46.63341&amp;tipo=C","QRCODE")</f>
        <v>QRCODE</v>
      </c>
      <c r="C548" t="s">
        <v>5264</v>
      </c>
      <c r="D548" t="s">
        <v>133</v>
      </c>
      <c r="E548" t="s">
        <v>561</v>
      </c>
      <c r="F548" t="s">
        <v>12</v>
      </c>
      <c r="G548" t="s">
        <v>2431</v>
      </c>
      <c r="H548">
        <v>0</v>
      </c>
      <c r="I548">
        <v>3</v>
      </c>
      <c r="J548">
        <v>0</v>
      </c>
      <c r="K548">
        <v>0</v>
      </c>
      <c r="L548">
        <v>0</v>
      </c>
    </row>
    <row r="549" spans="1:12">
      <c r="A549" t="str">
        <f>HYPERLINK("http://bombeiros.sp.gov.br/hidrantes/03individual/1.html","1")</f>
        <v>1</v>
      </c>
      <c r="B549" t="str">
        <f>HYPERLINK("http://bombeiros.sp.gov.br/hidrantes/08bsg/qrcodeBSG.html?id=1&amp;lat=-23.54410&amp;long=-46.63204&amp;tipo=S","QRCODE")</f>
        <v>QRCODE</v>
      </c>
      <c r="C549" t="s">
        <v>5264</v>
      </c>
      <c r="D549" t="s">
        <v>133</v>
      </c>
      <c r="E549" t="s">
        <v>561</v>
      </c>
      <c r="F549" t="s">
        <v>21</v>
      </c>
      <c r="G549" t="s">
        <v>827</v>
      </c>
      <c r="H549">
        <v>1</v>
      </c>
      <c r="I549">
        <v>2</v>
      </c>
      <c r="J549">
        <v>0</v>
      </c>
      <c r="K549">
        <v>0</v>
      </c>
      <c r="L549">
        <v>0</v>
      </c>
    </row>
    <row r="550" spans="1:12">
      <c r="A550" t="str">
        <f>HYPERLINK("http://bombeiros.sp.gov.br/hidrantes/03individual/15.html","15")</f>
        <v>15</v>
      </c>
      <c r="B550" t="str">
        <f>HYPERLINK("http://bombeiros.sp.gov.br/hidrantes/08bsg/qrcodeBSG.html?id=15&amp;lat=-23.54335&amp;long=-46.63228&amp;tipo=S","QRCODE")</f>
        <v>QRCODE</v>
      </c>
      <c r="C550" t="s">
        <v>5264</v>
      </c>
      <c r="D550" t="s">
        <v>133</v>
      </c>
      <c r="E550" t="s">
        <v>561</v>
      </c>
      <c r="F550" t="s">
        <v>21</v>
      </c>
      <c r="G550" t="s">
        <v>824</v>
      </c>
      <c r="H550">
        <v>2</v>
      </c>
      <c r="I550">
        <v>2</v>
      </c>
      <c r="J550">
        <v>0</v>
      </c>
      <c r="K550">
        <v>0</v>
      </c>
      <c r="L550">
        <v>0</v>
      </c>
    </row>
    <row r="551" spans="1:12">
      <c r="A551" t="str">
        <f>HYPERLINK("http://bombeiros.sp.gov.br/hidrantes/03individual/17.html","17")</f>
        <v>17</v>
      </c>
      <c r="B551" t="str">
        <f>HYPERLINK("http://bombeiros.sp.gov.br/hidrantes/08bsg/qrcodeBSG.html?id=17&amp;lat=-23.54738&amp;long=-46.63183&amp;tipo=S","QRCODE")</f>
        <v>QRCODE</v>
      </c>
      <c r="C551" t="s">
        <v>5264</v>
      </c>
      <c r="D551" t="s">
        <v>133</v>
      </c>
      <c r="E551" t="s">
        <v>561</v>
      </c>
      <c r="F551" t="s">
        <v>21</v>
      </c>
      <c r="G551" t="s">
        <v>2089</v>
      </c>
      <c r="H551">
        <v>0</v>
      </c>
      <c r="I551">
        <v>2</v>
      </c>
      <c r="J551">
        <v>0</v>
      </c>
      <c r="K551">
        <v>0</v>
      </c>
      <c r="L551">
        <v>0</v>
      </c>
    </row>
    <row r="552" spans="1:12">
      <c r="A552" t="str">
        <f>HYPERLINK("http://bombeiros.sp.gov.br/hidrantes/03individual/47.html","47")</f>
        <v>47</v>
      </c>
      <c r="B552" t="str">
        <f>HYPERLINK("http://bombeiros.sp.gov.br/hidrantes/08bsg/qrcodeBSG.html?id=47&amp;lat=-23.54448&amp;long=-46.63082&amp;tipo=S","QRCODE")</f>
        <v>QRCODE</v>
      </c>
      <c r="C552" t="s">
        <v>5264</v>
      </c>
      <c r="D552" t="s">
        <v>133</v>
      </c>
      <c r="E552" t="s">
        <v>561</v>
      </c>
      <c r="F552" t="s">
        <v>21</v>
      </c>
      <c r="G552" t="s">
        <v>586</v>
      </c>
      <c r="H552">
        <v>1</v>
      </c>
      <c r="I552">
        <v>1</v>
      </c>
      <c r="J552">
        <v>0</v>
      </c>
      <c r="K552">
        <v>0</v>
      </c>
      <c r="L552">
        <v>0</v>
      </c>
    </row>
    <row r="553" spans="1:12">
      <c r="A553" t="str">
        <f>HYPERLINK("http://bombeiros.sp.gov.br/hidrantes/03individual/184.html","184")</f>
        <v>184</v>
      </c>
      <c r="B553" t="str">
        <f>HYPERLINK("http://bombeiros.sp.gov.br/hidrantes/08bsg/qrcodeBSG.html?id=184&amp;lat=-23.54515&amp;long=-46.63377&amp;tipo=S","QRCODE")</f>
        <v>QRCODE</v>
      </c>
      <c r="C553" t="s">
        <v>5264</v>
      </c>
      <c r="D553" t="s">
        <v>133</v>
      </c>
      <c r="E553" t="s">
        <v>561</v>
      </c>
      <c r="F553" t="s">
        <v>21</v>
      </c>
      <c r="G553" t="s">
        <v>817</v>
      </c>
      <c r="H553">
        <v>1</v>
      </c>
      <c r="I553">
        <v>2</v>
      </c>
      <c r="J553">
        <v>0</v>
      </c>
      <c r="K553">
        <v>0</v>
      </c>
      <c r="L553">
        <v>0</v>
      </c>
    </row>
    <row r="554" spans="1:12">
      <c r="A554" t="str">
        <f>HYPERLINK("http://bombeiros.sp.gov.br/hidrantes/03individual/640.html","640")</f>
        <v>640</v>
      </c>
      <c r="B554" t="str">
        <f>HYPERLINK("http://bombeiros.sp.gov.br/hidrantes/08bsg/qrcodeBSG.html?id=640&amp;lat=-23.53907&amp;long=-46.63081&amp;tipo=S","QRCODE")</f>
        <v>QRCODE</v>
      </c>
      <c r="C554" t="s">
        <v>5264</v>
      </c>
      <c r="D554" t="s">
        <v>133</v>
      </c>
      <c r="E554" t="s">
        <v>561</v>
      </c>
      <c r="F554" t="s">
        <v>21</v>
      </c>
      <c r="G554" t="s">
        <v>2854</v>
      </c>
      <c r="H554">
        <v>0</v>
      </c>
      <c r="I554">
        <v>2</v>
      </c>
      <c r="J554">
        <v>0</v>
      </c>
      <c r="K554">
        <v>0</v>
      </c>
      <c r="L554">
        <v>0</v>
      </c>
    </row>
    <row r="555" spans="1:12">
      <c r="A555" t="str">
        <f>HYPERLINK("http://bombeiros.sp.gov.br/hidrantes/03individual/703.html","703")</f>
        <v>703</v>
      </c>
      <c r="B555" t="str">
        <f>HYPERLINK("http://bombeiros.sp.gov.br/hidrantes/08bsg/qrcodeBSG.html?id=703&amp;lat=-23.53687&amp;long=-46.62993&amp;tipo=S","QRCODE")</f>
        <v>QRCODE</v>
      </c>
      <c r="C555" t="s">
        <v>5264</v>
      </c>
      <c r="D555" t="s">
        <v>133</v>
      </c>
      <c r="E555" t="s">
        <v>561</v>
      </c>
      <c r="F555" t="s">
        <v>21</v>
      </c>
      <c r="G555" t="s">
        <v>2848</v>
      </c>
      <c r="H555">
        <v>0</v>
      </c>
      <c r="I555">
        <v>2</v>
      </c>
      <c r="J555">
        <v>0</v>
      </c>
      <c r="K555">
        <v>0</v>
      </c>
      <c r="L555">
        <v>0</v>
      </c>
    </row>
    <row r="556" spans="1:12">
      <c r="A556" t="str">
        <f>HYPERLINK("http://bombeiros.sp.gov.br/hidrantes/03individual/775.html","775")</f>
        <v>775</v>
      </c>
      <c r="B556" t="str">
        <f>HYPERLINK("http://bombeiros.sp.gov.br/hidrantes/08bsg/qrcodeBSG.html?id=775&amp;lat=-23.53850&amp;long=-46.63022&amp;tipo=S","QRCODE")</f>
        <v>QRCODE</v>
      </c>
      <c r="C556" t="s">
        <v>5264</v>
      </c>
      <c r="D556" t="s">
        <v>133</v>
      </c>
      <c r="E556" t="s">
        <v>561</v>
      </c>
      <c r="F556" t="s">
        <v>21</v>
      </c>
      <c r="G556" t="s">
        <v>5101</v>
      </c>
      <c r="H556">
        <v>0</v>
      </c>
      <c r="I556">
        <v>1</v>
      </c>
      <c r="J556">
        <v>0</v>
      </c>
      <c r="K556">
        <v>0</v>
      </c>
      <c r="L556">
        <v>0</v>
      </c>
    </row>
    <row r="557" spans="1:12">
      <c r="A557" t="str">
        <f>HYPERLINK("http://bombeiros.sp.gov.br/hidrantes/03individual/2087.html","2087")</f>
        <v>2087</v>
      </c>
      <c r="B557" t="str">
        <f>HYPERLINK("http://bombeiros.sp.gov.br/hidrantes/08bsg/qrcodeBSG.html?id=2087&amp;lat=-23.53888&amp;long=-46.62899&amp;tipo=S","QRCODE")</f>
        <v>QRCODE</v>
      </c>
      <c r="C557" t="s">
        <v>5264</v>
      </c>
      <c r="D557" t="s">
        <v>133</v>
      </c>
      <c r="E557" t="s">
        <v>561</v>
      </c>
      <c r="F557" t="s">
        <v>21</v>
      </c>
      <c r="G557" t="s">
        <v>3542</v>
      </c>
      <c r="H557">
        <v>1</v>
      </c>
      <c r="I557">
        <v>1</v>
      </c>
      <c r="J557">
        <v>0</v>
      </c>
      <c r="K557">
        <v>0</v>
      </c>
      <c r="L557">
        <v>0</v>
      </c>
    </row>
    <row r="558" spans="1:12">
      <c r="A558" t="str">
        <f>HYPERLINK("http://bombeiros.sp.gov.br/hidrantes/03individual/2090.html","2090")</f>
        <v>2090</v>
      </c>
      <c r="B558" t="str">
        <f>HYPERLINK("http://bombeiros.sp.gov.br/hidrantes/08bsg/qrcodeBSG.html?id=2090&amp;lat=-23.53839&amp;long=-46.63097&amp;tipo=S","QRCODE")</f>
        <v>QRCODE</v>
      </c>
      <c r="C558" t="s">
        <v>5264</v>
      </c>
      <c r="D558" t="s">
        <v>133</v>
      </c>
      <c r="E558" t="s">
        <v>561</v>
      </c>
      <c r="F558" t="s">
        <v>21</v>
      </c>
      <c r="G558" t="s">
        <v>5244</v>
      </c>
      <c r="H558">
        <v>1</v>
      </c>
      <c r="I558">
        <v>0</v>
      </c>
      <c r="J558">
        <v>0</v>
      </c>
      <c r="K558">
        <v>0</v>
      </c>
      <c r="L558">
        <v>0</v>
      </c>
    </row>
    <row r="559" spans="1:12">
      <c r="A559" t="str">
        <f>HYPERLINK("http://bombeiros.sp.gov.br/hidrantes/03individual/2099.html","2099")</f>
        <v>2099</v>
      </c>
      <c r="B559" t="str">
        <f>HYPERLINK("http://bombeiros.sp.gov.br/hidrantes/08bsg/qrcodeBSG.html?id=2099&amp;lat=-23.53666&amp;long=-46.63084&amp;tipo=S","QRCODE")</f>
        <v>QRCODE</v>
      </c>
      <c r="C559" t="s">
        <v>5264</v>
      </c>
      <c r="D559" t="s">
        <v>133</v>
      </c>
      <c r="E559" t="s">
        <v>561</v>
      </c>
      <c r="F559" t="s">
        <v>21</v>
      </c>
      <c r="G559" t="s">
        <v>5246</v>
      </c>
      <c r="H559">
        <v>1</v>
      </c>
      <c r="I559">
        <v>0</v>
      </c>
      <c r="J559">
        <v>0</v>
      </c>
      <c r="K559">
        <v>0</v>
      </c>
      <c r="L559">
        <v>0</v>
      </c>
    </row>
    <row r="560" spans="1:12">
      <c r="A560" t="str">
        <f>HYPERLINK("http://bombeiros.sp.gov.br/hidrantes/03individual/2558.html","2558")</f>
        <v>2558</v>
      </c>
      <c r="B560" t="str">
        <f>HYPERLINK("http://bombeiros.sp.gov.br/hidrantes/08bsg/qrcodeBSG.html?id=2558&amp;lat=-23.54473&amp;long=-46.63161&amp;tipo=S","QRCODE")</f>
        <v>QRCODE</v>
      </c>
      <c r="C560" t="s">
        <v>5264</v>
      </c>
      <c r="D560" t="s">
        <v>133</v>
      </c>
      <c r="E560" t="s">
        <v>561</v>
      </c>
      <c r="F560" t="s">
        <v>21</v>
      </c>
      <c r="G560" t="s">
        <v>908</v>
      </c>
      <c r="H560">
        <v>1</v>
      </c>
      <c r="I560">
        <v>2</v>
      </c>
      <c r="J560">
        <v>0</v>
      </c>
      <c r="K560">
        <v>0</v>
      </c>
      <c r="L560">
        <v>0</v>
      </c>
    </row>
    <row r="561" spans="1:12">
      <c r="A561" t="str">
        <f>HYPERLINK("http://bombeiros.sp.gov.br/hidrantes/03individual/2580.html","2580")</f>
        <v>2580</v>
      </c>
      <c r="B561" t="str">
        <f>HYPERLINK("http://bombeiros.sp.gov.br/hidrantes/08bsg/qrcodeBSG.html?id=2580&amp;lat=-23.54191&amp;long=-46.63097&amp;tipo=S","QRCODE")</f>
        <v>QRCODE</v>
      </c>
      <c r="C561" t="s">
        <v>5264</v>
      </c>
      <c r="D561" t="s">
        <v>133</v>
      </c>
      <c r="E561" t="s">
        <v>561</v>
      </c>
      <c r="F561" t="s">
        <v>21</v>
      </c>
      <c r="G561" t="s">
        <v>4834</v>
      </c>
      <c r="H561">
        <v>1</v>
      </c>
      <c r="I561">
        <v>1</v>
      </c>
      <c r="J561">
        <v>0</v>
      </c>
      <c r="K561">
        <v>0</v>
      </c>
      <c r="L561">
        <v>0</v>
      </c>
    </row>
    <row r="562" spans="1:12">
      <c r="A562" t="str">
        <f>HYPERLINK("http://bombeiros.sp.gov.br/hidrantes/03individual/2583.html","2583")</f>
        <v>2583</v>
      </c>
      <c r="B562" t="str">
        <f>HYPERLINK("http://bombeiros.sp.gov.br/hidrantes/08bsg/qrcodeBSG.html?id=2583&amp;lat=-23.54193&amp;long=-46.63237&amp;tipo=S","QRCODE")</f>
        <v>QRCODE</v>
      </c>
      <c r="C562" t="s">
        <v>5264</v>
      </c>
      <c r="D562" t="s">
        <v>133</v>
      </c>
      <c r="E562" t="s">
        <v>561</v>
      </c>
      <c r="F562" t="s">
        <v>21</v>
      </c>
      <c r="G562" t="s">
        <v>4846</v>
      </c>
      <c r="H562">
        <v>2</v>
      </c>
      <c r="I562">
        <v>2</v>
      </c>
      <c r="J562">
        <v>0</v>
      </c>
      <c r="K562">
        <v>0</v>
      </c>
      <c r="L562">
        <v>0</v>
      </c>
    </row>
    <row r="563" spans="1:12">
      <c r="A563" t="str">
        <f>HYPERLINK("http://bombeiros.sp.gov.br/hidrantes/03individual/2679.html","2679")</f>
        <v>2679</v>
      </c>
      <c r="B563" t="str">
        <f>HYPERLINK("http://bombeiros.sp.gov.br/hidrantes/08bsg/qrcodeBSG.html?id=2679&amp;lat=-23.54007&amp;long=-46.63334&amp;tipo=S","QRCODE")</f>
        <v>QRCODE</v>
      </c>
      <c r="C563" t="s">
        <v>5264</v>
      </c>
      <c r="D563" t="s">
        <v>133</v>
      </c>
      <c r="E563" t="s">
        <v>561</v>
      </c>
      <c r="F563" t="s">
        <v>21</v>
      </c>
      <c r="G563" t="s">
        <v>2887</v>
      </c>
      <c r="H563">
        <v>1</v>
      </c>
      <c r="I563">
        <v>1</v>
      </c>
      <c r="J563">
        <v>0</v>
      </c>
      <c r="K563">
        <v>0</v>
      </c>
      <c r="L563">
        <v>0</v>
      </c>
    </row>
    <row r="564" spans="1:12">
      <c r="A564" t="str">
        <f>HYPERLINK("http://bombeiros.sp.gov.br/hidrantes/03individual/2928.html","2928")</f>
        <v>2928</v>
      </c>
      <c r="B564" t="str">
        <f>HYPERLINK("http://bombeiros.sp.gov.br/hidrantes/08bsg/qrcodeBSG.html?id=2928&amp;lat=-23.54399&amp;long=-46.63389&amp;tipo=S","QRCODE")</f>
        <v>QRCODE</v>
      </c>
      <c r="C564" t="s">
        <v>5264</v>
      </c>
      <c r="D564" t="s">
        <v>133</v>
      </c>
      <c r="E564" t="s">
        <v>561</v>
      </c>
      <c r="F564" t="s">
        <v>21</v>
      </c>
      <c r="G564" t="s">
        <v>2456</v>
      </c>
      <c r="H564">
        <v>0</v>
      </c>
      <c r="I564">
        <v>1</v>
      </c>
      <c r="J564">
        <v>0</v>
      </c>
      <c r="K564">
        <v>0</v>
      </c>
      <c r="L564">
        <v>0</v>
      </c>
    </row>
    <row r="565" spans="1:12">
      <c r="A565" t="str">
        <f>HYPERLINK("http://bombeiros.sp.gov.br/hidrantes/03individual/16527.html","16527")</f>
        <v>16527</v>
      </c>
      <c r="B565" t="str">
        <f>HYPERLINK("http://bombeiros.sp.gov.br/hidrantes/08bsg/qrcodeBSG.html?id=16527&amp;lat=-23.54983&amp;long=-46.62932&amp;tipo=S","QRCODE")</f>
        <v>QRCODE</v>
      </c>
      <c r="C565" t="s">
        <v>5264</v>
      </c>
      <c r="D565" t="s">
        <v>133</v>
      </c>
      <c r="E565" t="s">
        <v>561</v>
      </c>
      <c r="F565" t="s">
        <v>21</v>
      </c>
      <c r="G565" t="s">
        <v>3420</v>
      </c>
      <c r="H565">
        <v>1</v>
      </c>
      <c r="I565">
        <v>1</v>
      </c>
      <c r="J565">
        <v>0</v>
      </c>
      <c r="K565">
        <v>0</v>
      </c>
      <c r="L565">
        <v>0</v>
      </c>
    </row>
    <row r="566" spans="1:12">
      <c r="A566" t="str">
        <f>HYPERLINK("http://bombeiros.sp.gov.br/hidrantes/03individual/17719.html","17719")</f>
        <v>17719</v>
      </c>
      <c r="B566" t="str">
        <f>HYPERLINK("http://bombeiros.sp.gov.br/hidrantes/08bsg/qrcodeBSG.html?id=17719&amp;lat=-23.54084&amp;long=-46.63289&amp;tipo=S","QRCODE")</f>
        <v>QRCODE</v>
      </c>
      <c r="C566" t="s">
        <v>5264</v>
      </c>
      <c r="D566" t="s">
        <v>133</v>
      </c>
      <c r="E566" t="s">
        <v>561</v>
      </c>
      <c r="F566" t="s">
        <v>21</v>
      </c>
      <c r="G566" t="s">
        <v>2910</v>
      </c>
      <c r="H566">
        <v>1</v>
      </c>
      <c r="I566">
        <v>1</v>
      </c>
      <c r="J566">
        <v>0</v>
      </c>
      <c r="K566">
        <v>0</v>
      </c>
      <c r="L566">
        <v>0</v>
      </c>
    </row>
    <row r="567" spans="1:12">
      <c r="A567" t="str">
        <f>HYPERLINK("http://bombeiros.sp.gov.br/hidrantes/03individual/214.html","214")</f>
        <v>214</v>
      </c>
      <c r="B567" t="str">
        <f>HYPERLINK("http://bombeiros.sp.gov.br/hidrantes/08bsg/qrcodeBSG.html?id=214&amp;lat=-23.55249&amp;long=-46.63404&amp;tipo=C","QRCODE")</f>
        <v>QRCODE</v>
      </c>
      <c r="C567" t="s">
        <v>5264</v>
      </c>
      <c r="D567" t="s">
        <v>133</v>
      </c>
      <c r="E567" t="s">
        <v>826</v>
      </c>
      <c r="F567" t="s">
        <v>12</v>
      </c>
      <c r="G567" t="s">
        <v>2866</v>
      </c>
      <c r="H567">
        <v>0</v>
      </c>
      <c r="I567">
        <v>2</v>
      </c>
      <c r="J567">
        <v>0</v>
      </c>
      <c r="K567">
        <v>0</v>
      </c>
      <c r="L567">
        <v>0</v>
      </c>
    </row>
    <row r="568" spans="1:12">
      <c r="A568" t="str">
        <f>HYPERLINK("http://bombeiros.sp.gov.br/hidrantes/03individual/2493.html","2493")</f>
        <v>2493</v>
      </c>
      <c r="B568" t="str">
        <f>HYPERLINK("http://bombeiros.sp.gov.br/hidrantes/08bsg/qrcodeBSG.html?id=2493&amp;lat=-23.55517&amp;long=-46.63606&amp;tipo=C","QRCODE")</f>
        <v>QRCODE</v>
      </c>
      <c r="C568" t="s">
        <v>5264</v>
      </c>
      <c r="D568" t="s">
        <v>133</v>
      </c>
      <c r="E568" t="s">
        <v>826</v>
      </c>
      <c r="F568" t="s">
        <v>12</v>
      </c>
      <c r="G568" t="s">
        <v>2890</v>
      </c>
      <c r="H568">
        <v>0</v>
      </c>
      <c r="I568">
        <v>2</v>
      </c>
      <c r="J568">
        <v>0</v>
      </c>
      <c r="K568">
        <v>0</v>
      </c>
      <c r="L568">
        <v>0</v>
      </c>
    </row>
    <row r="569" spans="1:12">
      <c r="A569" t="str">
        <f>HYPERLINK("http://bombeiros.sp.gov.br/hidrantes/03individual/2813.html","2813")</f>
        <v>2813</v>
      </c>
      <c r="B569" t="str">
        <f>HYPERLINK("http://bombeiros.sp.gov.br/hidrantes/08bsg/qrcodeBSG.html?id=2813&amp;lat=-23.55457&amp;long=-46.62855&amp;tipo=C","QRCODE")</f>
        <v>QRCODE</v>
      </c>
      <c r="C569" t="s">
        <v>5264</v>
      </c>
      <c r="D569" t="s">
        <v>133</v>
      </c>
      <c r="E569" t="s">
        <v>826</v>
      </c>
      <c r="F569" t="s">
        <v>12</v>
      </c>
      <c r="G569" t="s">
        <v>2455</v>
      </c>
      <c r="H569">
        <v>1</v>
      </c>
      <c r="I569">
        <v>1</v>
      </c>
      <c r="J569">
        <v>0</v>
      </c>
      <c r="K569">
        <v>0</v>
      </c>
      <c r="L569">
        <v>0</v>
      </c>
    </row>
    <row r="570" spans="1:12">
      <c r="A570" t="str">
        <f>HYPERLINK("http://bombeiros.sp.gov.br/hidrantes/03individual/4432.html","4432")</f>
        <v>4432</v>
      </c>
      <c r="B570" t="str">
        <f>HYPERLINK("http://bombeiros.sp.gov.br/hidrantes/08bsg/qrcodeBSG.html?id=4432&amp;lat=-23.55529&amp;long=-46.63578&amp;tipo=C","QRCODE")</f>
        <v>QRCODE</v>
      </c>
      <c r="C570" t="s">
        <v>5264</v>
      </c>
      <c r="D570" t="s">
        <v>133</v>
      </c>
      <c r="E570" t="s">
        <v>826</v>
      </c>
      <c r="F570" t="s">
        <v>12</v>
      </c>
      <c r="G570" t="s">
        <v>4857</v>
      </c>
      <c r="H570">
        <v>2</v>
      </c>
      <c r="I570">
        <v>1</v>
      </c>
      <c r="J570">
        <v>0</v>
      </c>
      <c r="K570">
        <v>0</v>
      </c>
      <c r="L570">
        <v>0</v>
      </c>
    </row>
    <row r="571" spans="1:12">
      <c r="A571" t="str">
        <f>HYPERLINK("http://bombeiros.sp.gov.br/hidrantes/03individual/16.html","16")</f>
        <v>16</v>
      </c>
      <c r="B571" t="str">
        <f>HYPERLINK("http://bombeiros.sp.gov.br/hidrantes/08bsg/qrcodeBSG.html?id=16&amp;lat=-23.55550&amp;long=-46.63212&amp;tipo=S","QRCODE")</f>
        <v>QRCODE</v>
      </c>
      <c r="C571" t="s">
        <v>5264</v>
      </c>
      <c r="D571" t="s">
        <v>133</v>
      </c>
      <c r="E571" t="s">
        <v>826</v>
      </c>
      <c r="F571" t="s">
        <v>21</v>
      </c>
      <c r="G571" t="s">
        <v>825</v>
      </c>
      <c r="H571">
        <v>2</v>
      </c>
      <c r="I571">
        <v>2</v>
      </c>
      <c r="J571">
        <v>0</v>
      </c>
      <c r="K571">
        <v>0</v>
      </c>
      <c r="L571">
        <v>0</v>
      </c>
    </row>
    <row r="572" spans="1:12">
      <c r="A572" t="str">
        <f>HYPERLINK("http://bombeiros.sp.gov.br/hidrantes/03individual/18.html","18")</f>
        <v>18</v>
      </c>
      <c r="B572" t="str">
        <f>HYPERLINK("http://bombeiros.sp.gov.br/hidrantes/08bsg/qrcodeBSG.html?id=18&amp;lat=-23.55537&amp;long=-46.63330&amp;tipo=S","QRCODE")</f>
        <v>QRCODE</v>
      </c>
      <c r="C572" t="s">
        <v>5264</v>
      </c>
      <c r="D572" t="s">
        <v>133</v>
      </c>
      <c r="E572" t="s">
        <v>826</v>
      </c>
      <c r="F572" t="s">
        <v>21</v>
      </c>
      <c r="G572" t="s">
        <v>2867</v>
      </c>
      <c r="H572">
        <v>0</v>
      </c>
      <c r="I572">
        <v>2</v>
      </c>
      <c r="J572">
        <v>0</v>
      </c>
      <c r="K572">
        <v>0</v>
      </c>
      <c r="L572">
        <v>0</v>
      </c>
    </row>
    <row r="573" spans="1:12">
      <c r="A573" t="str">
        <f>HYPERLINK("http://bombeiros.sp.gov.br/hidrantes/03individual/257.html","257")</f>
        <v>257</v>
      </c>
      <c r="B573" t="str">
        <f>HYPERLINK("http://bombeiros.sp.gov.br/hidrantes/08bsg/qrcodeBSG.html?id=257&amp;lat=-23.55563&amp;long=-46.63533&amp;tipo=S","QRCODE")</f>
        <v>QRCODE</v>
      </c>
      <c r="C573" t="s">
        <v>5264</v>
      </c>
      <c r="D573" t="s">
        <v>133</v>
      </c>
      <c r="E573" t="s">
        <v>826</v>
      </c>
      <c r="F573" t="s">
        <v>21</v>
      </c>
      <c r="G573" t="s">
        <v>4850</v>
      </c>
      <c r="H573">
        <v>1</v>
      </c>
      <c r="I573">
        <v>1</v>
      </c>
      <c r="J573">
        <v>0</v>
      </c>
      <c r="K573">
        <v>0</v>
      </c>
      <c r="L573">
        <v>0</v>
      </c>
    </row>
    <row r="574" spans="1:12">
      <c r="A574" t="str">
        <f>HYPERLINK("http://bombeiros.sp.gov.br/hidrantes/03individual/272.html","272")</f>
        <v>272</v>
      </c>
      <c r="B574" t="str">
        <f>HYPERLINK("http://bombeiros.sp.gov.br/hidrantes/08bsg/qrcodeBSG.html?id=272&amp;lat=-23.55385&amp;long=-46.63210&amp;tipo=S","QRCODE")</f>
        <v>QRCODE</v>
      </c>
      <c r="C574" t="s">
        <v>5264</v>
      </c>
      <c r="D574" t="s">
        <v>133</v>
      </c>
      <c r="E574" t="s">
        <v>826</v>
      </c>
      <c r="F574" t="s">
        <v>21</v>
      </c>
      <c r="G574" t="s">
        <v>841</v>
      </c>
      <c r="H574">
        <v>2</v>
      </c>
      <c r="I574">
        <v>2</v>
      </c>
      <c r="J574">
        <v>0</v>
      </c>
      <c r="K574">
        <v>0</v>
      </c>
      <c r="L574">
        <v>0</v>
      </c>
    </row>
    <row r="575" spans="1:12">
      <c r="A575" t="str">
        <f>HYPERLINK("http://bombeiros.sp.gov.br/hidrantes/03individual/2807.html","2807")</f>
        <v>2807</v>
      </c>
      <c r="B575" t="str">
        <f>HYPERLINK("http://bombeiros.sp.gov.br/hidrantes/08bsg/qrcodeBSG.html?id=2807&amp;lat=-23.55479&amp;long=-46.63293&amp;tipo=S","QRCODE")</f>
        <v>QRCODE</v>
      </c>
      <c r="C575" t="s">
        <v>5264</v>
      </c>
      <c r="D575" t="s">
        <v>133</v>
      </c>
      <c r="E575" t="s">
        <v>826</v>
      </c>
      <c r="F575" t="s">
        <v>21</v>
      </c>
      <c r="G575" t="s">
        <v>1342</v>
      </c>
      <c r="H575">
        <v>1</v>
      </c>
      <c r="I575">
        <v>3</v>
      </c>
      <c r="J575">
        <v>0</v>
      </c>
      <c r="K575">
        <v>0</v>
      </c>
      <c r="L575">
        <v>0</v>
      </c>
    </row>
    <row r="576" spans="1:12">
      <c r="A576" t="str">
        <f>HYPERLINK("http://bombeiros.sp.gov.br/hidrantes/03individual/2935.html","2935")</f>
        <v>2935</v>
      </c>
      <c r="B576" t="str">
        <f>HYPERLINK("http://bombeiros.sp.gov.br/hidrantes/08bsg/qrcodeBSG.html?id=2935&amp;lat=-23.55557&amp;long=-46.63419&amp;tipo=S","QRCODE")</f>
        <v>QRCODE</v>
      </c>
      <c r="C576" t="s">
        <v>5264</v>
      </c>
      <c r="D576" t="s">
        <v>133</v>
      </c>
      <c r="E576" t="s">
        <v>826</v>
      </c>
      <c r="F576" t="s">
        <v>21</v>
      </c>
      <c r="G576" t="s">
        <v>2434</v>
      </c>
      <c r="H576">
        <v>0</v>
      </c>
      <c r="I576">
        <v>2</v>
      </c>
      <c r="J576">
        <v>0</v>
      </c>
      <c r="K576">
        <v>0</v>
      </c>
      <c r="L576">
        <v>0</v>
      </c>
    </row>
    <row r="577" spans="1:12">
      <c r="A577" t="str">
        <f>HYPERLINK("http://bombeiros.sp.gov.br/hidrantes/03individual/6784.html","6784")</f>
        <v>6784</v>
      </c>
      <c r="B577" t="str">
        <f>HYPERLINK("http://bombeiros.sp.gov.br/hidrantes/08bsg/qrcodeBSG.html?id=6784&amp;lat=-23.55023&amp;long=-46.63806&amp;tipo=S","QRCODE")</f>
        <v>QRCODE</v>
      </c>
      <c r="C577" t="s">
        <v>5264</v>
      </c>
      <c r="D577" t="s">
        <v>133</v>
      </c>
      <c r="E577" t="s">
        <v>826</v>
      </c>
      <c r="F577" t="s">
        <v>21</v>
      </c>
      <c r="G577" t="s">
        <v>866</v>
      </c>
      <c r="H577">
        <v>1</v>
      </c>
      <c r="I577">
        <v>3</v>
      </c>
      <c r="J577">
        <v>0</v>
      </c>
      <c r="K577">
        <v>0</v>
      </c>
      <c r="L577">
        <v>0</v>
      </c>
    </row>
    <row r="578" spans="1:12">
      <c r="A578" t="str">
        <f>HYPERLINK("http://bombeiros.sp.gov.br/hidrantes/03individual/25204.html","25204")</f>
        <v>25204</v>
      </c>
      <c r="B578" t="str">
        <f>HYPERLINK("http://bombeiros.sp.gov.br/hidrantes/08bsg/qrcodeBSG.html?id=25204&amp;lat=-23.55197&amp;long=-46.63617&amp;tipo=S","QRCODE")</f>
        <v>QRCODE</v>
      </c>
      <c r="C578" t="s">
        <v>5264</v>
      </c>
      <c r="D578" t="s">
        <v>133</v>
      </c>
      <c r="E578" t="s">
        <v>826</v>
      </c>
      <c r="F578" t="s">
        <v>21</v>
      </c>
      <c r="G578" t="s">
        <v>922</v>
      </c>
      <c r="H578">
        <v>1</v>
      </c>
      <c r="I578">
        <v>2</v>
      </c>
      <c r="J578">
        <v>0</v>
      </c>
      <c r="K578">
        <v>0</v>
      </c>
      <c r="L578">
        <v>0</v>
      </c>
    </row>
    <row r="579" spans="1:12">
      <c r="A579" t="str">
        <f>HYPERLINK("http://bombeiros.sp.gov.br/hidrantes/03individual/26658.html","26658")</f>
        <v>26658</v>
      </c>
      <c r="B579" t="str">
        <f>HYPERLINK("http://bombeiros.sp.gov.br/hidrantes/08bsg/qrcodeBSG.html?id=26658&amp;lat=-23.55281&amp;long=-46.63564&amp;tipo=S","QRCODE")</f>
        <v>QRCODE</v>
      </c>
      <c r="C579" t="s">
        <v>5264</v>
      </c>
      <c r="D579" t="s">
        <v>133</v>
      </c>
      <c r="E579" t="s">
        <v>826</v>
      </c>
      <c r="F579" t="s">
        <v>21</v>
      </c>
      <c r="G579" t="s">
        <v>2440</v>
      </c>
      <c r="H579">
        <v>0</v>
      </c>
      <c r="I579">
        <v>2</v>
      </c>
      <c r="J579">
        <v>0</v>
      </c>
      <c r="K579">
        <v>0</v>
      </c>
      <c r="L579">
        <v>0</v>
      </c>
    </row>
    <row r="580" spans="1:12">
      <c r="A580" t="str">
        <f>HYPERLINK("http://bombeiros.sp.gov.br/hidrantes/03individual/2.html","2")</f>
        <v>2</v>
      </c>
      <c r="B580" t="str">
        <f>HYPERLINK("http://bombeiros.sp.gov.br/hidrantes/08bsg/qrcodeBSG.html?id=2&amp;lat=-23.54825&amp;long=-46.63278&amp;tipo=C","QRCODE")</f>
        <v>QRCODE</v>
      </c>
      <c r="C580" t="s">
        <v>5264</v>
      </c>
      <c r="D580" t="s">
        <v>133</v>
      </c>
      <c r="E580" t="s">
        <v>133</v>
      </c>
      <c r="F580" t="s">
        <v>12</v>
      </c>
      <c r="G580" t="s">
        <v>3395</v>
      </c>
      <c r="H580">
        <v>1</v>
      </c>
      <c r="I580">
        <v>2</v>
      </c>
      <c r="J580">
        <v>0</v>
      </c>
      <c r="K580">
        <v>0</v>
      </c>
      <c r="L580">
        <v>0</v>
      </c>
    </row>
    <row r="581" spans="1:12">
      <c r="A581" t="str">
        <f>HYPERLINK("http://bombeiros.sp.gov.br/hidrantes/03individual/13.html","13")</f>
        <v>13</v>
      </c>
      <c r="B581" t="str">
        <f>HYPERLINK("http://bombeiros.sp.gov.br/hidrantes/08bsg/qrcodeBSG.html?id=13&amp;lat=-23.55165&amp;long=-46.63224&amp;tipo=C","QRCODE")</f>
        <v>QRCODE</v>
      </c>
      <c r="C581" t="s">
        <v>5264</v>
      </c>
      <c r="D581" t="s">
        <v>133</v>
      </c>
      <c r="E581" t="s">
        <v>133</v>
      </c>
      <c r="F581" t="s">
        <v>12</v>
      </c>
      <c r="G581" t="s">
        <v>1393</v>
      </c>
      <c r="H581">
        <v>0</v>
      </c>
      <c r="I581">
        <v>3</v>
      </c>
      <c r="J581">
        <v>0</v>
      </c>
      <c r="K581">
        <v>0</v>
      </c>
      <c r="L581">
        <v>0</v>
      </c>
    </row>
    <row r="582" spans="1:12">
      <c r="A582" t="str">
        <f>HYPERLINK("http://bombeiros.sp.gov.br/hidrantes/03individual/111.html","111")</f>
        <v>111</v>
      </c>
      <c r="B582" t="str">
        <f>HYPERLINK("http://bombeiros.sp.gov.br/hidrantes/08bsg/qrcodeBSG.html?id=111&amp;lat=-23.54772&amp;long=-46.63691&amp;tipo=C","QRCODE")</f>
        <v>QRCODE</v>
      </c>
      <c r="C582" t="s">
        <v>5264</v>
      </c>
      <c r="D582" t="s">
        <v>133</v>
      </c>
      <c r="E582" t="s">
        <v>133</v>
      </c>
      <c r="F582" t="s">
        <v>12</v>
      </c>
      <c r="G582" t="s">
        <v>2870</v>
      </c>
      <c r="H582">
        <v>0</v>
      </c>
      <c r="I582">
        <v>2</v>
      </c>
      <c r="J582">
        <v>0</v>
      </c>
      <c r="K582">
        <v>0</v>
      </c>
      <c r="L582">
        <v>0</v>
      </c>
    </row>
    <row r="583" spans="1:12">
      <c r="A583" t="str">
        <f>HYPERLINK("http://bombeiros.sp.gov.br/hidrantes/03individual/808.html","808")</f>
        <v>808</v>
      </c>
      <c r="B583" t="str">
        <f>HYPERLINK("http://bombeiros.sp.gov.br/hidrantes/08bsg/qrcodeBSG.html?id=808&amp;lat=-23.55122&amp;long=-46.63203&amp;tipo=C","QRCODE")</f>
        <v>QRCODE</v>
      </c>
      <c r="C583" t="s">
        <v>5264</v>
      </c>
      <c r="D583" t="s">
        <v>133</v>
      </c>
      <c r="E583" t="s">
        <v>133</v>
      </c>
      <c r="F583" t="s">
        <v>12</v>
      </c>
      <c r="G583" t="s">
        <v>4774</v>
      </c>
      <c r="H583">
        <v>1</v>
      </c>
      <c r="I583">
        <v>2</v>
      </c>
      <c r="J583">
        <v>0</v>
      </c>
      <c r="K583">
        <v>0</v>
      </c>
      <c r="L583">
        <v>0</v>
      </c>
    </row>
    <row r="584" spans="1:12">
      <c r="A584" t="str">
        <f>HYPERLINK("http://bombeiros.sp.gov.br/hidrantes/03individual/2166.html","2166")</f>
        <v>2166</v>
      </c>
      <c r="B584" t="str">
        <f>HYPERLINK("http://bombeiros.sp.gov.br/hidrantes/08bsg/qrcodeBSG.html?id=2166&amp;lat=-23.54459&amp;long=-46.63423&amp;tipo=C","QRCODE")</f>
        <v>QRCODE</v>
      </c>
      <c r="C584" t="s">
        <v>5264</v>
      </c>
      <c r="D584" t="s">
        <v>133</v>
      </c>
      <c r="E584" t="s">
        <v>133</v>
      </c>
      <c r="F584" t="s">
        <v>12</v>
      </c>
      <c r="G584" t="s">
        <v>1026</v>
      </c>
      <c r="H584">
        <v>1</v>
      </c>
      <c r="I584">
        <v>3</v>
      </c>
      <c r="J584">
        <v>0</v>
      </c>
      <c r="K584">
        <v>0</v>
      </c>
      <c r="L584">
        <v>0</v>
      </c>
    </row>
    <row r="585" spans="1:12">
      <c r="A585" t="str">
        <f>HYPERLINK("http://bombeiros.sp.gov.br/hidrantes/03individual/2445.html","2445")</f>
        <v>2445</v>
      </c>
      <c r="B585" t="str">
        <f>HYPERLINK("http://bombeiros.sp.gov.br/hidrantes/08bsg/qrcodeBSG.html?id=2445&amp;lat=-23.55180&amp;long=-46.63270&amp;tipo=C","QRCODE")</f>
        <v>QRCODE</v>
      </c>
      <c r="C585" t="s">
        <v>5264</v>
      </c>
      <c r="D585" t="s">
        <v>133</v>
      </c>
      <c r="E585" t="s">
        <v>133</v>
      </c>
      <c r="F585" t="s">
        <v>12</v>
      </c>
      <c r="G585" t="s">
        <v>2888</v>
      </c>
      <c r="H585">
        <v>1</v>
      </c>
      <c r="I585">
        <v>2</v>
      </c>
      <c r="J585">
        <v>0</v>
      </c>
      <c r="K585">
        <v>0</v>
      </c>
      <c r="L585">
        <v>0</v>
      </c>
    </row>
    <row r="586" spans="1:12">
      <c r="A586" t="str">
        <f>HYPERLINK("http://bombeiros.sp.gov.br/hidrantes/03individual/2453.html","2453")</f>
        <v>2453</v>
      </c>
      <c r="B586" t="str">
        <f>HYPERLINK("http://bombeiros.sp.gov.br/hidrantes/08bsg/qrcodeBSG.html?id=2453&amp;lat=-23.55070&amp;long=-46.63661&amp;tipo=C","QRCODE")</f>
        <v>QRCODE</v>
      </c>
      <c r="C586" t="s">
        <v>5264</v>
      </c>
      <c r="D586" t="s">
        <v>133</v>
      </c>
      <c r="E586" t="s">
        <v>133</v>
      </c>
      <c r="F586" t="s">
        <v>12</v>
      </c>
      <c r="G586" t="s">
        <v>906</v>
      </c>
      <c r="H586">
        <v>1</v>
      </c>
      <c r="I586">
        <v>3</v>
      </c>
      <c r="J586">
        <v>0</v>
      </c>
      <c r="K586">
        <v>0</v>
      </c>
      <c r="L586">
        <v>0</v>
      </c>
    </row>
    <row r="587" spans="1:12">
      <c r="A587" t="str">
        <f>HYPERLINK("http://bombeiros.sp.gov.br/hidrantes/03individual/2470.html","2470")</f>
        <v>2470</v>
      </c>
      <c r="B587" t="str">
        <f>HYPERLINK("http://bombeiros.sp.gov.br/hidrantes/08bsg/qrcodeBSG.html?id=2470&amp;lat=-23.54898&amp;long=-46.63769&amp;tipo=C","QRCODE")</f>
        <v>QRCODE</v>
      </c>
      <c r="C587" t="s">
        <v>5264</v>
      </c>
      <c r="D587" t="s">
        <v>133</v>
      </c>
      <c r="E587" t="s">
        <v>133</v>
      </c>
      <c r="F587" t="s">
        <v>12</v>
      </c>
      <c r="G587" t="s">
        <v>5161</v>
      </c>
      <c r="H587">
        <v>1</v>
      </c>
      <c r="I587">
        <v>1</v>
      </c>
      <c r="J587">
        <v>0</v>
      </c>
      <c r="K587">
        <v>0</v>
      </c>
      <c r="L587">
        <v>0</v>
      </c>
    </row>
    <row r="588" spans="1:12">
      <c r="A588" t="str">
        <f>HYPERLINK("http://bombeiros.sp.gov.br/hidrantes/03individual/2475.html","2475")</f>
        <v>2475</v>
      </c>
      <c r="B588" t="str">
        <f>HYPERLINK("http://bombeiros.sp.gov.br/hidrantes/08bsg/qrcodeBSG.html?id=2475&amp;lat=-23.54857&amp;long=-46.63856&amp;tipo=C","QRCODE")</f>
        <v>QRCODE</v>
      </c>
      <c r="C588" t="s">
        <v>5264</v>
      </c>
      <c r="D588" t="s">
        <v>133</v>
      </c>
      <c r="E588" t="s">
        <v>133</v>
      </c>
      <c r="F588" t="s">
        <v>12</v>
      </c>
      <c r="G588" t="s">
        <v>902</v>
      </c>
      <c r="H588">
        <v>2</v>
      </c>
      <c r="I588">
        <v>3</v>
      </c>
      <c r="J588">
        <v>0</v>
      </c>
      <c r="K588">
        <v>0</v>
      </c>
      <c r="L588">
        <v>0</v>
      </c>
    </row>
    <row r="589" spans="1:12">
      <c r="A589" t="str">
        <f>HYPERLINK("http://bombeiros.sp.gov.br/hidrantes/03individual/2781.html","2781")</f>
        <v>2781</v>
      </c>
      <c r="B589" t="str">
        <f>HYPERLINK("http://bombeiros.sp.gov.br/hidrantes/08bsg/qrcodeBSG.html?id=2781&amp;lat=-23.54514&amp;long=-46.63531&amp;tipo=C","QRCODE")</f>
        <v>QRCODE</v>
      </c>
      <c r="C589" t="s">
        <v>5264</v>
      </c>
      <c r="D589" t="s">
        <v>133</v>
      </c>
      <c r="E589" t="s">
        <v>133</v>
      </c>
      <c r="F589" t="s">
        <v>12</v>
      </c>
      <c r="G589" t="s">
        <v>951</v>
      </c>
      <c r="H589">
        <v>1</v>
      </c>
      <c r="I589">
        <v>2</v>
      </c>
      <c r="J589">
        <v>0</v>
      </c>
      <c r="K589">
        <v>0</v>
      </c>
      <c r="L589">
        <v>0</v>
      </c>
    </row>
    <row r="590" spans="1:12">
      <c r="A590" t="str">
        <f>HYPERLINK("http://bombeiros.sp.gov.br/hidrantes/03individual/2792.html","2792")</f>
        <v>2792</v>
      </c>
      <c r="B590" t="str">
        <f>HYPERLINK("http://bombeiros.sp.gov.br/hidrantes/08bsg/qrcodeBSG.html?id=2792&amp;lat=-23.54934&amp;long=-46.63684&amp;tipo=C","QRCODE")</f>
        <v>QRCODE</v>
      </c>
      <c r="C590" t="s">
        <v>5264</v>
      </c>
      <c r="D590" t="s">
        <v>133</v>
      </c>
      <c r="E590" t="s">
        <v>133</v>
      </c>
      <c r="F590" t="s">
        <v>12</v>
      </c>
      <c r="G590" t="s">
        <v>1339</v>
      </c>
      <c r="H590">
        <v>1</v>
      </c>
      <c r="I590">
        <v>2</v>
      </c>
      <c r="J590">
        <v>0</v>
      </c>
      <c r="K590">
        <v>0</v>
      </c>
      <c r="L590">
        <v>0</v>
      </c>
    </row>
    <row r="591" spans="1:12">
      <c r="A591" t="str">
        <f>HYPERLINK("http://bombeiros.sp.gov.br/hidrantes/03individual/2957.html","2957")</f>
        <v>2957</v>
      </c>
      <c r="B591" t="str">
        <f>HYPERLINK("http://bombeiros.sp.gov.br/hidrantes/08bsg/qrcodeBSG.html?id=2957&amp;lat=-23.55127&amp;long=-46.63385&amp;tipo=C","QRCODE")</f>
        <v>QRCODE</v>
      </c>
      <c r="C591" t="s">
        <v>5264</v>
      </c>
      <c r="D591" t="s">
        <v>133</v>
      </c>
      <c r="E591" t="s">
        <v>133</v>
      </c>
      <c r="F591" t="s">
        <v>12</v>
      </c>
      <c r="G591" t="s">
        <v>1350</v>
      </c>
      <c r="H591">
        <v>1</v>
      </c>
      <c r="I591">
        <v>2</v>
      </c>
      <c r="J591">
        <v>0</v>
      </c>
      <c r="K591">
        <v>0</v>
      </c>
      <c r="L591">
        <v>0</v>
      </c>
    </row>
    <row r="592" spans="1:12">
      <c r="A592" t="str">
        <f>HYPERLINK("http://bombeiros.sp.gov.br/hidrantes/03individual/3.html","3")</f>
        <v>3</v>
      </c>
      <c r="B592" t="str">
        <f>HYPERLINK("http://bombeiros.sp.gov.br/hidrantes/08bsg/qrcodeBSG.html?id=3&amp;lat=-23.54842&amp;long=-46.63321&amp;tipo=S","QRCODE")</f>
        <v>QRCODE</v>
      </c>
      <c r="C592" t="s">
        <v>5264</v>
      </c>
      <c r="D592" t="s">
        <v>133</v>
      </c>
      <c r="E592" t="s">
        <v>133</v>
      </c>
      <c r="F592" t="s">
        <v>21</v>
      </c>
      <c r="G592" t="s">
        <v>1392</v>
      </c>
      <c r="H592">
        <v>1</v>
      </c>
      <c r="I592">
        <v>2</v>
      </c>
      <c r="J592">
        <v>0</v>
      </c>
      <c r="K592">
        <v>0</v>
      </c>
      <c r="L592">
        <v>0</v>
      </c>
    </row>
    <row r="593" spans="1:12">
      <c r="A593" t="str">
        <f>HYPERLINK("http://bombeiros.sp.gov.br/hidrantes/03individual/14.html","14")</f>
        <v>14</v>
      </c>
      <c r="B593" t="str">
        <f>HYPERLINK("http://bombeiros.sp.gov.br/hidrantes/08bsg/qrcodeBSG.html?id=14&amp;lat=-23.55007&amp;long=-46.62965&amp;tipo=S","QRCODE")</f>
        <v>QRCODE</v>
      </c>
      <c r="C593" t="s">
        <v>5264</v>
      </c>
      <c r="D593" t="s">
        <v>133</v>
      </c>
      <c r="E593" t="s">
        <v>133</v>
      </c>
      <c r="F593" t="s">
        <v>21</v>
      </c>
      <c r="G593" t="s">
        <v>1394</v>
      </c>
      <c r="H593">
        <v>1</v>
      </c>
      <c r="I593">
        <v>2</v>
      </c>
      <c r="J593">
        <v>0</v>
      </c>
      <c r="K593">
        <v>0</v>
      </c>
      <c r="L593">
        <v>0</v>
      </c>
    </row>
    <row r="594" spans="1:12">
      <c r="A594" t="str">
        <f>HYPERLINK("http://bombeiros.sp.gov.br/hidrantes/03individual/20.html","20")</f>
        <v>20</v>
      </c>
      <c r="B594" t="str">
        <f>HYPERLINK("http://bombeiros.sp.gov.br/hidrantes/08bsg/qrcodeBSG.html?id=20&amp;lat=-23.54923&amp;long=-46.63112&amp;tipo=S","QRCODE")</f>
        <v>QRCODE</v>
      </c>
      <c r="C594" t="s">
        <v>5264</v>
      </c>
      <c r="D594" t="s">
        <v>133</v>
      </c>
      <c r="E594" t="s">
        <v>133</v>
      </c>
      <c r="F594" t="s">
        <v>21</v>
      </c>
      <c r="G594" t="s">
        <v>3462</v>
      </c>
      <c r="H594">
        <v>1</v>
      </c>
      <c r="I594">
        <v>1</v>
      </c>
      <c r="J594">
        <v>0</v>
      </c>
      <c r="K594">
        <v>0</v>
      </c>
      <c r="L594">
        <v>0</v>
      </c>
    </row>
    <row r="595" spans="1:12">
      <c r="A595" t="str">
        <f>HYPERLINK("http://bombeiros.sp.gov.br/hidrantes/03individual/74.html","74")</f>
        <v>74</v>
      </c>
      <c r="B595" t="str">
        <f>HYPERLINK("http://bombeiros.sp.gov.br/hidrantes/08bsg/qrcodeBSG.html?id=74&amp;lat=-23.55056&amp;long=-46.62907&amp;tipo=S","QRCODE")</f>
        <v>QRCODE</v>
      </c>
      <c r="C595" t="s">
        <v>5264</v>
      </c>
      <c r="D595" t="s">
        <v>133</v>
      </c>
      <c r="E595" t="s">
        <v>133</v>
      </c>
      <c r="F595" t="s">
        <v>21</v>
      </c>
      <c r="G595" t="s">
        <v>2087</v>
      </c>
      <c r="H595">
        <v>0</v>
      </c>
      <c r="I595">
        <v>2</v>
      </c>
      <c r="J595">
        <v>0</v>
      </c>
      <c r="K595">
        <v>0</v>
      </c>
      <c r="L595">
        <v>0</v>
      </c>
    </row>
    <row r="596" spans="1:12">
      <c r="A596" t="str">
        <f>HYPERLINK("http://bombeiros.sp.gov.br/hidrantes/03individual/113.html","113")</f>
        <v>113</v>
      </c>
      <c r="B596" t="str">
        <f>HYPERLINK("http://bombeiros.sp.gov.br/hidrantes/08bsg/qrcodeBSG.html?id=113&amp;lat=-23.55041&amp;long=-46.63129&amp;tipo=S","QRCODE")</f>
        <v>QRCODE</v>
      </c>
      <c r="C596" t="s">
        <v>5264</v>
      </c>
      <c r="D596" t="s">
        <v>133</v>
      </c>
      <c r="E596" t="s">
        <v>133</v>
      </c>
      <c r="F596" t="s">
        <v>21</v>
      </c>
      <c r="G596" t="s">
        <v>1390</v>
      </c>
      <c r="H596">
        <v>2</v>
      </c>
      <c r="I596">
        <v>2</v>
      </c>
      <c r="J596">
        <v>0</v>
      </c>
      <c r="K596">
        <v>0</v>
      </c>
      <c r="L596">
        <v>0</v>
      </c>
    </row>
    <row r="597" spans="1:12">
      <c r="A597" t="str">
        <f>HYPERLINK("http://bombeiros.sp.gov.br/hidrantes/03individual/114.html","114")</f>
        <v>114</v>
      </c>
      <c r="B597" t="str">
        <f>HYPERLINK("http://bombeiros.sp.gov.br/hidrantes/08bsg/qrcodeBSG.html?id=114&amp;lat=-23.54624&amp;long=-46.63618&amp;tipo=S","QRCODE")</f>
        <v>QRCODE</v>
      </c>
      <c r="C597" t="s">
        <v>5264</v>
      </c>
      <c r="D597" t="s">
        <v>133</v>
      </c>
      <c r="E597" t="s">
        <v>133</v>
      </c>
      <c r="F597" t="s">
        <v>21</v>
      </c>
      <c r="G597" t="s">
        <v>3463</v>
      </c>
      <c r="H597">
        <v>2</v>
      </c>
      <c r="I597">
        <v>1</v>
      </c>
      <c r="J597">
        <v>0</v>
      </c>
      <c r="K597">
        <v>0</v>
      </c>
      <c r="L597">
        <v>0</v>
      </c>
    </row>
    <row r="598" spans="1:12">
      <c r="A598" t="str">
        <f>HYPERLINK("http://bombeiros.sp.gov.br/hidrantes/03individual/129.html","129")</f>
        <v>129</v>
      </c>
      <c r="B598" t="str">
        <f>HYPERLINK("http://bombeiros.sp.gov.br/hidrantes/08bsg/qrcodeBSG.html?id=129&amp;lat=-23.54744&amp;long=-46.63431&amp;tipo=S","QRCODE")</f>
        <v>QRCODE</v>
      </c>
      <c r="C598" t="s">
        <v>5264</v>
      </c>
      <c r="D598" t="s">
        <v>133</v>
      </c>
      <c r="E598" t="s">
        <v>133</v>
      </c>
      <c r="F598" t="s">
        <v>21</v>
      </c>
      <c r="G598" t="s">
        <v>3464</v>
      </c>
      <c r="H598">
        <v>1</v>
      </c>
      <c r="I598">
        <v>1</v>
      </c>
      <c r="J598">
        <v>0</v>
      </c>
      <c r="K598">
        <v>0</v>
      </c>
      <c r="L598">
        <v>0</v>
      </c>
    </row>
    <row r="599" spans="1:12">
      <c r="A599" t="str">
        <f>HYPERLINK("http://bombeiros.sp.gov.br/hidrantes/03individual/131.html","131")</f>
        <v>131</v>
      </c>
      <c r="B599" t="str">
        <f>HYPERLINK("http://bombeiros.sp.gov.br/hidrantes/08bsg/qrcodeBSG.html?id=131&amp;lat=-23.54912&amp;long=-46.63469&amp;tipo=S","QRCODE")</f>
        <v>QRCODE</v>
      </c>
      <c r="C599" t="s">
        <v>5264</v>
      </c>
      <c r="D599" t="s">
        <v>133</v>
      </c>
      <c r="E599" t="s">
        <v>133</v>
      </c>
      <c r="F599" t="s">
        <v>21</v>
      </c>
      <c r="G599" t="s">
        <v>4842</v>
      </c>
      <c r="H599">
        <v>1</v>
      </c>
      <c r="I599">
        <v>2</v>
      </c>
      <c r="J599">
        <v>0</v>
      </c>
      <c r="K599">
        <v>0</v>
      </c>
      <c r="L599">
        <v>0</v>
      </c>
    </row>
    <row r="600" spans="1:12">
      <c r="A600" t="str">
        <f>HYPERLINK("http://bombeiros.sp.gov.br/hidrantes/03individual/183.html","183")</f>
        <v>183</v>
      </c>
      <c r="B600" t="str">
        <f>HYPERLINK("http://bombeiros.sp.gov.br/hidrantes/08bsg/qrcodeBSG.html?id=183&amp;lat=-23.55071&amp;long=-46.63513&amp;tipo=S","QRCODE")</f>
        <v>QRCODE</v>
      </c>
      <c r="C600" t="s">
        <v>5264</v>
      </c>
      <c r="D600" t="s">
        <v>133</v>
      </c>
      <c r="E600" t="s">
        <v>133</v>
      </c>
      <c r="F600" t="s">
        <v>21</v>
      </c>
      <c r="G600" t="s">
        <v>5191</v>
      </c>
      <c r="H600">
        <v>1</v>
      </c>
      <c r="I600">
        <v>1</v>
      </c>
      <c r="J600">
        <v>0</v>
      </c>
      <c r="K600">
        <v>0</v>
      </c>
      <c r="L600">
        <v>0</v>
      </c>
    </row>
    <row r="601" spans="1:12">
      <c r="A601" t="str">
        <f>HYPERLINK("http://bombeiros.sp.gov.br/hidrantes/03individual/200.html","200")</f>
        <v>200</v>
      </c>
      <c r="B601" t="str">
        <f>HYPERLINK("http://bombeiros.sp.gov.br/hidrantes/08bsg/qrcodeBSG.html?id=200&amp;lat=-23.54697&amp;long=-46.63441&amp;tipo=S","QRCODE")</f>
        <v>QRCODE</v>
      </c>
      <c r="C601" t="s">
        <v>5264</v>
      </c>
      <c r="D601" t="s">
        <v>133</v>
      </c>
      <c r="E601" t="s">
        <v>133</v>
      </c>
      <c r="F601" t="s">
        <v>21</v>
      </c>
      <c r="G601" t="s">
        <v>5194</v>
      </c>
      <c r="H601">
        <v>0</v>
      </c>
      <c r="I601">
        <v>1</v>
      </c>
      <c r="J601">
        <v>0</v>
      </c>
      <c r="K601">
        <v>0</v>
      </c>
      <c r="L601">
        <v>0</v>
      </c>
    </row>
    <row r="602" spans="1:12">
      <c r="A602" t="str">
        <f>HYPERLINK("http://bombeiros.sp.gov.br/hidrantes/03individual/213.html","213")</f>
        <v>213</v>
      </c>
      <c r="B602" t="str">
        <f>HYPERLINK("http://bombeiros.sp.gov.br/hidrantes/08bsg/qrcodeBSG.html?id=213&amp;lat=-23.55091&amp;long=-46.63466&amp;tipo=S","QRCODE")</f>
        <v>QRCODE</v>
      </c>
      <c r="C602" t="s">
        <v>5264</v>
      </c>
      <c r="D602" t="s">
        <v>133</v>
      </c>
      <c r="E602" t="s">
        <v>133</v>
      </c>
      <c r="F602" t="s">
        <v>21</v>
      </c>
      <c r="G602" t="s">
        <v>1397</v>
      </c>
      <c r="H602">
        <v>1</v>
      </c>
      <c r="I602">
        <v>2</v>
      </c>
      <c r="J602">
        <v>0</v>
      </c>
      <c r="K602">
        <v>0</v>
      </c>
      <c r="L602">
        <v>0</v>
      </c>
    </row>
    <row r="603" spans="1:12">
      <c r="A603" t="str">
        <f>HYPERLINK("http://bombeiros.sp.gov.br/hidrantes/03individual/2452.html","2452")</f>
        <v>2452</v>
      </c>
      <c r="B603" t="str">
        <f>HYPERLINK("http://bombeiros.sp.gov.br/hidrantes/08bsg/qrcodeBSG.html?id=2452&amp;lat=-23.55099&amp;long=-46.63556&amp;tipo=S","QRCODE")</f>
        <v>QRCODE</v>
      </c>
      <c r="C603" t="s">
        <v>5264</v>
      </c>
      <c r="D603" t="s">
        <v>133</v>
      </c>
      <c r="E603" t="s">
        <v>133</v>
      </c>
      <c r="F603" t="s">
        <v>21</v>
      </c>
      <c r="G603" t="s">
        <v>905</v>
      </c>
      <c r="H603">
        <v>1</v>
      </c>
      <c r="I603">
        <v>2</v>
      </c>
      <c r="J603">
        <v>0</v>
      </c>
      <c r="K603">
        <v>0</v>
      </c>
      <c r="L603">
        <v>0</v>
      </c>
    </row>
    <row r="604" spans="1:12">
      <c r="A604" t="str">
        <f>HYPERLINK("http://bombeiros.sp.gov.br/hidrantes/03individual/2458.html","2458")</f>
        <v>2458</v>
      </c>
      <c r="B604" t="str">
        <f>HYPERLINK("http://bombeiros.sp.gov.br/hidrantes/08bsg/qrcodeBSG.html?id=2458&amp;lat=-23.55000&amp;long=-46.63496&amp;tipo=S","QRCODE")</f>
        <v>QRCODE</v>
      </c>
      <c r="C604" t="s">
        <v>5264</v>
      </c>
      <c r="D604" t="s">
        <v>133</v>
      </c>
      <c r="E604" t="s">
        <v>133</v>
      </c>
      <c r="F604" t="s">
        <v>21</v>
      </c>
      <c r="G604" t="s">
        <v>2022</v>
      </c>
      <c r="H604">
        <v>1</v>
      </c>
      <c r="I604">
        <v>2</v>
      </c>
      <c r="J604">
        <v>0</v>
      </c>
      <c r="K604">
        <v>0</v>
      </c>
      <c r="L604">
        <v>0</v>
      </c>
    </row>
    <row r="605" spans="1:12">
      <c r="A605" t="str">
        <f>HYPERLINK("http://bombeiros.sp.gov.br/hidrantes/03individual/2508.html","2508")</f>
        <v>2508</v>
      </c>
      <c r="B605" t="str">
        <f>HYPERLINK("http://bombeiros.sp.gov.br/hidrantes/08bsg/qrcodeBSG.html?id=2508&amp;lat=-23.54818&amp;long=-46.63407&amp;tipo=S","QRCODE")</f>
        <v>QRCODE</v>
      </c>
      <c r="C605" t="s">
        <v>5264</v>
      </c>
      <c r="D605" t="s">
        <v>133</v>
      </c>
      <c r="E605" t="s">
        <v>133</v>
      </c>
      <c r="F605" t="s">
        <v>21</v>
      </c>
      <c r="G605" t="s">
        <v>5195</v>
      </c>
      <c r="H605">
        <v>1</v>
      </c>
      <c r="I605">
        <v>1</v>
      </c>
      <c r="J605">
        <v>0</v>
      </c>
      <c r="K605">
        <v>0</v>
      </c>
      <c r="L605">
        <v>0</v>
      </c>
    </row>
    <row r="606" spans="1:12">
      <c r="A606" t="str">
        <f>HYPERLINK("http://bombeiros.sp.gov.br/hidrantes/03individual/2532.html","2532")</f>
        <v>2532</v>
      </c>
      <c r="B606" t="str">
        <f>HYPERLINK("http://bombeiros.sp.gov.br/hidrantes/08bsg/qrcodeBSG.html?id=2532&amp;lat=-23.54911&amp;long=-46.63500&amp;tipo=S","QRCODE")</f>
        <v>QRCODE</v>
      </c>
      <c r="C606" t="s">
        <v>5264</v>
      </c>
      <c r="D606" t="s">
        <v>133</v>
      </c>
      <c r="E606" t="s">
        <v>133</v>
      </c>
      <c r="F606" t="s">
        <v>21</v>
      </c>
      <c r="G606" t="s">
        <v>1345</v>
      </c>
      <c r="H606">
        <v>1</v>
      </c>
      <c r="I606">
        <v>3</v>
      </c>
      <c r="J606">
        <v>0</v>
      </c>
      <c r="K606">
        <v>0</v>
      </c>
      <c r="L606">
        <v>0</v>
      </c>
    </row>
    <row r="607" spans="1:12">
      <c r="A607" t="str">
        <f>HYPERLINK("http://bombeiros.sp.gov.br/hidrantes/03individual/2536.html","2536")</f>
        <v>2536</v>
      </c>
      <c r="B607" t="str">
        <f>HYPERLINK("http://bombeiros.sp.gov.br/hidrantes/08bsg/qrcodeBSG.html?id=2536&amp;lat=-23.54935&amp;long=-46.63298&amp;tipo=S","QRCODE")</f>
        <v>QRCODE</v>
      </c>
      <c r="C607" t="s">
        <v>5264</v>
      </c>
      <c r="D607" t="s">
        <v>133</v>
      </c>
      <c r="E607" t="s">
        <v>133</v>
      </c>
      <c r="F607" t="s">
        <v>21</v>
      </c>
      <c r="G607" t="s">
        <v>1349</v>
      </c>
      <c r="H607">
        <v>1</v>
      </c>
      <c r="I607">
        <v>2</v>
      </c>
      <c r="J607">
        <v>0</v>
      </c>
      <c r="K607">
        <v>0</v>
      </c>
      <c r="L607">
        <v>0</v>
      </c>
    </row>
    <row r="608" spans="1:12">
      <c r="A608" t="str">
        <f>HYPERLINK("http://bombeiros.sp.gov.br/hidrantes/03individual/2791.html","2791")</f>
        <v>2791</v>
      </c>
      <c r="B608" t="str">
        <f>HYPERLINK("http://bombeiros.sp.gov.br/hidrantes/08bsg/qrcodeBSG.html?id=2791&amp;lat=-23.54948&amp;long=-46.63632&amp;tipo=S","QRCODE")</f>
        <v>QRCODE</v>
      </c>
      <c r="C608" t="s">
        <v>5264</v>
      </c>
      <c r="D608" t="s">
        <v>133</v>
      </c>
      <c r="E608" t="s">
        <v>133</v>
      </c>
      <c r="F608" t="s">
        <v>21</v>
      </c>
      <c r="G608" t="s">
        <v>5193</v>
      </c>
      <c r="H608">
        <v>1</v>
      </c>
      <c r="I608">
        <v>1</v>
      </c>
      <c r="J608">
        <v>0</v>
      </c>
      <c r="K608">
        <v>0</v>
      </c>
      <c r="L608">
        <v>0</v>
      </c>
    </row>
    <row r="609" spans="1:12">
      <c r="A609" t="str">
        <f>HYPERLINK("http://bombeiros.sp.gov.br/hidrantes/03individual/5382.html","5382")</f>
        <v>5382</v>
      </c>
      <c r="B609" t="str">
        <f>HYPERLINK("http://bombeiros.sp.gov.br/hidrantes/08bsg/qrcodeBSG.html?id=5382&amp;lat=-23.55205&amp;long=-46.62778&amp;tipo=S","QRCODE")</f>
        <v>QRCODE</v>
      </c>
      <c r="C609" t="s">
        <v>5264</v>
      </c>
      <c r="D609" t="s">
        <v>133</v>
      </c>
      <c r="E609" t="s">
        <v>133</v>
      </c>
      <c r="F609" t="s">
        <v>21</v>
      </c>
      <c r="G609" t="s">
        <v>4986</v>
      </c>
      <c r="H609">
        <v>2</v>
      </c>
      <c r="I609">
        <v>1</v>
      </c>
      <c r="J609">
        <v>0</v>
      </c>
      <c r="K609">
        <v>0</v>
      </c>
      <c r="L609">
        <v>0</v>
      </c>
    </row>
    <row r="610" spans="1:12">
      <c r="A610" t="str">
        <f>HYPERLINK("http://bombeiros.sp.gov.br/hidrantes/03individual/25203.html","25203")</f>
        <v>25203</v>
      </c>
      <c r="B610" t="str">
        <f>HYPERLINK("http://bombeiros.sp.gov.br/hidrantes/08bsg/qrcodeBSG.html?id=25203&amp;lat=-23.54938&amp;long=-46.63274&amp;tipo=S","QRCODE")</f>
        <v>QRCODE</v>
      </c>
      <c r="C610" t="s">
        <v>5264</v>
      </c>
      <c r="D610" t="s">
        <v>133</v>
      </c>
      <c r="E610" t="s">
        <v>133</v>
      </c>
      <c r="F610" t="s">
        <v>21</v>
      </c>
      <c r="G610" t="s">
        <v>3422</v>
      </c>
      <c r="H610">
        <v>1</v>
      </c>
      <c r="I610">
        <v>1</v>
      </c>
      <c r="J610">
        <v>0</v>
      </c>
      <c r="K610">
        <v>0</v>
      </c>
      <c r="L610">
        <v>0</v>
      </c>
    </row>
    <row r="611" spans="1:12">
      <c r="A611" t="str">
        <f>HYPERLINK("http://bombeiros.sp.gov.br/hidrantes/03individual/26623.html","26623")</f>
        <v>26623</v>
      </c>
      <c r="B611" t="str">
        <f>HYPERLINK("http://bombeiros.sp.gov.br/hidrantes/08bsg/qrcodeBSG.html?id=26623&amp;lat=-23.55198&amp;long=-46.63391&amp;tipo=S","QRCODE")</f>
        <v>QRCODE</v>
      </c>
      <c r="C611" t="s">
        <v>5264</v>
      </c>
      <c r="D611" t="s">
        <v>133</v>
      </c>
      <c r="E611" t="s">
        <v>133</v>
      </c>
      <c r="F611" t="s">
        <v>21</v>
      </c>
      <c r="G611" t="s">
        <v>2913</v>
      </c>
      <c r="H611">
        <v>0</v>
      </c>
      <c r="I611">
        <v>2</v>
      </c>
      <c r="J611">
        <v>0</v>
      </c>
      <c r="K611">
        <v>0</v>
      </c>
      <c r="L611">
        <v>0</v>
      </c>
    </row>
    <row r="612" spans="1:12">
      <c r="A612" t="str">
        <f>HYPERLINK("http://bombeiros.sp.gov.br/hidrantes/03individual/1724.html","1724")</f>
        <v>1724</v>
      </c>
      <c r="B612" t="str">
        <f>HYPERLINK("http://bombeiros.sp.gov.br/hidrantes/08bsg/qrcodeBSG.html?id=1724&amp;lat=-23.57355&amp;long=-46.55841&amp;tipo=C","QRCODE")</f>
        <v>QRCODE</v>
      </c>
      <c r="C612" t="s">
        <v>5273</v>
      </c>
      <c r="D612" t="s">
        <v>757</v>
      </c>
      <c r="E612" t="s">
        <v>757</v>
      </c>
      <c r="F612" t="s">
        <v>12</v>
      </c>
      <c r="G612" t="s">
        <v>756</v>
      </c>
      <c r="H612">
        <v>0</v>
      </c>
      <c r="I612">
        <v>2</v>
      </c>
      <c r="J612">
        <v>0</v>
      </c>
      <c r="K612">
        <v>0</v>
      </c>
      <c r="L612">
        <v>0</v>
      </c>
    </row>
    <row r="613" spans="1:12">
      <c r="A613" t="str">
        <f>HYPERLINK("http://bombeiros.sp.gov.br/hidrantes/03individual/3181.html","3181")</f>
        <v>3181</v>
      </c>
      <c r="B613" t="str">
        <f>HYPERLINK("http://bombeiros.sp.gov.br/hidrantes/08bsg/qrcodeBSG.html?id=3181&amp;lat=-23.58029&amp;long=-46.56903&amp;tipo=C","QRCODE")</f>
        <v>QRCODE</v>
      </c>
      <c r="C613" t="s">
        <v>5273</v>
      </c>
      <c r="D613" t="s">
        <v>757</v>
      </c>
      <c r="E613" t="s">
        <v>757</v>
      </c>
      <c r="F613" t="s">
        <v>12</v>
      </c>
      <c r="G613" t="s">
        <v>1528</v>
      </c>
      <c r="H613">
        <v>1</v>
      </c>
      <c r="I613">
        <v>3</v>
      </c>
      <c r="J613">
        <v>0</v>
      </c>
      <c r="K613">
        <v>0</v>
      </c>
      <c r="L613">
        <v>0</v>
      </c>
    </row>
    <row r="614" spans="1:12">
      <c r="A614" t="str">
        <f>HYPERLINK("http://bombeiros.sp.gov.br/hidrantes/03individual/3251.html","3251")</f>
        <v>3251</v>
      </c>
      <c r="B614" t="str">
        <f>HYPERLINK("http://bombeiros.sp.gov.br/hidrantes/08bsg/qrcodeBSG.html?id=3251&amp;lat=-23.58079&amp;long=-46.55799&amp;tipo=C","QRCODE")</f>
        <v>QRCODE</v>
      </c>
      <c r="C614" t="s">
        <v>5273</v>
      </c>
      <c r="D614" t="s">
        <v>757</v>
      </c>
      <c r="E614" t="s">
        <v>757</v>
      </c>
      <c r="F614" t="s">
        <v>12</v>
      </c>
      <c r="G614" t="s">
        <v>3093</v>
      </c>
      <c r="H614">
        <v>1</v>
      </c>
      <c r="I614">
        <v>1</v>
      </c>
      <c r="J614">
        <v>0</v>
      </c>
      <c r="K614">
        <v>0</v>
      </c>
      <c r="L614">
        <v>0</v>
      </c>
    </row>
    <row r="615" spans="1:12">
      <c r="A615" t="str">
        <f>HYPERLINK("http://bombeiros.sp.gov.br/hidrantes/03individual/16558.html","16558")</f>
        <v>16558</v>
      </c>
      <c r="B615" t="str">
        <f>HYPERLINK("http://bombeiros.sp.gov.br/hidrantes/08bsg/qrcodeBSG.html?id=16558&amp;lat=-23.57111&amp;long=-46.56092&amp;tipo=C","QRCODE")</f>
        <v>QRCODE</v>
      </c>
      <c r="C615" t="s">
        <v>5273</v>
      </c>
      <c r="D615" t="s">
        <v>757</v>
      </c>
      <c r="E615" t="s">
        <v>757</v>
      </c>
      <c r="F615" t="s">
        <v>12</v>
      </c>
      <c r="G615" t="s">
        <v>926</v>
      </c>
      <c r="H615">
        <v>1</v>
      </c>
      <c r="I615">
        <v>2</v>
      </c>
      <c r="J615">
        <v>0</v>
      </c>
      <c r="K615">
        <v>0</v>
      </c>
      <c r="L615">
        <v>0</v>
      </c>
    </row>
    <row r="616" spans="1:12">
      <c r="A616" t="str">
        <f>HYPERLINK("http://bombeiros.sp.gov.br/hidrantes/03individual/1632.html","1632")</f>
        <v>1632</v>
      </c>
      <c r="B616" t="str">
        <f>HYPERLINK("http://bombeiros.sp.gov.br/hidrantes/08bsg/qrcodeBSG.html?id=1632&amp;lat=-23.57907&amp;long=-46.57104&amp;tipo=S","QRCODE")</f>
        <v>QRCODE</v>
      </c>
      <c r="C616" t="s">
        <v>5273</v>
      </c>
      <c r="D616" t="s">
        <v>757</v>
      </c>
      <c r="E616" t="s">
        <v>757</v>
      </c>
      <c r="F616" t="s">
        <v>21</v>
      </c>
      <c r="G616" t="s">
        <v>1560</v>
      </c>
      <c r="H616">
        <v>1</v>
      </c>
      <c r="I616">
        <v>2</v>
      </c>
      <c r="J616">
        <v>0</v>
      </c>
      <c r="K616">
        <v>0</v>
      </c>
      <c r="L616">
        <v>0</v>
      </c>
    </row>
    <row r="617" spans="1:12">
      <c r="A617" t="str">
        <f>HYPERLINK("http://bombeiros.sp.gov.br/hidrantes/03individual/1697.html","1697")</f>
        <v>1697</v>
      </c>
      <c r="B617" t="str">
        <f>HYPERLINK("http://bombeiros.sp.gov.br/hidrantes/08bsg/qrcodeBSG.html?id=1697&amp;lat=-23.56483&amp;long=-46.56882&amp;tipo=S","QRCODE")</f>
        <v>QRCODE</v>
      </c>
      <c r="C617" t="s">
        <v>5273</v>
      </c>
      <c r="D617" t="s">
        <v>757</v>
      </c>
      <c r="E617" t="s">
        <v>757</v>
      </c>
      <c r="F617" t="s">
        <v>21</v>
      </c>
      <c r="G617" t="s">
        <v>3455</v>
      </c>
      <c r="H617">
        <v>0</v>
      </c>
      <c r="I617">
        <v>1</v>
      </c>
      <c r="J617">
        <v>0</v>
      </c>
      <c r="K617">
        <v>0</v>
      </c>
      <c r="L617">
        <v>0</v>
      </c>
    </row>
    <row r="618" spans="1:12">
      <c r="A618" t="str">
        <f>HYPERLINK("http://bombeiros.sp.gov.br/hidrantes/03individual/1699.html","1699")</f>
        <v>1699</v>
      </c>
      <c r="B618" t="str">
        <f>HYPERLINK("http://bombeiros.sp.gov.br/hidrantes/08bsg/qrcodeBSG.html?id=1699&amp;lat=-23.56597&amp;long=-46.56667&amp;tipo=S","QRCODE")</f>
        <v>QRCODE</v>
      </c>
      <c r="C618" t="s">
        <v>5273</v>
      </c>
      <c r="D618" t="s">
        <v>757</v>
      </c>
      <c r="E618" t="s">
        <v>757</v>
      </c>
      <c r="F618" t="s">
        <v>21</v>
      </c>
      <c r="G618" t="s">
        <v>5027</v>
      </c>
      <c r="H618">
        <v>0</v>
      </c>
      <c r="I618">
        <v>1</v>
      </c>
      <c r="J618">
        <v>0</v>
      </c>
      <c r="K618">
        <v>0</v>
      </c>
      <c r="L618">
        <v>0</v>
      </c>
    </row>
    <row r="619" spans="1:12">
      <c r="A619" t="str">
        <f>HYPERLINK("http://bombeiros.sp.gov.br/hidrantes/03individual/1738.html","1738")</f>
        <v>1738</v>
      </c>
      <c r="B619" t="str">
        <f>HYPERLINK("http://bombeiros.sp.gov.br/hidrantes/08bsg/qrcodeBSG.html?id=1738&amp;lat=-23.57483&amp;long=-46.56976&amp;tipo=S","QRCODE")</f>
        <v>QRCODE</v>
      </c>
      <c r="C619" t="s">
        <v>5273</v>
      </c>
      <c r="D619" t="s">
        <v>757</v>
      </c>
      <c r="E619" t="s">
        <v>757</v>
      </c>
      <c r="F619" t="s">
        <v>21</v>
      </c>
      <c r="G619" t="s">
        <v>4605</v>
      </c>
      <c r="H619">
        <v>0</v>
      </c>
      <c r="I619">
        <v>2</v>
      </c>
      <c r="J619">
        <v>0</v>
      </c>
      <c r="K619">
        <v>0</v>
      </c>
      <c r="L619">
        <v>0</v>
      </c>
    </row>
    <row r="620" spans="1:12">
      <c r="A620" t="str">
        <f>HYPERLINK("http://bombeiros.sp.gov.br/hidrantes/03individual/1741.html","1741")</f>
        <v>1741</v>
      </c>
      <c r="B620" t="str">
        <f>HYPERLINK("http://bombeiros.sp.gov.br/hidrantes/08bsg/qrcodeBSG.html?id=1741&amp;lat=-23.57693&amp;long=-46.56642&amp;tipo=S","QRCODE")</f>
        <v>QRCODE</v>
      </c>
      <c r="C620" t="s">
        <v>5273</v>
      </c>
      <c r="D620" t="s">
        <v>757</v>
      </c>
      <c r="E620" t="s">
        <v>757</v>
      </c>
      <c r="F620" t="s">
        <v>21</v>
      </c>
      <c r="G620" t="s">
        <v>853</v>
      </c>
      <c r="H620">
        <v>0</v>
      </c>
      <c r="I620">
        <v>2</v>
      </c>
      <c r="J620">
        <v>0</v>
      </c>
      <c r="K620">
        <v>0</v>
      </c>
      <c r="L620">
        <v>0</v>
      </c>
    </row>
    <row r="621" spans="1:12">
      <c r="A621" t="str">
        <f>HYPERLINK("http://bombeiros.sp.gov.br/hidrantes/03individual/1742.html","1742")</f>
        <v>1742</v>
      </c>
      <c r="B621" t="str">
        <f>HYPERLINK("http://bombeiros.sp.gov.br/hidrantes/08bsg/qrcodeBSG.html?id=1742&amp;lat=-23.58117&amp;long=-46.56624&amp;tipo=S","QRCODE")</f>
        <v>QRCODE</v>
      </c>
      <c r="C621" t="s">
        <v>5273</v>
      </c>
      <c r="D621" t="s">
        <v>757</v>
      </c>
      <c r="E621" t="s">
        <v>757</v>
      </c>
      <c r="F621" t="s">
        <v>21</v>
      </c>
      <c r="G621" t="s">
        <v>1561</v>
      </c>
      <c r="H621">
        <v>0</v>
      </c>
      <c r="I621">
        <v>2</v>
      </c>
      <c r="J621">
        <v>0</v>
      </c>
      <c r="K621">
        <v>0</v>
      </c>
      <c r="L621">
        <v>0</v>
      </c>
    </row>
    <row r="622" spans="1:12">
      <c r="A622" t="str">
        <f>HYPERLINK("http://bombeiros.sp.gov.br/hidrantes/03individual/1744.html","1744")</f>
        <v>1744</v>
      </c>
      <c r="B622" t="str">
        <f>HYPERLINK("http://bombeiros.sp.gov.br/hidrantes/08bsg/qrcodeBSG.html?id=1744&amp;lat=-23.56516&amp;long=-46.56339&amp;tipo=S","QRCODE")</f>
        <v>QRCODE</v>
      </c>
      <c r="C622" t="s">
        <v>5273</v>
      </c>
      <c r="D622" t="s">
        <v>757</v>
      </c>
      <c r="E622" t="s">
        <v>757</v>
      </c>
      <c r="F622" t="s">
        <v>21</v>
      </c>
      <c r="G622" t="s">
        <v>852</v>
      </c>
      <c r="H622">
        <v>0</v>
      </c>
      <c r="I622">
        <v>2</v>
      </c>
      <c r="J622">
        <v>0</v>
      </c>
      <c r="K622">
        <v>0</v>
      </c>
      <c r="L622">
        <v>0</v>
      </c>
    </row>
    <row r="623" spans="1:12">
      <c r="A623" t="str">
        <f>HYPERLINK("http://bombeiros.sp.gov.br/hidrantes/03individual/3123.html","3123")</f>
        <v>3123</v>
      </c>
      <c r="B623" t="str">
        <f>HYPERLINK("http://bombeiros.sp.gov.br/hidrantes/08bsg/qrcodeBSG.html?id=3123&amp;lat=-23.56665&amp;long=-46.56078&amp;tipo=S","QRCODE")</f>
        <v>QRCODE</v>
      </c>
      <c r="C623" t="s">
        <v>5273</v>
      </c>
      <c r="D623" t="s">
        <v>757</v>
      </c>
      <c r="E623" t="s">
        <v>757</v>
      </c>
      <c r="F623" t="s">
        <v>21</v>
      </c>
      <c r="G623" t="s">
        <v>874</v>
      </c>
      <c r="H623">
        <v>0</v>
      </c>
      <c r="I623">
        <v>2</v>
      </c>
      <c r="J623">
        <v>0</v>
      </c>
      <c r="K623">
        <v>0</v>
      </c>
      <c r="L623">
        <v>0</v>
      </c>
    </row>
    <row r="624" spans="1:12">
      <c r="A624" t="str">
        <f>HYPERLINK("http://bombeiros.sp.gov.br/hidrantes/03individual/3129.html","3129")</f>
        <v>3129</v>
      </c>
      <c r="B624" t="str">
        <f>HYPERLINK("http://bombeiros.sp.gov.br/hidrantes/08bsg/qrcodeBSG.html?id=3129&amp;lat=-23.56855&amp;long=-46.55903&amp;tipo=S","QRCODE")</f>
        <v>QRCODE</v>
      </c>
      <c r="C624" t="s">
        <v>5273</v>
      </c>
      <c r="D624" t="s">
        <v>757</v>
      </c>
      <c r="E624" t="s">
        <v>757</v>
      </c>
      <c r="F624" t="s">
        <v>21</v>
      </c>
      <c r="G624" t="s">
        <v>880</v>
      </c>
      <c r="H624">
        <v>0</v>
      </c>
      <c r="I624">
        <v>2</v>
      </c>
      <c r="J624">
        <v>0</v>
      </c>
      <c r="K624">
        <v>0</v>
      </c>
      <c r="L624">
        <v>0</v>
      </c>
    </row>
    <row r="625" spans="1:12">
      <c r="A625" t="str">
        <f>HYPERLINK("http://bombeiros.sp.gov.br/hidrantes/03individual/3130.html","3130")</f>
        <v>3130</v>
      </c>
      <c r="B625" t="str">
        <f>HYPERLINK("http://bombeiros.sp.gov.br/hidrantes/08bsg/qrcodeBSG.html?id=3130&amp;lat=-23.57086&amp;long=-46.56205&amp;tipo=S","QRCODE")</f>
        <v>QRCODE</v>
      </c>
      <c r="C625" t="s">
        <v>5273</v>
      </c>
      <c r="D625" t="s">
        <v>757</v>
      </c>
      <c r="E625" t="s">
        <v>757</v>
      </c>
      <c r="F625" t="s">
        <v>21</v>
      </c>
      <c r="G625" t="s">
        <v>5004</v>
      </c>
      <c r="H625">
        <v>0</v>
      </c>
      <c r="I625">
        <v>1</v>
      </c>
      <c r="J625">
        <v>0</v>
      </c>
      <c r="K625">
        <v>0</v>
      </c>
      <c r="L625">
        <v>0</v>
      </c>
    </row>
    <row r="626" spans="1:12">
      <c r="A626" t="str">
        <f>HYPERLINK("http://bombeiros.sp.gov.br/hidrantes/03individual/3131.html","3131")</f>
        <v>3131</v>
      </c>
      <c r="B626" t="str">
        <f>HYPERLINK("http://bombeiros.sp.gov.br/hidrantes/08bsg/qrcodeBSG.html?id=3131&amp;lat=-23.57145&amp;long=-46.56501&amp;tipo=S","QRCODE")</f>
        <v>QRCODE</v>
      </c>
      <c r="C626" t="s">
        <v>5273</v>
      </c>
      <c r="D626" t="s">
        <v>757</v>
      </c>
      <c r="E626" t="s">
        <v>757</v>
      </c>
      <c r="F626" t="s">
        <v>21</v>
      </c>
      <c r="G626" t="s">
        <v>4866</v>
      </c>
      <c r="H626">
        <v>1</v>
      </c>
      <c r="I626">
        <v>1</v>
      </c>
      <c r="J626">
        <v>0</v>
      </c>
      <c r="K626">
        <v>0</v>
      </c>
      <c r="L626">
        <v>0</v>
      </c>
    </row>
    <row r="627" spans="1:12">
      <c r="A627" t="str">
        <f>HYPERLINK("http://bombeiros.sp.gov.br/hidrantes/03individual/3132.html","3132")</f>
        <v>3132</v>
      </c>
      <c r="B627" t="str">
        <f>HYPERLINK("http://bombeiros.sp.gov.br/hidrantes/08bsg/qrcodeBSG.html?id=3132&amp;lat=-23.57214&amp;long=-46.56648&amp;tipo=S","QRCODE")</f>
        <v>QRCODE</v>
      </c>
      <c r="C627" t="s">
        <v>5273</v>
      </c>
      <c r="D627" t="s">
        <v>757</v>
      </c>
      <c r="E627" t="s">
        <v>757</v>
      </c>
      <c r="F627" t="s">
        <v>21</v>
      </c>
      <c r="G627" t="s">
        <v>4867</v>
      </c>
      <c r="H627">
        <v>1</v>
      </c>
      <c r="I627">
        <v>1</v>
      </c>
      <c r="J627">
        <v>0</v>
      </c>
      <c r="K627">
        <v>0</v>
      </c>
      <c r="L627">
        <v>0</v>
      </c>
    </row>
    <row r="628" spans="1:12">
      <c r="A628" t="str">
        <f>HYPERLINK("http://bombeiros.sp.gov.br/hidrantes/03individual/3143.html","3143")</f>
        <v>3143</v>
      </c>
      <c r="B628" t="str">
        <f>HYPERLINK("http://bombeiros.sp.gov.br/hidrantes/08bsg/qrcodeBSG.html?id=3143&amp;lat=-23.58132&amp;long=-46.56416&amp;tipo=S","QRCODE")</f>
        <v>QRCODE</v>
      </c>
      <c r="C628" t="s">
        <v>5273</v>
      </c>
      <c r="D628" t="s">
        <v>757</v>
      </c>
      <c r="E628" t="s">
        <v>757</v>
      </c>
      <c r="F628" t="s">
        <v>21</v>
      </c>
      <c r="G628" t="s">
        <v>5042</v>
      </c>
      <c r="H628">
        <v>0</v>
      </c>
      <c r="I628">
        <v>1</v>
      </c>
      <c r="J628">
        <v>0</v>
      </c>
      <c r="K628">
        <v>0</v>
      </c>
      <c r="L628">
        <v>0</v>
      </c>
    </row>
    <row r="629" spans="1:12">
      <c r="A629" t="str">
        <f>HYPERLINK("http://bombeiros.sp.gov.br/hidrantes/03individual/3144.html","3144")</f>
        <v>3144</v>
      </c>
      <c r="B629" t="str">
        <f>HYPERLINK("http://bombeiros.sp.gov.br/hidrantes/08bsg/qrcodeBSG.html?id=3144&amp;lat=-23.58067&amp;long=-46.56039&amp;tipo=S","QRCODE")</f>
        <v>QRCODE</v>
      </c>
      <c r="C629" t="s">
        <v>5273</v>
      </c>
      <c r="D629" t="s">
        <v>757</v>
      </c>
      <c r="E629" t="s">
        <v>757</v>
      </c>
      <c r="F629" t="s">
        <v>21</v>
      </c>
      <c r="G629" t="s">
        <v>2332</v>
      </c>
      <c r="H629">
        <v>1</v>
      </c>
      <c r="I629">
        <v>2</v>
      </c>
      <c r="J629">
        <v>0</v>
      </c>
      <c r="K629">
        <v>0</v>
      </c>
      <c r="L629">
        <v>0</v>
      </c>
    </row>
    <row r="630" spans="1:12">
      <c r="A630" t="str">
        <f>HYPERLINK("http://bombeiros.sp.gov.br/hidrantes/03individual/3183.html","3183")</f>
        <v>3183</v>
      </c>
      <c r="B630" t="str">
        <f>HYPERLINK("http://bombeiros.sp.gov.br/hidrantes/08bsg/qrcodeBSG.html?id=3183&amp;lat=-23.57928&amp;long=-46.56595&amp;tipo=S","QRCODE")</f>
        <v>QRCODE</v>
      </c>
      <c r="C630" t="s">
        <v>5273</v>
      </c>
      <c r="D630" t="s">
        <v>757</v>
      </c>
      <c r="E630" t="s">
        <v>757</v>
      </c>
      <c r="F630" t="s">
        <v>21</v>
      </c>
      <c r="G630" t="s">
        <v>1527</v>
      </c>
      <c r="H630">
        <v>0</v>
      </c>
      <c r="I630">
        <v>2</v>
      </c>
      <c r="J630">
        <v>0</v>
      </c>
      <c r="K630">
        <v>0</v>
      </c>
      <c r="L630">
        <v>0</v>
      </c>
    </row>
    <row r="631" spans="1:12">
      <c r="A631" t="str">
        <f>HYPERLINK("http://bombeiros.sp.gov.br/hidrantes/03individual/3187.html","3187")</f>
        <v>3187</v>
      </c>
      <c r="B631" t="str">
        <f>HYPERLINK("http://bombeiros.sp.gov.br/hidrantes/08bsg/qrcodeBSG.html?id=3187&amp;lat=-23.57773&amp;long=-46.56257&amp;tipo=S","QRCODE")</f>
        <v>QRCODE</v>
      </c>
      <c r="C631" t="s">
        <v>5273</v>
      </c>
      <c r="D631" t="s">
        <v>757</v>
      </c>
      <c r="E631" t="s">
        <v>757</v>
      </c>
      <c r="F631" t="s">
        <v>21</v>
      </c>
      <c r="G631" t="s">
        <v>2347</v>
      </c>
      <c r="H631">
        <v>1</v>
      </c>
      <c r="I631">
        <v>2</v>
      </c>
      <c r="J631">
        <v>0</v>
      </c>
      <c r="K631">
        <v>0</v>
      </c>
      <c r="L631">
        <v>0</v>
      </c>
    </row>
    <row r="632" spans="1:12">
      <c r="A632" t="str">
        <f>HYPERLINK("http://bombeiros.sp.gov.br/hidrantes/03individual/3190.html","3190")</f>
        <v>3190</v>
      </c>
      <c r="B632" t="str">
        <f>HYPERLINK("http://bombeiros.sp.gov.br/hidrantes/08bsg/qrcodeBSG.html?id=3190&amp;lat=-23.57583&amp;long=-46.56699&amp;tipo=S","QRCODE")</f>
        <v>QRCODE</v>
      </c>
      <c r="C632" t="s">
        <v>5273</v>
      </c>
      <c r="D632" t="s">
        <v>757</v>
      </c>
      <c r="E632" t="s">
        <v>757</v>
      </c>
      <c r="F632" t="s">
        <v>21</v>
      </c>
      <c r="G632" t="s">
        <v>2348</v>
      </c>
      <c r="H632">
        <v>0</v>
      </c>
      <c r="I632">
        <v>2</v>
      </c>
      <c r="J632">
        <v>0</v>
      </c>
      <c r="K632">
        <v>0</v>
      </c>
      <c r="L632">
        <v>0</v>
      </c>
    </row>
    <row r="633" spans="1:12">
      <c r="A633" t="str">
        <f>HYPERLINK("http://bombeiros.sp.gov.br/hidrantes/03individual/3194.html","3194")</f>
        <v>3194</v>
      </c>
      <c r="B633" t="str">
        <f>HYPERLINK("http://bombeiros.sp.gov.br/hidrantes/08bsg/qrcodeBSG.html?id=3194&amp;lat=-23.57588&amp;long=-46.56851&amp;tipo=S","QRCODE")</f>
        <v>QRCODE</v>
      </c>
      <c r="C633" t="s">
        <v>5273</v>
      </c>
      <c r="D633" t="s">
        <v>757</v>
      </c>
      <c r="E633" t="s">
        <v>757</v>
      </c>
      <c r="F633" t="s">
        <v>21</v>
      </c>
      <c r="G633" t="s">
        <v>2344</v>
      </c>
      <c r="H633">
        <v>0</v>
      </c>
      <c r="I633">
        <v>2</v>
      </c>
      <c r="J633">
        <v>0</v>
      </c>
      <c r="K633">
        <v>0</v>
      </c>
      <c r="L633">
        <v>0</v>
      </c>
    </row>
    <row r="634" spans="1:12">
      <c r="A634" t="str">
        <f>HYPERLINK("http://bombeiros.sp.gov.br/hidrantes/03individual/3196.html","3196")</f>
        <v>3196</v>
      </c>
      <c r="B634" t="str">
        <f>HYPERLINK("http://bombeiros.sp.gov.br/hidrantes/08bsg/qrcodeBSG.html?id=3196&amp;lat=-23.57725&amp;long=-46.56925&amp;tipo=S","QRCODE")</f>
        <v>QRCODE</v>
      </c>
      <c r="C634" t="s">
        <v>5273</v>
      </c>
      <c r="D634" t="s">
        <v>757</v>
      </c>
      <c r="E634" t="s">
        <v>757</v>
      </c>
      <c r="F634" t="s">
        <v>21</v>
      </c>
      <c r="G634" t="s">
        <v>2346</v>
      </c>
      <c r="H634">
        <v>0</v>
      </c>
      <c r="I634">
        <v>2</v>
      </c>
      <c r="J634">
        <v>0</v>
      </c>
      <c r="K634">
        <v>0</v>
      </c>
      <c r="L634">
        <v>0</v>
      </c>
    </row>
    <row r="635" spans="1:12">
      <c r="A635" t="str">
        <f>HYPERLINK("http://bombeiros.sp.gov.br/hidrantes/03individual/3215.html","3215")</f>
        <v>3215</v>
      </c>
      <c r="B635" t="str">
        <f>HYPERLINK("http://bombeiros.sp.gov.br/hidrantes/08bsg/qrcodeBSG.html?id=3215&amp;lat=-23.56822&amp;long=-46.56357&amp;tipo=S","QRCODE")</f>
        <v>QRCODE</v>
      </c>
      <c r="C635" t="s">
        <v>5273</v>
      </c>
      <c r="D635" t="s">
        <v>757</v>
      </c>
      <c r="E635" t="s">
        <v>757</v>
      </c>
      <c r="F635" t="s">
        <v>21</v>
      </c>
      <c r="G635" t="s">
        <v>5040</v>
      </c>
      <c r="H635">
        <v>0</v>
      </c>
      <c r="I635">
        <v>1</v>
      </c>
      <c r="J635">
        <v>0</v>
      </c>
      <c r="K635">
        <v>0</v>
      </c>
      <c r="L635">
        <v>0</v>
      </c>
    </row>
    <row r="636" spans="1:12">
      <c r="A636" t="str">
        <f>HYPERLINK("http://bombeiros.sp.gov.br/hidrantes/03individual/3249.html","3249")</f>
        <v>3249</v>
      </c>
      <c r="B636" t="str">
        <f>HYPERLINK("http://bombeiros.sp.gov.br/hidrantes/08bsg/qrcodeBSG.html?id=3249&amp;lat=-23.57490&amp;long=-46.56240&amp;tipo=S","QRCODE")</f>
        <v>QRCODE</v>
      </c>
      <c r="C636" t="s">
        <v>5273</v>
      </c>
      <c r="D636" t="s">
        <v>757</v>
      </c>
      <c r="E636" t="s">
        <v>757</v>
      </c>
      <c r="F636" t="s">
        <v>21</v>
      </c>
      <c r="G636" t="s">
        <v>4863</v>
      </c>
      <c r="H636">
        <v>1</v>
      </c>
      <c r="I636">
        <v>1</v>
      </c>
      <c r="J636">
        <v>0</v>
      </c>
      <c r="K636">
        <v>0</v>
      </c>
      <c r="L636">
        <v>0</v>
      </c>
    </row>
    <row r="637" spans="1:12">
      <c r="A637" t="str">
        <f>HYPERLINK("http://bombeiros.sp.gov.br/hidrantes/03individual/3255.html","3255")</f>
        <v>3255</v>
      </c>
      <c r="B637" t="str">
        <f>HYPERLINK("http://bombeiros.sp.gov.br/hidrantes/08bsg/qrcodeBSG.html?id=3255&amp;lat=-23.57657&amp;long=-46.55978&amp;tipo=S","QRCODE")</f>
        <v>QRCODE</v>
      </c>
      <c r="C637" t="s">
        <v>5273</v>
      </c>
      <c r="D637" t="s">
        <v>757</v>
      </c>
      <c r="E637" t="s">
        <v>757</v>
      </c>
      <c r="F637" t="s">
        <v>21</v>
      </c>
      <c r="G637" t="s">
        <v>4405</v>
      </c>
      <c r="H637">
        <v>2</v>
      </c>
      <c r="I637">
        <v>2</v>
      </c>
      <c r="J637">
        <v>0</v>
      </c>
      <c r="K637">
        <v>0</v>
      </c>
      <c r="L637">
        <v>0</v>
      </c>
    </row>
    <row r="638" spans="1:12">
      <c r="A638" t="str">
        <f>HYPERLINK("http://bombeiros.sp.gov.br/hidrantes/03individual/3258.html","3258")</f>
        <v>3258</v>
      </c>
      <c r="B638" t="str">
        <f>HYPERLINK("http://bombeiros.sp.gov.br/hidrantes/08bsg/qrcodeBSG.html?id=3258&amp;lat=-23.57439&amp;long=-46.55960&amp;tipo=S","QRCODE")</f>
        <v>QRCODE</v>
      </c>
      <c r="C638" t="s">
        <v>5273</v>
      </c>
      <c r="D638" t="s">
        <v>757</v>
      </c>
      <c r="E638" t="s">
        <v>757</v>
      </c>
      <c r="F638" t="s">
        <v>21</v>
      </c>
      <c r="G638" t="s">
        <v>2351</v>
      </c>
      <c r="H638">
        <v>0</v>
      </c>
      <c r="I638">
        <v>2</v>
      </c>
      <c r="J638">
        <v>0</v>
      </c>
      <c r="K638">
        <v>0</v>
      </c>
      <c r="L638">
        <v>0</v>
      </c>
    </row>
    <row r="639" spans="1:12">
      <c r="A639" t="str">
        <f>HYPERLINK("http://bombeiros.sp.gov.br/hidrantes/03individual/3333.html","3333")</f>
        <v>3333</v>
      </c>
      <c r="B639" t="str">
        <f>HYPERLINK("http://bombeiros.sp.gov.br/hidrantes/08bsg/qrcodeBSG.html?id=3333&amp;lat=-23.57284&amp;long=-46.56148&amp;tipo=S","QRCODE")</f>
        <v>QRCODE</v>
      </c>
      <c r="C639" t="s">
        <v>5273</v>
      </c>
      <c r="D639" t="s">
        <v>757</v>
      </c>
      <c r="E639" t="s">
        <v>757</v>
      </c>
      <c r="F639" t="s">
        <v>21</v>
      </c>
      <c r="G639" t="s">
        <v>5020</v>
      </c>
      <c r="H639">
        <v>0</v>
      </c>
      <c r="I639">
        <v>1</v>
      </c>
      <c r="J639">
        <v>0</v>
      </c>
      <c r="K639">
        <v>0</v>
      </c>
      <c r="L639">
        <v>0</v>
      </c>
    </row>
    <row r="640" spans="1:12">
      <c r="A640" t="str">
        <f>HYPERLINK("http://bombeiros.sp.gov.br/hidrantes/03individual/26869.html","26869")</f>
        <v>26869</v>
      </c>
      <c r="B640" t="str">
        <f>HYPERLINK("http://bombeiros.sp.gov.br/hidrantes/08bsg/qrcodeBSG.html?id=26869&amp;lat=-23.57676&amp;long=-46.55985&amp;tipo=S","QRCODE")</f>
        <v>QRCODE</v>
      </c>
      <c r="C640" t="s">
        <v>5273</v>
      </c>
      <c r="D640" t="s">
        <v>757</v>
      </c>
      <c r="E640" t="s">
        <v>757</v>
      </c>
      <c r="F640" t="s">
        <v>21</v>
      </c>
      <c r="G640" t="s">
        <v>3083</v>
      </c>
      <c r="H640">
        <v>0</v>
      </c>
      <c r="I640">
        <v>2</v>
      </c>
      <c r="J640">
        <v>0</v>
      </c>
      <c r="K640">
        <v>0</v>
      </c>
      <c r="L640">
        <v>0</v>
      </c>
    </row>
    <row r="641" spans="1:12">
      <c r="A641" t="str">
        <f>HYPERLINK("http://bombeiros.sp.gov.br/hidrantes/03individual/26882.html","26882")</f>
        <v>26882</v>
      </c>
      <c r="B641" t="str">
        <f>HYPERLINK("http://bombeiros.sp.gov.br/hidrantes/08bsg/qrcodeBSG.html?id=26882&amp;lat=-23.57723&amp;long=-46.57000&amp;tipo=S","QRCODE")</f>
        <v>QRCODE</v>
      </c>
      <c r="C641" t="s">
        <v>5273</v>
      </c>
      <c r="D641" t="s">
        <v>757</v>
      </c>
      <c r="E641" t="s">
        <v>757</v>
      </c>
      <c r="F641" t="s">
        <v>21</v>
      </c>
      <c r="G641" t="s">
        <v>3084</v>
      </c>
      <c r="H641">
        <v>0</v>
      </c>
      <c r="I641">
        <v>2</v>
      </c>
      <c r="J641">
        <v>0</v>
      </c>
      <c r="K641">
        <v>0</v>
      </c>
      <c r="L641">
        <v>0</v>
      </c>
    </row>
    <row r="642" spans="1:12">
      <c r="A642" t="str">
        <f>HYPERLINK("http://bombeiros.sp.gov.br/hidrantes/03individual/1026.html","1026")</f>
        <v>1026</v>
      </c>
      <c r="B642" t="str">
        <f>HYPERLINK("http://bombeiros.sp.gov.br/hidrantes/08bsg/qrcodeBSG.html?id=1026&amp;lat=-23.56142&amp;long=-46.56978&amp;tipo=C","QRCODE")</f>
        <v>QRCODE</v>
      </c>
      <c r="C642" t="s">
        <v>5273</v>
      </c>
      <c r="D642" t="s">
        <v>757</v>
      </c>
      <c r="E642" t="s">
        <v>297</v>
      </c>
      <c r="F642" t="s">
        <v>12</v>
      </c>
      <c r="G642" t="s">
        <v>4596</v>
      </c>
      <c r="H642">
        <v>0</v>
      </c>
      <c r="I642">
        <v>2</v>
      </c>
      <c r="J642">
        <v>0</v>
      </c>
      <c r="K642">
        <v>0</v>
      </c>
      <c r="L642">
        <v>0</v>
      </c>
    </row>
    <row r="643" spans="1:12">
      <c r="A643" t="str">
        <f>HYPERLINK("http://bombeiros.sp.gov.br/hidrantes/03individual/1028.html","1028")</f>
        <v>1028</v>
      </c>
      <c r="B643" t="str">
        <f>HYPERLINK("http://bombeiros.sp.gov.br/hidrantes/08bsg/qrcodeBSG.html?id=1028&amp;lat=-23.56204&amp;long=-46.57414&amp;tipo=C","QRCODE")</f>
        <v>QRCODE</v>
      </c>
      <c r="C643" t="s">
        <v>5273</v>
      </c>
      <c r="D643" t="s">
        <v>757</v>
      </c>
      <c r="E643" t="s">
        <v>297</v>
      </c>
      <c r="F643" t="s">
        <v>12</v>
      </c>
      <c r="G643" t="s">
        <v>4595</v>
      </c>
      <c r="H643">
        <v>0</v>
      </c>
      <c r="I643">
        <v>2</v>
      </c>
      <c r="J643">
        <v>0</v>
      </c>
      <c r="K643">
        <v>0</v>
      </c>
      <c r="L643">
        <v>0</v>
      </c>
    </row>
    <row r="644" spans="1:12">
      <c r="A644" t="str">
        <f>HYPERLINK("http://bombeiros.sp.gov.br/hidrantes/03individual/1595.html","1595")</f>
        <v>1595</v>
      </c>
      <c r="B644" t="str">
        <f>HYPERLINK("http://bombeiros.sp.gov.br/hidrantes/08bsg/qrcodeBSG.html?id=1595&amp;lat=-23.55752&amp;long=-46.57960&amp;tipo=C","QRCODE")</f>
        <v>QRCODE</v>
      </c>
      <c r="C644" t="s">
        <v>5273</v>
      </c>
      <c r="D644" t="s">
        <v>757</v>
      </c>
      <c r="E644" t="s">
        <v>297</v>
      </c>
      <c r="F644" t="s">
        <v>12</v>
      </c>
      <c r="G644" t="s">
        <v>3126</v>
      </c>
      <c r="H644">
        <v>1</v>
      </c>
      <c r="I644">
        <v>1</v>
      </c>
      <c r="J644">
        <v>0</v>
      </c>
      <c r="K644">
        <v>0</v>
      </c>
      <c r="L644">
        <v>0</v>
      </c>
    </row>
    <row r="645" spans="1:12">
      <c r="A645" t="str">
        <f>HYPERLINK("http://bombeiros.sp.gov.br/hidrantes/03individual/3213.html","3213")</f>
        <v>3213</v>
      </c>
      <c r="B645" t="str">
        <f>HYPERLINK("http://bombeiros.sp.gov.br/hidrantes/08bsg/qrcodeBSG.html?id=3213&amp;lat=-23.55767&amp;long=-46.58547&amp;tipo=C","QRCODE")</f>
        <v>QRCODE</v>
      </c>
      <c r="C645" t="s">
        <v>5273</v>
      </c>
      <c r="D645" t="s">
        <v>757</v>
      </c>
      <c r="E645" t="s">
        <v>297</v>
      </c>
      <c r="F645" t="s">
        <v>12</v>
      </c>
      <c r="G645" t="s">
        <v>296</v>
      </c>
      <c r="H645">
        <v>0</v>
      </c>
      <c r="I645">
        <v>2</v>
      </c>
      <c r="J645">
        <v>0</v>
      </c>
      <c r="K645">
        <v>0</v>
      </c>
      <c r="L645">
        <v>0</v>
      </c>
    </row>
    <row r="646" spans="1:12">
      <c r="A646" t="str">
        <f>HYPERLINK("http://bombeiros.sp.gov.br/hidrantes/03individual/1342.html","1342")</f>
        <v>1342</v>
      </c>
      <c r="B646" t="str">
        <f>HYPERLINK("http://bombeiros.sp.gov.br/hidrantes/08bsg/qrcodeBSG.html?id=1342&amp;lat=-23.56077&amp;long=-46.57740&amp;tipo=S","QRCODE")</f>
        <v>QRCODE</v>
      </c>
      <c r="C646" t="s">
        <v>5273</v>
      </c>
      <c r="D646" t="s">
        <v>757</v>
      </c>
      <c r="E646" t="s">
        <v>297</v>
      </c>
      <c r="F646" t="s">
        <v>21</v>
      </c>
      <c r="G646" t="s">
        <v>4599</v>
      </c>
      <c r="H646">
        <v>0</v>
      </c>
      <c r="I646">
        <v>2</v>
      </c>
      <c r="J646">
        <v>0</v>
      </c>
      <c r="K646">
        <v>0</v>
      </c>
      <c r="L646">
        <v>0</v>
      </c>
    </row>
    <row r="647" spans="1:12">
      <c r="A647" t="str">
        <f>HYPERLINK("http://bombeiros.sp.gov.br/hidrantes/03individual/1597.html","1597")</f>
        <v>1597</v>
      </c>
      <c r="B647" t="str">
        <f>HYPERLINK("http://bombeiros.sp.gov.br/hidrantes/08bsg/qrcodeBSG.html?id=1597&amp;lat=-23.56150&amp;long=-46.58325&amp;tipo=S","QRCODE")</f>
        <v>QRCODE</v>
      </c>
      <c r="C647" t="s">
        <v>5273</v>
      </c>
      <c r="D647" t="s">
        <v>757</v>
      </c>
      <c r="E647" t="s">
        <v>297</v>
      </c>
      <c r="F647" t="s">
        <v>21</v>
      </c>
      <c r="G647" t="s">
        <v>4878</v>
      </c>
      <c r="H647">
        <v>1</v>
      </c>
      <c r="I647">
        <v>1</v>
      </c>
      <c r="J647">
        <v>0</v>
      </c>
      <c r="K647">
        <v>0</v>
      </c>
      <c r="L647">
        <v>0</v>
      </c>
    </row>
    <row r="648" spans="1:12">
      <c r="A648" t="str">
        <f>HYPERLINK("http://bombeiros.sp.gov.br/hidrantes/03individual/1598.html","1598")</f>
        <v>1598</v>
      </c>
      <c r="B648" t="str">
        <f>HYPERLINK("http://bombeiros.sp.gov.br/hidrantes/08bsg/qrcodeBSG.html?id=1598&amp;lat=-23.55475&amp;long=-46.57816&amp;tipo=S","QRCODE")</f>
        <v>QRCODE</v>
      </c>
      <c r="C648" t="s">
        <v>5273</v>
      </c>
      <c r="D648" t="s">
        <v>757</v>
      </c>
      <c r="E648" t="s">
        <v>297</v>
      </c>
      <c r="F648" t="s">
        <v>21</v>
      </c>
      <c r="G648" t="s">
        <v>859</v>
      </c>
      <c r="H648">
        <v>0</v>
      </c>
      <c r="I648">
        <v>2</v>
      </c>
      <c r="J648">
        <v>0</v>
      </c>
      <c r="K648">
        <v>0</v>
      </c>
      <c r="L648">
        <v>0</v>
      </c>
    </row>
    <row r="649" spans="1:12">
      <c r="A649" t="str">
        <f>HYPERLINK("http://bombeiros.sp.gov.br/hidrantes/03individual/1653.html","1653")</f>
        <v>1653</v>
      </c>
      <c r="B649" t="str">
        <f>HYPERLINK("http://bombeiros.sp.gov.br/hidrantes/08bsg/qrcodeBSG.html?id=1653&amp;lat=-23.55747&amp;long=-46.58369&amp;tipo=S","QRCODE")</f>
        <v>QRCODE</v>
      </c>
      <c r="C649" t="s">
        <v>5273</v>
      </c>
      <c r="D649" t="s">
        <v>757</v>
      </c>
      <c r="E649" t="s">
        <v>297</v>
      </c>
      <c r="F649" t="s">
        <v>21</v>
      </c>
      <c r="G649" t="s">
        <v>326</v>
      </c>
      <c r="H649">
        <v>0</v>
      </c>
      <c r="I649">
        <v>3</v>
      </c>
      <c r="J649">
        <v>0</v>
      </c>
      <c r="K649">
        <v>0</v>
      </c>
      <c r="L649">
        <v>0</v>
      </c>
    </row>
    <row r="650" spans="1:12">
      <c r="A650" t="str">
        <f>HYPERLINK("http://bombeiros.sp.gov.br/hidrantes/03individual/1660.html","1660")</f>
        <v>1660</v>
      </c>
      <c r="B650" t="str">
        <f>HYPERLINK("http://bombeiros.sp.gov.br/hidrantes/08bsg/qrcodeBSG.html?id=1660&amp;lat=-23.55727&amp;long=-46.57547&amp;tipo=S","QRCODE")</f>
        <v>QRCODE</v>
      </c>
      <c r="C650" t="s">
        <v>5273</v>
      </c>
      <c r="D650" t="s">
        <v>757</v>
      </c>
      <c r="E650" t="s">
        <v>297</v>
      </c>
      <c r="F650" t="s">
        <v>21</v>
      </c>
      <c r="G650" t="s">
        <v>4602</v>
      </c>
      <c r="H650">
        <v>0</v>
      </c>
      <c r="I650">
        <v>2</v>
      </c>
      <c r="J650">
        <v>0</v>
      </c>
      <c r="K650">
        <v>0</v>
      </c>
      <c r="L650">
        <v>0</v>
      </c>
    </row>
    <row r="651" spans="1:12">
      <c r="A651" t="str">
        <f>HYPERLINK("http://bombeiros.sp.gov.br/hidrantes/03individual/2335.html","2335")</f>
        <v>2335</v>
      </c>
      <c r="B651" t="str">
        <f>HYPERLINK("http://bombeiros.sp.gov.br/hidrantes/08bsg/qrcodeBSG.html?id=2335&amp;lat=-23.55974&amp;long=-46.57904&amp;tipo=S","QRCODE")</f>
        <v>QRCODE</v>
      </c>
      <c r="C651" t="s">
        <v>5273</v>
      </c>
      <c r="D651" t="s">
        <v>757</v>
      </c>
      <c r="E651" t="s">
        <v>297</v>
      </c>
      <c r="F651" t="s">
        <v>21</v>
      </c>
      <c r="G651" t="s">
        <v>914</v>
      </c>
      <c r="H651">
        <v>1</v>
      </c>
      <c r="I651">
        <v>2</v>
      </c>
      <c r="J651">
        <v>0</v>
      </c>
      <c r="K651">
        <v>0</v>
      </c>
      <c r="L651">
        <v>0</v>
      </c>
    </row>
    <row r="652" spans="1:12">
      <c r="A652" t="str">
        <f>HYPERLINK("http://bombeiros.sp.gov.br/hidrantes/03individual/3108.html","3108")</f>
        <v>3108</v>
      </c>
      <c r="B652" t="str">
        <f>HYPERLINK("http://bombeiros.sp.gov.br/hidrantes/08bsg/qrcodeBSG.html?id=3108&amp;lat=-23.56014&amp;long=-46.58480&amp;tipo=S","QRCODE")</f>
        <v>QRCODE</v>
      </c>
      <c r="C652" t="s">
        <v>5273</v>
      </c>
      <c r="D652" t="s">
        <v>757</v>
      </c>
      <c r="E652" t="s">
        <v>297</v>
      </c>
      <c r="F652" t="s">
        <v>21</v>
      </c>
      <c r="G652" t="s">
        <v>302</v>
      </c>
      <c r="H652">
        <v>1</v>
      </c>
      <c r="I652">
        <v>2</v>
      </c>
      <c r="J652">
        <v>0</v>
      </c>
      <c r="K652">
        <v>0</v>
      </c>
      <c r="L652">
        <v>0</v>
      </c>
    </row>
    <row r="653" spans="1:12">
      <c r="A653" t="str">
        <f>HYPERLINK("http://bombeiros.sp.gov.br/hidrantes/03individual/3207.html","3207")</f>
        <v>3207</v>
      </c>
      <c r="B653" t="str">
        <f>HYPERLINK("http://bombeiros.sp.gov.br/hidrantes/08bsg/qrcodeBSG.html?id=3207&amp;lat=-23.55834&amp;long=-46.58058&amp;tipo=S","QRCODE")</f>
        <v>QRCODE</v>
      </c>
      <c r="C653" t="s">
        <v>5273</v>
      </c>
      <c r="D653" t="s">
        <v>757</v>
      </c>
      <c r="E653" t="s">
        <v>297</v>
      </c>
      <c r="F653" t="s">
        <v>21</v>
      </c>
      <c r="G653" t="s">
        <v>4624</v>
      </c>
      <c r="H653">
        <v>0</v>
      </c>
      <c r="I653">
        <v>2</v>
      </c>
      <c r="J653">
        <v>0</v>
      </c>
      <c r="K653">
        <v>0</v>
      </c>
      <c r="L653">
        <v>0</v>
      </c>
    </row>
    <row r="654" spans="1:12">
      <c r="A654" t="str">
        <f>HYPERLINK("http://bombeiros.sp.gov.br/hidrantes/03individual/3216.html","3216")</f>
        <v>3216</v>
      </c>
      <c r="B654" t="str">
        <f>HYPERLINK("http://bombeiros.sp.gov.br/hidrantes/08bsg/qrcodeBSG.html?id=3216&amp;lat=-23.55226&amp;long=-46.57794&amp;tipo=S","QRCODE")</f>
        <v>QRCODE</v>
      </c>
      <c r="C654" t="s">
        <v>5273</v>
      </c>
      <c r="D654" t="s">
        <v>757</v>
      </c>
      <c r="E654" t="s">
        <v>297</v>
      </c>
      <c r="F654" t="s">
        <v>21</v>
      </c>
      <c r="G654" t="s">
        <v>4623</v>
      </c>
      <c r="H654">
        <v>0</v>
      </c>
      <c r="I654">
        <v>2</v>
      </c>
      <c r="J654">
        <v>0</v>
      </c>
      <c r="K654">
        <v>0</v>
      </c>
      <c r="L654">
        <v>0</v>
      </c>
    </row>
    <row r="655" spans="1:12">
      <c r="A655" t="str">
        <f>HYPERLINK("http://bombeiros.sp.gov.br/hidrantes/03individual/4305.html","4305")</f>
        <v>4305</v>
      </c>
      <c r="B655" t="str">
        <f>HYPERLINK("http://bombeiros.sp.gov.br/hidrantes/08bsg/qrcodeBSG.html?id=4305&amp;lat=-23.55057&amp;long=-46.57865&amp;tipo=S","QRCODE")</f>
        <v>QRCODE</v>
      </c>
      <c r="C655" t="s">
        <v>5273</v>
      </c>
      <c r="D655" t="s">
        <v>757</v>
      </c>
      <c r="E655" t="s">
        <v>297</v>
      </c>
      <c r="F655" t="s">
        <v>21</v>
      </c>
      <c r="G655" t="s">
        <v>4614</v>
      </c>
      <c r="H655">
        <v>0</v>
      </c>
      <c r="I655">
        <v>2</v>
      </c>
      <c r="J655">
        <v>0</v>
      </c>
      <c r="K655">
        <v>0</v>
      </c>
      <c r="L655">
        <v>0</v>
      </c>
    </row>
    <row r="656" spans="1:12">
      <c r="A656" t="str">
        <f>HYPERLINK("http://bombeiros.sp.gov.br/hidrantes/03individual/4420.html","4420")</f>
        <v>4420</v>
      </c>
      <c r="B656" t="str">
        <f>HYPERLINK("http://bombeiros.sp.gov.br/hidrantes/08bsg/qrcodeBSG.html?id=4420&amp;lat=-23.55907&amp;long=-46.58225&amp;tipo=S","QRCODE")</f>
        <v>QRCODE</v>
      </c>
      <c r="C656" t="s">
        <v>5273</v>
      </c>
      <c r="D656" t="s">
        <v>757</v>
      </c>
      <c r="E656" t="s">
        <v>297</v>
      </c>
      <c r="F656" t="s">
        <v>21</v>
      </c>
      <c r="G656" t="s">
        <v>314</v>
      </c>
      <c r="H656">
        <v>0</v>
      </c>
      <c r="I656">
        <v>2</v>
      </c>
      <c r="J656">
        <v>0</v>
      </c>
      <c r="K656">
        <v>0</v>
      </c>
      <c r="L656">
        <v>0</v>
      </c>
    </row>
    <row r="657" spans="1:12">
      <c r="A657" t="str">
        <f>HYPERLINK("http://bombeiros.sp.gov.br/hidrantes/03individual/25219.html","25219")</f>
        <v>25219</v>
      </c>
      <c r="B657" t="str">
        <f>HYPERLINK("http://bombeiros.sp.gov.br/hidrantes/08bsg/qrcodeBSG.html?id=25219&amp;lat=-23.55886&amp;long=-46.57196&amp;tipo=S","QRCODE")</f>
        <v>QRCODE</v>
      </c>
      <c r="C657" t="s">
        <v>5273</v>
      </c>
      <c r="D657" t="s">
        <v>757</v>
      </c>
      <c r="E657" t="s">
        <v>297</v>
      </c>
      <c r="F657" t="s">
        <v>21</v>
      </c>
      <c r="G657" t="s">
        <v>2323</v>
      </c>
      <c r="H657">
        <v>0</v>
      </c>
      <c r="I657">
        <v>3</v>
      </c>
      <c r="J657">
        <v>0</v>
      </c>
      <c r="K657">
        <v>0</v>
      </c>
      <c r="L657">
        <v>0</v>
      </c>
    </row>
    <row r="658" spans="1:12">
      <c r="A658" t="str">
        <f>HYPERLINK("http://bombeiros.sp.gov.br/hidrantes/03individual/1029.html","1029")</f>
        <v>1029</v>
      </c>
      <c r="B658" t="str">
        <f>HYPERLINK("http://bombeiros.sp.gov.br/hidrantes/08bsg/qrcodeBSG.html?id=1029&amp;lat=-23.57123&amp;long=-46.56969&amp;tipo=C","QRCODE")</f>
        <v>QRCODE</v>
      </c>
      <c r="C658" t="s">
        <v>5273</v>
      </c>
      <c r="D658" t="s">
        <v>757</v>
      </c>
      <c r="E658" t="s">
        <v>855</v>
      </c>
      <c r="F658" t="s">
        <v>12</v>
      </c>
      <c r="G658" t="s">
        <v>4997</v>
      </c>
      <c r="H658">
        <v>0</v>
      </c>
      <c r="I658">
        <v>1</v>
      </c>
      <c r="J658">
        <v>0</v>
      </c>
      <c r="K658">
        <v>0</v>
      </c>
      <c r="L658">
        <v>0</v>
      </c>
    </row>
    <row r="659" spans="1:12">
      <c r="A659" t="str">
        <f>HYPERLINK("http://bombeiros.sp.gov.br/hidrantes/03individual/1593.html","1593")</f>
        <v>1593</v>
      </c>
      <c r="B659" t="str">
        <f>HYPERLINK("http://bombeiros.sp.gov.br/hidrantes/08bsg/qrcodeBSG.html?id=1593&amp;lat=-23.56089&amp;long=-46.58517&amp;tipo=C","QRCODE")</f>
        <v>QRCODE</v>
      </c>
      <c r="C659" t="s">
        <v>5273</v>
      </c>
      <c r="D659" t="s">
        <v>757</v>
      </c>
      <c r="E659" t="s">
        <v>855</v>
      </c>
      <c r="F659" t="s">
        <v>12</v>
      </c>
      <c r="G659" t="s">
        <v>3127</v>
      </c>
      <c r="H659">
        <v>1</v>
      </c>
      <c r="I659">
        <v>1</v>
      </c>
      <c r="J659">
        <v>0</v>
      </c>
      <c r="K659">
        <v>0</v>
      </c>
      <c r="L659">
        <v>0</v>
      </c>
    </row>
    <row r="660" spans="1:12">
      <c r="A660" t="str">
        <f>HYPERLINK("http://bombeiros.sp.gov.br/hidrantes/03individual/3212.html","3212")</f>
        <v>3212</v>
      </c>
      <c r="B660" t="str">
        <f>HYPERLINK("http://bombeiros.sp.gov.br/hidrantes/08bsg/qrcodeBSG.html?id=3212&amp;lat=-23.56487&amp;long=-46.58533&amp;tipo=C","QRCODE")</f>
        <v>QRCODE</v>
      </c>
      <c r="C660" t="s">
        <v>5273</v>
      </c>
      <c r="D660" t="s">
        <v>757</v>
      </c>
      <c r="E660" t="s">
        <v>855</v>
      </c>
      <c r="F660" t="s">
        <v>12</v>
      </c>
      <c r="G660" t="s">
        <v>3092</v>
      </c>
      <c r="H660">
        <v>1</v>
      </c>
      <c r="I660">
        <v>1</v>
      </c>
      <c r="J660">
        <v>0</v>
      </c>
      <c r="K660">
        <v>0</v>
      </c>
      <c r="L660">
        <v>0</v>
      </c>
    </row>
    <row r="661" spans="1:12">
      <c r="A661" t="str">
        <f>HYPERLINK("http://bombeiros.sp.gov.br/hidrantes/03individual/3240.html","3240")</f>
        <v>3240</v>
      </c>
      <c r="B661" t="str">
        <f>HYPERLINK("http://bombeiros.sp.gov.br/hidrantes/08bsg/qrcodeBSG.html?id=3240&amp;lat=-23.56214&amp;long=-46.57983&amp;tipo=C","QRCODE")</f>
        <v>QRCODE</v>
      </c>
      <c r="C661" t="s">
        <v>5273</v>
      </c>
      <c r="D661" t="s">
        <v>757</v>
      </c>
      <c r="E661" t="s">
        <v>855</v>
      </c>
      <c r="F661" t="s">
        <v>12</v>
      </c>
      <c r="G661" t="s">
        <v>4626</v>
      </c>
      <c r="H661">
        <v>0</v>
      </c>
      <c r="I661">
        <v>3</v>
      </c>
      <c r="J661">
        <v>0</v>
      </c>
      <c r="K661">
        <v>0</v>
      </c>
      <c r="L661">
        <v>0</v>
      </c>
    </row>
    <row r="662" spans="1:12">
      <c r="A662" t="str">
        <f>HYPERLINK("http://bombeiros.sp.gov.br/hidrantes/03individual/1631.html","1631")</f>
        <v>1631</v>
      </c>
      <c r="B662" t="str">
        <f>HYPERLINK("http://bombeiros.sp.gov.br/hidrantes/08bsg/qrcodeBSG.html?id=1631&amp;lat=-23.56427&amp;long=-46.57806&amp;tipo=S","QRCODE")</f>
        <v>QRCODE</v>
      </c>
      <c r="C662" t="s">
        <v>5273</v>
      </c>
      <c r="D662" t="s">
        <v>757</v>
      </c>
      <c r="E662" t="s">
        <v>855</v>
      </c>
      <c r="F662" t="s">
        <v>21</v>
      </c>
      <c r="G662" t="s">
        <v>858</v>
      </c>
      <c r="H662">
        <v>2</v>
      </c>
      <c r="I662">
        <v>2</v>
      </c>
      <c r="J662">
        <v>0</v>
      </c>
      <c r="K662">
        <v>0</v>
      </c>
      <c r="L662">
        <v>0</v>
      </c>
    </row>
    <row r="663" spans="1:12">
      <c r="A663" t="str">
        <f>HYPERLINK("http://bombeiros.sp.gov.br/hidrantes/03individual/1656.html","1656")</f>
        <v>1656</v>
      </c>
      <c r="B663" t="str">
        <f>HYPERLINK("http://bombeiros.sp.gov.br/hidrantes/08bsg/qrcodeBSG.html?id=1656&amp;lat=-23.56350&amp;long=-46.58085&amp;tipo=S","QRCODE")</f>
        <v>QRCODE</v>
      </c>
      <c r="C663" t="s">
        <v>5273</v>
      </c>
      <c r="D663" t="s">
        <v>757</v>
      </c>
      <c r="E663" t="s">
        <v>855</v>
      </c>
      <c r="F663" t="s">
        <v>21</v>
      </c>
      <c r="G663" t="s">
        <v>854</v>
      </c>
      <c r="H663">
        <v>1</v>
      </c>
      <c r="I663">
        <v>2</v>
      </c>
      <c r="J663">
        <v>0</v>
      </c>
      <c r="K663">
        <v>0</v>
      </c>
      <c r="L663">
        <v>0</v>
      </c>
    </row>
    <row r="664" spans="1:12">
      <c r="A664" t="str">
        <f>HYPERLINK("http://bombeiros.sp.gov.br/hidrantes/03individual/1658.html","1658")</f>
        <v>1658</v>
      </c>
      <c r="B664" t="str">
        <f>HYPERLINK("http://bombeiros.sp.gov.br/hidrantes/08bsg/qrcodeBSG.html?id=1658&amp;lat=-23.56864&amp;long=-46.57703&amp;tipo=S","QRCODE")</f>
        <v>QRCODE</v>
      </c>
      <c r="C664" t="s">
        <v>5273</v>
      </c>
      <c r="D664" t="s">
        <v>757</v>
      </c>
      <c r="E664" t="s">
        <v>855</v>
      </c>
      <c r="F664" t="s">
        <v>21</v>
      </c>
      <c r="G664" t="s">
        <v>4869</v>
      </c>
      <c r="H664">
        <v>1</v>
      </c>
      <c r="I664">
        <v>1</v>
      </c>
      <c r="J664">
        <v>0</v>
      </c>
      <c r="K664">
        <v>0</v>
      </c>
      <c r="L664">
        <v>0</v>
      </c>
    </row>
    <row r="665" spans="1:12">
      <c r="A665" t="str">
        <f>HYPERLINK("http://bombeiros.sp.gov.br/hidrantes/03individual/3102.html","3102")</f>
        <v>3102</v>
      </c>
      <c r="B665" t="str">
        <f>HYPERLINK("http://bombeiros.sp.gov.br/hidrantes/08bsg/qrcodeBSG.html?id=3102&amp;lat=-23.56712&amp;long=-46.58586&amp;tipo=S","QRCODE")</f>
        <v>QRCODE</v>
      </c>
      <c r="C665" t="s">
        <v>5273</v>
      </c>
      <c r="D665" t="s">
        <v>757</v>
      </c>
      <c r="E665" t="s">
        <v>855</v>
      </c>
      <c r="F665" t="s">
        <v>21</v>
      </c>
      <c r="G665" t="s">
        <v>4865</v>
      </c>
      <c r="H665">
        <v>1</v>
      </c>
      <c r="I665">
        <v>2</v>
      </c>
      <c r="J665">
        <v>0</v>
      </c>
      <c r="K665">
        <v>0</v>
      </c>
      <c r="L665">
        <v>0</v>
      </c>
    </row>
    <row r="666" spans="1:12">
      <c r="A666" t="str">
        <f>HYPERLINK("http://bombeiros.sp.gov.br/hidrantes/03individual/3103.html","3103")</f>
        <v>3103</v>
      </c>
      <c r="B666" t="str">
        <f>HYPERLINK("http://bombeiros.sp.gov.br/hidrantes/08bsg/qrcodeBSG.html?id=3103&amp;lat=-23.56660&amp;long=-46.58549&amp;tipo=S","QRCODE")</f>
        <v>QRCODE</v>
      </c>
      <c r="C666" t="s">
        <v>5273</v>
      </c>
      <c r="D666" t="s">
        <v>757</v>
      </c>
      <c r="E666" t="s">
        <v>855</v>
      </c>
      <c r="F666" t="s">
        <v>21</v>
      </c>
      <c r="G666" t="s">
        <v>4884</v>
      </c>
      <c r="H666">
        <v>1</v>
      </c>
      <c r="I666">
        <v>1</v>
      </c>
      <c r="J666">
        <v>0</v>
      </c>
      <c r="K666">
        <v>0</v>
      </c>
      <c r="L666">
        <v>0</v>
      </c>
    </row>
    <row r="667" spans="1:12">
      <c r="A667" t="str">
        <f>HYPERLINK("http://bombeiros.sp.gov.br/hidrantes/03individual/3104.html","3104")</f>
        <v>3104</v>
      </c>
      <c r="B667" t="str">
        <f>HYPERLINK("http://bombeiros.sp.gov.br/hidrantes/08bsg/qrcodeBSG.html?id=3104&amp;lat=-23.56723&amp;long=-46.58254&amp;tipo=S","QRCODE")</f>
        <v>QRCODE</v>
      </c>
      <c r="C667" t="s">
        <v>5273</v>
      </c>
      <c r="D667" t="s">
        <v>757</v>
      </c>
      <c r="E667" t="s">
        <v>855</v>
      </c>
      <c r="F667" t="s">
        <v>21</v>
      </c>
      <c r="G667" t="s">
        <v>3106</v>
      </c>
      <c r="H667">
        <v>1</v>
      </c>
      <c r="I667">
        <v>1</v>
      </c>
      <c r="J667">
        <v>0</v>
      </c>
      <c r="K667">
        <v>0</v>
      </c>
      <c r="L667">
        <v>0</v>
      </c>
    </row>
    <row r="668" spans="1:12">
      <c r="A668" t="str">
        <f>HYPERLINK("http://bombeiros.sp.gov.br/hidrantes/03individual/3105.html","3105")</f>
        <v>3105</v>
      </c>
      <c r="B668" t="str">
        <f>HYPERLINK("http://bombeiros.sp.gov.br/hidrantes/08bsg/qrcodeBSG.html?id=3105&amp;lat=-23.56659&amp;long=-46.58001&amp;tipo=S","QRCODE")</f>
        <v>QRCODE</v>
      </c>
      <c r="C668" t="s">
        <v>5273</v>
      </c>
      <c r="D668" t="s">
        <v>757</v>
      </c>
      <c r="E668" t="s">
        <v>855</v>
      </c>
      <c r="F668" t="s">
        <v>21</v>
      </c>
      <c r="G668" t="s">
        <v>3443</v>
      </c>
      <c r="H668">
        <v>0</v>
      </c>
      <c r="I668">
        <v>1</v>
      </c>
      <c r="J668">
        <v>0</v>
      </c>
      <c r="K668">
        <v>0</v>
      </c>
      <c r="L668">
        <v>0</v>
      </c>
    </row>
    <row r="669" spans="1:12">
      <c r="A669" t="str">
        <f>HYPERLINK("http://bombeiros.sp.gov.br/hidrantes/03individual/3134.html","3134")</f>
        <v>3134</v>
      </c>
      <c r="B669" t="str">
        <f>HYPERLINK("http://bombeiros.sp.gov.br/hidrantes/08bsg/qrcodeBSG.html?id=3134&amp;lat=-23.56797&amp;long=-46.57025&amp;tipo=S","QRCODE")</f>
        <v>QRCODE</v>
      </c>
      <c r="C669" t="s">
        <v>5273</v>
      </c>
      <c r="D669" t="s">
        <v>757</v>
      </c>
      <c r="E669" t="s">
        <v>855</v>
      </c>
      <c r="F669" t="s">
        <v>21</v>
      </c>
      <c r="G669" t="s">
        <v>4621</v>
      </c>
      <c r="H669">
        <v>0</v>
      </c>
      <c r="I669">
        <v>2</v>
      </c>
      <c r="J669">
        <v>0</v>
      </c>
      <c r="K669">
        <v>0</v>
      </c>
      <c r="L669">
        <v>0</v>
      </c>
    </row>
    <row r="670" spans="1:12">
      <c r="A670" t="str">
        <f>HYPERLINK("http://bombeiros.sp.gov.br/hidrantes/03individual/3176.html","3176")</f>
        <v>3176</v>
      </c>
      <c r="B670" t="str">
        <f>HYPERLINK("http://bombeiros.sp.gov.br/hidrantes/08bsg/qrcodeBSG.html?id=3176&amp;lat=-23.57358&amp;long=-46.58050&amp;tipo=S","QRCODE")</f>
        <v>QRCODE</v>
      </c>
      <c r="C670" t="s">
        <v>5273</v>
      </c>
      <c r="D670" t="s">
        <v>757</v>
      </c>
      <c r="E670" t="s">
        <v>855</v>
      </c>
      <c r="F670" t="s">
        <v>21</v>
      </c>
      <c r="G670" t="s">
        <v>3090</v>
      </c>
      <c r="H670">
        <v>1</v>
      </c>
      <c r="I670">
        <v>1</v>
      </c>
      <c r="J670">
        <v>0</v>
      </c>
      <c r="K670">
        <v>0</v>
      </c>
      <c r="L670">
        <v>0</v>
      </c>
    </row>
    <row r="671" spans="1:12">
      <c r="A671" t="str">
        <f>HYPERLINK("http://bombeiros.sp.gov.br/hidrantes/03individual/3239.html","3239")</f>
        <v>3239</v>
      </c>
      <c r="B671" t="str">
        <f>HYPERLINK("http://bombeiros.sp.gov.br/hidrantes/08bsg/qrcodeBSG.html?id=3239&amp;lat=-23.56458&amp;long=-46.58235&amp;tipo=S","QRCODE")</f>
        <v>QRCODE</v>
      </c>
      <c r="C671" t="s">
        <v>5273</v>
      </c>
      <c r="D671" t="s">
        <v>757</v>
      </c>
      <c r="E671" t="s">
        <v>855</v>
      </c>
      <c r="F671" t="s">
        <v>21</v>
      </c>
      <c r="G671" t="s">
        <v>4625</v>
      </c>
      <c r="H671">
        <v>0</v>
      </c>
      <c r="I671">
        <v>2</v>
      </c>
      <c r="J671">
        <v>0</v>
      </c>
      <c r="K671">
        <v>0</v>
      </c>
      <c r="L671">
        <v>0</v>
      </c>
    </row>
    <row r="672" spans="1:12">
      <c r="A672" t="str">
        <f>HYPERLINK("http://bombeiros.sp.gov.br/hidrantes/03individual/17908.html","17908")</f>
        <v>17908</v>
      </c>
      <c r="B672" t="str">
        <f>HYPERLINK("http://bombeiros.sp.gov.br/hidrantes/08bsg/qrcodeBSG.html?id=17908&amp;lat=-23.56712&amp;long=-46.57510&amp;tipo=S","QRCODE")</f>
        <v>QRCODE</v>
      </c>
      <c r="C672" t="s">
        <v>5273</v>
      </c>
      <c r="D672" t="s">
        <v>757</v>
      </c>
      <c r="E672" t="s">
        <v>855</v>
      </c>
      <c r="F672" t="s">
        <v>21</v>
      </c>
      <c r="G672" t="s">
        <v>924</v>
      </c>
      <c r="H672">
        <v>0</v>
      </c>
      <c r="I672">
        <v>2</v>
      </c>
      <c r="J672">
        <v>0</v>
      </c>
      <c r="K672">
        <v>0</v>
      </c>
      <c r="L672">
        <v>0</v>
      </c>
    </row>
    <row r="673" spans="1:12">
      <c r="A673" t="str">
        <f>HYPERLINK("http://bombeiros.sp.gov.br/hidrantes/03individual/2970.html","2970")</f>
        <v>2970</v>
      </c>
      <c r="B673" t="str">
        <f>HYPERLINK("http://bombeiros.sp.gov.br/hidrantes/08bsg/qrcodeBSG.html?id=2970&amp;lat=-23.56980&amp;long=-46.50829&amp;tipo=C","QRCODE")</f>
        <v>QRCODE</v>
      </c>
      <c r="C673" t="s">
        <v>5273</v>
      </c>
      <c r="D673" t="s">
        <v>979</v>
      </c>
      <c r="E673" t="s">
        <v>979</v>
      </c>
      <c r="F673" t="s">
        <v>12</v>
      </c>
      <c r="G673" t="s">
        <v>3632</v>
      </c>
      <c r="H673">
        <v>1</v>
      </c>
      <c r="I673">
        <v>1</v>
      </c>
      <c r="J673">
        <v>0</v>
      </c>
      <c r="K673">
        <v>0</v>
      </c>
      <c r="L673">
        <v>0</v>
      </c>
    </row>
    <row r="674" spans="1:12">
      <c r="A674" t="str">
        <f>HYPERLINK("http://bombeiros.sp.gov.br/hidrantes/03individual/2971.html","2971")</f>
        <v>2971</v>
      </c>
      <c r="B674" t="str">
        <f>HYPERLINK("http://bombeiros.sp.gov.br/hidrantes/08bsg/qrcodeBSG.html?id=2971&amp;lat=-23.56956&amp;long=-46.50974&amp;tipo=C","QRCODE")</f>
        <v>QRCODE</v>
      </c>
      <c r="C674" t="s">
        <v>5273</v>
      </c>
      <c r="D674" t="s">
        <v>979</v>
      </c>
      <c r="E674" t="s">
        <v>979</v>
      </c>
      <c r="F674" t="s">
        <v>12</v>
      </c>
      <c r="G674" t="s">
        <v>3633</v>
      </c>
      <c r="H674">
        <v>1</v>
      </c>
      <c r="I674">
        <v>1</v>
      </c>
      <c r="J674">
        <v>0</v>
      </c>
      <c r="K674">
        <v>0</v>
      </c>
      <c r="L674">
        <v>0</v>
      </c>
    </row>
    <row r="675" spans="1:12">
      <c r="A675" t="str">
        <f>HYPERLINK("http://bombeiros.sp.gov.br/hidrantes/03individual/2979.html","2979")</f>
        <v>2979</v>
      </c>
      <c r="B675" t="str">
        <f>HYPERLINK("http://bombeiros.sp.gov.br/hidrantes/08bsg/qrcodeBSG.html?id=2979&amp;lat=-23.57688&amp;long=-46.51627&amp;tipo=C","QRCODE")</f>
        <v>QRCODE</v>
      </c>
      <c r="C675" t="s">
        <v>5273</v>
      </c>
      <c r="D675" t="s">
        <v>979</v>
      </c>
      <c r="E675" t="s">
        <v>979</v>
      </c>
      <c r="F675" t="s">
        <v>12</v>
      </c>
      <c r="G675" t="s">
        <v>4552</v>
      </c>
      <c r="H675">
        <v>0</v>
      </c>
      <c r="I675">
        <v>2</v>
      </c>
      <c r="J675">
        <v>0</v>
      </c>
      <c r="K675">
        <v>0</v>
      </c>
      <c r="L675">
        <v>0</v>
      </c>
    </row>
    <row r="676" spans="1:12">
      <c r="A676" t="str">
        <f>HYPERLINK("http://bombeiros.sp.gov.br/hidrantes/03individual/3005.html","3005")</f>
        <v>3005</v>
      </c>
      <c r="B676" t="str">
        <f>HYPERLINK("http://bombeiros.sp.gov.br/hidrantes/08bsg/qrcodeBSG.html?id=3005&amp;lat=-23.56685&amp;long=-46.52522&amp;tipo=C","QRCODE")</f>
        <v>QRCODE</v>
      </c>
      <c r="C676" t="s">
        <v>5273</v>
      </c>
      <c r="D676" t="s">
        <v>979</v>
      </c>
      <c r="E676" t="s">
        <v>979</v>
      </c>
      <c r="F676" t="s">
        <v>12</v>
      </c>
      <c r="G676" t="s">
        <v>2432</v>
      </c>
      <c r="H676">
        <v>0</v>
      </c>
      <c r="I676">
        <v>2</v>
      </c>
      <c r="J676">
        <v>0</v>
      </c>
      <c r="K676">
        <v>0</v>
      </c>
      <c r="L676">
        <v>0</v>
      </c>
    </row>
    <row r="677" spans="1:12">
      <c r="A677" t="str">
        <f>HYPERLINK("http://bombeiros.sp.gov.br/hidrantes/03individual/3006.html","3006")</f>
        <v>3006</v>
      </c>
      <c r="B677" t="str">
        <f>HYPERLINK("http://bombeiros.sp.gov.br/hidrantes/08bsg/qrcodeBSG.html?id=3006&amp;lat=-23.56686&amp;long=-46.52357&amp;tipo=C","QRCODE")</f>
        <v>QRCODE</v>
      </c>
      <c r="C677" t="s">
        <v>5273</v>
      </c>
      <c r="D677" t="s">
        <v>979</v>
      </c>
      <c r="E677" t="s">
        <v>979</v>
      </c>
      <c r="F677" t="s">
        <v>12</v>
      </c>
      <c r="G677" t="s">
        <v>3101</v>
      </c>
      <c r="H677">
        <v>1</v>
      </c>
      <c r="I677">
        <v>1</v>
      </c>
      <c r="J677">
        <v>0</v>
      </c>
      <c r="K677">
        <v>0</v>
      </c>
      <c r="L677">
        <v>0</v>
      </c>
    </row>
    <row r="678" spans="1:12">
      <c r="A678" t="str">
        <f>HYPERLINK("http://bombeiros.sp.gov.br/hidrantes/03individual/4168.html","4168")</f>
        <v>4168</v>
      </c>
      <c r="B678" t="str">
        <f>HYPERLINK("http://bombeiros.sp.gov.br/hidrantes/08bsg/qrcodeBSG.html?id=4168&amp;lat=-23.56510&amp;long=-46.51277&amp;tipo=C","QRCODE")</f>
        <v>QRCODE</v>
      </c>
      <c r="C678" t="s">
        <v>5273</v>
      </c>
      <c r="D678" t="s">
        <v>979</v>
      </c>
      <c r="E678" t="s">
        <v>979</v>
      </c>
      <c r="F678" t="s">
        <v>12</v>
      </c>
      <c r="G678" t="s">
        <v>4161</v>
      </c>
      <c r="H678">
        <v>0</v>
      </c>
      <c r="I678">
        <v>1</v>
      </c>
      <c r="J678">
        <v>0</v>
      </c>
      <c r="K678">
        <v>0</v>
      </c>
      <c r="L678">
        <v>0</v>
      </c>
    </row>
    <row r="679" spans="1:12">
      <c r="A679" t="str">
        <f>HYPERLINK("http://bombeiros.sp.gov.br/hidrantes/03individual/4289.html","4289")</f>
        <v>4289</v>
      </c>
      <c r="B679" t="str">
        <f>HYPERLINK("http://bombeiros.sp.gov.br/hidrantes/08bsg/qrcodeBSG.html?id=4289&amp;lat=-23.56598&amp;long=-46.52288&amp;tipo=C","QRCODE")</f>
        <v>QRCODE</v>
      </c>
      <c r="C679" t="s">
        <v>5273</v>
      </c>
      <c r="D679" t="s">
        <v>979</v>
      </c>
      <c r="E679" t="s">
        <v>979</v>
      </c>
      <c r="F679" t="s">
        <v>12</v>
      </c>
      <c r="G679" t="s">
        <v>2419</v>
      </c>
      <c r="H679">
        <v>0</v>
      </c>
      <c r="I679">
        <v>2</v>
      </c>
      <c r="J679">
        <v>0</v>
      </c>
      <c r="K679">
        <v>0</v>
      </c>
      <c r="L679">
        <v>0</v>
      </c>
    </row>
    <row r="680" spans="1:12">
      <c r="A680" t="str">
        <f>HYPERLINK("http://bombeiros.sp.gov.br/hidrantes/03individual/15220.html","15220")</f>
        <v>15220</v>
      </c>
      <c r="B680" t="str">
        <f>HYPERLINK("http://bombeiros.sp.gov.br/hidrantes/08bsg/qrcodeBSG.html?id=15220&amp;lat=-23.57402&amp;long=-46.51327&amp;tipo=C","QRCODE")</f>
        <v>QRCODE</v>
      </c>
      <c r="C680" t="s">
        <v>5273</v>
      </c>
      <c r="D680" t="s">
        <v>979</v>
      </c>
      <c r="E680" t="s">
        <v>979</v>
      </c>
      <c r="F680" t="s">
        <v>12</v>
      </c>
      <c r="G680" t="s">
        <v>5028</v>
      </c>
      <c r="H680">
        <v>0</v>
      </c>
      <c r="I680">
        <v>1</v>
      </c>
      <c r="J680">
        <v>0</v>
      </c>
      <c r="K680">
        <v>0</v>
      </c>
      <c r="L680">
        <v>0</v>
      </c>
    </row>
    <row r="681" spans="1:12">
      <c r="A681" t="str">
        <f>HYPERLINK("http://bombeiros.sp.gov.br/hidrantes/03individual/1788.html","1788")</f>
        <v>1788</v>
      </c>
      <c r="B681" t="str">
        <f>HYPERLINK("http://bombeiros.sp.gov.br/hidrantes/08bsg/qrcodeBSG.html?id=1788&amp;lat=-23.56658&amp;long=-46.50901&amp;tipo=S","QRCODE")</f>
        <v>QRCODE</v>
      </c>
      <c r="C681" t="s">
        <v>5273</v>
      </c>
      <c r="D681" t="s">
        <v>979</v>
      </c>
      <c r="E681" t="s">
        <v>979</v>
      </c>
      <c r="F681" t="s">
        <v>21</v>
      </c>
      <c r="G681" t="s">
        <v>3601</v>
      </c>
      <c r="H681">
        <v>1</v>
      </c>
      <c r="I681">
        <v>1</v>
      </c>
      <c r="J681">
        <v>0</v>
      </c>
      <c r="K681">
        <v>0</v>
      </c>
      <c r="L681">
        <v>0</v>
      </c>
    </row>
    <row r="682" spans="1:12">
      <c r="A682" t="str">
        <f>HYPERLINK("http://bombeiros.sp.gov.br/hidrantes/03individual/1809.html","1809")</f>
        <v>1809</v>
      </c>
      <c r="B682" t="str">
        <f>HYPERLINK("http://bombeiros.sp.gov.br/hidrantes/08bsg/qrcodeBSG.html?id=1809&amp;lat=-23.55816&amp;long=-46.51823&amp;tipo=S","QRCODE")</f>
        <v>QRCODE</v>
      </c>
      <c r="C682" t="s">
        <v>5273</v>
      </c>
      <c r="D682" t="s">
        <v>979</v>
      </c>
      <c r="E682" t="s">
        <v>979</v>
      </c>
      <c r="F682" t="s">
        <v>21</v>
      </c>
      <c r="G682" t="s">
        <v>4761</v>
      </c>
      <c r="H682">
        <v>1</v>
      </c>
      <c r="I682">
        <v>1</v>
      </c>
      <c r="J682">
        <v>0</v>
      </c>
      <c r="K682">
        <v>0</v>
      </c>
      <c r="L682">
        <v>0</v>
      </c>
    </row>
    <row r="683" spans="1:12">
      <c r="A683" t="str">
        <f>HYPERLINK("http://bombeiros.sp.gov.br/hidrantes/03individual/1810.html","1810")</f>
        <v>1810</v>
      </c>
      <c r="B683" t="str">
        <f>HYPERLINK("http://bombeiros.sp.gov.br/hidrantes/08bsg/qrcodeBSG.html?id=1810&amp;lat=-23.57128&amp;long=-46.51613&amp;tipo=S","QRCODE")</f>
        <v>QRCODE</v>
      </c>
      <c r="C683" t="s">
        <v>5273</v>
      </c>
      <c r="D683" t="s">
        <v>979</v>
      </c>
      <c r="E683" t="s">
        <v>979</v>
      </c>
      <c r="F683" t="s">
        <v>21</v>
      </c>
      <c r="G683" t="s">
        <v>4815</v>
      </c>
      <c r="H683">
        <v>1</v>
      </c>
      <c r="I683">
        <v>1</v>
      </c>
      <c r="J683">
        <v>0</v>
      </c>
      <c r="K683">
        <v>0</v>
      </c>
      <c r="L683">
        <v>0</v>
      </c>
    </row>
    <row r="684" spans="1:12">
      <c r="A684" t="str">
        <f>HYPERLINK("http://bombeiros.sp.gov.br/hidrantes/03individual/1832.html","1832")</f>
        <v>1832</v>
      </c>
      <c r="B684" t="str">
        <f>HYPERLINK("http://bombeiros.sp.gov.br/hidrantes/08bsg/qrcodeBSG.html?id=1832&amp;lat=-23.56726&amp;long=-46.50749&amp;tipo=S","QRCODE")</f>
        <v>QRCODE</v>
      </c>
      <c r="C684" t="s">
        <v>5273</v>
      </c>
      <c r="D684" t="s">
        <v>979</v>
      </c>
      <c r="E684" t="s">
        <v>979</v>
      </c>
      <c r="F684" t="s">
        <v>21</v>
      </c>
      <c r="G684" t="s">
        <v>1641</v>
      </c>
      <c r="H684">
        <v>1</v>
      </c>
      <c r="I684">
        <v>2</v>
      </c>
      <c r="J684">
        <v>0</v>
      </c>
      <c r="K684">
        <v>0</v>
      </c>
      <c r="L684">
        <v>0</v>
      </c>
    </row>
    <row r="685" spans="1:12">
      <c r="A685" t="str">
        <f>HYPERLINK("http://bombeiros.sp.gov.br/hidrantes/03individual/1834.html","1834")</f>
        <v>1834</v>
      </c>
      <c r="B685" t="str">
        <f>HYPERLINK("http://bombeiros.sp.gov.br/hidrantes/08bsg/qrcodeBSG.html?id=1834&amp;lat=-23.56906&amp;long=-46.50597&amp;tipo=S","QRCODE")</f>
        <v>QRCODE</v>
      </c>
      <c r="C685" t="s">
        <v>5273</v>
      </c>
      <c r="D685" t="s">
        <v>979</v>
      </c>
      <c r="E685" t="s">
        <v>979</v>
      </c>
      <c r="F685" t="s">
        <v>21</v>
      </c>
      <c r="G685" t="s">
        <v>1642</v>
      </c>
      <c r="H685">
        <v>1</v>
      </c>
      <c r="I685">
        <v>2</v>
      </c>
      <c r="J685">
        <v>0</v>
      </c>
      <c r="K685">
        <v>0</v>
      </c>
      <c r="L685">
        <v>0</v>
      </c>
    </row>
    <row r="686" spans="1:12">
      <c r="A686" t="str">
        <f>HYPERLINK("http://bombeiros.sp.gov.br/hidrantes/03individual/1836.html","1836")</f>
        <v>1836</v>
      </c>
      <c r="B686" t="str">
        <f>HYPERLINK("http://bombeiros.sp.gov.br/hidrantes/08bsg/qrcodeBSG.html?id=1836&amp;lat=-23.56426&amp;long=-46.51129&amp;tipo=S","QRCODE")</f>
        <v>QRCODE</v>
      </c>
      <c r="C686" t="s">
        <v>5273</v>
      </c>
      <c r="D686" t="s">
        <v>979</v>
      </c>
      <c r="E686" t="s">
        <v>979</v>
      </c>
      <c r="F686" t="s">
        <v>21</v>
      </c>
      <c r="G686" t="s">
        <v>1643</v>
      </c>
      <c r="H686">
        <v>1</v>
      </c>
      <c r="I686">
        <v>2</v>
      </c>
      <c r="J686">
        <v>0</v>
      </c>
      <c r="K686">
        <v>0</v>
      </c>
      <c r="L686">
        <v>0</v>
      </c>
    </row>
    <row r="687" spans="1:12">
      <c r="A687" t="str">
        <f>HYPERLINK("http://bombeiros.sp.gov.br/hidrantes/03individual/2972.html","2972")</f>
        <v>2972</v>
      </c>
      <c r="B687" t="str">
        <f>HYPERLINK("http://bombeiros.sp.gov.br/hidrantes/08bsg/qrcodeBSG.html?id=2972&amp;lat=-23.56654&amp;long=-46.51038&amp;tipo=S","QRCODE")</f>
        <v>QRCODE</v>
      </c>
      <c r="C687" t="s">
        <v>5273</v>
      </c>
      <c r="D687" t="s">
        <v>979</v>
      </c>
      <c r="E687" t="s">
        <v>979</v>
      </c>
      <c r="F687" t="s">
        <v>21</v>
      </c>
      <c r="G687" t="s">
        <v>4809</v>
      </c>
      <c r="H687">
        <v>1</v>
      </c>
      <c r="I687">
        <v>1</v>
      </c>
      <c r="J687">
        <v>0</v>
      </c>
      <c r="K687">
        <v>0</v>
      </c>
      <c r="L687">
        <v>0</v>
      </c>
    </row>
    <row r="688" spans="1:12">
      <c r="A688" t="str">
        <f>HYPERLINK("http://bombeiros.sp.gov.br/hidrantes/03individual/3003.html","3003")</f>
        <v>3003</v>
      </c>
      <c r="B688" t="str">
        <f>HYPERLINK("http://bombeiros.sp.gov.br/hidrantes/08bsg/qrcodeBSG.html?id=3003&amp;lat=-23.57010&amp;long=-46.52176&amp;tipo=S","QRCODE")</f>
        <v>QRCODE</v>
      </c>
      <c r="C688" t="s">
        <v>5273</v>
      </c>
      <c r="D688" t="s">
        <v>979</v>
      </c>
      <c r="E688" t="s">
        <v>979</v>
      </c>
      <c r="F688" t="s">
        <v>21</v>
      </c>
      <c r="G688" t="s">
        <v>3100</v>
      </c>
      <c r="H688">
        <v>1</v>
      </c>
      <c r="I688">
        <v>1</v>
      </c>
      <c r="J688">
        <v>0</v>
      </c>
      <c r="K688">
        <v>0</v>
      </c>
      <c r="L688">
        <v>0</v>
      </c>
    </row>
    <row r="689" spans="1:12">
      <c r="A689" t="str">
        <f>HYPERLINK("http://bombeiros.sp.gov.br/hidrantes/03individual/3004.html","3004")</f>
        <v>3004</v>
      </c>
      <c r="B689" t="str">
        <f>HYPERLINK("http://bombeiros.sp.gov.br/hidrantes/08bsg/qrcodeBSG.html?id=3004&amp;lat=-23.57152&amp;long=-46.52465&amp;tipo=S","QRCODE")</f>
        <v>QRCODE</v>
      </c>
      <c r="C689" t="s">
        <v>5273</v>
      </c>
      <c r="D689" t="s">
        <v>979</v>
      </c>
      <c r="E689" t="s">
        <v>979</v>
      </c>
      <c r="F689" t="s">
        <v>21</v>
      </c>
      <c r="G689" t="s">
        <v>3102</v>
      </c>
      <c r="H689">
        <v>1</v>
      </c>
      <c r="I689">
        <v>1</v>
      </c>
      <c r="J689">
        <v>0</v>
      </c>
      <c r="K689">
        <v>0</v>
      </c>
      <c r="L689">
        <v>0</v>
      </c>
    </row>
    <row r="690" spans="1:12">
      <c r="A690" t="str">
        <f>HYPERLINK("http://bombeiros.sp.gov.br/hidrantes/03individual/3007.html","3007")</f>
        <v>3007</v>
      </c>
      <c r="B690" t="str">
        <f>HYPERLINK("http://bombeiros.sp.gov.br/hidrantes/08bsg/qrcodeBSG.html?id=3007&amp;lat=-23.56787&amp;long=-46.51879&amp;tipo=S","QRCODE")</f>
        <v>QRCODE</v>
      </c>
      <c r="C690" t="s">
        <v>5273</v>
      </c>
      <c r="D690" t="s">
        <v>979</v>
      </c>
      <c r="E690" t="s">
        <v>979</v>
      </c>
      <c r="F690" t="s">
        <v>21</v>
      </c>
      <c r="G690" t="s">
        <v>978</v>
      </c>
      <c r="H690">
        <v>1</v>
      </c>
      <c r="I690">
        <v>2</v>
      </c>
      <c r="J690">
        <v>0</v>
      </c>
      <c r="K690">
        <v>0</v>
      </c>
      <c r="L690">
        <v>0</v>
      </c>
    </row>
    <row r="691" spans="1:12">
      <c r="A691" t="str">
        <f>HYPERLINK("http://bombeiros.sp.gov.br/hidrantes/03individual/3008.html","3008")</f>
        <v>3008</v>
      </c>
      <c r="B691" t="str">
        <f>HYPERLINK("http://bombeiros.sp.gov.br/hidrantes/08bsg/qrcodeBSG.html?id=3008&amp;lat=-23.56466&amp;long=-46.51902&amp;tipo=S","QRCODE")</f>
        <v>QRCODE</v>
      </c>
      <c r="C691" t="s">
        <v>5273</v>
      </c>
      <c r="D691" t="s">
        <v>979</v>
      </c>
      <c r="E691" t="s">
        <v>979</v>
      </c>
      <c r="F691" t="s">
        <v>21</v>
      </c>
      <c r="G691" t="s">
        <v>4729</v>
      </c>
      <c r="H691">
        <v>1</v>
      </c>
      <c r="I691">
        <v>1</v>
      </c>
      <c r="J691">
        <v>0</v>
      </c>
      <c r="K691">
        <v>0</v>
      </c>
      <c r="L691">
        <v>0</v>
      </c>
    </row>
    <row r="692" spans="1:12">
      <c r="A692" t="str">
        <f>HYPERLINK("http://bombeiros.sp.gov.br/hidrantes/03individual/3210.html","3210")</f>
        <v>3210</v>
      </c>
      <c r="B692" t="str">
        <f>HYPERLINK("http://bombeiros.sp.gov.br/hidrantes/08bsg/qrcodeBSG.html?id=3210&amp;lat=-23.57264&amp;long=-46.50993&amp;tipo=S","QRCODE")</f>
        <v>QRCODE</v>
      </c>
      <c r="C692" t="s">
        <v>5273</v>
      </c>
      <c r="D692" t="s">
        <v>979</v>
      </c>
      <c r="E692" t="s">
        <v>979</v>
      </c>
      <c r="F692" t="s">
        <v>21</v>
      </c>
      <c r="G692" t="s">
        <v>4114</v>
      </c>
      <c r="H692">
        <v>0</v>
      </c>
      <c r="I692">
        <v>1</v>
      </c>
      <c r="J692">
        <v>0</v>
      </c>
      <c r="K692">
        <v>0</v>
      </c>
      <c r="L692">
        <v>0</v>
      </c>
    </row>
    <row r="693" spans="1:12">
      <c r="A693" t="str">
        <f>HYPERLINK("http://bombeiros.sp.gov.br/hidrantes/03individual/3244.html","3244")</f>
        <v>3244</v>
      </c>
      <c r="B693" t="str">
        <f>HYPERLINK("http://bombeiros.sp.gov.br/hidrantes/08bsg/qrcodeBSG.html?id=3244&amp;lat=-23.57134&amp;long=-46.52715&amp;tipo=S","QRCODE")</f>
        <v>QRCODE</v>
      </c>
      <c r="C693" t="s">
        <v>5273</v>
      </c>
      <c r="D693" t="s">
        <v>979</v>
      </c>
      <c r="E693" t="s">
        <v>979</v>
      </c>
      <c r="F693" t="s">
        <v>21</v>
      </c>
      <c r="G693" t="s">
        <v>4404</v>
      </c>
      <c r="H693">
        <v>1</v>
      </c>
      <c r="I693">
        <v>2</v>
      </c>
      <c r="J693">
        <v>0</v>
      </c>
      <c r="K693">
        <v>0</v>
      </c>
      <c r="L693">
        <v>0</v>
      </c>
    </row>
    <row r="694" spans="1:12">
      <c r="A694" t="str">
        <f>HYPERLINK("http://bombeiros.sp.gov.br/hidrantes/03individual/4288.html","4288")</f>
        <v>4288</v>
      </c>
      <c r="B694" t="str">
        <f>HYPERLINK("http://bombeiros.sp.gov.br/hidrantes/08bsg/qrcodeBSG.html?id=4288&amp;lat=-23.57136&amp;long=-46.52714&amp;tipo=S","QRCODE")</f>
        <v>QRCODE</v>
      </c>
      <c r="C694" t="s">
        <v>5273</v>
      </c>
      <c r="D694" t="s">
        <v>979</v>
      </c>
      <c r="E694" t="s">
        <v>979</v>
      </c>
      <c r="F694" t="s">
        <v>21</v>
      </c>
      <c r="G694" t="s">
        <v>4035</v>
      </c>
      <c r="H694">
        <v>1</v>
      </c>
      <c r="I694">
        <v>1</v>
      </c>
      <c r="J694">
        <v>0</v>
      </c>
      <c r="K694">
        <v>0</v>
      </c>
      <c r="L694">
        <v>0</v>
      </c>
    </row>
    <row r="695" spans="1:12">
      <c r="A695" t="str">
        <f>HYPERLINK("http://bombeiros.sp.gov.br/hidrantes/03individual/26911.html","26911")</f>
        <v>26911</v>
      </c>
      <c r="B695" t="str">
        <f>HYPERLINK("http://bombeiros.sp.gov.br/hidrantes/08bsg/qrcodeBSG.html?id=26911&amp;lat=-23.55805&amp;long=-46.51546&amp;tipo=S","QRCODE")</f>
        <v>QRCODE</v>
      </c>
      <c r="C695" t="s">
        <v>5273</v>
      </c>
      <c r="D695" t="s">
        <v>979</v>
      </c>
      <c r="E695" t="s">
        <v>979</v>
      </c>
      <c r="F695" t="s">
        <v>21</v>
      </c>
      <c r="G695" t="s">
        <v>3843</v>
      </c>
      <c r="H695">
        <v>0</v>
      </c>
      <c r="I695">
        <v>1</v>
      </c>
      <c r="J695">
        <v>0</v>
      </c>
      <c r="K695">
        <v>0</v>
      </c>
      <c r="L695">
        <v>0</v>
      </c>
    </row>
    <row r="696" spans="1:12">
      <c r="A696" t="str">
        <f>HYPERLINK("http://bombeiros.sp.gov.br/hidrantes/03individual/45.html","45")</f>
        <v>45</v>
      </c>
      <c r="B696" t="str">
        <f>HYPERLINK("http://bombeiros.sp.gov.br/hidrantes/08bsg/qrcodeBSG.html?id=45&amp;lat=-23.58587&amp;long=-46.50833&amp;tipo=C","QRCODE")</f>
        <v>QRCODE</v>
      </c>
      <c r="C696" t="s">
        <v>5273</v>
      </c>
      <c r="D696" t="s">
        <v>979</v>
      </c>
      <c r="E696" t="s">
        <v>32</v>
      </c>
      <c r="F696" t="s">
        <v>12</v>
      </c>
      <c r="G696" t="s">
        <v>4140</v>
      </c>
      <c r="H696">
        <v>1</v>
      </c>
      <c r="I696">
        <v>2</v>
      </c>
      <c r="J696">
        <v>0</v>
      </c>
      <c r="K696">
        <v>0</v>
      </c>
      <c r="L696">
        <v>0</v>
      </c>
    </row>
    <row r="697" spans="1:12">
      <c r="A697" t="str">
        <f>HYPERLINK("http://bombeiros.sp.gov.br/hidrantes/03individual/46.html","46")</f>
        <v>46</v>
      </c>
      <c r="B697" t="str">
        <f>HYPERLINK("http://bombeiros.sp.gov.br/hidrantes/08bsg/qrcodeBSG.html?id=46&amp;lat=-23.58807&amp;long=-46.50692&amp;tipo=C","QRCODE")</f>
        <v>QRCODE</v>
      </c>
      <c r="C697" t="s">
        <v>5273</v>
      </c>
      <c r="D697" t="s">
        <v>979</v>
      </c>
      <c r="E697" t="s">
        <v>32</v>
      </c>
      <c r="F697" t="s">
        <v>12</v>
      </c>
      <c r="G697" t="s">
        <v>5135</v>
      </c>
      <c r="H697">
        <v>0</v>
      </c>
      <c r="I697">
        <v>1</v>
      </c>
      <c r="J697">
        <v>0</v>
      </c>
      <c r="K697">
        <v>0</v>
      </c>
      <c r="L697">
        <v>0</v>
      </c>
    </row>
    <row r="698" spans="1:12">
      <c r="A698" t="str">
        <f>HYPERLINK("http://bombeiros.sp.gov.br/hidrantes/03individual/817.html","817")</f>
        <v>817</v>
      </c>
      <c r="B698" t="str">
        <f>HYPERLINK("http://bombeiros.sp.gov.br/hidrantes/08bsg/qrcodeBSG.html?id=817&amp;lat=-23.58824&amp;long=-46.50880&amp;tipo=C","QRCODE")</f>
        <v>QRCODE</v>
      </c>
      <c r="C698" t="s">
        <v>5273</v>
      </c>
      <c r="D698" t="s">
        <v>979</v>
      </c>
      <c r="E698" t="s">
        <v>32</v>
      </c>
      <c r="F698" t="s">
        <v>12</v>
      </c>
      <c r="G698" t="s">
        <v>1414</v>
      </c>
      <c r="H698">
        <v>1</v>
      </c>
      <c r="I698">
        <v>2</v>
      </c>
      <c r="J698">
        <v>0</v>
      </c>
      <c r="K698">
        <v>0</v>
      </c>
      <c r="L698">
        <v>0</v>
      </c>
    </row>
    <row r="699" spans="1:12">
      <c r="A699" t="str">
        <f>HYPERLINK("http://bombeiros.sp.gov.br/hidrantes/03individual/829.html","829")</f>
        <v>829</v>
      </c>
      <c r="B699" t="str">
        <f>HYPERLINK("http://bombeiros.sp.gov.br/hidrantes/08bsg/qrcodeBSG.html?id=829&amp;lat=-23.58665&amp;long=-46.50759&amp;tipo=C","QRCODE")</f>
        <v>QRCODE</v>
      </c>
      <c r="C699" t="s">
        <v>5273</v>
      </c>
      <c r="D699" t="s">
        <v>979</v>
      </c>
      <c r="E699" t="s">
        <v>32</v>
      </c>
      <c r="F699" t="s">
        <v>12</v>
      </c>
      <c r="G699" t="s">
        <v>5131</v>
      </c>
      <c r="H699">
        <v>0</v>
      </c>
      <c r="I699">
        <v>1</v>
      </c>
      <c r="J699">
        <v>0</v>
      </c>
      <c r="K699">
        <v>0</v>
      </c>
      <c r="L699">
        <v>0</v>
      </c>
    </row>
    <row r="700" spans="1:12">
      <c r="A700" t="str">
        <f>HYPERLINK("http://bombeiros.sp.gov.br/hidrantes/03individual/835.html","835")</f>
        <v>835</v>
      </c>
      <c r="B700" t="str">
        <f>HYPERLINK("http://bombeiros.sp.gov.br/hidrantes/08bsg/qrcodeBSG.html?id=835&amp;lat=-23.58540&amp;long=-46.50592&amp;tipo=C","QRCODE")</f>
        <v>QRCODE</v>
      </c>
      <c r="C700" t="s">
        <v>5273</v>
      </c>
      <c r="D700" t="s">
        <v>979</v>
      </c>
      <c r="E700" t="s">
        <v>32</v>
      </c>
      <c r="F700" t="s">
        <v>12</v>
      </c>
      <c r="G700" t="s">
        <v>5132</v>
      </c>
      <c r="H700">
        <v>0</v>
      </c>
      <c r="I700">
        <v>1</v>
      </c>
      <c r="J700">
        <v>0</v>
      </c>
      <c r="K700">
        <v>0</v>
      </c>
      <c r="L700">
        <v>0</v>
      </c>
    </row>
    <row r="701" spans="1:12">
      <c r="A701" t="str">
        <f>HYPERLINK("http://bombeiros.sp.gov.br/hidrantes/03individual/993.html","993")</f>
        <v>993</v>
      </c>
      <c r="B701" t="str">
        <f>HYPERLINK("http://bombeiros.sp.gov.br/hidrantes/08bsg/qrcodeBSG.html?id=993&amp;lat=-23.57471&amp;long=-46.52323&amp;tipo=C","QRCODE")</f>
        <v>QRCODE</v>
      </c>
      <c r="C701" t="s">
        <v>5273</v>
      </c>
      <c r="D701" t="s">
        <v>979</v>
      </c>
      <c r="E701" t="s">
        <v>32</v>
      </c>
      <c r="F701" t="s">
        <v>12</v>
      </c>
      <c r="G701" t="s">
        <v>5022</v>
      </c>
      <c r="H701">
        <v>0</v>
      </c>
      <c r="I701">
        <v>1</v>
      </c>
      <c r="J701">
        <v>0</v>
      </c>
      <c r="K701">
        <v>0</v>
      </c>
      <c r="L701">
        <v>0</v>
      </c>
    </row>
    <row r="702" spans="1:12">
      <c r="A702" t="str">
        <f>HYPERLINK("http://bombeiros.sp.gov.br/hidrantes/03individual/1882.html","1882")</f>
        <v>1882</v>
      </c>
      <c r="B702" t="str">
        <f>HYPERLINK("http://bombeiros.sp.gov.br/hidrantes/08bsg/qrcodeBSG.html?id=1882&amp;lat=-23.58509&amp;long=-46.52000&amp;tipo=C","QRCODE")</f>
        <v>QRCODE</v>
      </c>
      <c r="C702" t="s">
        <v>5273</v>
      </c>
      <c r="D702" t="s">
        <v>979</v>
      </c>
      <c r="E702" t="s">
        <v>32</v>
      </c>
      <c r="F702" t="s">
        <v>12</v>
      </c>
      <c r="G702" t="s">
        <v>4564</v>
      </c>
      <c r="H702">
        <v>0</v>
      </c>
      <c r="I702">
        <v>2</v>
      </c>
      <c r="J702">
        <v>0</v>
      </c>
      <c r="K702">
        <v>0</v>
      </c>
      <c r="L702">
        <v>0</v>
      </c>
    </row>
    <row r="703" spans="1:12">
      <c r="A703" t="str">
        <f>HYPERLINK("http://bombeiros.sp.gov.br/hidrantes/03individual/2980.html","2980")</f>
        <v>2980</v>
      </c>
      <c r="B703" t="str">
        <f>HYPERLINK("http://bombeiros.sp.gov.br/hidrantes/08bsg/qrcodeBSG.html?id=2980&amp;lat=-23.58246&amp;long=-46.51624&amp;tipo=C","QRCODE")</f>
        <v>QRCODE</v>
      </c>
      <c r="C703" t="s">
        <v>5273</v>
      </c>
      <c r="D703" t="s">
        <v>979</v>
      </c>
      <c r="E703" t="s">
        <v>32</v>
      </c>
      <c r="F703" t="s">
        <v>12</v>
      </c>
      <c r="G703" t="s">
        <v>4639</v>
      </c>
      <c r="H703">
        <v>0</v>
      </c>
      <c r="I703">
        <v>2</v>
      </c>
      <c r="J703">
        <v>0</v>
      </c>
      <c r="K703">
        <v>0</v>
      </c>
      <c r="L703">
        <v>0</v>
      </c>
    </row>
    <row r="704" spans="1:12">
      <c r="A704" t="str">
        <f>HYPERLINK("http://bombeiros.sp.gov.br/hidrantes/03individual/2999.html","2999")</f>
        <v>2999</v>
      </c>
      <c r="B704" t="str">
        <f>HYPERLINK("http://bombeiros.sp.gov.br/hidrantes/08bsg/qrcodeBSG.html?id=2999&amp;lat=-23.58651&amp;long=-46.51385&amp;tipo=C","QRCODE")</f>
        <v>QRCODE</v>
      </c>
      <c r="C704" t="s">
        <v>5273</v>
      </c>
      <c r="D704" t="s">
        <v>979</v>
      </c>
      <c r="E704" t="s">
        <v>32</v>
      </c>
      <c r="F704" t="s">
        <v>12</v>
      </c>
      <c r="G704" t="s">
        <v>31</v>
      </c>
      <c r="H704">
        <v>0</v>
      </c>
      <c r="I704">
        <v>3</v>
      </c>
      <c r="J704">
        <v>0</v>
      </c>
      <c r="K704">
        <v>0</v>
      </c>
      <c r="L704">
        <v>0</v>
      </c>
    </row>
    <row r="705" spans="1:12">
      <c r="A705" t="str">
        <f>HYPERLINK("http://bombeiros.sp.gov.br/hidrantes/03individual/3242.html","3242")</f>
        <v>3242</v>
      </c>
      <c r="B705" t="str">
        <f>HYPERLINK("http://bombeiros.sp.gov.br/hidrantes/08bsg/qrcodeBSG.html?id=3242&amp;lat=-23.58434&amp;long=-46.52805&amp;tipo=C","QRCODE")</f>
        <v>QRCODE</v>
      </c>
      <c r="C705" t="s">
        <v>5273</v>
      </c>
      <c r="D705" t="s">
        <v>979</v>
      </c>
      <c r="E705" t="s">
        <v>32</v>
      </c>
      <c r="F705" t="s">
        <v>12</v>
      </c>
      <c r="G705" t="s">
        <v>4630</v>
      </c>
      <c r="H705">
        <v>1</v>
      </c>
      <c r="I705">
        <v>1</v>
      </c>
      <c r="J705">
        <v>0</v>
      </c>
      <c r="K705">
        <v>0</v>
      </c>
      <c r="L705">
        <v>0</v>
      </c>
    </row>
    <row r="706" spans="1:12">
      <c r="A706" t="str">
        <f>HYPERLINK("http://bombeiros.sp.gov.br/hidrantes/03individual/5612.html","5612")</f>
        <v>5612</v>
      </c>
      <c r="B706" t="str">
        <f>HYPERLINK("http://bombeiros.sp.gov.br/hidrantes/08bsg/qrcodeBSG.html?id=5612&amp;lat=-23.57180&amp;long=-46.53000&amp;tipo=C","QRCODE")</f>
        <v>QRCODE</v>
      </c>
      <c r="C706" t="s">
        <v>5273</v>
      </c>
      <c r="D706" t="s">
        <v>979</v>
      </c>
      <c r="E706" t="s">
        <v>32</v>
      </c>
      <c r="F706" t="s">
        <v>12</v>
      </c>
      <c r="G706" t="s">
        <v>3975</v>
      </c>
      <c r="H706">
        <v>1</v>
      </c>
      <c r="I706">
        <v>1</v>
      </c>
      <c r="J706">
        <v>0</v>
      </c>
      <c r="K706">
        <v>0</v>
      </c>
      <c r="L706">
        <v>0</v>
      </c>
    </row>
    <row r="707" spans="1:12">
      <c r="A707" t="str">
        <f>HYPERLINK("http://bombeiros.sp.gov.br/hidrantes/03individual/1883.html","1883")</f>
        <v>1883</v>
      </c>
      <c r="B707" t="str">
        <f>HYPERLINK("http://bombeiros.sp.gov.br/hidrantes/08bsg/qrcodeBSG.html?id=1883&amp;lat=-23.58521&amp;long=-46.51188&amp;tipo=S","QRCODE")</f>
        <v>QRCODE</v>
      </c>
      <c r="C707" t="s">
        <v>5273</v>
      </c>
      <c r="D707" t="s">
        <v>979</v>
      </c>
      <c r="E707" t="s">
        <v>32</v>
      </c>
      <c r="F707" t="s">
        <v>21</v>
      </c>
      <c r="G707" t="s">
        <v>4648</v>
      </c>
      <c r="H707">
        <v>1</v>
      </c>
      <c r="I707">
        <v>1</v>
      </c>
      <c r="J707">
        <v>0</v>
      </c>
      <c r="K707">
        <v>0</v>
      </c>
      <c r="L707">
        <v>0</v>
      </c>
    </row>
    <row r="708" spans="1:12">
      <c r="A708" t="str">
        <f>HYPERLINK("http://bombeiros.sp.gov.br/hidrantes/03individual/1976.html","1976")</f>
        <v>1976</v>
      </c>
      <c r="B708" t="str">
        <f>HYPERLINK("http://bombeiros.sp.gov.br/hidrantes/08bsg/qrcodeBSG.html?id=1976&amp;lat=-23.57778&amp;long=-46.50549&amp;tipo=S","QRCODE")</f>
        <v>QRCODE</v>
      </c>
      <c r="C708" t="s">
        <v>5273</v>
      </c>
      <c r="D708" t="s">
        <v>979</v>
      </c>
      <c r="E708" t="s">
        <v>32</v>
      </c>
      <c r="F708" t="s">
        <v>21</v>
      </c>
      <c r="G708" t="s">
        <v>3598</v>
      </c>
      <c r="H708">
        <v>1</v>
      </c>
      <c r="I708">
        <v>1</v>
      </c>
      <c r="J708">
        <v>0</v>
      </c>
      <c r="K708">
        <v>0</v>
      </c>
      <c r="L708">
        <v>0</v>
      </c>
    </row>
    <row r="709" spans="1:12">
      <c r="A709" t="str">
        <f>HYPERLINK("http://bombeiros.sp.gov.br/hidrantes/03individual/1980.html","1980")</f>
        <v>1980</v>
      </c>
      <c r="B709" t="str">
        <f>HYPERLINK("http://bombeiros.sp.gov.br/hidrantes/08bsg/qrcodeBSG.html?id=1980&amp;lat=-23.57844&amp;long=-46.50328&amp;tipo=S","QRCODE")</f>
        <v>QRCODE</v>
      </c>
      <c r="C709" t="s">
        <v>5273</v>
      </c>
      <c r="D709" t="s">
        <v>979</v>
      </c>
      <c r="E709" t="s">
        <v>32</v>
      </c>
      <c r="F709" t="s">
        <v>21</v>
      </c>
      <c r="G709" t="s">
        <v>3382</v>
      </c>
      <c r="H709">
        <v>1</v>
      </c>
      <c r="I709">
        <v>1</v>
      </c>
      <c r="J709">
        <v>0</v>
      </c>
      <c r="K709">
        <v>0</v>
      </c>
      <c r="L709">
        <v>0</v>
      </c>
    </row>
    <row r="710" spans="1:12">
      <c r="A710" t="str">
        <f>HYPERLINK("http://bombeiros.sp.gov.br/hidrantes/03individual/3001.html","3001")</f>
        <v>3001</v>
      </c>
      <c r="B710" t="str">
        <f>HYPERLINK("http://bombeiros.sp.gov.br/hidrantes/08bsg/qrcodeBSG.html?id=3001&amp;lat=-23.58408&amp;long=-46.52125&amp;tipo=S","QRCODE")</f>
        <v>QRCODE</v>
      </c>
      <c r="C710" t="s">
        <v>5273</v>
      </c>
      <c r="D710" t="s">
        <v>979</v>
      </c>
      <c r="E710" t="s">
        <v>32</v>
      </c>
      <c r="F710" t="s">
        <v>21</v>
      </c>
      <c r="G710" t="s">
        <v>4638</v>
      </c>
      <c r="H710">
        <v>1</v>
      </c>
      <c r="I710">
        <v>1</v>
      </c>
      <c r="J710">
        <v>0</v>
      </c>
      <c r="K710">
        <v>0</v>
      </c>
      <c r="L710">
        <v>0</v>
      </c>
    </row>
    <row r="711" spans="1:12">
      <c r="A711" t="str">
        <f>HYPERLINK("http://bombeiros.sp.gov.br/hidrantes/03individual/1036.html","1036")</f>
        <v>1036</v>
      </c>
      <c r="B711" t="str">
        <f>HYPERLINK("http://bombeiros.sp.gov.br/hidrantes/08bsg/qrcodeBSG.html?id=1036&amp;lat=-23.53332&amp;long=-46.49852&amp;tipo=C","QRCODE")</f>
        <v>QRCODE</v>
      </c>
      <c r="C711" t="s">
        <v>5273</v>
      </c>
      <c r="D711" t="s">
        <v>1217</v>
      </c>
      <c r="E711" t="s">
        <v>1217</v>
      </c>
      <c r="F711" t="s">
        <v>12</v>
      </c>
      <c r="G711" t="s">
        <v>4468</v>
      </c>
      <c r="H711">
        <v>0</v>
      </c>
      <c r="I711">
        <v>2</v>
      </c>
      <c r="J711">
        <v>0</v>
      </c>
      <c r="K711">
        <v>0</v>
      </c>
      <c r="L711">
        <v>0</v>
      </c>
    </row>
    <row r="712" spans="1:12">
      <c r="A712" t="str">
        <f>HYPERLINK("http://bombeiros.sp.gov.br/hidrantes/03individual/4323.html","4323")</f>
        <v>4323</v>
      </c>
      <c r="B712" t="str">
        <f>HYPERLINK("http://bombeiros.sp.gov.br/hidrantes/08bsg/qrcodeBSG.html?id=4323&amp;lat=-23.54989&amp;long=-46.49298&amp;tipo=C","QRCODE")</f>
        <v>QRCODE</v>
      </c>
      <c r="C712" t="s">
        <v>5273</v>
      </c>
      <c r="D712" t="s">
        <v>1217</v>
      </c>
      <c r="E712" t="s">
        <v>1217</v>
      </c>
      <c r="F712" t="s">
        <v>12</v>
      </c>
      <c r="G712" t="s">
        <v>4202</v>
      </c>
      <c r="H712">
        <v>0</v>
      </c>
      <c r="I712">
        <v>1</v>
      </c>
      <c r="J712">
        <v>0</v>
      </c>
      <c r="K712">
        <v>0</v>
      </c>
      <c r="L712">
        <v>0</v>
      </c>
    </row>
    <row r="713" spans="1:12">
      <c r="A713" t="str">
        <f>HYPERLINK("http://bombeiros.sp.gov.br/hidrantes/03individual/4324.html","4324")</f>
        <v>4324</v>
      </c>
      <c r="B713" t="str">
        <f>HYPERLINK("http://bombeiros.sp.gov.br/hidrantes/08bsg/qrcodeBSG.html?id=4324&amp;lat=-23.54829&amp;long=-46.49332&amp;tipo=C","QRCODE")</f>
        <v>QRCODE</v>
      </c>
      <c r="C713" t="s">
        <v>5273</v>
      </c>
      <c r="D713" t="s">
        <v>1217</v>
      </c>
      <c r="E713" t="s">
        <v>1217</v>
      </c>
      <c r="F713" t="s">
        <v>12</v>
      </c>
      <c r="G713" t="s">
        <v>1798</v>
      </c>
      <c r="H713">
        <v>0</v>
      </c>
      <c r="I713">
        <v>2</v>
      </c>
      <c r="J713">
        <v>0</v>
      </c>
      <c r="K713">
        <v>0</v>
      </c>
      <c r="L713">
        <v>0</v>
      </c>
    </row>
    <row r="714" spans="1:12">
      <c r="A714" t="str">
        <f>HYPERLINK("http://bombeiros.sp.gov.br/hidrantes/03individual/4325.html","4325")</f>
        <v>4325</v>
      </c>
      <c r="B714" t="str">
        <f>HYPERLINK("http://bombeiros.sp.gov.br/hidrantes/08bsg/qrcodeBSG.html?id=4325&amp;lat=-23.53596&amp;long=-46.49033&amp;tipo=C","QRCODE")</f>
        <v>QRCODE</v>
      </c>
      <c r="C714" t="s">
        <v>5273</v>
      </c>
      <c r="D714" t="s">
        <v>1217</v>
      </c>
      <c r="E714" t="s">
        <v>1217</v>
      </c>
      <c r="F714" t="s">
        <v>12</v>
      </c>
      <c r="G714" t="s">
        <v>2732</v>
      </c>
      <c r="H714">
        <v>0</v>
      </c>
      <c r="I714">
        <v>2</v>
      </c>
      <c r="J714">
        <v>0</v>
      </c>
      <c r="K714">
        <v>0</v>
      </c>
      <c r="L714">
        <v>0</v>
      </c>
    </row>
    <row r="715" spans="1:12">
      <c r="A715" t="str">
        <f>HYPERLINK("http://bombeiros.sp.gov.br/hidrantes/03individual/4331.html","4331")</f>
        <v>4331</v>
      </c>
      <c r="B715" t="str">
        <f>HYPERLINK("http://bombeiros.sp.gov.br/hidrantes/08bsg/qrcodeBSG.html?id=4331&amp;lat=-23.54329&amp;long=-46.49298&amp;tipo=C","QRCODE")</f>
        <v>QRCODE</v>
      </c>
      <c r="C715" t="s">
        <v>5273</v>
      </c>
      <c r="D715" t="s">
        <v>1217</v>
      </c>
      <c r="E715" t="s">
        <v>1217</v>
      </c>
      <c r="F715" t="s">
        <v>12</v>
      </c>
      <c r="G715" t="s">
        <v>4280</v>
      </c>
      <c r="H715">
        <v>0</v>
      </c>
      <c r="I715">
        <v>1</v>
      </c>
      <c r="J715">
        <v>0</v>
      </c>
      <c r="K715">
        <v>0</v>
      </c>
      <c r="L715">
        <v>0</v>
      </c>
    </row>
    <row r="716" spans="1:12">
      <c r="A716" t="str">
        <f>HYPERLINK("http://bombeiros.sp.gov.br/hidrantes/03individual/25199.html","25199")</f>
        <v>25199</v>
      </c>
      <c r="B716" t="str">
        <f>HYPERLINK("http://bombeiros.sp.gov.br/hidrantes/08bsg/qrcodeBSG.html?id=25199&amp;lat=-23.53404&amp;long=-46.49752&amp;tipo=C","QRCODE")</f>
        <v>QRCODE</v>
      </c>
      <c r="C716" t="s">
        <v>5273</v>
      </c>
      <c r="D716" t="s">
        <v>1217</v>
      </c>
      <c r="E716" t="s">
        <v>1217</v>
      </c>
      <c r="F716" t="s">
        <v>12</v>
      </c>
      <c r="G716" t="s">
        <v>4175</v>
      </c>
      <c r="H716">
        <v>0</v>
      </c>
      <c r="I716">
        <v>1</v>
      </c>
      <c r="J716">
        <v>0</v>
      </c>
      <c r="K716">
        <v>0</v>
      </c>
      <c r="L716">
        <v>0</v>
      </c>
    </row>
    <row r="717" spans="1:12">
      <c r="A717" t="str">
        <f>HYPERLINK("http://bombeiros.sp.gov.br/hidrantes/03individual/27072.html","27072")</f>
        <v>27072</v>
      </c>
      <c r="B717" t="str">
        <f>HYPERLINK("http://bombeiros.sp.gov.br/hidrantes/08bsg/qrcodeBSG.html?id=27072&amp;lat=-23.54466&amp;long=-46.48492&amp;tipo=C","QRCODE")</f>
        <v>QRCODE</v>
      </c>
      <c r="C717" t="s">
        <v>5273</v>
      </c>
      <c r="D717" t="s">
        <v>1217</v>
      </c>
      <c r="E717" t="s">
        <v>1217</v>
      </c>
      <c r="F717" t="s">
        <v>12</v>
      </c>
      <c r="G717" t="s">
        <v>4094</v>
      </c>
      <c r="H717">
        <v>0</v>
      </c>
      <c r="I717">
        <v>1</v>
      </c>
      <c r="J717">
        <v>0</v>
      </c>
      <c r="K717">
        <v>0</v>
      </c>
      <c r="L717">
        <v>0</v>
      </c>
    </row>
    <row r="718" spans="1:12">
      <c r="A718" t="str">
        <f>HYPERLINK("http://bombeiros.sp.gov.br/hidrantes/03individual/27073.html","27073")</f>
        <v>27073</v>
      </c>
      <c r="B718" t="str">
        <f>HYPERLINK("http://bombeiros.sp.gov.br/hidrantes/08bsg/qrcodeBSG.html?id=27073&amp;lat=-23.54114&amp;long=-46.48662&amp;tipo=C","QRCODE")</f>
        <v>QRCODE</v>
      </c>
      <c r="C718" t="s">
        <v>5273</v>
      </c>
      <c r="D718" t="s">
        <v>1217</v>
      </c>
      <c r="E718" t="s">
        <v>1217</v>
      </c>
      <c r="F718" t="s">
        <v>12</v>
      </c>
      <c r="G718" t="s">
        <v>4095</v>
      </c>
      <c r="H718">
        <v>0</v>
      </c>
      <c r="I718">
        <v>1</v>
      </c>
      <c r="J718">
        <v>0</v>
      </c>
      <c r="K718">
        <v>0</v>
      </c>
      <c r="L718">
        <v>0</v>
      </c>
    </row>
    <row r="719" spans="1:12">
      <c r="A719" t="str">
        <f>HYPERLINK("http://bombeiros.sp.gov.br/hidrantes/03individual/27074.html","27074")</f>
        <v>27074</v>
      </c>
      <c r="B719" t="str">
        <f>HYPERLINK("http://bombeiros.sp.gov.br/hidrantes/08bsg/qrcodeBSG.html?id=27074&amp;lat=-23.53741&amp;long=-46.49720&amp;tipo=C","QRCODE")</f>
        <v>QRCODE</v>
      </c>
      <c r="C719" t="s">
        <v>5273</v>
      </c>
      <c r="D719" t="s">
        <v>1217</v>
      </c>
      <c r="E719" t="s">
        <v>1217</v>
      </c>
      <c r="F719" t="s">
        <v>12</v>
      </c>
      <c r="G719" t="s">
        <v>4096</v>
      </c>
      <c r="H719">
        <v>0</v>
      </c>
      <c r="I719">
        <v>1</v>
      </c>
      <c r="J719">
        <v>0</v>
      </c>
      <c r="K719">
        <v>0</v>
      </c>
      <c r="L719">
        <v>0</v>
      </c>
    </row>
    <row r="720" spans="1:12">
      <c r="A720" t="str">
        <f>HYPERLINK("http://bombeiros.sp.gov.br/hidrantes/03individual/27075.html","27075")</f>
        <v>27075</v>
      </c>
      <c r="B720" t="str">
        <f>HYPERLINK("http://bombeiros.sp.gov.br/hidrantes/08bsg/qrcodeBSG.html?id=27075&amp;lat=-23.53223&amp;long=-46.50116&amp;tipo=C","QRCODE")</f>
        <v>QRCODE</v>
      </c>
      <c r="C720" t="s">
        <v>5273</v>
      </c>
      <c r="D720" t="s">
        <v>1217</v>
      </c>
      <c r="E720" t="s">
        <v>1217</v>
      </c>
      <c r="F720" t="s">
        <v>12</v>
      </c>
      <c r="G720" t="s">
        <v>4097</v>
      </c>
      <c r="H720">
        <v>0</v>
      </c>
      <c r="I720">
        <v>1</v>
      </c>
      <c r="J720">
        <v>0</v>
      </c>
      <c r="K720">
        <v>0</v>
      </c>
      <c r="L720">
        <v>0</v>
      </c>
    </row>
    <row r="721" spans="1:12">
      <c r="A721" t="str">
        <f>HYPERLINK("http://bombeiros.sp.gov.br/hidrantes/03individual/27290.html","27290")</f>
        <v>27290</v>
      </c>
      <c r="B721" t="str">
        <f>HYPERLINK("http://bombeiros.sp.gov.br/hidrantes/08bsg/qrcodeBSG.html?id=27290&amp;lat=-23.54973&amp;long=-46.49697&amp;tipo=C","QRCODE")</f>
        <v>QRCODE</v>
      </c>
      <c r="C721" t="s">
        <v>5273</v>
      </c>
      <c r="D721" t="s">
        <v>1217</v>
      </c>
      <c r="E721" t="s">
        <v>1217</v>
      </c>
      <c r="F721" t="s">
        <v>12</v>
      </c>
      <c r="G721" t="s">
        <v>5274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>
      <c r="A722" t="str">
        <f>HYPERLINK("http://bombeiros.sp.gov.br/hidrantes/03individual/27292.html","27292")</f>
        <v>27292</v>
      </c>
      <c r="B722" t="str">
        <f>HYPERLINK("http://bombeiros.sp.gov.br/hidrantes/08bsg/qrcodeBSG.html?id=27292&amp;lat=-23.53942&amp;long=-46.49605&amp;tipo=C","QRCODE")</f>
        <v>QRCODE</v>
      </c>
      <c r="C722" t="s">
        <v>5273</v>
      </c>
      <c r="D722" t="s">
        <v>1217</v>
      </c>
      <c r="E722" t="s">
        <v>1217</v>
      </c>
      <c r="F722" t="s">
        <v>12</v>
      </c>
      <c r="G722" t="s">
        <v>5275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>
      <c r="A723" t="str">
        <f>HYPERLINK("http://bombeiros.sp.gov.br/hidrantes/03individual/1801.html","1801")</f>
        <v>1801</v>
      </c>
      <c r="B723" t="str">
        <f>HYPERLINK("http://bombeiros.sp.gov.br/hidrantes/08bsg/qrcodeBSG.html?id=1801&amp;lat=-23.53633&amp;long=-46.49589&amp;tipo=S","QRCODE")</f>
        <v>QRCODE</v>
      </c>
      <c r="C723" t="s">
        <v>5273</v>
      </c>
      <c r="D723" t="s">
        <v>1217</v>
      </c>
      <c r="E723" t="s">
        <v>1217</v>
      </c>
      <c r="F723" t="s">
        <v>21</v>
      </c>
      <c r="G723" t="s">
        <v>1772</v>
      </c>
      <c r="H723">
        <v>0</v>
      </c>
      <c r="I723">
        <v>2</v>
      </c>
      <c r="J723">
        <v>0</v>
      </c>
      <c r="K723">
        <v>0</v>
      </c>
      <c r="L723">
        <v>0</v>
      </c>
    </row>
    <row r="724" spans="1:12">
      <c r="A724" t="str">
        <f>HYPERLINK("http://bombeiros.sp.gov.br/hidrantes/03individual/1870.html","1870")</f>
        <v>1870</v>
      </c>
      <c r="B724" t="str">
        <f>HYPERLINK("http://bombeiros.sp.gov.br/hidrantes/08bsg/qrcodeBSG.html?id=1870&amp;lat=-23.54288&amp;long=-46.49154&amp;tipo=S","QRCODE")</f>
        <v>QRCODE</v>
      </c>
      <c r="C724" t="s">
        <v>5273</v>
      </c>
      <c r="D724" t="s">
        <v>1217</v>
      </c>
      <c r="E724" t="s">
        <v>1217</v>
      </c>
      <c r="F724" t="s">
        <v>21</v>
      </c>
      <c r="G724" t="s">
        <v>1469</v>
      </c>
      <c r="H724">
        <v>0</v>
      </c>
      <c r="I724">
        <v>2</v>
      </c>
      <c r="J724">
        <v>0</v>
      </c>
      <c r="K724">
        <v>0</v>
      </c>
      <c r="L724">
        <v>0</v>
      </c>
    </row>
    <row r="725" spans="1:12">
      <c r="A725" t="str">
        <f>HYPERLINK("http://bombeiros.sp.gov.br/hidrantes/03individual/1871.html","1871")</f>
        <v>1871</v>
      </c>
      <c r="B725" t="str">
        <f>HYPERLINK("http://bombeiros.sp.gov.br/hidrantes/08bsg/qrcodeBSG.html?id=1871&amp;lat=-23.54017&amp;long=-46.49023&amp;tipo=S","QRCODE")</f>
        <v>QRCODE</v>
      </c>
      <c r="C725" t="s">
        <v>5273</v>
      </c>
      <c r="D725" t="s">
        <v>1217</v>
      </c>
      <c r="E725" t="s">
        <v>1217</v>
      </c>
      <c r="F725" t="s">
        <v>21</v>
      </c>
      <c r="G725" t="s">
        <v>5192</v>
      </c>
      <c r="H725">
        <v>0</v>
      </c>
      <c r="I725">
        <v>1</v>
      </c>
      <c r="J725">
        <v>0</v>
      </c>
      <c r="K725">
        <v>0</v>
      </c>
      <c r="L725">
        <v>0</v>
      </c>
    </row>
    <row r="726" spans="1:12">
      <c r="A726" t="str">
        <f>HYPERLINK("http://bombeiros.sp.gov.br/hidrantes/03individual/1914.html","1914")</f>
        <v>1914</v>
      </c>
      <c r="B726" t="str">
        <f>HYPERLINK("http://bombeiros.sp.gov.br/hidrantes/08bsg/qrcodeBSG.html?id=1914&amp;lat=-23.54544&amp;long=-46.49794&amp;tipo=S","QRCODE")</f>
        <v>QRCODE</v>
      </c>
      <c r="C726" t="s">
        <v>5273</v>
      </c>
      <c r="D726" t="s">
        <v>1217</v>
      </c>
      <c r="E726" t="s">
        <v>1217</v>
      </c>
      <c r="F726" t="s">
        <v>21</v>
      </c>
      <c r="G726" t="s">
        <v>1216</v>
      </c>
      <c r="H726">
        <v>1</v>
      </c>
      <c r="I726">
        <v>2</v>
      </c>
      <c r="J726">
        <v>0</v>
      </c>
      <c r="K726">
        <v>0</v>
      </c>
      <c r="L726">
        <v>0</v>
      </c>
    </row>
    <row r="727" spans="1:12">
      <c r="A727" t="str">
        <f>HYPERLINK("http://bombeiros.sp.gov.br/hidrantes/03individual/1937.html","1937")</f>
        <v>1937</v>
      </c>
      <c r="B727" t="str">
        <f>HYPERLINK("http://bombeiros.sp.gov.br/hidrantes/08bsg/qrcodeBSG.html?id=1937&amp;lat=-23.54725&amp;long=-46.48861&amp;tipo=S","QRCODE")</f>
        <v>QRCODE</v>
      </c>
      <c r="C727" t="s">
        <v>5273</v>
      </c>
      <c r="D727" t="s">
        <v>1217</v>
      </c>
      <c r="E727" t="s">
        <v>1217</v>
      </c>
      <c r="F727" t="s">
        <v>21</v>
      </c>
      <c r="G727" t="s">
        <v>1430</v>
      </c>
      <c r="H727">
        <v>1</v>
      </c>
      <c r="I727">
        <v>2</v>
      </c>
      <c r="J727">
        <v>0</v>
      </c>
      <c r="K727">
        <v>0</v>
      </c>
      <c r="L727">
        <v>0</v>
      </c>
    </row>
    <row r="728" spans="1:12">
      <c r="A728" t="str">
        <f>HYPERLINK("http://bombeiros.sp.gov.br/hidrantes/03individual/1959.html","1959")</f>
        <v>1959</v>
      </c>
      <c r="B728" t="str">
        <f>HYPERLINK("http://bombeiros.sp.gov.br/hidrantes/08bsg/qrcodeBSG.html?id=1959&amp;lat=-23.53988&amp;long=-46.48809&amp;tipo=S","QRCODE")</f>
        <v>QRCODE</v>
      </c>
      <c r="C728" t="s">
        <v>5273</v>
      </c>
      <c r="D728" t="s">
        <v>1217</v>
      </c>
      <c r="E728" t="s">
        <v>1217</v>
      </c>
      <c r="F728" t="s">
        <v>21</v>
      </c>
      <c r="G728" t="s">
        <v>2703</v>
      </c>
      <c r="H728">
        <v>0</v>
      </c>
      <c r="I728">
        <v>2</v>
      </c>
      <c r="J728">
        <v>0</v>
      </c>
      <c r="K728">
        <v>0</v>
      </c>
      <c r="L728">
        <v>0</v>
      </c>
    </row>
    <row r="729" spans="1:12">
      <c r="A729" t="str">
        <f>HYPERLINK("http://bombeiros.sp.gov.br/hidrantes/03individual/3277.html","3277")</f>
        <v>3277</v>
      </c>
      <c r="B729" t="str">
        <f>HYPERLINK("http://bombeiros.sp.gov.br/hidrantes/08bsg/qrcodeBSG.html?id=3277&amp;lat=-23.53347&amp;long=-46.50017&amp;tipo=S","QRCODE")</f>
        <v>QRCODE</v>
      </c>
      <c r="C729" t="s">
        <v>5273</v>
      </c>
      <c r="D729" t="s">
        <v>1217</v>
      </c>
      <c r="E729" t="s">
        <v>1217</v>
      </c>
      <c r="F729" t="s">
        <v>21</v>
      </c>
      <c r="G729" t="s">
        <v>1831</v>
      </c>
      <c r="H729">
        <v>0</v>
      </c>
      <c r="I729">
        <v>2</v>
      </c>
      <c r="J729">
        <v>0</v>
      </c>
      <c r="K729">
        <v>0</v>
      </c>
      <c r="L729">
        <v>0</v>
      </c>
    </row>
    <row r="730" spans="1:12">
      <c r="A730" t="str">
        <f>HYPERLINK("http://bombeiros.sp.gov.br/hidrantes/03individual/3390.html","3390")</f>
        <v>3390</v>
      </c>
      <c r="B730" t="str">
        <f>HYPERLINK("http://bombeiros.sp.gov.br/hidrantes/08bsg/qrcodeBSG.html?id=3390&amp;lat=-23.54300&amp;long=-46.49150&amp;tipo=S","QRCODE")</f>
        <v>QRCODE</v>
      </c>
      <c r="C730" t="s">
        <v>5273</v>
      </c>
      <c r="D730" t="s">
        <v>1217</v>
      </c>
      <c r="E730" t="s">
        <v>1217</v>
      </c>
      <c r="F730" t="s">
        <v>21</v>
      </c>
      <c r="G730" t="s">
        <v>1469</v>
      </c>
      <c r="H730">
        <v>1</v>
      </c>
      <c r="I730">
        <v>2</v>
      </c>
      <c r="J730">
        <v>0</v>
      </c>
      <c r="K730">
        <v>0</v>
      </c>
      <c r="L730">
        <v>0</v>
      </c>
    </row>
    <row r="731" spans="1:12">
      <c r="A731" t="str">
        <f>HYPERLINK("http://bombeiros.sp.gov.br/hidrantes/03individual/3392.html","3392")</f>
        <v>3392</v>
      </c>
      <c r="B731" t="str">
        <f>HYPERLINK("http://bombeiros.sp.gov.br/hidrantes/08bsg/qrcodeBSG.html?id=3392&amp;lat=-23.53810&amp;long=-46.49057&amp;tipo=S","QRCODE")</f>
        <v>QRCODE</v>
      </c>
      <c r="C731" t="s">
        <v>5273</v>
      </c>
      <c r="D731" t="s">
        <v>1217</v>
      </c>
      <c r="E731" t="s">
        <v>1217</v>
      </c>
      <c r="F731" t="s">
        <v>21</v>
      </c>
      <c r="G731" t="s">
        <v>1470</v>
      </c>
      <c r="H731">
        <v>1</v>
      </c>
      <c r="I731">
        <v>2</v>
      </c>
      <c r="J731">
        <v>0</v>
      </c>
      <c r="K731">
        <v>0</v>
      </c>
      <c r="L731">
        <v>0</v>
      </c>
    </row>
    <row r="732" spans="1:12">
      <c r="A732" t="str">
        <f>HYPERLINK("http://bombeiros.sp.gov.br/hidrantes/03individual/3417.html","3417")</f>
        <v>3417</v>
      </c>
      <c r="B732" t="str">
        <f>HYPERLINK("http://bombeiros.sp.gov.br/hidrantes/08bsg/qrcodeBSG.html?id=3417&amp;lat=-23.54561&amp;long=-46.49082&amp;tipo=S","QRCODE")</f>
        <v>QRCODE</v>
      </c>
      <c r="C732" t="s">
        <v>5273</v>
      </c>
      <c r="D732" t="s">
        <v>1217</v>
      </c>
      <c r="E732" t="s">
        <v>1217</v>
      </c>
      <c r="F732" t="s">
        <v>21</v>
      </c>
      <c r="G732" t="s">
        <v>4321</v>
      </c>
      <c r="H732">
        <v>0</v>
      </c>
      <c r="I732">
        <v>1</v>
      </c>
      <c r="J732">
        <v>0</v>
      </c>
      <c r="K732">
        <v>0</v>
      </c>
      <c r="L732">
        <v>0</v>
      </c>
    </row>
    <row r="733" spans="1:12">
      <c r="A733" t="str">
        <f>HYPERLINK("http://bombeiros.sp.gov.br/hidrantes/03individual/3418.html","3418")</f>
        <v>3418</v>
      </c>
      <c r="B733" t="str">
        <f>HYPERLINK("http://bombeiros.sp.gov.br/hidrantes/08bsg/qrcodeBSG.html?id=3418&amp;lat=-23.54420&amp;long=-46.48791&amp;tipo=S","QRCODE")</f>
        <v>QRCODE</v>
      </c>
      <c r="C733" t="s">
        <v>5273</v>
      </c>
      <c r="D733" t="s">
        <v>1217</v>
      </c>
      <c r="E733" t="s">
        <v>1217</v>
      </c>
      <c r="F733" t="s">
        <v>21</v>
      </c>
      <c r="G733" t="s">
        <v>3358</v>
      </c>
      <c r="H733">
        <v>0</v>
      </c>
      <c r="I733">
        <v>2</v>
      </c>
      <c r="J733">
        <v>0</v>
      </c>
      <c r="K733">
        <v>0</v>
      </c>
      <c r="L733">
        <v>0</v>
      </c>
    </row>
    <row r="734" spans="1:12">
      <c r="A734" t="str">
        <f>HYPERLINK("http://bombeiros.sp.gov.br/hidrantes/03individual/3419.html","3419")</f>
        <v>3419</v>
      </c>
      <c r="B734" t="str">
        <f>HYPERLINK("http://bombeiros.sp.gov.br/hidrantes/08bsg/qrcodeBSG.html?id=3419&amp;lat=-23.53837&amp;long=-46.49380&amp;tipo=S","QRCODE")</f>
        <v>QRCODE</v>
      </c>
      <c r="C734" t="s">
        <v>5273</v>
      </c>
      <c r="D734" t="s">
        <v>1217</v>
      </c>
      <c r="E734" t="s">
        <v>1217</v>
      </c>
      <c r="F734" t="s">
        <v>21</v>
      </c>
      <c r="G734" t="s">
        <v>2746</v>
      </c>
      <c r="H734">
        <v>0</v>
      </c>
      <c r="I734">
        <v>2</v>
      </c>
      <c r="J734">
        <v>0</v>
      </c>
      <c r="K734">
        <v>0</v>
      </c>
      <c r="L734">
        <v>0</v>
      </c>
    </row>
    <row r="735" spans="1:12">
      <c r="A735" t="str">
        <f>HYPERLINK("http://bombeiros.sp.gov.br/hidrantes/03individual/3420.html","3420")</f>
        <v>3420</v>
      </c>
      <c r="B735" t="str">
        <f>HYPERLINK("http://bombeiros.sp.gov.br/hidrantes/08bsg/qrcodeBSG.html?id=3420&amp;lat=-23.53865&amp;long=-46.49030&amp;tipo=S","QRCODE")</f>
        <v>QRCODE</v>
      </c>
      <c r="C735" t="s">
        <v>5273</v>
      </c>
      <c r="D735" t="s">
        <v>1217</v>
      </c>
      <c r="E735" t="s">
        <v>1217</v>
      </c>
      <c r="F735" t="s">
        <v>21</v>
      </c>
      <c r="G735" t="s">
        <v>4324</v>
      </c>
      <c r="H735">
        <v>0</v>
      </c>
      <c r="I735">
        <v>1</v>
      </c>
      <c r="J735">
        <v>0</v>
      </c>
      <c r="K735">
        <v>0</v>
      </c>
      <c r="L735">
        <v>0</v>
      </c>
    </row>
    <row r="736" spans="1:12">
      <c r="A736" t="str">
        <f>HYPERLINK("http://bombeiros.sp.gov.br/hidrantes/03individual/4160.html","4160")</f>
        <v>4160</v>
      </c>
      <c r="B736" t="str">
        <f>HYPERLINK("http://bombeiros.sp.gov.br/hidrantes/08bsg/qrcodeBSG.html?id=4160&amp;lat=-23.54282&amp;long=-46.48788&amp;tipo=S","QRCODE")</f>
        <v>QRCODE</v>
      </c>
      <c r="C736" t="s">
        <v>5273</v>
      </c>
      <c r="D736" t="s">
        <v>1217</v>
      </c>
      <c r="E736" t="s">
        <v>1217</v>
      </c>
      <c r="F736" t="s">
        <v>21</v>
      </c>
      <c r="G736" t="s">
        <v>2728</v>
      </c>
      <c r="H736">
        <v>0</v>
      </c>
      <c r="I736">
        <v>2</v>
      </c>
      <c r="J736">
        <v>0</v>
      </c>
      <c r="K736">
        <v>0</v>
      </c>
      <c r="L736">
        <v>0</v>
      </c>
    </row>
    <row r="737" spans="1:12">
      <c r="A737" t="str">
        <f>HYPERLINK("http://bombeiros.sp.gov.br/hidrantes/03individual/4169.html","4169")</f>
        <v>4169</v>
      </c>
      <c r="B737" t="str">
        <f>HYPERLINK("http://bombeiros.sp.gov.br/hidrantes/08bsg/qrcodeBSG.html?id=4169&amp;lat=-23.54872&amp;long=-46.48682&amp;tipo=S","QRCODE")</f>
        <v>QRCODE</v>
      </c>
      <c r="C737" t="s">
        <v>5273</v>
      </c>
      <c r="D737" t="s">
        <v>1217</v>
      </c>
      <c r="E737" t="s">
        <v>1217</v>
      </c>
      <c r="F737" t="s">
        <v>21</v>
      </c>
      <c r="G737" t="s">
        <v>1448</v>
      </c>
      <c r="H737">
        <v>1</v>
      </c>
      <c r="I737">
        <v>2</v>
      </c>
      <c r="J737">
        <v>0</v>
      </c>
      <c r="K737">
        <v>0</v>
      </c>
      <c r="L737">
        <v>0</v>
      </c>
    </row>
    <row r="738" spans="1:12">
      <c r="A738" t="str">
        <f>HYPERLINK("http://bombeiros.sp.gov.br/hidrantes/03individual/4170.html","4170")</f>
        <v>4170</v>
      </c>
      <c r="B738" t="str">
        <f>HYPERLINK("http://bombeiros.sp.gov.br/hidrantes/08bsg/qrcodeBSG.html?id=4170&amp;lat=-23.54945&amp;long=-46.48526&amp;tipo=S","QRCODE")</f>
        <v>QRCODE</v>
      </c>
      <c r="C738" t="s">
        <v>5273</v>
      </c>
      <c r="D738" t="s">
        <v>1217</v>
      </c>
      <c r="E738" t="s">
        <v>1217</v>
      </c>
      <c r="F738" t="s">
        <v>21</v>
      </c>
      <c r="G738" t="s">
        <v>1449</v>
      </c>
      <c r="H738">
        <v>1</v>
      </c>
      <c r="I738">
        <v>3</v>
      </c>
      <c r="J738">
        <v>0</v>
      </c>
      <c r="K738">
        <v>0</v>
      </c>
      <c r="L738">
        <v>0</v>
      </c>
    </row>
    <row r="739" spans="1:12">
      <c r="A739" t="str">
        <f>HYPERLINK("http://bombeiros.sp.gov.br/hidrantes/03individual/4171.html","4171")</f>
        <v>4171</v>
      </c>
      <c r="B739" t="str">
        <f>HYPERLINK("http://bombeiros.sp.gov.br/hidrantes/08bsg/qrcodeBSG.html?id=4171&amp;lat=-23.55320&amp;long=-46.48436&amp;tipo=S","QRCODE")</f>
        <v>QRCODE</v>
      </c>
      <c r="C739" t="s">
        <v>5273</v>
      </c>
      <c r="D739" t="s">
        <v>1217</v>
      </c>
      <c r="E739" t="s">
        <v>1217</v>
      </c>
      <c r="F739" t="s">
        <v>21</v>
      </c>
      <c r="G739" t="s">
        <v>4275</v>
      </c>
      <c r="H739">
        <v>0</v>
      </c>
      <c r="I739">
        <v>1</v>
      </c>
      <c r="J739">
        <v>0</v>
      </c>
      <c r="K739">
        <v>0</v>
      </c>
      <c r="L739">
        <v>0</v>
      </c>
    </row>
    <row r="740" spans="1:12">
      <c r="A740" t="str">
        <f>HYPERLINK("http://bombeiros.sp.gov.br/hidrantes/03individual/17773.html","17773")</f>
        <v>17773</v>
      </c>
      <c r="B740" t="str">
        <f>HYPERLINK("http://bombeiros.sp.gov.br/hidrantes/08bsg/qrcodeBSG.html?id=17773&amp;lat=-23.54982&amp;long=-46.48328&amp;tipo=S","QRCODE")</f>
        <v>QRCODE</v>
      </c>
      <c r="C740" t="s">
        <v>5273</v>
      </c>
      <c r="D740" t="s">
        <v>1217</v>
      </c>
      <c r="E740" t="s">
        <v>1217</v>
      </c>
      <c r="F740" t="s">
        <v>21</v>
      </c>
      <c r="G740" t="s">
        <v>3347</v>
      </c>
      <c r="H740">
        <v>0</v>
      </c>
      <c r="I740">
        <v>2</v>
      </c>
      <c r="J740">
        <v>0</v>
      </c>
      <c r="K740">
        <v>0</v>
      </c>
      <c r="L740">
        <v>0</v>
      </c>
    </row>
    <row r="741" spans="1:12">
      <c r="A741" t="str">
        <f>HYPERLINK("http://bombeiros.sp.gov.br/hidrantes/03individual/17799.html","17799")</f>
        <v>17799</v>
      </c>
      <c r="B741" t="str">
        <f>HYPERLINK("http://bombeiros.sp.gov.br/hidrantes/08bsg/qrcodeBSG.html?id=17799&amp;lat=-23.54468&amp;long=-46.48273&amp;tipo=S","QRCODE")</f>
        <v>QRCODE</v>
      </c>
      <c r="C741" t="s">
        <v>5273</v>
      </c>
      <c r="D741" t="s">
        <v>1217</v>
      </c>
      <c r="E741" t="s">
        <v>1217</v>
      </c>
      <c r="F741" t="s">
        <v>21</v>
      </c>
      <c r="G741" t="s">
        <v>4265</v>
      </c>
      <c r="H741">
        <v>0</v>
      </c>
      <c r="I741">
        <v>1</v>
      </c>
      <c r="J741">
        <v>0</v>
      </c>
      <c r="K741">
        <v>0</v>
      </c>
      <c r="L741">
        <v>0</v>
      </c>
    </row>
    <row r="742" spans="1:12">
      <c r="A742" t="str">
        <f>HYPERLINK("http://bombeiros.sp.gov.br/hidrantes/03individual/17800.html","17800")</f>
        <v>17800</v>
      </c>
      <c r="B742" t="str">
        <f>HYPERLINK("http://bombeiros.sp.gov.br/hidrantes/08bsg/qrcodeBSG.html?id=17800&amp;lat=-23.54815&amp;long=-46.48249&amp;tipo=S","QRCODE")</f>
        <v>QRCODE</v>
      </c>
      <c r="C742" t="s">
        <v>5273</v>
      </c>
      <c r="D742" t="s">
        <v>1217</v>
      </c>
      <c r="E742" t="s">
        <v>1217</v>
      </c>
      <c r="F742" t="s">
        <v>21</v>
      </c>
      <c r="G742" t="s">
        <v>4266</v>
      </c>
      <c r="H742">
        <v>0</v>
      </c>
      <c r="I742">
        <v>1</v>
      </c>
      <c r="J742">
        <v>0</v>
      </c>
      <c r="K742">
        <v>0</v>
      </c>
      <c r="L742">
        <v>0</v>
      </c>
    </row>
    <row r="743" spans="1:12">
      <c r="A743" t="str">
        <f>HYPERLINK("http://bombeiros.sp.gov.br/hidrantes/03individual/17801.html","17801")</f>
        <v>17801</v>
      </c>
      <c r="B743" t="str">
        <f>HYPERLINK("http://bombeiros.sp.gov.br/hidrantes/08bsg/qrcodeBSG.html?id=17801&amp;lat=-23.55105&amp;long=-46.48914&amp;tipo=S","QRCODE")</f>
        <v>QRCODE</v>
      </c>
      <c r="C743" t="s">
        <v>5273</v>
      </c>
      <c r="D743" t="s">
        <v>1217</v>
      </c>
      <c r="E743" t="s">
        <v>1217</v>
      </c>
      <c r="F743" t="s">
        <v>21</v>
      </c>
      <c r="G743" t="s">
        <v>4190</v>
      </c>
      <c r="H743">
        <v>0</v>
      </c>
      <c r="I743">
        <v>1</v>
      </c>
      <c r="J743">
        <v>0</v>
      </c>
      <c r="K743">
        <v>0</v>
      </c>
      <c r="L743">
        <v>0</v>
      </c>
    </row>
    <row r="744" spans="1:12">
      <c r="A744" t="str">
        <f>HYPERLINK("http://bombeiros.sp.gov.br/hidrantes/03individual/26890.html","26890")</f>
        <v>26890</v>
      </c>
      <c r="B744" t="str">
        <f>HYPERLINK("http://bombeiros.sp.gov.br/hidrantes/08bsg/qrcodeBSG.html?id=26890&amp;lat=-23.54247&amp;long=-46.48422&amp;tipo=S","QRCODE")</f>
        <v>QRCODE</v>
      </c>
      <c r="C744" t="s">
        <v>5273</v>
      </c>
      <c r="D744" t="s">
        <v>1217</v>
      </c>
      <c r="E744" t="s">
        <v>1217</v>
      </c>
      <c r="F744" t="s">
        <v>21</v>
      </c>
      <c r="G744" t="s">
        <v>4084</v>
      </c>
      <c r="H744">
        <v>0</v>
      </c>
      <c r="I744">
        <v>1</v>
      </c>
      <c r="J744">
        <v>0</v>
      </c>
      <c r="K744">
        <v>0</v>
      </c>
      <c r="L744">
        <v>0</v>
      </c>
    </row>
    <row r="745" spans="1:12">
      <c r="A745" t="str">
        <f>HYPERLINK("http://bombeiros.sp.gov.br/hidrantes/03individual/1362.html","1362")</f>
        <v>1362</v>
      </c>
      <c r="B745" t="str">
        <f>HYPERLINK("http://bombeiros.sp.gov.br/hidrantes/08bsg/qrcodeBSG.html?id=1362&amp;lat=-23.53713&amp;long=-46.47538&amp;tipo=C","QRCODE")</f>
        <v>QRCODE</v>
      </c>
      <c r="C745" t="s">
        <v>5273</v>
      </c>
      <c r="D745" t="s">
        <v>1217</v>
      </c>
      <c r="E745" t="s">
        <v>1439</v>
      </c>
      <c r="F745" t="s">
        <v>12</v>
      </c>
      <c r="G745" t="s">
        <v>4801</v>
      </c>
      <c r="H745">
        <v>1</v>
      </c>
      <c r="I745">
        <v>2</v>
      </c>
      <c r="J745">
        <v>0</v>
      </c>
      <c r="K745">
        <v>0</v>
      </c>
      <c r="L745">
        <v>0</v>
      </c>
    </row>
    <row r="746" spans="1:12">
      <c r="A746" t="str">
        <f>HYPERLINK("http://bombeiros.sp.gov.br/hidrantes/03individual/3393.html","3393")</f>
        <v>3393</v>
      </c>
      <c r="B746" t="str">
        <f>HYPERLINK("http://bombeiros.sp.gov.br/hidrantes/08bsg/qrcodeBSG.html?id=3393&amp;lat=-23.53779&amp;long=-46.47734&amp;tipo=C","QRCODE")</f>
        <v>QRCODE</v>
      </c>
      <c r="C746" t="s">
        <v>5273</v>
      </c>
      <c r="D746" t="s">
        <v>1217</v>
      </c>
      <c r="E746" t="s">
        <v>1439</v>
      </c>
      <c r="F746" t="s">
        <v>12</v>
      </c>
      <c r="G746" t="s">
        <v>4719</v>
      </c>
      <c r="H746">
        <v>1</v>
      </c>
      <c r="I746">
        <v>1</v>
      </c>
      <c r="J746">
        <v>0</v>
      </c>
      <c r="K746">
        <v>0</v>
      </c>
      <c r="L746">
        <v>0</v>
      </c>
    </row>
    <row r="747" spans="1:12">
      <c r="A747" t="str">
        <f>HYPERLINK("http://bombeiros.sp.gov.br/hidrantes/03individual/3421.html","3421")</f>
        <v>3421</v>
      </c>
      <c r="B747" t="str">
        <f>HYPERLINK("http://bombeiros.sp.gov.br/hidrantes/08bsg/qrcodeBSG.html?id=3421&amp;lat=-23.54020&amp;long=-46.47436&amp;tipo=C","QRCODE")</f>
        <v>QRCODE</v>
      </c>
      <c r="C747" t="s">
        <v>5273</v>
      </c>
      <c r="D747" t="s">
        <v>1217</v>
      </c>
      <c r="E747" t="s">
        <v>1439</v>
      </c>
      <c r="F747" t="s">
        <v>12</v>
      </c>
      <c r="G747" t="s">
        <v>4066</v>
      </c>
      <c r="H747">
        <v>0</v>
      </c>
      <c r="I747">
        <v>1</v>
      </c>
      <c r="J747">
        <v>0</v>
      </c>
      <c r="K747">
        <v>0</v>
      </c>
      <c r="L747">
        <v>0</v>
      </c>
    </row>
    <row r="748" spans="1:12">
      <c r="A748" t="str">
        <f>HYPERLINK("http://bombeiros.sp.gov.br/hidrantes/03individual/3429.html","3429")</f>
        <v>3429</v>
      </c>
      <c r="B748" t="str">
        <f>HYPERLINK("http://bombeiros.sp.gov.br/hidrantes/08bsg/qrcodeBSG.html?id=3429&amp;lat=-23.53912&amp;long=-46.48298&amp;tipo=C","QRCODE")</f>
        <v>QRCODE</v>
      </c>
      <c r="C748" t="s">
        <v>5273</v>
      </c>
      <c r="D748" t="s">
        <v>1217</v>
      </c>
      <c r="E748" t="s">
        <v>1439</v>
      </c>
      <c r="F748" t="s">
        <v>12</v>
      </c>
      <c r="G748" t="s">
        <v>1856</v>
      </c>
      <c r="H748">
        <v>1</v>
      </c>
      <c r="I748">
        <v>2</v>
      </c>
      <c r="J748">
        <v>0</v>
      </c>
      <c r="K748">
        <v>0</v>
      </c>
      <c r="L748">
        <v>0</v>
      </c>
    </row>
    <row r="749" spans="1:12">
      <c r="A749" t="str">
        <f>HYPERLINK("http://bombeiros.sp.gov.br/hidrantes/03individual/3433.html","3433")</f>
        <v>3433</v>
      </c>
      <c r="B749" t="str">
        <f>HYPERLINK("http://bombeiros.sp.gov.br/hidrantes/08bsg/qrcodeBSG.html?id=3433&amp;lat=-23.53406&amp;long=-46.47387&amp;tipo=C","QRCODE")</f>
        <v>QRCODE</v>
      </c>
      <c r="C749" t="s">
        <v>5273</v>
      </c>
      <c r="D749" t="s">
        <v>1217</v>
      </c>
      <c r="E749" t="s">
        <v>1439</v>
      </c>
      <c r="F749" t="s">
        <v>12</v>
      </c>
      <c r="G749" t="s">
        <v>5210</v>
      </c>
      <c r="H749">
        <v>1</v>
      </c>
      <c r="I749">
        <v>0</v>
      </c>
      <c r="J749">
        <v>0</v>
      </c>
      <c r="K749">
        <v>0</v>
      </c>
      <c r="L749">
        <v>0</v>
      </c>
    </row>
    <row r="750" spans="1:12">
      <c r="A750" t="str">
        <f>HYPERLINK("http://bombeiros.sp.gov.br/hidrantes/03individual/3436.html","3436")</f>
        <v>3436</v>
      </c>
      <c r="B750" t="str">
        <f>HYPERLINK("http://bombeiros.sp.gov.br/hidrantes/08bsg/qrcodeBSG.html?id=3436&amp;lat=-23.52841&amp;long=-46.47442&amp;tipo=C","QRCODE")</f>
        <v>QRCODE</v>
      </c>
      <c r="C750" t="s">
        <v>5273</v>
      </c>
      <c r="D750" t="s">
        <v>1217</v>
      </c>
      <c r="E750" t="s">
        <v>1439</v>
      </c>
      <c r="F750" t="s">
        <v>12</v>
      </c>
      <c r="G750" t="s">
        <v>4393</v>
      </c>
      <c r="H750">
        <v>1</v>
      </c>
      <c r="I750">
        <v>1</v>
      </c>
      <c r="J750">
        <v>0</v>
      </c>
      <c r="K750">
        <v>0</v>
      </c>
      <c r="L750">
        <v>0</v>
      </c>
    </row>
    <row r="751" spans="1:12">
      <c r="A751" t="str">
        <f>HYPERLINK("http://bombeiros.sp.gov.br/hidrantes/03individual/3464.html","3464")</f>
        <v>3464</v>
      </c>
      <c r="B751" t="str">
        <f>HYPERLINK("http://bombeiros.sp.gov.br/hidrantes/08bsg/qrcodeBSG.html?id=3464&amp;lat=-23.52396&amp;long=-46.47531&amp;tipo=C","QRCODE")</f>
        <v>QRCODE</v>
      </c>
      <c r="C751" t="s">
        <v>5273</v>
      </c>
      <c r="D751" t="s">
        <v>1217</v>
      </c>
      <c r="E751" t="s">
        <v>1439</v>
      </c>
      <c r="F751" t="s">
        <v>12</v>
      </c>
      <c r="G751" t="s">
        <v>5155</v>
      </c>
      <c r="H751">
        <v>0</v>
      </c>
      <c r="I751">
        <v>1</v>
      </c>
      <c r="J751">
        <v>0</v>
      </c>
      <c r="K751">
        <v>0</v>
      </c>
      <c r="L751">
        <v>0</v>
      </c>
    </row>
    <row r="752" spans="1:12">
      <c r="A752" t="str">
        <f>HYPERLINK("http://bombeiros.sp.gov.br/hidrantes/03individual/1843.html","1843")</f>
        <v>1843</v>
      </c>
      <c r="B752" t="str">
        <f>HYPERLINK("http://bombeiros.sp.gov.br/hidrantes/08bsg/qrcodeBSG.html?id=1843&amp;lat=-23.53081&amp;long=-46.48132&amp;tipo=S","QRCODE")</f>
        <v>QRCODE</v>
      </c>
      <c r="C752" t="s">
        <v>5273</v>
      </c>
      <c r="D752" t="s">
        <v>1217</v>
      </c>
      <c r="E752" t="s">
        <v>1439</v>
      </c>
      <c r="F752" t="s">
        <v>21</v>
      </c>
      <c r="G752" t="s">
        <v>1638</v>
      </c>
      <c r="H752">
        <v>1</v>
      </c>
      <c r="I752">
        <v>2</v>
      </c>
      <c r="J752">
        <v>0</v>
      </c>
      <c r="K752">
        <v>0</v>
      </c>
      <c r="L752">
        <v>0</v>
      </c>
    </row>
    <row r="753" spans="1:12">
      <c r="A753" t="str">
        <f>HYPERLINK("http://bombeiros.sp.gov.br/hidrantes/03individual/1851.html","1851")</f>
        <v>1851</v>
      </c>
      <c r="B753" t="str">
        <f>HYPERLINK("http://bombeiros.sp.gov.br/hidrantes/08bsg/qrcodeBSG.html?id=1851&amp;lat=-23.52901&amp;long=-46.48551&amp;tipo=S","QRCODE")</f>
        <v>QRCODE</v>
      </c>
      <c r="C753" t="s">
        <v>5273</v>
      </c>
      <c r="D753" t="s">
        <v>1217</v>
      </c>
      <c r="E753" t="s">
        <v>1439</v>
      </c>
      <c r="F753" t="s">
        <v>21</v>
      </c>
      <c r="G753" t="s">
        <v>4668</v>
      </c>
      <c r="H753">
        <v>1</v>
      </c>
      <c r="I753">
        <v>1</v>
      </c>
      <c r="J753">
        <v>0</v>
      </c>
      <c r="K753">
        <v>0</v>
      </c>
      <c r="L753">
        <v>0</v>
      </c>
    </row>
    <row r="754" spans="1:12">
      <c r="A754" t="str">
        <f>HYPERLINK("http://bombeiros.sp.gov.br/hidrantes/03individual/1856.html","1856")</f>
        <v>1856</v>
      </c>
      <c r="B754" t="str">
        <f>HYPERLINK("http://bombeiros.sp.gov.br/hidrantes/08bsg/qrcodeBSG.html?id=1856&amp;lat=-23.53429&amp;long=-46.48883&amp;tipo=S","QRCODE")</f>
        <v>QRCODE</v>
      </c>
      <c r="C754" t="s">
        <v>5273</v>
      </c>
      <c r="D754" t="s">
        <v>1217</v>
      </c>
      <c r="E754" t="s">
        <v>1439</v>
      </c>
      <c r="F754" t="s">
        <v>21</v>
      </c>
      <c r="G754" t="s">
        <v>1438</v>
      </c>
      <c r="H754">
        <v>0</v>
      </c>
      <c r="I754">
        <v>2</v>
      </c>
      <c r="J754">
        <v>0</v>
      </c>
      <c r="K754">
        <v>0</v>
      </c>
      <c r="L754">
        <v>0</v>
      </c>
    </row>
    <row r="755" spans="1:12">
      <c r="A755" t="str">
        <f>HYPERLINK("http://bombeiros.sp.gov.br/hidrantes/03individual/1858.html","1858")</f>
        <v>1858</v>
      </c>
      <c r="B755" t="str">
        <f>HYPERLINK("http://bombeiros.sp.gov.br/hidrantes/08bsg/qrcodeBSG.html?id=1858&amp;lat=-23.53398&amp;long=-46.48887&amp;tipo=S","QRCODE")</f>
        <v>QRCODE</v>
      </c>
      <c r="C755" t="s">
        <v>5273</v>
      </c>
      <c r="D755" t="s">
        <v>1217</v>
      </c>
      <c r="E755" t="s">
        <v>1439</v>
      </c>
      <c r="F755" t="s">
        <v>21</v>
      </c>
      <c r="G755" t="s">
        <v>1440</v>
      </c>
      <c r="H755">
        <v>0</v>
      </c>
      <c r="I755">
        <v>2</v>
      </c>
      <c r="J755">
        <v>0</v>
      </c>
      <c r="K755">
        <v>0</v>
      </c>
      <c r="L755">
        <v>0</v>
      </c>
    </row>
    <row r="756" spans="1:12">
      <c r="A756" t="str">
        <f>HYPERLINK("http://bombeiros.sp.gov.br/hidrantes/03individual/1923.html","1923")</f>
        <v>1923</v>
      </c>
      <c r="B756" t="str">
        <f>HYPERLINK("http://bombeiros.sp.gov.br/hidrantes/08bsg/qrcodeBSG.html?id=1923&amp;lat=-23.54202&amp;long=-46.47791&amp;tipo=S","QRCODE")</f>
        <v>QRCODE</v>
      </c>
      <c r="C756" t="s">
        <v>5273</v>
      </c>
      <c r="D756" t="s">
        <v>1217</v>
      </c>
      <c r="E756" t="s">
        <v>1439</v>
      </c>
      <c r="F756" t="s">
        <v>21</v>
      </c>
      <c r="G756" t="s">
        <v>5039</v>
      </c>
      <c r="H756">
        <v>0</v>
      </c>
      <c r="I756">
        <v>1</v>
      </c>
      <c r="J756">
        <v>0</v>
      </c>
      <c r="K756">
        <v>0</v>
      </c>
      <c r="L756">
        <v>0</v>
      </c>
    </row>
    <row r="757" spans="1:12">
      <c r="A757" t="str">
        <f>HYPERLINK("http://bombeiros.sp.gov.br/hidrantes/03individual/3434.html","3434")</f>
        <v>3434</v>
      </c>
      <c r="B757" t="str">
        <f>HYPERLINK("http://bombeiros.sp.gov.br/hidrantes/08bsg/qrcodeBSG.html?id=3434&amp;lat=-23.53122&amp;long=-46.47390&amp;tipo=S","QRCODE")</f>
        <v>QRCODE</v>
      </c>
      <c r="C757" t="s">
        <v>5273</v>
      </c>
      <c r="D757" t="s">
        <v>1217</v>
      </c>
      <c r="E757" t="s">
        <v>1439</v>
      </c>
      <c r="F757" t="s">
        <v>21</v>
      </c>
      <c r="G757" t="s">
        <v>4325</v>
      </c>
      <c r="H757">
        <v>1</v>
      </c>
      <c r="I757">
        <v>1</v>
      </c>
      <c r="J757">
        <v>0</v>
      </c>
      <c r="K757">
        <v>0</v>
      </c>
      <c r="L757">
        <v>0</v>
      </c>
    </row>
    <row r="758" spans="1:12">
      <c r="A758" t="str">
        <f>HYPERLINK("http://bombeiros.sp.gov.br/hidrantes/03individual/3439.html","3439")</f>
        <v>3439</v>
      </c>
      <c r="B758" t="str">
        <f>HYPERLINK("http://bombeiros.sp.gov.br/hidrantes/08bsg/qrcodeBSG.html?id=3439&amp;lat=-23.53462&amp;long=-46.48712&amp;tipo=S","QRCODE")</f>
        <v>QRCODE</v>
      </c>
      <c r="C758" t="s">
        <v>5273</v>
      </c>
      <c r="D758" t="s">
        <v>1217</v>
      </c>
      <c r="E758" t="s">
        <v>1439</v>
      </c>
      <c r="F758" t="s">
        <v>21</v>
      </c>
      <c r="G758" t="s">
        <v>1468</v>
      </c>
      <c r="H758">
        <v>1</v>
      </c>
      <c r="I758">
        <v>2</v>
      </c>
      <c r="J758">
        <v>0</v>
      </c>
      <c r="K758">
        <v>0</v>
      </c>
      <c r="L758">
        <v>0</v>
      </c>
    </row>
    <row r="759" spans="1:12">
      <c r="A759" t="str">
        <f>HYPERLINK("http://bombeiros.sp.gov.br/hidrantes/03individual/3457.html","3457")</f>
        <v>3457</v>
      </c>
      <c r="B759" t="str">
        <f>HYPERLINK("http://bombeiros.sp.gov.br/hidrantes/08bsg/qrcodeBSG.html?id=3457&amp;lat=-23.52892&amp;long=-46.48883&amp;tipo=S","QRCODE")</f>
        <v>QRCODE</v>
      </c>
      <c r="C759" t="s">
        <v>5273</v>
      </c>
      <c r="D759" t="s">
        <v>1217</v>
      </c>
      <c r="E759" t="s">
        <v>1439</v>
      </c>
      <c r="F759" t="s">
        <v>21</v>
      </c>
      <c r="G759" t="s">
        <v>1676</v>
      </c>
      <c r="H759">
        <v>0</v>
      </c>
      <c r="I759">
        <v>2</v>
      </c>
      <c r="J759">
        <v>0</v>
      </c>
      <c r="K759">
        <v>0</v>
      </c>
      <c r="L759">
        <v>0</v>
      </c>
    </row>
    <row r="760" spans="1:12">
      <c r="A760" t="str">
        <f>HYPERLINK("http://bombeiros.sp.gov.br/hidrantes/03individual/3462.html","3462")</f>
        <v>3462</v>
      </c>
      <c r="B760" t="str">
        <f>HYPERLINK("http://bombeiros.sp.gov.br/hidrantes/08bsg/qrcodeBSG.html?id=3462&amp;lat=-23.52971&amp;long=-46.48521&amp;tipo=S","QRCODE")</f>
        <v>QRCODE</v>
      </c>
      <c r="C760" t="s">
        <v>5273</v>
      </c>
      <c r="D760" t="s">
        <v>1217</v>
      </c>
      <c r="E760" t="s">
        <v>1439</v>
      </c>
      <c r="F760" t="s">
        <v>21</v>
      </c>
      <c r="G760" t="s">
        <v>1678</v>
      </c>
      <c r="H760">
        <v>1</v>
      </c>
      <c r="I760">
        <v>2</v>
      </c>
      <c r="J760">
        <v>0</v>
      </c>
      <c r="K760">
        <v>0</v>
      </c>
      <c r="L760">
        <v>0</v>
      </c>
    </row>
    <row r="761" spans="1:12">
      <c r="A761" t="str">
        <f>HYPERLINK("http://bombeiros.sp.gov.br/hidrantes/03individual/4189.html","4189")</f>
        <v>4189</v>
      </c>
      <c r="B761" t="str">
        <f>HYPERLINK("http://bombeiros.sp.gov.br/hidrantes/08bsg/qrcodeBSG.html?id=4189&amp;lat=-23.52682&amp;long=-46.48318&amp;tipo=S","QRCODE")</f>
        <v>QRCODE</v>
      </c>
      <c r="C761" t="s">
        <v>5273</v>
      </c>
      <c r="D761" t="s">
        <v>1217</v>
      </c>
      <c r="E761" t="s">
        <v>1439</v>
      </c>
      <c r="F761" t="s">
        <v>21</v>
      </c>
      <c r="G761" t="s">
        <v>1654</v>
      </c>
      <c r="H761">
        <v>0</v>
      </c>
      <c r="I761">
        <v>2</v>
      </c>
      <c r="J761">
        <v>0</v>
      </c>
      <c r="K761">
        <v>0</v>
      </c>
      <c r="L761">
        <v>0</v>
      </c>
    </row>
    <row r="762" spans="1:12">
      <c r="A762" t="str">
        <f>HYPERLINK("http://bombeiros.sp.gov.br/hidrantes/03individual/4190.html","4190")</f>
        <v>4190</v>
      </c>
      <c r="B762" t="str">
        <f>HYPERLINK("http://bombeiros.sp.gov.br/hidrantes/08bsg/qrcodeBSG.html?id=4190&amp;lat=-23.53209&amp;long=-46.48600&amp;tipo=S","QRCODE")</f>
        <v>QRCODE</v>
      </c>
      <c r="C762" t="s">
        <v>5273</v>
      </c>
      <c r="D762" t="s">
        <v>1217</v>
      </c>
      <c r="E762" t="s">
        <v>1439</v>
      </c>
      <c r="F762" t="s">
        <v>21</v>
      </c>
      <c r="G762" t="s">
        <v>4278</v>
      </c>
      <c r="H762">
        <v>0</v>
      </c>
      <c r="I762">
        <v>1</v>
      </c>
      <c r="J762">
        <v>0</v>
      </c>
      <c r="K762">
        <v>0</v>
      </c>
      <c r="L762">
        <v>0</v>
      </c>
    </row>
    <row r="763" spans="1:12">
      <c r="A763" t="str">
        <f>HYPERLINK("http://bombeiros.sp.gov.br/hidrantes/03individual/4332.html","4332")</f>
        <v>4332</v>
      </c>
      <c r="B763" t="str">
        <f>HYPERLINK("http://bombeiros.sp.gov.br/hidrantes/08bsg/qrcodeBSG.html?id=4332&amp;lat=-23.53903&amp;long=-46.47662&amp;tipo=S","QRCODE")</f>
        <v>QRCODE</v>
      </c>
      <c r="C763" t="s">
        <v>5273</v>
      </c>
      <c r="D763" t="s">
        <v>1217</v>
      </c>
      <c r="E763" t="s">
        <v>1439</v>
      </c>
      <c r="F763" t="s">
        <v>21</v>
      </c>
      <c r="G763" t="s">
        <v>4941</v>
      </c>
      <c r="H763">
        <v>0</v>
      </c>
      <c r="I763">
        <v>1</v>
      </c>
      <c r="J763">
        <v>0</v>
      </c>
      <c r="K763">
        <v>0</v>
      </c>
      <c r="L763">
        <v>0</v>
      </c>
    </row>
    <row r="764" spans="1:12">
      <c r="A764" t="str">
        <f>HYPERLINK("http://bombeiros.sp.gov.br/hidrantes/03individual/4434.html","4434")</f>
        <v>4434</v>
      </c>
      <c r="B764" t="str">
        <f>HYPERLINK("http://bombeiros.sp.gov.br/hidrantes/08bsg/qrcodeBSG.html?id=4434&amp;lat=-23.53543&amp;long=-46.47424&amp;tipo=S","QRCODE")</f>
        <v>QRCODE</v>
      </c>
      <c r="C764" t="s">
        <v>5273</v>
      </c>
      <c r="D764" t="s">
        <v>1217</v>
      </c>
      <c r="E764" t="s">
        <v>1439</v>
      </c>
      <c r="F764" t="s">
        <v>21</v>
      </c>
      <c r="G764" t="s">
        <v>3675</v>
      </c>
      <c r="H764">
        <v>1</v>
      </c>
      <c r="I764">
        <v>1</v>
      </c>
      <c r="J764">
        <v>0</v>
      </c>
      <c r="K764">
        <v>0</v>
      </c>
      <c r="L764">
        <v>0</v>
      </c>
    </row>
    <row r="765" spans="1:12">
      <c r="A765" t="str">
        <f>HYPERLINK("http://bombeiros.sp.gov.br/hidrantes/03individual/17774.html","17774")</f>
        <v>17774</v>
      </c>
      <c r="B765" t="str">
        <f>HYPERLINK("http://bombeiros.sp.gov.br/hidrantes/08bsg/qrcodeBSG.html?id=17774&amp;lat=-23.53782&amp;long=-46.48083&amp;tipo=S","QRCODE")</f>
        <v>QRCODE</v>
      </c>
      <c r="C765" t="s">
        <v>5273</v>
      </c>
      <c r="D765" t="s">
        <v>1217</v>
      </c>
      <c r="E765" t="s">
        <v>1439</v>
      </c>
      <c r="F765" t="s">
        <v>21</v>
      </c>
      <c r="G765" t="s">
        <v>4264</v>
      </c>
      <c r="H765">
        <v>0</v>
      </c>
      <c r="I765">
        <v>1</v>
      </c>
      <c r="J765">
        <v>0</v>
      </c>
      <c r="K765">
        <v>0</v>
      </c>
      <c r="L765">
        <v>0</v>
      </c>
    </row>
    <row r="766" spans="1:12">
      <c r="A766" t="str">
        <f>HYPERLINK("http://bombeiros.sp.gov.br/hidrantes/03individual/999.html","999")</f>
        <v>999</v>
      </c>
      <c r="B766" t="str">
        <f>HYPERLINK("http://bombeiros.sp.gov.br/hidrantes/08bsg/qrcodeBSG.html?id=999&amp;lat=-23.53067&amp;long=-46.60195&amp;tipo=C","QRCODE")</f>
        <v>QRCODE</v>
      </c>
      <c r="C766" t="s">
        <v>5273</v>
      </c>
      <c r="D766" t="s">
        <v>378</v>
      </c>
      <c r="E766" t="s">
        <v>378</v>
      </c>
      <c r="F766" t="s">
        <v>12</v>
      </c>
      <c r="G766" t="s">
        <v>377</v>
      </c>
      <c r="H766">
        <v>0</v>
      </c>
      <c r="I766">
        <v>3</v>
      </c>
      <c r="J766">
        <v>0</v>
      </c>
      <c r="K766">
        <v>0</v>
      </c>
      <c r="L766">
        <v>0</v>
      </c>
    </row>
    <row r="767" spans="1:12">
      <c r="A767" t="str">
        <f>HYPERLINK("http://bombeiros.sp.gov.br/hidrantes/03individual/1573.html","1573")</f>
        <v>1573</v>
      </c>
      <c r="B767" t="str">
        <f>HYPERLINK("http://bombeiros.sp.gov.br/hidrantes/08bsg/qrcodeBSG.html?id=1573&amp;lat=-23.53320&amp;long=-46.59875&amp;tipo=C","QRCODE")</f>
        <v>QRCODE</v>
      </c>
      <c r="C767" t="s">
        <v>5273</v>
      </c>
      <c r="D767" t="s">
        <v>378</v>
      </c>
      <c r="E767" t="s">
        <v>378</v>
      </c>
      <c r="F767" t="s">
        <v>12</v>
      </c>
      <c r="G767" t="s">
        <v>3128</v>
      </c>
      <c r="H767">
        <v>1</v>
      </c>
      <c r="I767">
        <v>1</v>
      </c>
      <c r="J767">
        <v>0</v>
      </c>
      <c r="K767">
        <v>0</v>
      </c>
      <c r="L767">
        <v>0</v>
      </c>
    </row>
    <row r="768" spans="1:12">
      <c r="A768" t="str">
        <f>HYPERLINK("http://bombeiros.sp.gov.br/hidrantes/03individual/1577.html","1577")</f>
        <v>1577</v>
      </c>
      <c r="B768" t="str">
        <f>HYPERLINK("http://bombeiros.sp.gov.br/hidrantes/08bsg/qrcodeBSG.html?id=1577&amp;lat=-23.53690&amp;long=-46.59205&amp;tipo=C","QRCODE")</f>
        <v>QRCODE</v>
      </c>
      <c r="C768" t="s">
        <v>5273</v>
      </c>
      <c r="D768" t="s">
        <v>378</v>
      </c>
      <c r="E768" t="s">
        <v>378</v>
      </c>
      <c r="F768" t="s">
        <v>12</v>
      </c>
      <c r="G768" t="s">
        <v>2373</v>
      </c>
      <c r="H768">
        <v>1</v>
      </c>
      <c r="I768">
        <v>2</v>
      </c>
      <c r="J768">
        <v>0</v>
      </c>
      <c r="K768">
        <v>0</v>
      </c>
      <c r="L768">
        <v>0</v>
      </c>
    </row>
    <row r="769" spans="1:12">
      <c r="A769" t="str">
        <f>HYPERLINK("http://bombeiros.sp.gov.br/hidrantes/03individual/3331.html","3331")</f>
        <v>3331</v>
      </c>
      <c r="B769" t="str">
        <f>HYPERLINK("http://bombeiros.sp.gov.br/hidrantes/08bsg/qrcodeBSG.html?id=3331&amp;lat=-23.53586&amp;long=-46.58626&amp;tipo=C","QRCODE")</f>
        <v>QRCODE</v>
      </c>
      <c r="C769" t="s">
        <v>5273</v>
      </c>
      <c r="D769" t="s">
        <v>378</v>
      </c>
      <c r="E769" t="s">
        <v>378</v>
      </c>
      <c r="F769" t="s">
        <v>12</v>
      </c>
      <c r="G769" t="s">
        <v>3096</v>
      </c>
      <c r="H769">
        <v>1</v>
      </c>
      <c r="I769">
        <v>1</v>
      </c>
      <c r="J769">
        <v>0</v>
      </c>
      <c r="K769">
        <v>0</v>
      </c>
      <c r="L769">
        <v>0</v>
      </c>
    </row>
    <row r="770" spans="1:12">
      <c r="A770" t="str">
        <f>HYPERLINK("http://bombeiros.sp.gov.br/hidrantes/03individual/27169.html","27169")</f>
        <v>27169</v>
      </c>
      <c r="B770" t="str">
        <f>HYPERLINK("http://bombeiros.sp.gov.br/hidrantes/08bsg/qrcodeBSG.html?id=27169&amp;lat=-23.53437&amp;long=-46.58333&amp;tipo=C","QRCODE")</f>
        <v>QRCODE</v>
      </c>
      <c r="C770" t="s">
        <v>5273</v>
      </c>
      <c r="D770" t="s">
        <v>378</v>
      </c>
      <c r="E770" t="s">
        <v>378</v>
      </c>
      <c r="F770" t="s">
        <v>12</v>
      </c>
      <c r="G770" t="s">
        <v>3356</v>
      </c>
      <c r="H770">
        <v>0</v>
      </c>
      <c r="I770">
        <v>1</v>
      </c>
      <c r="J770">
        <v>0</v>
      </c>
      <c r="K770">
        <v>0</v>
      </c>
      <c r="L770">
        <v>0</v>
      </c>
    </row>
    <row r="771" spans="1:12">
      <c r="A771" t="str">
        <f>HYPERLINK("http://bombeiros.sp.gov.br/hidrantes/03individual/1399.html","1399")</f>
        <v>1399</v>
      </c>
      <c r="B771" t="str">
        <f>HYPERLINK("http://bombeiros.sp.gov.br/hidrantes/08bsg/qrcodeBSG.html?id=1399&amp;lat=-23.52918&amp;long=-46.59995&amp;tipo=S","QRCODE")</f>
        <v>QRCODE</v>
      </c>
      <c r="C771" t="s">
        <v>5273</v>
      </c>
      <c r="D771" t="s">
        <v>378</v>
      </c>
      <c r="E771" t="s">
        <v>378</v>
      </c>
      <c r="F771" t="s">
        <v>21</v>
      </c>
      <c r="G771" t="s">
        <v>752</v>
      </c>
      <c r="H771">
        <v>0</v>
      </c>
      <c r="I771">
        <v>2</v>
      </c>
      <c r="J771">
        <v>0</v>
      </c>
      <c r="K771">
        <v>0</v>
      </c>
      <c r="L771">
        <v>0</v>
      </c>
    </row>
    <row r="772" spans="1:12">
      <c r="A772" t="str">
        <f>HYPERLINK("http://bombeiros.sp.gov.br/hidrantes/03individual/1404.html","1404")</f>
        <v>1404</v>
      </c>
      <c r="B772" t="str">
        <f>HYPERLINK("http://bombeiros.sp.gov.br/hidrantes/08bsg/qrcodeBSG.html?id=1404&amp;lat=-23.53408&amp;long=-46.60053&amp;tipo=S","QRCODE")</f>
        <v>QRCODE</v>
      </c>
      <c r="C772" t="s">
        <v>5273</v>
      </c>
      <c r="D772" t="s">
        <v>378</v>
      </c>
      <c r="E772" t="s">
        <v>378</v>
      </c>
      <c r="F772" t="s">
        <v>21</v>
      </c>
      <c r="G772" t="s">
        <v>751</v>
      </c>
      <c r="H772">
        <v>0</v>
      </c>
      <c r="I772">
        <v>2</v>
      </c>
      <c r="J772">
        <v>0</v>
      </c>
      <c r="K772">
        <v>0</v>
      </c>
      <c r="L772">
        <v>0</v>
      </c>
    </row>
    <row r="773" spans="1:12">
      <c r="A773" t="str">
        <f>HYPERLINK("http://bombeiros.sp.gov.br/hidrantes/03individual/3303.html","3303")</f>
        <v>3303</v>
      </c>
      <c r="B773" t="str">
        <f>HYPERLINK("http://bombeiros.sp.gov.br/hidrantes/08bsg/qrcodeBSG.html?id=3303&amp;lat=-23.53718&amp;long=-46.59513&amp;tipo=S","QRCODE")</f>
        <v>QRCODE</v>
      </c>
      <c r="C773" t="s">
        <v>5273</v>
      </c>
      <c r="D773" t="s">
        <v>378</v>
      </c>
      <c r="E773" t="s">
        <v>378</v>
      </c>
      <c r="F773" t="s">
        <v>21</v>
      </c>
      <c r="G773" t="s">
        <v>689</v>
      </c>
      <c r="H773">
        <v>0</v>
      </c>
      <c r="I773">
        <v>2</v>
      </c>
      <c r="J773">
        <v>0</v>
      </c>
      <c r="K773">
        <v>0</v>
      </c>
      <c r="L773">
        <v>0</v>
      </c>
    </row>
    <row r="774" spans="1:12">
      <c r="A774" t="str">
        <f>HYPERLINK("http://bombeiros.sp.gov.br/hidrantes/03individual/1514.html","1514")</f>
        <v>1514</v>
      </c>
      <c r="B774" t="str">
        <f>HYPERLINK("http://bombeiros.sp.gov.br/hidrantes/08bsg/qrcodeBSG.html?id=1514&amp;lat=-23.54203&amp;long=-46.59571&amp;tipo=C","QRCODE")</f>
        <v>QRCODE</v>
      </c>
      <c r="C774" t="s">
        <v>5273</v>
      </c>
      <c r="D774" t="s">
        <v>378</v>
      </c>
      <c r="E774" t="s">
        <v>299</v>
      </c>
      <c r="F774" t="s">
        <v>12</v>
      </c>
      <c r="G774" t="s">
        <v>335</v>
      </c>
      <c r="H774">
        <v>0</v>
      </c>
      <c r="I774">
        <v>2</v>
      </c>
      <c r="J774">
        <v>0</v>
      </c>
      <c r="K774">
        <v>0</v>
      </c>
      <c r="L774">
        <v>0</v>
      </c>
    </row>
    <row r="775" spans="1:12">
      <c r="A775" t="str">
        <f>HYPERLINK("http://bombeiros.sp.gov.br/hidrantes/03individual/1517.html","1517")</f>
        <v>1517</v>
      </c>
      <c r="B775" t="str">
        <f>HYPERLINK("http://bombeiros.sp.gov.br/hidrantes/08bsg/qrcodeBSG.html?id=1517&amp;lat=-23.53824&amp;long=-46.59914&amp;tipo=C","QRCODE")</f>
        <v>QRCODE</v>
      </c>
      <c r="C775" t="s">
        <v>5273</v>
      </c>
      <c r="D775" t="s">
        <v>378</v>
      </c>
      <c r="E775" t="s">
        <v>299</v>
      </c>
      <c r="F775" t="s">
        <v>12</v>
      </c>
      <c r="G775" t="s">
        <v>334</v>
      </c>
      <c r="H775">
        <v>0</v>
      </c>
      <c r="I775">
        <v>2</v>
      </c>
      <c r="J775">
        <v>0</v>
      </c>
      <c r="K775">
        <v>0</v>
      </c>
      <c r="L775">
        <v>0</v>
      </c>
    </row>
    <row r="776" spans="1:12">
      <c r="A776" t="str">
        <f>HYPERLINK("http://bombeiros.sp.gov.br/hidrantes/03individual/1559.html","1559")</f>
        <v>1559</v>
      </c>
      <c r="B776" t="str">
        <f>HYPERLINK("http://bombeiros.sp.gov.br/hidrantes/08bsg/qrcodeBSG.html?id=1559&amp;lat=-23.53892&amp;long=-46.60497&amp;tipo=C","QRCODE")</f>
        <v>QRCODE</v>
      </c>
      <c r="C776" t="s">
        <v>5273</v>
      </c>
      <c r="D776" t="s">
        <v>378</v>
      </c>
      <c r="E776" t="s">
        <v>299</v>
      </c>
      <c r="F776" t="s">
        <v>12</v>
      </c>
      <c r="G776" t="s">
        <v>337</v>
      </c>
      <c r="H776">
        <v>0</v>
      </c>
      <c r="I776">
        <v>2</v>
      </c>
      <c r="J776">
        <v>0</v>
      </c>
      <c r="K776">
        <v>0</v>
      </c>
      <c r="L776">
        <v>0</v>
      </c>
    </row>
    <row r="777" spans="1:12">
      <c r="A777" t="str">
        <f>HYPERLINK("http://bombeiros.sp.gov.br/hidrantes/03individual/2997.html","2997")</f>
        <v>2997</v>
      </c>
      <c r="B777" t="str">
        <f>HYPERLINK("http://bombeiros.sp.gov.br/hidrantes/08bsg/qrcodeBSG.html?id=2997&amp;lat=-23.54099&amp;long=-46.58555&amp;tipo=C","QRCODE")</f>
        <v>QRCODE</v>
      </c>
      <c r="C777" t="s">
        <v>5273</v>
      </c>
      <c r="D777" t="s">
        <v>378</v>
      </c>
      <c r="E777" t="s">
        <v>299</v>
      </c>
      <c r="F777" t="s">
        <v>12</v>
      </c>
      <c r="G777" t="s">
        <v>885</v>
      </c>
      <c r="H777">
        <v>1</v>
      </c>
      <c r="I777">
        <v>2</v>
      </c>
      <c r="J777">
        <v>0</v>
      </c>
      <c r="K777">
        <v>0</v>
      </c>
      <c r="L777">
        <v>0</v>
      </c>
    </row>
    <row r="778" spans="1:12">
      <c r="A778" t="str">
        <f>HYPERLINK("http://bombeiros.sp.gov.br/hidrantes/03individual/1322.html","1322")</f>
        <v>1322</v>
      </c>
      <c r="B778" t="str">
        <f>HYPERLINK("http://bombeiros.sp.gov.br/hidrantes/08bsg/qrcodeBSG.html?id=1322&amp;lat=-23.53958&amp;long=-46.60363&amp;tipo=S","QRCODE")</f>
        <v>QRCODE</v>
      </c>
      <c r="C778" t="s">
        <v>5273</v>
      </c>
      <c r="D778" t="s">
        <v>378</v>
      </c>
      <c r="E778" t="s">
        <v>299</v>
      </c>
      <c r="F778" t="s">
        <v>21</v>
      </c>
      <c r="G778" t="s">
        <v>343</v>
      </c>
      <c r="H778">
        <v>0</v>
      </c>
      <c r="I778">
        <v>2</v>
      </c>
      <c r="J778">
        <v>0</v>
      </c>
      <c r="K778">
        <v>0</v>
      </c>
      <c r="L778">
        <v>0</v>
      </c>
    </row>
    <row r="779" spans="1:12">
      <c r="A779" t="str">
        <f>HYPERLINK("http://bombeiros.sp.gov.br/hidrantes/03individual/1352.html","1352")</f>
        <v>1352</v>
      </c>
      <c r="B779" t="str">
        <f>HYPERLINK("http://bombeiros.sp.gov.br/hidrantes/08bsg/qrcodeBSG.html?id=1352&amp;lat=-23.54021&amp;long=-46.60630&amp;tipo=S","QRCODE")</f>
        <v>QRCODE</v>
      </c>
      <c r="C779" t="s">
        <v>5273</v>
      </c>
      <c r="D779" t="s">
        <v>378</v>
      </c>
      <c r="E779" t="s">
        <v>299</v>
      </c>
      <c r="F779" t="s">
        <v>21</v>
      </c>
      <c r="G779" t="s">
        <v>2706</v>
      </c>
      <c r="H779">
        <v>0</v>
      </c>
      <c r="I779">
        <v>2</v>
      </c>
      <c r="J779">
        <v>0</v>
      </c>
      <c r="K779">
        <v>0</v>
      </c>
      <c r="L779">
        <v>0</v>
      </c>
    </row>
    <row r="780" spans="1:12">
      <c r="A780" t="str">
        <f>HYPERLINK("http://bombeiros.sp.gov.br/hidrantes/03individual/1442.html","1442")</f>
        <v>1442</v>
      </c>
      <c r="B780" t="str">
        <f>HYPERLINK("http://bombeiros.sp.gov.br/hidrantes/08bsg/qrcodeBSG.html?id=1442&amp;lat=-23.54209&amp;long=-46.60055&amp;tipo=S","QRCODE")</f>
        <v>QRCODE</v>
      </c>
      <c r="C780" t="s">
        <v>5273</v>
      </c>
      <c r="D780" t="s">
        <v>378</v>
      </c>
      <c r="E780" t="s">
        <v>299</v>
      </c>
      <c r="F780" t="s">
        <v>21</v>
      </c>
      <c r="G780" t="s">
        <v>1914</v>
      </c>
      <c r="H780">
        <v>0</v>
      </c>
      <c r="I780">
        <v>2</v>
      </c>
      <c r="J780">
        <v>0</v>
      </c>
      <c r="K780">
        <v>0</v>
      </c>
      <c r="L780">
        <v>0</v>
      </c>
    </row>
    <row r="781" spans="1:12">
      <c r="A781" t="str">
        <f>HYPERLINK("http://bombeiros.sp.gov.br/hidrantes/03individual/1444.html","1444")</f>
        <v>1444</v>
      </c>
      <c r="B781" t="str">
        <f>HYPERLINK("http://bombeiros.sp.gov.br/hidrantes/08bsg/qrcodeBSG.html?id=1444&amp;lat=-23.54432&amp;long=-46.60428&amp;tipo=S","QRCODE")</f>
        <v>QRCODE</v>
      </c>
      <c r="C781" t="s">
        <v>5273</v>
      </c>
      <c r="D781" t="s">
        <v>378</v>
      </c>
      <c r="E781" t="s">
        <v>299</v>
      </c>
      <c r="F781" t="s">
        <v>21</v>
      </c>
      <c r="G781" t="s">
        <v>5149</v>
      </c>
      <c r="H781">
        <v>0</v>
      </c>
      <c r="I781">
        <v>1</v>
      </c>
      <c r="J781">
        <v>0</v>
      </c>
      <c r="K781">
        <v>0</v>
      </c>
      <c r="L781">
        <v>0</v>
      </c>
    </row>
    <row r="782" spans="1:12">
      <c r="A782" t="str">
        <f>HYPERLINK("http://bombeiros.sp.gov.br/hidrantes/03individual/1447.html","1447")</f>
        <v>1447</v>
      </c>
      <c r="B782" t="str">
        <f>HYPERLINK("http://bombeiros.sp.gov.br/hidrantes/08bsg/qrcodeBSG.html?id=1447&amp;lat=-23.54416&amp;long=-46.60192&amp;tipo=S","QRCODE")</f>
        <v>QRCODE</v>
      </c>
      <c r="C782" t="s">
        <v>5273</v>
      </c>
      <c r="D782" t="s">
        <v>378</v>
      </c>
      <c r="E782" t="s">
        <v>299</v>
      </c>
      <c r="F782" t="s">
        <v>21</v>
      </c>
      <c r="G782" t="s">
        <v>1913</v>
      </c>
      <c r="H782">
        <v>0</v>
      </c>
      <c r="I782">
        <v>2</v>
      </c>
      <c r="J782">
        <v>0</v>
      </c>
      <c r="K782">
        <v>0</v>
      </c>
      <c r="L782">
        <v>0</v>
      </c>
    </row>
    <row r="783" spans="1:12">
      <c r="A783" t="str">
        <f>HYPERLINK("http://bombeiros.sp.gov.br/hidrantes/03individual/1465.html","1465")</f>
        <v>1465</v>
      </c>
      <c r="B783" t="str">
        <f>HYPERLINK("http://bombeiros.sp.gov.br/hidrantes/08bsg/qrcodeBSG.html?id=1465&amp;lat=-23.54291&amp;long=-46.60578&amp;tipo=S","QRCODE")</f>
        <v>QRCODE</v>
      </c>
      <c r="C783" t="s">
        <v>5273</v>
      </c>
      <c r="D783" t="s">
        <v>378</v>
      </c>
      <c r="E783" t="s">
        <v>299</v>
      </c>
      <c r="F783" t="s">
        <v>21</v>
      </c>
      <c r="G783" t="s">
        <v>2413</v>
      </c>
      <c r="H783">
        <v>0</v>
      </c>
      <c r="I783">
        <v>3</v>
      </c>
      <c r="J783">
        <v>0</v>
      </c>
      <c r="K783">
        <v>0</v>
      </c>
      <c r="L783">
        <v>0</v>
      </c>
    </row>
    <row r="784" spans="1:12">
      <c r="A784" t="str">
        <f>HYPERLINK("http://bombeiros.sp.gov.br/hidrantes/03individual/1492.html","1492")</f>
        <v>1492</v>
      </c>
      <c r="B784" t="str">
        <f>HYPERLINK("http://bombeiros.sp.gov.br/hidrantes/08bsg/qrcodeBSG.html?id=1492&amp;lat=-23.54056&amp;long=-46.59825&amp;tipo=S","QRCODE")</f>
        <v>QRCODE</v>
      </c>
      <c r="C784" t="s">
        <v>5273</v>
      </c>
      <c r="D784" t="s">
        <v>378</v>
      </c>
      <c r="E784" t="s">
        <v>299</v>
      </c>
      <c r="F784" t="s">
        <v>21</v>
      </c>
      <c r="G784" t="s">
        <v>330</v>
      </c>
      <c r="H784">
        <v>0</v>
      </c>
      <c r="I784">
        <v>2</v>
      </c>
      <c r="J784">
        <v>0</v>
      </c>
      <c r="K784">
        <v>0</v>
      </c>
      <c r="L784">
        <v>0</v>
      </c>
    </row>
    <row r="785" spans="1:12">
      <c r="A785" t="str">
        <f>HYPERLINK("http://bombeiros.sp.gov.br/hidrantes/03individual/1557.html","1557")</f>
        <v>1557</v>
      </c>
      <c r="B785" t="str">
        <f>HYPERLINK("http://bombeiros.sp.gov.br/hidrantes/08bsg/qrcodeBSG.html?id=1557&amp;lat=-23.54079&amp;long=-46.60235&amp;tipo=S","QRCODE")</f>
        <v>QRCODE</v>
      </c>
      <c r="C785" t="s">
        <v>5273</v>
      </c>
      <c r="D785" t="s">
        <v>378</v>
      </c>
      <c r="E785" t="s">
        <v>299</v>
      </c>
      <c r="F785" t="s">
        <v>21</v>
      </c>
      <c r="G785" t="s">
        <v>2713</v>
      </c>
      <c r="H785">
        <v>0</v>
      </c>
      <c r="I785">
        <v>2</v>
      </c>
      <c r="J785">
        <v>0</v>
      </c>
      <c r="K785">
        <v>0</v>
      </c>
      <c r="L785">
        <v>0</v>
      </c>
    </row>
    <row r="786" spans="1:12">
      <c r="A786" t="str">
        <f>HYPERLINK("http://bombeiros.sp.gov.br/hidrantes/03individual/1566.html","1566")</f>
        <v>1566</v>
      </c>
      <c r="B786" t="str">
        <f>HYPERLINK("http://bombeiros.sp.gov.br/hidrantes/08bsg/qrcodeBSG.html?id=1566&amp;lat=-23.54010&amp;long=-46.60505&amp;tipo=S","QRCODE")</f>
        <v>QRCODE</v>
      </c>
      <c r="C786" t="s">
        <v>5273</v>
      </c>
      <c r="D786" t="s">
        <v>378</v>
      </c>
      <c r="E786" t="s">
        <v>299</v>
      </c>
      <c r="F786" t="s">
        <v>21</v>
      </c>
      <c r="G786" t="s">
        <v>338</v>
      </c>
      <c r="H786">
        <v>0</v>
      </c>
      <c r="I786">
        <v>2</v>
      </c>
      <c r="J786">
        <v>0</v>
      </c>
      <c r="K786">
        <v>0</v>
      </c>
      <c r="L786">
        <v>0</v>
      </c>
    </row>
    <row r="787" spans="1:12">
      <c r="A787" t="str">
        <f>HYPERLINK("http://bombeiros.sp.gov.br/hidrantes/03individual/1569.html","1569")</f>
        <v>1569</v>
      </c>
      <c r="B787" t="str">
        <f>HYPERLINK("http://bombeiros.sp.gov.br/hidrantes/08bsg/qrcodeBSG.html?id=1569&amp;lat=-23.54314&amp;long=-46.59316&amp;tipo=S","QRCODE")</f>
        <v>QRCODE</v>
      </c>
      <c r="C787" t="s">
        <v>5273</v>
      </c>
      <c r="D787" t="s">
        <v>378</v>
      </c>
      <c r="E787" t="s">
        <v>299</v>
      </c>
      <c r="F787" t="s">
        <v>21</v>
      </c>
      <c r="G787" t="s">
        <v>339</v>
      </c>
      <c r="H787">
        <v>0</v>
      </c>
      <c r="I787">
        <v>2</v>
      </c>
      <c r="J787">
        <v>0</v>
      </c>
      <c r="K787">
        <v>0</v>
      </c>
      <c r="L787">
        <v>0</v>
      </c>
    </row>
    <row r="788" spans="1:12">
      <c r="A788" t="str">
        <f>HYPERLINK("http://bombeiros.sp.gov.br/hidrantes/03individual/1571.html","1571")</f>
        <v>1571</v>
      </c>
      <c r="B788" t="str">
        <f>HYPERLINK("http://bombeiros.sp.gov.br/hidrantes/08bsg/qrcodeBSG.html?id=1571&amp;lat=-23.54388&amp;long=-46.59911&amp;tipo=S","QRCODE")</f>
        <v>QRCODE</v>
      </c>
      <c r="C788" t="s">
        <v>5273</v>
      </c>
      <c r="D788" t="s">
        <v>378</v>
      </c>
      <c r="E788" t="s">
        <v>299</v>
      </c>
      <c r="F788" t="s">
        <v>21</v>
      </c>
      <c r="G788" t="s">
        <v>340</v>
      </c>
      <c r="H788">
        <v>0</v>
      </c>
      <c r="I788">
        <v>2</v>
      </c>
      <c r="J788">
        <v>0</v>
      </c>
      <c r="K788">
        <v>0</v>
      </c>
      <c r="L788">
        <v>0</v>
      </c>
    </row>
    <row r="789" spans="1:12">
      <c r="A789" t="str">
        <f>HYPERLINK("http://bombeiros.sp.gov.br/hidrantes/03individual/1575.html","1575")</f>
        <v>1575</v>
      </c>
      <c r="B789" t="str">
        <f>HYPERLINK("http://bombeiros.sp.gov.br/hidrantes/08bsg/qrcodeBSG.html?id=1575&amp;lat=-23.53933&amp;long=-46.59872&amp;tipo=S","QRCODE")</f>
        <v>QRCODE</v>
      </c>
      <c r="C789" t="s">
        <v>5273</v>
      </c>
      <c r="D789" t="s">
        <v>378</v>
      </c>
      <c r="E789" t="s">
        <v>299</v>
      </c>
      <c r="F789" t="s">
        <v>21</v>
      </c>
      <c r="G789" t="s">
        <v>754</v>
      </c>
      <c r="H789">
        <v>0</v>
      </c>
      <c r="I789">
        <v>2</v>
      </c>
      <c r="J789">
        <v>0</v>
      </c>
      <c r="K789">
        <v>0</v>
      </c>
      <c r="L789">
        <v>0</v>
      </c>
    </row>
    <row r="790" spans="1:12">
      <c r="A790" t="str">
        <f>HYPERLINK("http://bombeiros.sp.gov.br/hidrantes/03individual/1581.html","1581")</f>
        <v>1581</v>
      </c>
      <c r="B790" t="str">
        <f>HYPERLINK("http://bombeiros.sp.gov.br/hidrantes/08bsg/qrcodeBSG.html?id=1581&amp;lat=-23.53978&amp;long=-46.60070&amp;tipo=S","QRCODE")</f>
        <v>QRCODE</v>
      </c>
      <c r="C790" t="s">
        <v>5273</v>
      </c>
      <c r="D790" t="s">
        <v>378</v>
      </c>
      <c r="E790" t="s">
        <v>299</v>
      </c>
      <c r="F790" t="s">
        <v>21</v>
      </c>
      <c r="G790" t="s">
        <v>755</v>
      </c>
      <c r="H790">
        <v>0</v>
      </c>
      <c r="I790">
        <v>2</v>
      </c>
      <c r="J790">
        <v>0</v>
      </c>
      <c r="K790">
        <v>0</v>
      </c>
      <c r="L790">
        <v>0</v>
      </c>
    </row>
    <row r="791" spans="1:12">
      <c r="A791" t="str">
        <f>HYPERLINK("http://bombeiros.sp.gov.br/hidrantes/03individual/1582.html","1582")</f>
        <v>1582</v>
      </c>
      <c r="B791" t="str">
        <f>HYPERLINK("http://bombeiros.sp.gov.br/hidrantes/08bsg/qrcodeBSG.html?id=1582&amp;lat=-23.54014&amp;long=-46.60080&amp;tipo=S","QRCODE")</f>
        <v>QRCODE</v>
      </c>
      <c r="C791" t="s">
        <v>5273</v>
      </c>
      <c r="D791" t="s">
        <v>378</v>
      </c>
      <c r="E791" t="s">
        <v>299</v>
      </c>
      <c r="F791" t="s">
        <v>21</v>
      </c>
      <c r="G791" t="s">
        <v>4802</v>
      </c>
      <c r="H791">
        <v>1</v>
      </c>
      <c r="I791">
        <v>1</v>
      </c>
      <c r="J791">
        <v>0</v>
      </c>
      <c r="K791">
        <v>0</v>
      </c>
      <c r="L791">
        <v>0</v>
      </c>
    </row>
    <row r="792" spans="1:12">
      <c r="A792" t="str">
        <f>HYPERLINK("http://bombeiros.sp.gov.br/hidrantes/03individual/1584.html","1584")</f>
        <v>1584</v>
      </c>
      <c r="B792" t="str">
        <f>HYPERLINK("http://bombeiros.sp.gov.br/hidrantes/08bsg/qrcodeBSG.html?id=1584&amp;lat=-23.53679&amp;long=-46.58944&amp;tipo=S","QRCODE")</f>
        <v>QRCODE</v>
      </c>
      <c r="C792" t="s">
        <v>5273</v>
      </c>
      <c r="D792" t="s">
        <v>378</v>
      </c>
      <c r="E792" t="s">
        <v>299</v>
      </c>
      <c r="F792" t="s">
        <v>21</v>
      </c>
      <c r="G792" t="s">
        <v>2371</v>
      </c>
      <c r="H792">
        <v>0</v>
      </c>
      <c r="I792">
        <v>2</v>
      </c>
      <c r="J792">
        <v>0</v>
      </c>
      <c r="K792">
        <v>0</v>
      </c>
      <c r="L792">
        <v>0</v>
      </c>
    </row>
    <row r="793" spans="1:12">
      <c r="A793" t="str">
        <f>HYPERLINK("http://bombeiros.sp.gov.br/hidrantes/03individual/1586.html","1586")</f>
        <v>1586</v>
      </c>
      <c r="B793" t="str">
        <f>HYPERLINK("http://bombeiros.sp.gov.br/hidrantes/08bsg/qrcodeBSG.html?id=1586&amp;lat=-23.53990&amp;long=-46.58489&amp;tipo=S","QRCODE")</f>
        <v>QRCODE</v>
      </c>
      <c r="C793" t="s">
        <v>5273</v>
      </c>
      <c r="D793" t="s">
        <v>378</v>
      </c>
      <c r="E793" t="s">
        <v>299</v>
      </c>
      <c r="F793" t="s">
        <v>21</v>
      </c>
      <c r="G793" t="s">
        <v>3129</v>
      </c>
      <c r="H793">
        <v>0</v>
      </c>
      <c r="I793">
        <v>2</v>
      </c>
      <c r="J793">
        <v>0</v>
      </c>
      <c r="K793">
        <v>0</v>
      </c>
      <c r="L793">
        <v>0</v>
      </c>
    </row>
    <row r="794" spans="1:12">
      <c r="A794" t="str">
        <f>HYPERLINK("http://bombeiros.sp.gov.br/hidrantes/03individual/1588.html","1588")</f>
        <v>1588</v>
      </c>
      <c r="B794" t="str">
        <f>HYPERLINK("http://bombeiros.sp.gov.br/hidrantes/08bsg/qrcodeBSG.html?id=1588&amp;lat=-23.53542&amp;long=-46.58312&amp;tipo=S","QRCODE")</f>
        <v>QRCODE</v>
      </c>
      <c r="C794" t="s">
        <v>5273</v>
      </c>
      <c r="D794" t="s">
        <v>378</v>
      </c>
      <c r="E794" t="s">
        <v>299</v>
      </c>
      <c r="F794" t="s">
        <v>21</v>
      </c>
      <c r="G794" t="s">
        <v>2372</v>
      </c>
      <c r="H794">
        <v>0</v>
      </c>
      <c r="I794">
        <v>2</v>
      </c>
      <c r="J794">
        <v>0</v>
      </c>
      <c r="K794">
        <v>0</v>
      </c>
      <c r="L794">
        <v>0</v>
      </c>
    </row>
    <row r="795" spans="1:12">
      <c r="A795" t="str">
        <f>HYPERLINK("http://bombeiros.sp.gov.br/hidrantes/03individual/1644.html","1644")</f>
        <v>1644</v>
      </c>
      <c r="B795" t="str">
        <f>HYPERLINK("http://bombeiros.sp.gov.br/hidrantes/08bsg/qrcodeBSG.html?id=1644&amp;lat=-23.54126&amp;long=-46.59016&amp;tipo=S","QRCODE")</f>
        <v>QRCODE</v>
      </c>
      <c r="C795" t="s">
        <v>5273</v>
      </c>
      <c r="D795" t="s">
        <v>378</v>
      </c>
      <c r="E795" t="s">
        <v>299</v>
      </c>
      <c r="F795" t="s">
        <v>21</v>
      </c>
      <c r="G795" t="s">
        <v>2378</v>
      </c>
      <c r="H795">
        <v>0</v>
      </c>
      <c r="I795">
        <v>2</v>
      </c>
      <c r="J795">
        <v>0</v>
      </c>
      <c r="K795">
        <v>0</v>
      </c>
      <c r="L795">
        <v>0</v>
      </c>
    </row>
    <row r="796" spans="1:12">
      <c r="A796" t="str">
        <f>HYPERLINK("http://bombeiros.sp.gov.br/hidrantes/03individual/1646.html","1646")</f>
        <v>1646</v>
      </c>
      <c r="B796" t="str">
        <f>HYPERLINK("http://bombeiros.sp.gov.br/hidrantes/08bsg/qrcodeBSG.html?id=1646&amp;lat=-23.53947&amp;long=-46.58336&amp;tipo=S","QRCODE")</f>
        <v>QRCODE</v>
      </c>
      <c r="C796" t="s">
        <v>5273</v>
      </c>
      <c r="D796" t="s">
        <v>378</v>
      </c>
      <c r="E796" t="s">
        <v>299</v>
      </c>
      <c r="F796" t="s">
        <v>21</v>
      </c>
      <c r="G796" t="s">
        <v>857</v>
      </c>
      <c r="H796">
        <v>1</v>
      </c>
      <c r="I796">
        <v>2</v>
      </c>
      <c r="J796">
        <v>0</v>
      </c>
      <c r="K796">
        <v>0</v>
      </c>
      <c r="L796">
        <v>0</v>
      </c>
    </row>
    <row r="797" spans="1:12">
      <c r="A797" t="str">
        <f>HYPERLINK("http://bombeiros.sp.gov.br/hidrantes/03individual/1648.html","1648")</f>
        <v>1648</v>
      </c>
      <c r="B797" t="str">
        <f>HYPERLINK("http://bombeiros.sp.gov.br/hidrantes/08bsg/qrcodeBSG.html?id=1648&amp;lat=-23.54053&amp;long=-46.58728&amp;tipo=S","QRCODE")</f>
        <v>QRCODE</v>
      </c>
      <c r="C797" t="s">
        <v>5273</v>
      </c>
      <c r="D797" t="s">
        <v>378</v>
      </c>
      <c r="E797" t="s">
        <v>299</v>
      </c>
      <c r="F797" t="s">
        <v>21</v>
      </c>
      <c r="G797" t="s">
        <v>2380</v>
      </c>
      <c r="H797">
        <v>0</v>
      </c>
      <c r="I797">
        <v>2</v>
      </c>
      <c r="J797">
        <v>0</v>
      </c>
      <c r="K797">
        <v>0</v>
      </c>
      <c r="L797">
        <v>0</v>
      </c>
    </row>
    <row r="798" spans="1:12">
      <c r="A798" t="str">
        <f>HYPERLINK("http://bombeiros.sp.gov.br/hidrantes/03individual/2962.html","2962")</f>
        <v>2962</v>
      </c>
      <c r="B798" t="str">
        <f>HYPERLINK("http://bombeiros.sp.gov.br/hidrantes/08bsg/qrcodeBSG.html?id=2962&amp;lat=-23.53625&amp;long=-46.58678&amp;tipo=S","QRCODE")</f>
        <v>QRCODE</v>
      </c>
      <c r="C798" t="s">
        <v>5273</v>
      </c>
      <c r="D798" t="s">
        <v>378</v>
      </c>
      <c r="E798" t="s">
        <v>299</v>
      </c>
      <c r="F798" t="s">
        <v>21</v>
      </c>
      <c r="G798" t="s">
        <v>704</v>
      </c>
      <c r="H798">
        <v>0</v>
      </c>
      <c r="I798">
        <v>2</v>
      </c>
      <c r="J798">
        <v>0</v>
      </c>
      <c r="K798">
        <v>0</v>
      </c>
      <c r="L798">
        <v>0</v>
      </c>
    </row>
    <row r="799" spans="1:12">
      <c r="A799" t="str">
        <f>HYPERLINK("http://bombeiros.sp.gov.br/hidrantes/03individual/2974.html","2974")</f>
        <v>2974</v>
      </c>
      <c r="B799" t="str">
        <f>HYPERLINK("http://bombeiros.sp.gov.br/hidrantes/08bsg/qrcodeBSG.html?id=2974&amp;lat=-23.54292&amp;long=-46.59959&amp;tipo=S","QRCODE")</f>
        <v>QRCODE</v>
      </c>
      <c r="C799" t="s">
        <v>5273</v>
      </c>
      <c r="D799" t="s">
        <v>378</v>
      </c>
      <c r="E799" t="s">
        <v>299</v>
      </c>
      <c r="F799" t="s">
        <v>21</v>
      </c>
      <c r="G799" t="s">
        <v>298</v>
      </c>
      <c r="H799">
        <v>0</v>
      </c>
      <c r="I799">
        <v>3</v>
      </c>
      <c r="J799">
        <v>0</v>
      </c>
      <c r="K799">
        <v>0</v>
      </c>
      <c r="L799">
        <v>0</v>
      </c>
    </row>
    <row r="800" spans="1:12">
      <c r="A800" t="str">
        <f>HYPERLINK("http://bombeiros.sp.gov.br/hidrantes/03individual/2976.html","2976")</f>
        <v>2976</v>
      </c>
      <c r="B800" t="str">
        <f>HYPERLINK("http://bombeiros.sp.gov.br/hidrantes/08bsg/qrcodeBSG.html?id=2976&amp;lat=-23.54218&amp;long=-46.59807&amp;tipo=S","QRCODE")</f>
        <v>QRCODE</v>
      </c>
      <c r="C800" t="s">
        <v>5273</v>
      </c>
      <c r="D800" t="s">
        <v>378</v>
      </c>
      <c r="E800" t="s">
        <v>299</v>
      </c>
      <c r="F800" t="s">
        <v>21</v>
      </c>
      <c r="G800" t="s">
        <v>1867</v>
      </c>
      <c r="H800">
        <v>0</v>
      </c>
      <c r="I800">
        <v>2</v>
      </c>
      <c r="J800">
        <v>0</v>
      </c>
      <c r="K800">
        <v>0</v>
      </c>
      <c r="L800">
        <v>0</v>
      </c>
    </row>
    <row r="801" spans="1:12">
      <c r="A801" t="str">
        <f>HYPERLINK("http://bombeiros.sp.gov.br/hidrantes/03individual/2998.html","2998")</f>
        <v>2998</v>
      </c>
      <c r="B801" t="str">
        <f>HYPERLINK("http://bombeiros.sp.gov.br/hidrantes/08bsg/qrcodeBSG.html?id=2998&amp;lat=-23.54021&amp;long=-46.58594&amp;tipo=S","QRCODE")</f>
        <v>QRCODE</v>
      </c>
      <c r="C801" t="s">
        <v>5273</v>
      </c>
      <c r="D801" t="s">
        <v>378</v>
      </c>
      <c r="E801" t="s">
        <v>299</v>
      </c>
      <c r="F801" t="s">
        <v>21</v>
      </c>
      <c r="G801" t="s">
        <v>886</v>
      </c>
      <c r="H801">
        <v>1</v>
      </c>
      <c r="I801">
        <v>2</v>
      </c>
      <c r="J801">
        <v>0</v>
      </c>
      <c r="K801">
        <v>0</v>
      </c>
      <c r="L801">
        <v>0</v>
      </c>
    </row>
    <row r="802" spans="1:12">
      <c r="A802" t="str">
        <f>HYPERLINK("http://bombeiros.sp.gov.br/hidrantes/03individual/3133.html","3133")</f>
        <v>3133</v>
      </c>
      <c r="B802" t="str">
        <f>HYPERLINK("http://bombeiros.sp.gov.br/hidrantes/08bsg/qrcodeBSG.html?id=3133&amp;lat=-23.54244&amp;long=-46.59355&amp;tipo=S","QRCODE")</f>
        <v>QRCODE</v>
      </c>
      <c r="C802" t="s">
        <v>5273</v>
      </c>
      <c r="D802" t="s">
        <v>378</v>
      </c>
      <c r="E802" t="s">
        <v>299</v>
      </c>
      <c r="F802" t="s">
        <v>21</v>
      </c>
      <c r="G802" t="s">
        <v>305</v>
      </c>
      <c r="H802">
        <v>0</v>
      </c>
      <c r="I802">
        <v>2</v>
      </c>
      <c r="J802">
        <v>0</v>
      </c>
      <c r="K802">
        <v>0</v>
      </c>
      <c r="L802">
        <v>0</v>
      </c>
    </row>
    <row r="803" spans="1:12">
      <c r="A803" t="str">
        <f>HYPERLINK("http://bombeiros.sp.gov.br/hidrantes/03individual/3313.html","3313")</f>
        <v>3313</v>
      </c>
      <c r="B803" t="str">
        <f>HYPERLINK("http://bombeiros.sp.gov.br/hidrantes/08bsg/qrcodeBSG.html?id=3313&amp;lat=-23.54091&amp;long=-46.58897&amp;tipo=S","QRCODE")</f>
        <v>QRCODE</v>
      </c>
      <c r="C803" t="s">
        <v>5273</v>
      </c>
      <c r="D803" t="s">
        <v>378</v>
      </c>
      <c r="E803" t="s">
        <v>299</v>
      </c>
      <c r="F803" t="s">
        <v>21</v>
      </c>
      <c r="G803" t="s">
        <v>2337</v>
      </c>
      <c r="H803">
        <v>0</v>
      </c>
      <c r="I803">
        <v>2</v>
      </c>
      <c r="J803">
        <v>0</v>
      </c>
      <c r="K803">
        <v>0</v>
      </c>
      <c r="L803">
        <v>0</v>
      </c>
    </row>
    <row r="804" spans="1:12">
      <c r="A804" t="str">
        <f>HYPERLINK("http://bombeiros.sp.gov.br/hidrantes/03individual/3315.html","3315")</f>
        <v>3315</v>
      </c>
      <c r="B804" t="str">
        <f>HYPERLINK("http://bombeiros.sp.gov.br/hidrantes/08bsg/qrcodeBSG.html?id=3315&amp;lat=-23.54137&amp;long=-46.59129&amp;tipo=S","QRCODE")</f>
        <v>QRCODE</v>
      </c>
      <c r="C804" t="s">
        <v>5273</v>
      </c>
      <c r="D804" t="s">
        <v>378</v>
      </c>
      <c r="E804" t="s">
        <v>299</v>
      </c>
      <c r="F804" t="s">
        <v>21</v>
      </c>
      <c r="G804" t="s">
        <v>2336</v>
      </c>
      <c r="H804">
        <v>0</v>
      </c>
      <c r="I804">
        <v>2</v>
      </c>
      <c r="J804">
        <v>0</v>
      </c>
      <c r="K804">
        <v>0</v>
      </c>
      <c r="L804">
        <v>0</v>
      </c>
    </row>
    <row r="805" spans="1:12">
      <c r="A805" t="str">
        <f>HYPERLINK("http://bombeiros.sp.gov.br/hidrantes/03individual/3593.html","3593")</f>
        <v>3593</v>
      </c>
      <c r="B805" t="str">
        <f>HYPERLINK("http://bombeiros.sp.gov.br/hidrantes/08bsg/qrcodeBSG.html?id=3593&amp;lat=-23.54290&amp;long=-46.59200&amp;tipo=S","QRCODE")</f>
        <v>QRCODE</v>
      </c>
      <c r="C805" t="s">
        <v>5273</v>
      </c>
      <c r="D805" t="s">
        <v>378</v>
      </c>
      <c r="E805" t="s">
        <v>299</v>
      </c>
      <c r="F805" t="s">
        <v>21</v>
      </c>
      <c r="G805" t="s">
        <v>2360</v>
      </c>
      <c r="H805">
        <v>0</v>
      </c>
      <c r="I805">
        <v>2</v>
      </c>
      <c r="J805">
        <v>0</v>
      </c>
      <c r="K805">
        <v>0</v>
      </c>
      <c r="L805">
        <v>0</v>
      </c>
    </row>
    <row r="806" spans="1:12">
      <c r="A806" t="str">
        <f>HYPERLINK("http://bombeiros.sp.gov.br/hidrantes/03individual/17691.html","17691")</f>
        <v>17691</v>
      </c>
      <c r="B806" t="str">
        <f>HYPERLINK("http://bombeiros.sp.gov.br/hidrantes/08bsg/qrcodeBSG.html?id=17691&amp;lat=-23.54054&amp;long=-46.59515&amp;tipo=S","QRCODE")</f>
        <v>QRCODE</v>
      </c>
      <c r="C806" t="s">
        <v>5273</v>
      </c>
      <c r="D806" t="s">
        <v>378</v>
      </c>
      <c r="E806" t="s">
        <v>299</v>
      </c>
      <c r="F806" t="s">
        <v>21</v>
      </c>
      <c r="G806" t="s">
        <v>664</v>
      </c>
      <c r="H806">
        <v>1</v>
      </c>
      <c r="I806">
        <v>2</v>
      </c>
      <c r="J806">
        <v>0</v>
      </c>
      <c r="K806">
        <v>0</v>
      </c>
      <c r="L806">
        <v>0</v>
      </c>
    </row>
    <row r="807" spans="1:12">
      <c r="A807" t="str">
        <f>HYPERLINK("http://bombeiros.sp.gov.br/hidrantes/03individual/27314.html","27314")</f>
        <v>27314</v>
      </c>
      <c r="B807" t="str">
        <f>HYPERLINK("http://bombeiros.sp.gov.br/hidrantes/08bsg/qrcodeBSG.html?id=27314&amp;lat=-23.53599&amp;long=-46.58572&amp;tipo=S","QRCODE")</f>
        <v>QRCODE</v>
      </c>
      <c r="C807" t="s">
        <v>5273</v>
      </c>
      <c r="D807" t="s">
        <v>378</v>
      </c>
      <c r="E807" t="s">
        <v>299</v>
      </c>
      <c r="F807" t="s">
        <v>21</v>
      </c>
      <c r="G807" t="s">
        <v>5276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>
      <c r="A808" t="str">
        <f>HYPERLINK("http://bombeiros.sp.gov.br/hidrantes/03individual/1567.html","1567")</f>
        <v>1567</v>
      </c>
      <c r="B808" t="str">
        <f>HYPERLINK("http://bombeiros.sp.gov.br/hidrantes/08bsg/qrcodeBSG.html?id=1567&amp;lat=-23.53449&amp;long=-46.60271&amp;tipo=S","QRCODE")</f>
        <v>QRCODE</v>
      </c>
      <c r="C808" t="s">
        <v>5273</v>
      </c>
      <c r="D808" t="s">
        <v>378</v>
      </c>
      <c r="E808" t="s">
        <v>2710</v>
      </c>
      <c r="F808" t="s">
        <v>21</v>
      </c>
      <c r="G808" t="s">
        <v>2709</v>
      </c>
      <c r="H808">
        <v>1</v>
      </c>
      <c r="I808">
        <v>2</v>
      </c>
      <c r="J808">
        <v>0</v>
      </c>
      <c r="K808">
        <v>0</v>
      </c>
      <c r="L808">
        <v>0</v>
      </c>
    </row>
    <row r="809" spans="1:12">
      <c r="A809" t="str">
        <f>HYPERLINK("http://bombeiros.sp.gov.br/hidrantes/03individual/1564.html","1564")</f>
        <v>1564</v>
      </c>
      <c r="B809" t="str">
        <f>HYPERLINK("http://bombeiros.sp.gov.br/hidrantes/08bsg/qrcodeBSG.html?id=1564&amp;lat=-23.53882&amp;long=-46.60658&amp;tipo=C","QRCODE")</f>
        <v>QRCODE</v>
      </c>
      <c r="C809" t="s">
        <v>5273</v>
      </c>
      <c r="D809" t="s">
        <v>378</v>
      </c>
      <c r="E809" t="s">
        <v>329</v>
      </c>
      <c r="F809" t="s">
        <v>12</v>
      </c>
      <c r="G809" t="s">
        <v>2711</v>
      </c>
      <c r="H809">
        <v>0</v>
      </c>
      <c r="I809">
        <v>2</v>
      </c>
      <c r="J809">
        <v>0</v>
      </c>
      <c r="K809">
        <v>0</v>
      </c>
      <c r="L809">
        <v>0</v>
      </c>
    </row>
    <row r="810" spans="1:12">
      <c r="A810" t="str">
        <f>HYPERLINK("http://bombeiros.sp.gov.br/hidrantes/03individual/1587.html","1587")</f>
        <v>1587</v>
      </c>
      <c r="B810" t="str">
        <f>HYPERLINK("http://bombeiros.sp.gov.br/hidrantes/08bsg/qrcodeBSG.html?id=1587&amp;lat=-23.53484&amp;long=-46.60689&amp;tipo=C","QRCODE")</f>
        <v>QRCODE</v>
      </c>
      <c r="C810" t="s">
        <v>5273</v>
      </c>
      <c r="D810" t="s">
        <v>378</v>
      </c>
      <c r="E810" t="s">
        <v>329</v>
      </c>
      <c r="F810" t="s">
        <v>12</v>
      </c>
      <c r="G810" t="s">
        <v>4911</v>
      </c>
      <c r="H810">
        <v>1</v>
      </c>
      <c r="I810">
        <v>1</v>
      </c>
      <c r="J810">
        <v>0</v>
      </c>
      <c r="K810">
        <v>0</v>
      </c>
      <c r="L810">
        <v>0</v>
      </c>
    </row>
    <row r="811" spans="1:12">
      <c r="A811" t="str">
        <f>HYPERLINK("http://bombeiros.sp.gov.br/hidrantes/03individual/778.html","778")</f>
        <v>778</v>
      </c>
      <c r="B811" t="str">
        <f>HYPERLINK("http://bombeiros.sp.gov.br/hidrantes/08bsg/qrcodeBSG.html?id=778&amp;lat=-23.53430&amp;long=-46.60754&amp;tipo=S","QRCODE")</f>
        <v>QRCODE</v>
      </c>
      <c r="C811" t="s">
        <v>5273</v>
      </c>
      <c r="D811" t="s">
        <v>378</v>
      </c>
      <c r="E811" t="s">
        <v>329</v>
      </c>
      <c r="F811" t="s">
        <v>21</v>
      </c>
      <c r="G811" t="s">
        <v>793</v>
      </c>
      <c r="H811">
        <v>2</v>
      </c>
      <c r="I811">
        <v>3</v>
      </c>
      <c r="J811">
        <v>0</v>
      </c>
      <c r="K811">
        <v>0</v>
      </c>
      <c r="L811">
        <v>0</v>
      </c>
    </row>
    <row r="812" spans="1:12">
      <c r="A812" t="str">
        <f>HYPERLINK("http://bombeiros.sp.gov.br/hidrantes/03individual/779.html","779")</f>
        <v>779</v>
      </c>
      <c r="B812" t="str">
        <f>HYPERLINK("http://bombeiros.sp.gov.br/hidrantes/08bsg/qrcodeBSG.html?id=779&amp;lat=-23.53364&amp;long=-46.60841&amp;tipo=S","QRCODE")</f>
        <v>QRCODE</v>
      </c>
      <c r="C812" t="s">
        <v>5273</v>
      </c>
      <c r="D812" t="s">
        <v>378</v>
      </c>
      <c r="E812" t="s">
        <v>329</v>
      </c>
      <c r="F812" t="s">
        <v>21</v>
      </c>
      <c r="G812" t="s">
        <v>375</v>
      </c>
      <c r="H812">
        <v>1</v>
      </c>
      <c r="I812">
        <v>2</v>
      </c>
      <c r="J812">
        <v>0</v>
      </c>
      <c r="K812">
        <v>0</v>
      </c>
      <c r="L812">
        <v>0</v>
      </c>
    </row>
    <row r="813" spans="1:12">
      <c r="A813" t="str">
        <f>HYPERLINK("http://bombeiros.sp.gov.br/hidrantes/03individual/780.html","780")</f>
        <v>780</v>
      </c>
      <c r="B813" t="str">
        <f>HYPERLINK("http://bombeiros.sp.gov.br/hidrantes/08bsg/qrcodeBSG.html?id=780&amp;lat=-23.53181&amp;long=-46.61061&amp;tipo=S","QRCODE")</f>
        <v>QRCODE</v>
      </c>
      <c r="C813" t="s">
        <v>5273</v>
      </c>
      <c r="D813" t="s">
        <v>378</v>
      </c>
      <c r="E813" t="s">
        <v>329</v>
      </c>
      <c r="F813" t="s">
        <v>21</v>
      </c>
      <c r="G813" t="s">
        <v>4906</v>
      </c>
      <c r="H813">
        <v>1</v>
      </c>
      <c r="I813">
        <v>1</v>
      </c>
      <c r="J813">
        <v>0</v>
      </c>
      <c r="K813">
        <v>0</v>
      </c>
      <c r="L813">
        <v>0</v>
      </c>
    </row>
    <row r="814" spans="1:12">
      <c r="A814" t="str">
        <f>HYPERLINK("http://bombeiros.sp.gov.br/hidrantes/03individual/998.html","998")</f>
        <v>998</v>
      </c>
      <c r="B814" t="str">
        <f>HYPERLINK("http://bombeiros.sp.gov.br/hidrantes/08bsg/qrcodeBSG.html?id=998&amp;lat=-23.53360&amp;long=-46.61246&amp;tipo=S","QRCODE")</f>
        <v>QRCODE</v>
      </c>
      <c r="C814" t="s">
        <v>5273</v>
      </c>
      <c r="D814" t="s">
        <v>378</v>
      </c>
      <c r="E814" t="s">
        <v>329</v>
      </c>
      <c r="F814" t="s">
        <v>21</v>
      </c>
      <c r="G814" t="s">
        <v>4922</v>
      </c>
      <c r="H814">
        <v>0</v>
      </c>
      <c r="I814">
        <v>2</v>
      </c>
      <c r="J814">
        <v>0</v>
      </c>
      <c r="K814">
        <v>0</v>
      </c>
      <c r="L814">
        <v>0</v>
      </c>
    </row>
    <row r="815" spans="1:12">
      <c r="A815" t="str">
        <f>HYPERLINK("http://bombeiros.sp.gov.br/hidrantes/03individual/1348.html","1348")</f>
        <v>1348</v>
      </c>
      <c r="B815" t="str">
        <f>HYPERLINK("http://bombeiros.sp.gov.br/hidrantes/08bsg/qrcodeBSG.html?id=1348&amp;lat=-23.53502&amp;long=-46.61084&amp;tipo=S","QRCODE")</f>
        <v>QRCODE</v>
      </c>
      <c r="C815" t="s">
        <v>5273</v>
      </c>
      <c r="D815" t="s">
        <v>378</v>
      </c>
      <c r="E815" t="s">
        <v>329</v>
      </c>
      <c r="F815" t="s">
        <v>21</v>
      </c>
      <c r="G815" t="s">
        <v>3554</v>
      </c>
      <c r="H815">
        <v>1</v>
      </c>
      <c r="I815">
        <v>1</v>
      </c>
      <c r="J815">
        <v>0</v>
      </c>
      <c r="K815">
        <v>0</v>
      </c>
      <c r="L815">
        <v>0</v>
      </c>
    </row>
    <row r="816" spans="1:12">
      <c r="A816" t="str">
        <f>HYPERLINK("http://bombeiros.sp.gov.br/hidrantes/03individual/1351.html","1351")</f>
        <v>1351</v>
      </c>
      <c r="B816" t="str">
        <f>HYPERLINK("http://bombeiros.sp.gov.br/hidrantes/08bsg/qrcodeBSG.html?id=1351&amp;lat=-23.53522&amp;long=-46.60470&amp;tipo=S","QRCODE")</f>
        <v>QRCODE</v>
      </c>
      <c r="C816" t="s">
        <v>5273</v>
      </c>
      <c r="D816" t="s">
        <v>378</v>
      </c>
      <c r="E816" t="s">
        <v>329</v>
      </c>
      <c r="F816" t="s">
        <v>21</v>
      </c>
      <c r="G816" t="s">
        <v>744</v>
      </c>
      <c r="H816">
        <v>1</v>
      </c>
      <c r="I816">
        <v>2</v>
      </c>
      <c r="J816">
        <v>0</v>
      </c>
      <c r="K816">
        <v>0</v>
      </c>
      <c r="L816">
        <v>0</v>
      </c>
    </row>
    <row r="817" spans="1:12">
      <c r="A817" t="str">
        <f>HYPERLINK("http://bombeiros.sp.gov.br/hidrantes/03individual/1353.html","1353")</f>
        <v>1353</v>
      </c>
      <c r="B817" t="str">
        <f>HYPERLINK("http://bombeiros.sp.gov.br/hidrantes/08bsg/qrcodeBSG.html?id=1353&amp;lat=-23.53333&amp;long=-46.61097&amp;tipo=S","QRCODE")</f>
        <v>QRCODE</v>
      </c>
      <c r="C817" t="s">
        <v>5273</v>
      </c>
      <c r="D817" t="s">
        <v>378</v>
      </c>
      <c r="E817" t="s">
        <v>329</v>
      </c>
      <c r="F817" t="s">
        <v>21</v>
      </c>
      <c r="G817" t="s">
        <v>4915</v>
      </c>
      <c r="H817">
        <v>2</v>
      </c>
      <c r="I817">
        <v>1</v>
      </c>
      <c r="J817">
        <v>0</v>
      </c>
      <c r="K817">
        <v>0</v>
      </c>
      <c r="L817">
        <v>0</v>
      </c>
    </row>
    <row r="818" spans="1:12">
      <c r="A818" t="str">
        <f>HYPERLINK("http://bombeiros.sp.gov.br/hidrantes/03individual/1355.html","1355")</f>
        <v>1355</v>
      </c>
      <c r="B818" t="str">
        <f>HYPERLINK("http://bombeiros.sp.gov.br/hidrantes/08bsg/qrcodeBSG.html?id=1355&amp;lat=-23.53710&amp;long=-46.60521&amp;tipo=S","QRCODE")</f>
        <v>QRCODE</v>
      </c>
      <c r="C818" t="s">
        <v>5273</v>
      </c>
      <c r="D818" t="s">
        <v>378</v>
      </c>
      <c r="E818" t="s">
        <v>329</v>
      </c>
      <c r="F818" t="s">
        <v>21</v>
      </c>
      <c r="G818" t="s">
        <v>753</v>
      </c>
      <c r="H818">
        <v>1</v>
      </c>
      <c r="I818">
        <v>2</v>
      </c>
      <c r="J818">
        <v>0</v>
      </c>
      <c r="K818">
        <v>0</v>
      </c>
      <c r="L818">
        <v>0</v>
      </c>
    </row>
    <row r="819" spans="1:12">
      <c r="A819" t="str">
        <f>HYPERLINK("http://bombeiros.sp.gov.br/hidrantes/03individual/1415.html","1415")</f>
        <v>1415</v>
      </c>
      <c r="B819" t="str">
        <f>HYPERLINK("http://bombeiros.sp.gov.br/hidrantes/08bsg/qrcodeBSG.html?id=1415&amp;lat=-23.53590&amp;long=-46.60126&amp;tipo=S","QRCODE")</f>
        <v>QRCODE</v>
      </c>
      <c r="C819" t="s">
        <v>5273</v>
      </c>
      <c r="D819" t="s">
        <v>378</v>
      </c>
      <c r="E819" t="s">
        <v>329</v>
      </c>
      <c r="F819" t="s">
        <v>21</v>
      </c>
      <c r="G819" t="s">
        <v>328</v>
      </c>
      <c r="H819">
        <v>0</v>
      </c>
      <c r="I819">
        <v>2</v>
      </c>
      <c r="J819">
        <v>0</v>
      </c>
      <c r="K819">
        <v>0</v>
      </c>
      <c r="L819">
        <v>0</v>
      </c>
    </row>
    <row r="820" spans="1:12">
      <c r="A820" t="str">
        <f>HYPERLINK("http://bombeiros.sp.gov.br/hidrantes/03individual/1421.html","1421")</f>
        <v>1421</v>
      </c>
      <c r="B820" t="str">
        <f>HYPERLINK("http://bombeiros.sp.gov.br/hidrantes/08bsg/qrcodeBSG.html?id=1421&amp;lat=-23.53664&amp;long=-46.59973&amp;tipo=S","QRCODE")</f>
        <v>QRCODE</v>
      </c>
      <c r="C820" t="s">
        <v>5273</v>
      </c>
      <c r="D820" t="s">
        <v>378</v>
      </c>
      <c r="E820" t="s">
        <v>329</v>
      </c>
      <c r="F820" t="s">
        <v>21</v>
      </c>
      <c r="G820" t="s">
        <v>2716</v>
      </c>
      <c r="H820">
        <v>0</v>
      </c>
      <c r="I820">
        <v>2</v>
      </c>
      <c r="J820">
        <v>0</v>
      </c>
      <c r="K820">
        <v>0</v>
      </c>
      <c r="L820">
        <v>0</v>
      </c>
    </row>
    <row r="821" spans="1:12">
      <c r="A821" t="str">
        <f>HYPERLINK("http://bombeiros.sp.gov.br/hidrantes/03individual/1423.html","1423")</f>
        <v>1423</v>
      </c>
      <c r="B821" t="str">
        <f>HYPERLINK("http://bombeiros.sp.gov.br/hidrantes/08bsg/qrcodeBSG.html?id=1423&amp;lat=-23.53812&amp;long=-46.60083&amp;tipo=S","QRCODE")</f>
        <v>QRCODE</v>
      </c>
      <c r="C821" t="s">
        <v>5273</v>
      </c>
      <c r="D821" t="s">
        <v>378</v>
      </c>
      <c r="E821" t="s">
        <v>329</v>
      </c>
      <c r="F821" t="s">
        <v>21</v>
      </c>
      <c r="G821" t="s">
        <v>2715</v>
      </c>
      <c r="H821">
        <v>0</v>
      </c>
      <c r="I821">
        <v>3</v>
      </c>
      <c r="J821">
        <v>0</v>
      </c>
      <c r="K821">
        <v>0</v>
      </c>
      <c r="L821">
        <v>0</v>
      </c>
    </row>
    <row r="822" spans="1:12">
      <c r="A822" t="str">
        <f>HYPERLINK("http://bombeiros.sp.gov.br/hidrantes/03individual/1529.html","1529")</f>
        <v>1529</v>
      </c>
      <c r="B822" t="str">
        <f>HYPERLINK("http://bombeiros.sp.gov.br/hidrantes/08bsg/qrcodeBSG.html?id=1529&amp;lat=-23.53415&amp;long=-46.61179&amp;tipo=S","QRCODE")</f>
        <v>QRCODE</v>
      </c>
      <c r="C822" t="s">
        <v>5273</v>
      </c>
      <c r="D822" t="s">
        <v>378</v>
      </c>
      <c r="E822" t="s">
        <v>329</v>
      </c>
      <c r="F822" t="s">
        <v>21</v>
      </c>
      <c r="G822" t="s">
        <v>3548</v>
      </c>
      <c r="H822">
        <v>1</v>
      </c>
      <c r="I822">
        <v>1</v>
      </c>
      <c r="J822">
        <v>0</v>
      </c>
      <c r="K822">
        <v>0</v>
      </c>
      <c r="L822">
        <v>0</v>
      </c>
    </row>
    <row r="823" spans="1:12">
      <c r="A823" t="str">
        <f>HYPERLINK("http://bombeiros.sp.gov.br/hidrantes/03individual/1565.html","1565")</f>
        <v>1565</v>
      </c>
      <c r="B823" t="str">
        <f>HYPERLINK("http://bombeiros.sp.gov.br/hidrantes/08bsg/qrcodeBSG.html?id=1565&amp;lat=-23.53693&amp;long=-46.60314&amp;tipo=S","QRCODE")</f>
        <v>QRCODE</v>
      </c>
      <c r="C823" t="s">
        <v>5273</v>
      </c>
      <c r="D823" t="s">
        <v>378</v>
      </c>
      <c r="E823" t="s">
        <v>329</v>
      </c>
      <c r="F823" t="s">
        <v>21</v>
      </c>
      <c r="G823" t="s">
        <v>2712</v>
      </c>
      <c r="H823">
        <v>0</v>
      </c>
      <c r="I823">
        <v>2</v>
      </c>
      <c r="J823">
        <v>0</v>
      </c>
      <c r="K823">
        <v>0</v>
      </c>
      <c r="L823">
        <v>0</v>
      </c>
    </row>
    <row r="824" spans="1:12">
      <c r="A824" t="str">
        <f>HYPERLINK("http://bombeiros.sp.gov.br/hidrantes/03individual/1576.html","1576")</f>
        <v>1576</v>
      </c>
      <c r="B824" t="str">
        <f>HYPERLINK("http://bombeiros.sp.gov.br/hidrantes/08bsg/qrcodeBSG.html?id=1576&amp;lat=-23.53779&amp;long=-46.60709&amp;tipo=S","QRCODE")</f>
        <v>QRCODE</v>
      </c>
      <c r="C824" t="s">
        <v>5273</v>
      </c>
      <c r="D824" t="s">
        <v>378</v>
      </c>
      <c r="E824" t="s">
        <v>329</v>
      </c>
      <c r="F824" t="s">
        <v>21</v>
      </c>
      <c r="G824" t="s">
        <v>4912</v>
      </c>
      <c r="H824">
        <v>1</v>
      </c>
      <c r="I824">
        <v>1</v>
      </c>
      <c r="J824">
        <v>0</v>
      </c>
      <c r="K824">
        <v>0</v>
      </c>
      <c r="L824">
        <v>0</v>
      </c>
    </row>
    <row r="825" spans="1:12">
      <c r="A825" t="str">
        <f>HYPERLINK("http://bombeiros.sp.gov.br/hidrantes/03individual/1579.html","1579")</f>
        <v>1579</v>
      </c>
      <c r="B825" t="str">
        <f>HYPERLINK("http://bombeiros.sp.gov.br/hidrantes/08bsg/qrcodeBSG.html?id=1579&amp;lat=-23.53819&amp;long=-46.60235&amp;tipo=S","QRCODE")</f>
        <v>QRCODE</v>
      </c>
      <c r="C825" t="s">
        <v>5273</v>
      </c>
      <c r="D825" t="s">
        <v>378</v>
      </c>
      <c r="E825" t="s">
        <v>329</v>
      </c>
      <c r="F825" t="s">
        <v>21</v>
      </c>
      <c r="G825" t="s">
        <v>2370</v>
      </c>
      <c r="H825">
        <v>1</v>
      </c>
      <c r="I825">
        <v>2</v>
      </c>
      <c r="J825">
        <v>0</v>
      </c>
      <c r="K825">
        <v>0</v>
      </c>
      <c r="L825">
        <v>0</v>
      </c>
    </row>
    <row r="826" spans="1:12">
      <c r="A826" t="str">
        <f>HYPERLINK("http://bombeiros.sp.gov.br/hidrantes/03individual/1583.html","1583")</f>
        <v>1583</v>
      </c>
      <c r="B826" t="str">
        <f>HYPERLINK("http://bombeiros.sp.gov.br/hidrantes/08bsg/qrcodeBSG.html?id=1583&amp;lat=-23.53623&amp;long=-46.60752&amp;tipo=S","QRCODE")</f>
        <v>QRCODE</v>
      </c>
      <c r="C826" t="s">
        <v>5273</v>
      </c>
      <c r="D826" t="s">
        <v>378</v>
      </c>
      <c r="E826" t="s">
        <v>329</v>
      </c>
      <c r="F826" t="s">
        <v>21</v>
      </c>
      <c r="G826" t="s">
        <v>3547</v>
      </c>
      <c r="H826">
        <v>1</v>
      </c>
      <c r="I826">
        <v>1</v>
      </c>
      <c r="J826">
        <v>0</v>
      </c>
      <c r="K826">
        <v>0</v>
      </c>
      <c r="L826">
        <v>0</v>
      </c>
    </row>
    <row r="827" spans="1:12">
      <c r="A827" t="str">
        <f>HYPERLINK("http://bombeiros.sp.gov.br/hidrantes/03individual/1592.html","1592")</f>
        <v>1592</v>
      </c>
      <c r="B827" t="str">
        <f>HYPERLINK("http://bombeiros.sp.gov.br/hidrantes/08bsg/qrcodeBSG.html?id=1592&amp;lat=-23.53576&amp;long=-46.60801&amp;tipo=S","QRCODE")</f>
        <v>QRCODE</v>
      </c>
      <c r="C827" t="s">
        <v>5273</v>
      </c>
      <c r="D827" t="s">
        <v>378</v>
      </c>
      <c r="E827" t="s">
        <v>329</v>
      </c>
      <c r="F827" t="s">
        <v>21</v>
      </c>
      <c r="G827" t="s">
        <v>3384</v>
      </c>
      <c r="H827">
        <v>0</v>
      </c>
      <c r="I827">
        <v>2</v>
      </c>
      <c r="J827">
        <v>0</v>
      </c>
      <c r="K827">
        <v>0</v>
      </c>
      <c r="L827">
        <v>0</v>
      </c>
    </row>
    <row r="828" spans="1:12">
      <c r="A828" t="str">
        <f>HYPERLINK("http://bombeiros.sp.gov.br/hidrantes/03individual/1594.html","1594")</f>
        <v>1594</v>
      </c>
      <c r="B828" t="str">
        <f>HYPERLINK("http://bombeiros.sp.gov.br/hidrantes/08bsg/qrcodeBSG.html?id=1594&amp;lat=-23.53619&amp;long=-46.60949&amp;tipo=S","QRCODE")</f>
        <v>QRCODE</v>
      </c>
      <c r="C828" t="s">
        <v>5273</v>
      </c>
      <c r="D828" t="s">
        <v>378</v>
      </c>
      <c r="E828" t="s">
        <v>329</v>
      </c>
      <c r="F828" t="s">
        <v>21</v>
      </c>
      <c r="G828" t="s">
        <v>2369</v>
      </c>
      <c r="H828">
        <v>0</v>
      </c>
      <c r="I828">
        <v>2</v>
      </c>
      <c r="J828">
        <v>0</v>
      </c>
      <c r="K828">
        <v>0</v>
      </c>
      <c r="L828">
        <v>0</v>
      </c>
    </row>
    <row r="829" spans="1:12">
      <c r="A829" t="str">
        <f>HYPERLINK("http://bombeiros.sp.gov.br/hidrantes/03individual/1973.html","1973")</f>
        <v>1973</v>
      </c>
      <c r="B829" t="str">
        <f>HYPERLINK("http://bombeiros.sp.gov.br/hidrantes/08bsg/qrcodeBSG.html?id=1973&amp;lat=-23.53626&amp;long=-46.60482&amp;tipo=S","QRCODE")</f>
        <v>QRCODE</v>
      </c>
      <c r="C829" t="s">
        <v>5273</v>
      </c>
      <c r="D829" t="s">
        <v>378</v>
      </c>
      <c r="E829" t="s">
        <v>329</v>
      </c>
      <c r="F829" t="s">
        <v>21</v>
      </c>
      <c r="G829" t="s">
        <v>2704</v>
      </c>
      <c r="H829">
        <v>0</v>
      </c>
      <c r="I829">
        <v>2</v>
      </c>
      <c r="J829">
        <v>0</v>
      </c>
      <c r="K829">
        <v>0</v>
      </c>
      <c r="L829">
        <v>0</v>
      </c>
    </row>
    <row r="830" spans="1:12">
      <c r="A830" t="str">
        <f>HYPERLINK("http://bombeiros.sp.gov.br/hidrantes/03individual/1974.html","1974")</f>
        <v>1974</v>
      </c>
      <c r="B830" t="str">
        <f>HYPERLINK("http://bombeiros.sp.gov.br/hidrantes/08bsg/qrcodeBSG.html?id=1974&amp;lat=-23.53386&amp;long=-46.60580&amp;tipo=S","QRCODE")</f>
        <v>QRCODE</v>
      </c>
      <c r="C830" t="s">
        <v>5273</v>
      </c>
      <c r="D830" t="s">
        <v>378</v>
      </c>
      <c r="E830" t="s">
        <v>329</v>
      </c>
      <c r="F830" t="s">
        <v>21</v>
      </c>
      <c r="G830" t="s">
        <v>3381</v>
      </c>
      <c r="H830">
        <v>0</v>
      </c>
      <c r="I830">
        <v>2</v>
      </c>
      <c r="J830">
        <v>0</v>
      </c>
      <c r="K830">
        <v>0</v>
      </c>
      <c r="L830">
        <v>0</v>
      </c>
    </row>
    <row r="831" spans="1:12">
      <c r="A831" t="str">
        <f>HYPERLINK("http://bombeiros.sp.gov.br/hidrantes/03individual/1984.html","1984")</f>
        <v>1984</v>
      </c>
      <c r="B831" t="str">
        <f>HYPERLINK("http://bombeiros.sp.gov.br/hidrantes/08bsg/qrcodeBSG.html?id=1984&amp;lat=-23.53403&amp;long=-46.60982&amp;tipo=S","QRCODE")</f>
        <v>QRCODE</v>
      </c>
      <c r="C831" t="s">
        <v>5273</v>
      </c>
      <c r="D831" t="s">
        <v>378</v>
      </c>
      <c r="E831" t="s">
        <v>329</v>
      </c>
      <c r="F831" t="s">
        <v>21</v>
      </c>
      <c r="G831" t="s">
        <v>4918</v>
      </c>
      <c r="H831">
        <v>1</v>
      </c>
      <c r="I831">
        <v>1</v>
      </c>
      <c r="J831">
        <v>0</v>
      </c>
      <c r="K831">
        <v>0</v>
      </c>
      <c r="L831">
        <v>0</v>
      </c>
    </row>
    <row r="832" spans="1:12">
      <c r="A832" t="str">
        <f>HYPERLINK("http://bombeiros.sp.gov.br/hidrantes/03individual/1985.html","1985")</f>
        <v>1985</v>
      </c>
      <c r="B832" t="str">
        <f>HYPERLINK("http://bombeiros.sp.gov.br/hidrantes/08bsg/qrcodeBSG.html?id=1985&amp;lat=-23.53554&amp;long=-46.61022&amp;tipo=S","QRCODE")</f>
        <v>QRCODE</v>
      </c>
      <c r="C832" t="s">
        <v>5273</v>
      </c>
      <c r="D832" t="s">
        <v>378</v>
      </c>
      <c r="E832" t="s">
        <v>329</v>
      </c>
      <c r="F832" t="s">
        <v>21</v>
      </c>
      <c r="G832" t="s">
        <v>4932</v>
      </c>
      <c r="H832">
        <v>0</v>
      </c>
      <c r="I832">
        <v>1</v>
      </c>
      <c r="J832">
        <v>0</v>
      </c>
      <c r="K832">
        <v>0</v>
      </c>
      <c r="L832">
        <v>0</v>
      </c>
    </row>
    <row r="833" spans="1:12">
      <c r="A833" t="str">
        <f>HYPERLINK("http://bombeiros.sp.gov.br/hidrantes/03individual/1335.html","1335")</f>
        <v>1335</v>
      </c>
      <c r="B833" t="str">
        <f>HYPERLINK("http://bombeiros.sp.gov.br/hidrantes/08bsg/qrcodeBSG.html?id=1335&amp;lat=-23.54461&amp;long=-46.58614&amp;tipo=C","QRCODE")</f>
        <v>QRCODE</v>
      </c>
      <c r="C833" t="s">
        <v>5273</v>
      </c>
      <c r="D833" t="s">
        <v>378</v>
      </c>
      <c r="E833" t="s">
        <v>691</v>
      </c>
      <c r="F833" t="s">
        <v>12</v>
      </c>
      <c r="G833" t="s">
        <v>3133</v>
      </c>
      <c r="H833">
        <v>2</v>
      </c>
      <c r="I833">
        <v>1</v>
      </c>
      <c r="J833">
        <v>0</v>
      </c>
      <c r="K833">
        <v>0</v>
      </c>
      <c r="L833">
        <v>0</v>
      </c>
    </row>
    <row r="834" spans="1:12">
      <c r="A834" t="str">
        <f>HYPERLINK("http://bombeiros.sp.gov.br/hidrantes/03individual/3308.html","3308")</f>
        <v>3308</v>
      </c>
      <c r="B834" t="str">
        <f>HYPERLINK("http://bombeiros.sp.gov.br/hidrantes/08bsg/qrcodeBSG.html?id=3308&amp;lat=-23.54323&amp;long=-46.58834&amp;tipo=C","QRCODE")</f>
        <v>QRCODE</v>
      </c>
      <c r="C834" t="s">
        <v>5273</v>
      </c>
      <c r="D834" t="s">
        <v>378</v>
      </c>
      <c r="E834" t="s">
        <v>691</v>
      </c>
      <c r="F834" t="s">
        <v>12</v>
      </c>
      <c r="G834" t="s">
        <v>897</v>
      </c>
      <c r="H834">
        <v>1</v>
      </c>
      <c r="I834">
        <v>2</v>
      </c>
      <c r="J834">
        <v>0</v>
      </c>
      <c r="K834">
        <v>0</v>
      </c>
      <c r="L834">
        <v>0</v>
      </c>
    </row>
    <row r="835" spans="1:12">
      <c r="A835" t="str">
        <f>HYPERLINK("http://bombeiros.sp.gov.br/hidrantes/03individual/1654.html","1654")</f>
        <v>1654</v>
      </c>
      <c r="B835" t="str">
        <f>HYPERLINK("http://bombeiros.sp.gov.br/hidrantes/08bsg/qrcodeBSG.html?id=1654&amp;lat=-23.55215&amp;long=-46.58191&amp;tipo=S","QRCODE")</f>
        <v>QRCODE</v>
      </c>
      <c r="C835" t="s">
        <v>5273</v>
      </c>
      <c r="D835" t="s">
        <v>378</v>
      </c>
      <c r="E835" t="s">
        <v>691</v>
      </c>
      <c r="F835" t="s">
        <v>21</v>
      </c>
      <c r="G835" t="s">
        <v>856</v>
      </c>
      <c r="H835">
        <v>1</v>
      </c>
      <c r="I835">
        <v>2</v>
      </c>
      <c r="J835">
        <v>0</v>
      </c>
      <c r="K835">
        <v>0</v>
      </c>
      <c r="L835">
        <v>0</v>
      </c>
    </row>
    <row r="836" spans="1:12">
      <c r="A836" t="str">
        <f>HYPERLINK("http://bombeiros.sp.gov.br/hidrantes/03individual/3050.html","3050")</f>
        <v>3050</v>
      </c>
      <c r="B836" t="str">
        <f>HYPERLINK("http://bombeiros.sp.gov.br/hidrantes/08bsg/qrcodeBSG.html?id=3050&amp;lat=-23.54483&amp;long=-46.58886&amp;tipo=S","QRCODE")</f>
        <v>QRCODE</v>
      </c>
      <c r="C836" t="s">
        <v>5273</v>
      </c>
      <c r="D836" t="s">
        <v>378</v>
      </c>
      <c r="E836" t="s">
        <v>691</v>
      </c>
      <c r="F836" t="s">
        <v>21</v>
      </c>
      <c r="G836" t="s">
        <v>883</v>
      </c>
      <c r="H836">
        <v>1</v>
      </c>
      <c r="I836">
        <v>3</v>
      </c>
      <c r="J836">
        <v>0</v>
      </c>
      <c r="K836">
        <v>0</v>
      </c>
      <c r="L836">
        <v>0</v>
      </c>
    </row>
    <row r="837" spans="1:12">
      <c r="A837" t="str">
        <f>HYPERLINK("http://bombeiros.sp.gov.br/hidrantes/03individual/3299.html","3299")</f>
        <v>3299</v>
      </c>
      <c r="B837" t="str">
        <f>HYPERLINK("http://bombeiros.sp.gov.br/hidrantes/08bsg/qrcodeBSG.html?id=3299&amp;lat=-23.55264&amp;long=-46.58499&amp;tipo=S","QRCODE")</f>
        <v>QRCODE</v>
      </c>
      <c r="C837" t="s">
        <v>5273</v>
      </c>
      <c r="D837" t="s">
        <v>378</v>
      </c>
      <c r="E837" t="s">
        <v>691</v>
      </c>
      <c r="F837" t="s">
        <v>21</v>
      </c>
      <c r="G837" t="s">
        <v>891</v>
      </c>
      <c r="H837">
        <v>0</v>
      </c>
      <c r="I837">
        <v>2</v>
      </c>
      <c r="J837">
        <v>0</v>
      </c>
      <c r="K837">
        <v>0</v>
      </c>
      <c r="L837">
        <v>0</v>
      </c>
    </row>
    <row r="838" spans="1:12">
      <c r="A838" t="str">
        <f>HYPERLINK("http://bombeiros.sp.gov.br/hidrantes/03individual/3305.html","3305")</f>
        <v>3305</v>
      </c>
      <c r="B838" t="str">
        <f>HYPERLINK("http://bombeiros.sp.gov.br/hidrantes/08bsg/qrcodeBSG.html?id=3305&amp;lat=-23.54949&amp;long=-46.58468&amp;tipo=S","QRCODE")</f>
        <v>QRCODE</v>
      </c>
      <c r="C838" t="s">
        <v>5273</v>
      </c>
      <c r="D838" t="s">
        <v>378</v>
      </c>
      <c r="E838" t="s">
        <v>691</v>
      </c>
      <c r="F838" t="s">
        <v>21</v>
      </c>
      <c r="G838" t="s">
        <v>690</v>
      </c>
      <c r="H838">
        <v>0</v>
      </c>
      <c r="I838">
        <v>2</v>
      </c>
      <c r="J838">
        <v>0</v>
      </c>
      <c r="K838">
        <v>0</v>
      </c>
      <c r="L838">
        <v>0</v>
      </c>
    </row>
    <row r="839" spans="1:12">
      <c r="A839" t="str">
        <f>HYPERLINK("http://bombeiros.sp.gov.br/hidrantes/03individual/128.html","128")</f>
        <v>128</v>
      </c>
      <c r="B839" t="str">
        <f>HYPERLINK("http://bombeiros.sp.gov.br/hidrantes/08bsg/qrcodeBSG.html?id=128&amp;lat=-23.55138&amp;long=-46.62211&amp;tipo=C","QRCODE")</f>
        <v>QRCODE</v>
      </c>
      <c r="C839" t="s">
        <v>5273</v>
      </c>
      <c r="D839" t="s">
        <v>286</v>
      </c>
      <c r="E839" t="s">
        <v>286</v>
      </c>
      <c r="F839" t="s">
        <v>12</v>
      </c>
      <c r="G839" t="s">
        <v>2400</v>
      </c>
      <c r="H839">
        <v>0</v>
      </c>
      <c r="I839">
        <v>2</v>
      </c>
      <c r="J839">
        <v>0</v>
      </c>
      <c r="K839">
        <v>0</v>
      </c>
      <c r="L839">
        <v>0</v>
      </c>
    </row>
    <row r="840" spans="1:12">
      <c r="A840" t="str">
        <f>HYPERLINK("http://bombeiros.sp.gov.br/hidrantes/03individual/177.html","177")</f>
        <v>177</v>
      </c>
      <c r="B840" t="str">
        <f>HYPERLINK("http://bombeiros.sp.gov.br/hidrantes/08bsg/qrcodeBSG.html?id=177&amp;lat=-23.54729&amp;long=-46.61717&amp;tipo=C","QRCODE")</f>
        <v>QRCODE</v>
      </c>
      <c r="C840" t="s">
        <v>5273</v>
      </c>
      <c r="D840" t="s">
        <v>286</v>
      </c>
      <c r="E840" t="s">
        <v>286</v>
      </c>
      <c r="F840" t="s">
        <v>12</v>
      </c>
      <c r="G840" t="s">
        <v>347</v>
      </c>
      <c r="H840">
        <v>0</v>
      </c>
      <c r="I840">
        <v>4</v>
      </c>
      <c r="J840">
        <v>0</v>
      </c>
      <c r="K840">
        <v>0</v>
      </c>
      <c r="L840">
        <v>0</v>
      </c>
    </row>
    <row r="841" spans="1:12">
      <c r="A841" t="str">
        <f>HYPERLINK("http://bombeiros.sp.gov.br/hidrantes/03individual/1920.html","1920")</f>
        <v>1920</v>
      </c>
      <c r="B841" t="str">
        <f>HYPERLINK("http://bombeiros.sp.gov.br/hidrantes/08bsg/qrcodeBSG.html?id=1920&amp;lat=-23.54906&amp;long=-46.61852&amp;tipo=C","QRCODE")</f>
        <v>QRCODE</v>
      </c>
      <c r="C841" t="s">
        <v>5273</v>
      </c>
      <c r="D841" t="s">
        <v>286</v>
      </c>
      <c r="E841" t="s">
        <v>286</v>
      </c>
      <c r="F841" t="s">
        <v>12</v>
      </c>
      <c r="G841" t="s">
        <v>5230</v>
      </c>
      <c r="H841">
        <v>1</v>
      </c>
      <c r="I841">
        <v>0</v>
      </c>
      <c r="J841">
        <v>0</v>
      </c>
      <c r="K841">
        <v>0</v>
      </c>
      <c r="L841">
        <v>0</v>
      </c>
    </row>
    <row r="842" spans="1:12">
      <c r="A842" t="str">
        <f>HYPERLINK("http://bombeiros.sp.gov.br/hidrantes/03individual/1948.html","1948")</f>
        <v>1948</v>
      </c>
      <c r="B842" t="str">
        <f>HYPERLINK("http://bombeiros.sp.gov.br/hidrantes/08bsg/qrcodeBSG.html?id=1948&amp;lat=-23.54854&amp;long=-46.61627&amp;tipo=C","QRCODE")</f>
        <v>QRCODE</v>
      </c>
      <c r="C842" t="s">
        <v>5273</v>
      </c>
      <c r="D842" t="s">
        <v>286</v>
      </c>
      <c r="E842" t="s">
        <v>286</v>
      </c>
      <c r="F842" t="s">
        <v>12</v>
      </c>
      <c r="G842" t="s">
        <v>764</v>
      </c>
      <c r="H842">
        <v>0</v>
      </c>
      <c r="I842">
        <v>2</v>
      </c>
      <c r="J842">
        <v>0</v>
      </c>
      <c r="K842">
        <v>0</v>
      </c>
      <c r="L842">
        <v>0</v>
      </c>
    </row>
    <row r="843" spans="1:12">
      <c r="A843" t="str">
        <f>HYPERLINK("http://bombeiros.sp.gov.br/hidrantes/03individual/2832.html","2832")</f>
        <v>2832</v>
      </c>
      <c r="B843" t="str">
        <f>HYPERLINK("http://bombeiros.sp.gov.br/hidrantes/08bsg/qrcodeBSG.html?id=2832&amp;lat=-23.54674&amp;long=-46.62297&amp;tipo=C","QRCODE")</f>
        <v>QRCODE</v>
      </c>
      <c r="C843" t="s">
        <v>5273</v>
      </c>
      <c r="D843" t="s">
        <v>286</v>
      </c>
      <c r="E843" t="s">
        <v>286</v>
      </c>
      <c r="F843" t="s">
        <v>12</v>
      </c>
      <c r="G843" t="s">
        <v>901</v>
      </c>
      <c r="H843">
        <v>0</v>
      </c>
      <c r="I843">
        <v>2</v>
      </c>
      <c r="J843">
        <v>0</v>
      </c>
      <c r="K843">
        <v>0</v>
      </c>
      <c r="L843">
        <v>0</v>
      </c>
    </row>
    <row r="844" spans="1:12">
      <c r="A844" t="str">
        <f>HYPERLINK("http://bombeiros.sp.gov.br/hidrantes/03individual/27308.html","27308")</f>
        <v>27308</v>
      </c>
      <c r="B844" t="str">
        <f>HYPERLINK("http://bombeiros.sp.gov.br/hidrantes/08bsg/qrcodeBSG.html?id=27308&amp;lat=-23.54743&amp;long=-46.61553&amp;tipo=C","QRCODE")</f>
        <v>QRCODE</v>
      </c>
      <c r="C844" t="s">
        <v>5273</v>
      </c>
      <c r="D844" t="s">
        <v>286</v>
      </c>
      <c r="E844" t="s">
        <v>286</v>
      </c>
      <c r="F844" t="s">
        <v>12</v>
      </c>
      <c r="G844" t="s">
        <v>5277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>
      <c r="A845" t="str">
        <f>HYPERLINK("http://bombeiros.sp.gov.br/hidrantes/03individual/65.html","65")</f>
        <v>65</v>
      </c>
      <c r="B845" t="str">
        <f>HYPERLINK("http://bombeiros.sp.gov.br/hidrantes/08bsg/qrcodeBSG.html?id=65&amp;lat=-23.55126&amp;long=-46.62354&amp;tipo=S","QRCODE")</f>
        <v>QRCODE</v>
      </c>
      <c r="C845" t="s">
        <v>5273</v>
      </c>
      <c r="D845" t="s">
        <v>286</v>
      </c>
      <c r="E845" t="s">
        <v>286</v>
      </c>
      <c r="F845" t="s">
        <v>21</v>
      </c>
      <c r="G845" t="s">
        <v>3389</v>
      </c>
      <c r="H845">
        <v>1</v>
      </c>
      <c r="I845">
        <v>1</v>
      </c>
      <c r="J845">
        <v>0</v>
      </c>
      <c r="K845">
        <v>0</v>
      </c>
      <c r="L845">
        <v>0</v>
      </c>
    </row>
    <row r="846" spans="1:12">
      <c r="A846" t="str">
        <f>HYPERLINK("http://bombeiros.sp.gov.br/hidrantes/03individual/73.html","73")</f>
        <v>73</v>
      </c>
      <c r="B846" t="str">
        <f>HYPERLINK("http://bombeiros.sp.gov.br/hidrantes/08bsg/qrcodeBSG.html?id=73&amp;lat=-23.54790&amp;long=-46.62505&amp;tipo=S","QRCODE")</f>
        <v>QRCODE</v>
      </c>
      <c r="C846" t="s">
        <v>5273</v>
      </c>
      <c r="D846" t="s">
        <v>286</v>
      </c>
      <c r="E846" t="s">
        <v>286</v>
      </c>
      <c r="F846" t="s">
        <v>21</v>
      </c>
      <c r="G846" t="s">
        <v>582</v>
      </c>
      <c r="H846">
        <v>0</v>
      </c>
      <c r="I846">
        <v>2</v>
      </c>
      <c r="J846">
        <v>0</v>
      </c>
      <c r="K846">
        <v>0</v>
      </c>
      <c r="L846">
        <v>0</v>
      </c>
    </row>
    <row r="847" spans="1:12">
      <c r="A847" t="str">
        <f>HYPERLINK("http://bombeiros.sp.gov.br/hidrantes/03individual/175.html","175")</f>
        <v>175</v>
      </c>
      <c r="B847" t="str">
        <f>HYPERLINK("http://bombeiros.sp.gov.br/hidrantes/08bsg/qrcodeBSG.html?id=175&amp;lat=-23.55249&amp;long=-46.62493&amp;tipo=S","QRCODE")</f>
        <v>QRCODE</v>
      </c>
      <c r="C847" t="s">
        <v>5273</v>
      </c>
      <c r="D847" t="s">
        <v>286</v>
      </c>
      <c r="E847" t="s">
        <v>286</v>
      </c>
      <c r="F847" t="s">
        <v>21</v>
      </c>
      <c r="G847" t="s">
        <v>782</v>
      </c>
      <c r="H847">
        <v>1</v>
      </c>
      <c r="I847">
        <v>2</v>
      </c>
      <c r="J847">
        <v>0</v>
      </c>
      <c r="K847">
        <v>0</v>
      </c>
      <c r="L847">
        <v>0</v>
      </c>
    </row>
    <row r="848" spans="1:12">
      <c r="A848" t="str">
        <f>HYPERLINK("http://bombeiros.sp.gov.br/hidrantes/03individual/199.html","199")</f>
        <v>199</v>
      </c>
      <c r="B848" t="str">
        <f>HYPERLINK("http://bombeiros.sp.gov.br/hidrantes/08bsg/qrcodeBSG.html?id=199&amp;lat=-23.54952&amp;long=-46.61401&amp;tipo=S","QRCODE")</f>
        <v>QRCODE</v>
      </c>
      <c r="C848" t="s">
        <v>5273</v>
      </c>
      <c r="D848" t="s">
        <v>286</v>
      </c>
      <c r="E848" t="s">
        <v>286</v>
      </c>
      <c r="F848" t="s">
        <v>21</v>
      </c>
      <c r="G848" t="s">
        <v>1745</v>
      </c>
      <c r="H848">
        <v>0</v>
      </c>
      <c r="I848">
        <v>2</v>
      </c>
      <c r="J848">
        <v>0</v>
      </c>
      <c r="K848">
        <v>0</v>
      </c>
      <c r="L848">
        <v>0</v>
      </c>
    </row>
    <row r="849" spans="1:12">
      <c r="A849" t="str">
        <f>HYPERLINK("http://bombeiros.sp.gov.br/hidrantes/03individual/202.html","202")</f>
        <v>202</v>
      </c>
      <c r="B849" t="str">
        <f>HYPERLINK("http://bombeiros.sp.gov.br/hidrantes/08bsg/qrcodeBSG.html?id=202&amp;lat=-23.55105&amp;long=-46.61944&amp;tipo=S","QRCODE")</f>
        <v>QRCODE</v>
      </c>
      <c r="C849" t="s">
        <v>5273</v>
      </c>
      <c r="D849" t="s">
        <v>286</v>
      </c>
      <c r="E849" t="s">
        <v>286</v>
      </c>
      <c r="F849" t="s">
        <v>21</v>
      </c>
      <c r="G849" t="s">
        <v>588</v>
      </c>
      <c r="H849">
        <v>0</v>
      </c>
      <c r="I849">
        <v>2</v>
      </c>
      <c r="J849">
        <v>0</v>
      </c>
      <c r="K849">
        <v>0</v>
      </c>
      <c r="L849">
        <v>0</v>
      </c>
    </row>
    <row r="850" spans="1:12">
      <c r="A850" t="str">
        <f>HYPERLINK("http://bombeiros.sp.gov.br/hidrantes/03individual/1853.html","1853")</f>
        <v>1853</v>
      </c>
      <c r="B850" t="str">
        <f>HYPERLINK("http://bombeiros.sp.gov.br/hidrantes/08bsg/qrcodeBSG.html?id=1853&amp;lat=-23.55400&amp;long=-46.61503&amp;tipo=S","QRCODE")</f>
        <v>QRCODE</v>
      </c>
      <c r="C850" t="s">
        <v>5273</v>
      </c>
      <c r="D850" t="s">
        <v>286</v>
      </c>
      <c r="E850" t="s">
        <v>286</v>
      </c>
      <c r="F850" t="s">
        <v>21</v>
      </c>
      <c r="G850" t="s">
        <v>400</v>
      </c>
      <c r="H850">
        <v>0</v>
      </c>
      <c r="I850">
        <v>2</v>
      </c>
      <c r="J850">
        <v>0</v>
      </c>
      <c r="K850">
        <v>0</v>
      </c>
      <c r="L850">
        <v>0</v>
      </c>
    </row>
    <row r="851" spans="1:12">
      <c r="A851" t="str">
        <f>HYPERLINK("http://bombeiros.sp.gov.br/hidrantes/03individual/1869.html","1869")</f>
        <v>1869</v>
      </c>
      <c r="B851" t="str">
        <f>HYPERLINK("http://bombeiros.sp.gov.br/hidrantes/08bsg/qrcodeBSG.html?id=1869&amp;lat=-23.55354&amp;long=-46.62020&amp;tipo=S","QRCODE")</f>
        <v>QRCODE</v>
      </c>
      <c r="C851" t="s">
        <v>5273</v>
      </c>
      <c r="D851" t="s">
        <v>286</v>
      </c>
      <c r="E851" t="s">
        <v>286</v>
      </c>
      <c r="F851" t="s">
        <v>21</v>
      </c>
      <c r="G851" t="s">
        <v>325</v>
      </c>
      <c r="H851">
        <v>0</v>
      </c>
      <c r="I851">
        <v>2</v>
      </c>
      <c r="J851">
        <v>0</v>
      </c>
      <c r="K851">
        <v>0</v>
      </c>
      <c r="L851">
        <v>0</v>
      </c>
    </row>
    <row r="852" spans="1:12">
      <c r="A852" t="str">
        <f>HYPERLINK("http://bombeiros.sp.gov.br/hidrantes/03individual/1925.html","1925")</f>
        <v>1925</v>
      </c>
      <c r="B852" t="str">
        <f>HYPERLINK("http://bombeiros.sp.gov.br/hidrantes/08bsg/qrcodeBSG.html?id=1925&amp;lat=-23.54777&amp;long=-46.62015&amp;tipo=S","QRCODE")</f>
        <v>QRCODE</v>
      </c>
      <c r="C852" t="s">
        <v>5273</v>
      </c>
      <c r="D852" t="s">
        <v>286</v>
      </c>
      <c r="E852" t="s">
        <v>286</v>
      </c>
      <c r="F852" t="s">
        <v>21</v>
      </c>
      <c r="G852" t="s">
        <v>567</v>
      </c>
      <c r="H852">
        <v>0</v>
      </c>
      <c r="I852">
        <v>2</v>
      </c>
      <c r="J852">
        <v>0</v>
      </c>
      <c r="K852">
        <v>0</v>
      </c>
      <c r="L852">
        <v>0</v>
      </c>
    </row>
    <row r="853" spans="1:12">
      <c r="A853" t="str">
        <f>HYPERLINK("http://bombeiros.sp.gov.br/hidrantes/03individual/1977.html","1977")</f>
        <v>1977</v>
      </c>
      <c r="B853" t="str">
        <f>HYPERLINK("http://bombeiros.sp.gov.br/hidrantes/08bsg/qrcodeBSG.html?id=1977&amp;lat=-23.54785&amp;long=-46.61511&amp;tipo=S","QRCODE")</f>
        <v>QRCODE</v>
      </c>
      <c r="C853" t="s">
        <v>5273</v>
      </c>
      <c r="D853" t="s">
        <v>286</v>
      </c>
      <c r="E853" t="s">
        <v>286</v>
      </c>
      <c r="F853" t="s">
        <v>21</v>
      </c>
      <c r="G853" t="s">
        <v>1737</v>
      </c>
      <c r="H853">
        <v>0</v>
      </c>
      <c r="I853">
        <v>2</v>
      </c>
      <c r="J853">
        <v>0</v>
      </c>
      <c r="K853">
        <v>0</v>
      </c>
      <c r="L853">
        <v>0</v>
      </c>
    </row>
    <row r="854" spans="1:12">
      <c r="A854" t="str">
        <f>HYPERLINK("http://bombeiros.sp.gov.br/hidrantes/03individual/1979.html","1979")</f>
        <v>1979</v>
      </c>
      <c r="B854" t="str">
        <f>HYPERLINK("http://bombeiros.sp.gov.br/hidrantes/08bsg/qrcodeBSG.html?id=1979&amp;lat=-23.54731&amp;long=-46.61558&amp;tipo=S","QRCODE")</f>
        <v>QRCODE</v>
      </c>
      <c r="C854" t="s">
        <v>5273</v>
      </c>
      <c r="D854" t="s">
        <v>286</v>
      </c>
      <c r="E854" t="s">
        <v>286</v>
      </c>
      <c r="F854" t="s">
        <v>21</v>
      </c>
      <c r="G854" t="s">
        <v>768</v>
      </c>
      <c r="H854">
        <v>0</v>
      </c>
      <c r="I854">
        <v>4</v>
      </c>
      <c r="J854">
        <v>0</v>
      </c>
      <c r="K854">
        <v>0</v>
      </c>
      <c r="L854">
        <v>0</v>
      </c>
    </row>
    <row r="855" spans="1:12">
      <c r="A855" t="str">
        <f>HYPERLINK("http://bombeiros.sp.gov.br/hidrantes/03individual/2128.html","2128")</f>
        <v>2128</v>
      </c>
      <c r="B855" t="str">
        <f>HYPERLINK("http://bombeiros.sp.gov.br/hidrantes/08bsg/qrcodeBSG.html?id=2128&amp;lat=-23.55299&amp;long=-46.62266&amp;tipo=S","QRCODE")</f>
        <v>QRCODE</v>
      </c>
      <c r="C855" t="s">
        <v>5273</v>
      </c>
      <c r="D855" t="s">
        <v>286</v>
      </c>
      <c r="E855" t="s">
        <v>286</v>
      </c>
      <c r="F855" t="s">
        <v>21</v>
      </c>
      <c r="G855" t="s">
        <v>556</v>
      </c>
      <c r="H855">
        <v>0</v>
      </c>
      <c r="I855">
        <v>2</v>
      </c>
      <c r="J855">
        <v>0</v>
      </c>
      <c r="K855">
        <v>0</v>
      </c>
      <c r="L855">
        <v>0</v>
      </c>
    </row>
    <row r="856" spans="1:12">
      <c r="A856" t="str">
        <f>HYPERLINK("http://bombeiros.sp.gov.br/hidrantes/03individual/2137.html","2137")</f>
        <v>2137</v>
      </c>
      <c r="B856" t="str">
        <f>HYPERLINK("http://bombeiros.sp.gov.br/hidrantes/08bsg/qrcodeBSG.html?id=2137&amp;lat=-23.55060&amp;long=-46.62378&amp;tipo=S","QRCODE")</f>
        <v>QRCODE</v>
      </c>
      <c r="C856" t="s">
        <v>5273</v>
      </c>
      <c r="D856" t="s">
        <v>286</v>
      </c>
      <c r="E856" t="s">
        <v>286</v>
      </c>
      <c r="F856" t="s">
        <v>21</v>
      </c>
      <c r="G856" t="s">
        <v>2472</v>
      </c>
      <c r="H856">
        <v>0</v>
      </c>
      <c r="I856">
        <v>2</v>
      </c>
      <c r="J856">
        <v>0</v>
      </c>
      <c r="K856">
        <v>0</v>
      </c>
      <c r="L856">
        <v>0</v>
      </c>
    </row>
    <row r="857" spans="1:12">
      <c r="A857" t="str">
        <f>HYPERLINK("http://bombeiros.sp.gov.br/hidrantes/03individual/2139.html","2139")</f>
        <v>2139</v>
      </c>
      <c r="B857" t="str">
        <f>HYPERLINK("http://bombeiros.sp.gov.br/hidrantes/08bsg/qrcodeBSG.html?id=2139&amp;lat=-23.54862&amp;long=-46.62449&amp;tipo=S","QRCODE")</f>
        <v>QRCODE</v>
      </c>
      <c r="C857" t="s">
        <v>5273</v>
      </c>
      <c r="D857" t="s">
        <v>286</v>
      </c>
      <c r="E857" t="s">
        <v>286</v>
      </c>
      <c r="F857" t="s">
        <v>21</v>
      </c>
      <c r="G857" t="s">
        <v>2407</v>
      </c>
      <c r="H857">
        <v>0</v>
      </c>
      <c r="I857">
        <v>2</v>
      </c>
      <c r="J857">
        <v>0</v>
      </c>
      <c r="K857">
        <v>0</v>
      </c>
      <c r="L857">
        <v>0</v>
      </c>
    </row>
    <row r="858" spans="1:12">
      <c r="A858" t="str">
        <f>HYPERLINK("http://bombeiros.sp.gov.br/hidrantes/03individual/2823.html","2823")</f>
        <v>2823</v>
      </c>
      <c r="B858" t="str">
        <f>HYPERLINK("http://bombeiros.sp.gov.br/hidrantes/08bsg/qrcodeBSG.html?id=2823&amp;lat=-23.54795&amp;long=-46.62190&amp;tipo=S","QRCODE")</f>
        <v>QRCODE</v>
      </c>
      <c r="C858" t="s">
        <v>5273</v>
      </c>
      <c r="D858" t="s">
        <v>286</v>
      </c>
      <c r="E858" t="s">
        <v>286</v>
      </c>
      <c r="F858" t="s">
        <v>21</v>
      </c>
      <c r="G858" t="s">
        <v>285</v>
      </c>
      <c r="H858">
        <v>0</v>
      </c>
      <c r="I858">
        <v>2</v>
      </c>
      <c r="J858">
        <v>0</v>
      </c>
      <c r="K858">
        <v>0</v>
      </c>
      <c r="L858">
        <v>0</v>
      </c>
    </row>
    <row r="859" spans="1:12">
      <c r="A859" t="str">
        <f>HYPERLINK("http://bombeiros.sp.gov.br/hidrantes/03individual/2826.html","2826")</f>
        <v>2826</v>
      </c>
      <c r="B859" t="str">
        <f>HYPERLINK("http://bombeiros.sp.gov.br/hidrantes/08bsg/qrcodeBSG.html?id=2826&amp;lat=-23.54790&amp;long=-46.62267&amp;tipo=S","QRCODE")</f>
        <v>QRCODE</v>
      </c>
      <c r="C859" t="s">
        <v>5273</v>
      </c>
      <c r="D859" t="s">
        <v>286</v>
      </c>
      <c r="E859" t="s">
        <v>286</v>
      </c>
      <c r="F859" t="s">
        <v>21</v>
      </c>
      <c r="G859" t="s">
        <v>2435</v>
      </c>
      <c r="H859">
        <v>0</v>
      </c>
      <c r="I859">
        <v>2</v>
      </c>
      <c r="J859">
        <v>0</v>
      </c>
      <c r="K859">
        <v>0</v>
      </c>
      <c r="L859">
        <v>0</v>
      </c>
    </row>
    <row r="860" spans="1:12">
      <c r="A860" t="str">
        <f>HYPERLINK("http://bombeiros.sp.gov.br/hidrantes/03individual/2841.html","2841")</f>
        <v>2841</v>
      </c>
      <c r="B860" t="str">
        <f>HYPERLINK("http://bombeiros.sp.gov.br/hidrantes/08bsg/qrcodeBSG.html?id=2841&amp;lat=-23.54610&amp;long=-46.62174&amp;tipo=S","QRCODE")</f>
        <v>QRCODE</v>
      </c>
      <c r="C860" t="s">
        <v>5273</v>
      </c>
      <c r="D860" t="s">
        <v>286</v>
      </c>
      <c r="E860" t="s">
        <v>286</v>
      </c>
      <c r="F860" t="s">
        <v>21</v>
      </c>
      <c r="G860" t="s">
        <v>900</v>
      </c>
      <c r="H860">
        <v>1</v>
      </c>
      <c r="I860">
        <v>2</v>
      </c>
      <c r="J860">
        <v>0</v>
      </c>
      <c r="K860">
        <v>0</v>
      </c>
      <c r="L860">
        <v>0</v>
      </c>
    </row>
    <row r="861" spans="1:12">
      <c r="A861" t="str">
        <f>HYPERLINK("http://bombeiros.sp.gov.br/hidrantes/03individual/6783.html","6783")</f>
        <v>6783</v>
      </c>
      <c r="B861" t="str">
        <f>HYPERLINK("http://bombeiros.sp.gov.br/hidrantes/08bsg/qrcodeBSG.html?id=6783&amp;lat=-23.54942&amp;long=-46.61558&amp;tipo=S","QRCODE")</f>
        <v>QRCODE</v>
      </c>
      <c r="C861" t="s">
        <v>5273</v>
      </c>
      <c r="D861" t="s">
        <v>286</v>
      </c>
      <c r="E861" t="s">
        <v>286</v>
      </c>
      <c r="F861" t="s">
        <v>21</v>
      </c>
      <c r="G861" t="s">
        <v>319</v>
      </c>
      <c r="H861">
        <v>0</v>
      </c>
      <c r="I861">
        <v>3</v>
      </c>
      <c r="J861">
        <v>0</v>
      </c>
      <c r="K861">
        <v>0</v>
      </c>
      <c r="L861">
        <v>0</v>
      </c>
    </row>
    <row r="862" spans="1:12">
      <c r="A862" t="str">
        <f>HYPERLINK("http://bombeiros.sp.gov.br/hidrantes/03individual/16646.html","16646")</f>
        <v>16646</v>
      </c>
      <c r="B862" t="str">
        <f>HYPERLINK("http://bombeiros.sp.gov.br/hidrantes/08bsg/qrcodeBSG.html?id=16646&amp;lat=-23.55050&amp;long=-46.61744&amp;tipo=S","QRCODE")</f>
        <v>QRCODE</v>
      </c>
      <c r="C862" t="s">
        <v>5273</v>
      </c>
      <c r="D862" t="s">
        <v>286</v>
      </c>
      <c r="E862" t="s">
        <v>286</v>
      </c>
      <c r="F862" t="s">
        <v>21</v>
      </c>
      <c r="G862" t="s">
        <v>663</v>
      </c>
      <c r="H862">
        <v>1</v>
      </c>
      <c r="I862">
        <v>2</v>
      </c>
      <c r="J862">
        <v>0</v>
      </c>
      <c r="K862">
        <v>0</v>
      </c>
      <c r="L862">
        <v>0</v>
      </c>
    </row>
    <row r="863" spans="1:12">
      <c r="A863" t="str">
        <f>HYPERLINK("http://bombeiros.sp.gov.br/hidrantes/03individual/17907.html","17907")</f>
        <v>17907</v>
      </c>
      <c r="B863" t="str">
        <f>HYPERLINK("http://bombeiros.sp.gov.br/hidrantes/08bsg/qrcodeBSG.html?id=17907&amp;lat=-23.54500&amp;long=-46.61963&amp;tipo=S","QRCODE")</f>
        <v>QRCODE</v>
      </c>
      <c r="C863" t="s">
        <v>5273</v>
      </c>
      <c r="D863" t="s">
        <v>286</v>
      </c>
      <c r="E863" t="s">
        <v>286</v>
      </c>
      <c r="F863" t="s">
        <v>21</v>
      </c>
      <c r="G863" t="s">
        <v>505</v>
      </c>
      <c r="H863">
        <v>0</v>
      </c>
      <c r="I863">
        <v>2</v>
      </c>
      <c r="J863">
        <v>0</v>
      </c>
      <c r="K863">
        <v>0</v>
      </c>
      <c r="L863">
        <v>0</v>
      </c>
    </row>
    <row r="864" spans="1:12">
      <c r="A864" t="str">
        <f>HYPERLINK("http://bombeiros.sp.gov.br/hidrantes/03individual/26838.html","26838")</f>
        <v>26838</v>
      </c>
      <c r="B864" t="str">
        <f>HYPERLINK("http://bombeiros.sp.gov.br/hidrantes/08bsg/qrcodeBSG.html?id=26838&amp;lat=-23.54726&amp;long=-46.61721&amp;tipo=S","QRCODE")</f>
        <v>QRCODE</v>
      </c>
      <c r="C864" t="s">
        <v>5273</v>
      </c>
      <c r="D864" t="s">
        <v>286</v>
      </c>
      <c r="E864" t="s">
        <v>286</v>
      </c>
      <c r="F864" t="s">
        <v>21</v>
      </c>
      <c r="G864" t="s">
        <v>3351</v>
      </c>
      <c r="H864">
        <v>0</v>
      </c>
      <c r="I864">
        <v>1</v>
      </c>
      <c r="J864">
        <v>0</v>
      </c>
      <c r="K864">
        <v>0</v>
      </c>
      <c r="L864">
        <v>0</v>
      </c>
    </row>
    <row r="865" spans="1:12">
      <c r="A865" t="str">
        <f>HYPERLINK("http://bombeiros.sp.gov.br/hidrantes/03individual/27307.html","27307")</f>
        <v>27307</v>
      </c>
      <c r="B865" t="str">
        <f>HYPERLINK("http://bombeiros.sp.gov.br/hidrantes/08bsg/qrcodeBSG.html?id=27307&amp;lat=-23.54860&amp;long=-46.61605&amp;tipo=S","QRCODE")</f>
        <v>QRCODE</v>
      </c>
      <c r="C865" t="s">
        <v>5273</v>
      </c>
      <c r="D865" t="s">
        <v>286</v>
      </c>
      <c r="E865" t="s">
        <v>286</v>
      </c>
      <c r="F865" t="s">
        <v>21</v>
      </c>
      <c r="G865" t="s">
        <v>5278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>
      <c r="A866" t="str">
        <f>HYPERLINK("http://bombeiros.sp.gov.br/hidrantes/03individual/201.html","201")</f>
        <v>201</v>
      </c>
      <c r="B866" t="str">
        <f>HYPERLINK("http://bombeiros.sp.gov.br/hidrantes/08bsg/qrcodeBSG.html?id=201&amp;lat=-23.54372&amp;long=-46.61594&amp;tipo=C","QRCODE")</f>
        <v>QRCODE</v>
      </c>
      <c r="C866" t="s">
        <v>5273</v>
      </c>
      <c r="D866" t="s">
        <v>286</v>
      </c>
      <c r="E866" t="s">
        <v>1747</v>
      </c>
      <c r="F866" t="s">
        <v>12</v>
      </c>
      <c r="G866" t="s">
        <v>3563</v>
      </c>
      <c r="H866">
        <v>0</v>
      </c>
      <c r="I866">
        <v>2</v>
      </c>
      <c r="J866">
        <v>0</v>
      </c>
      <c r="K866">
        <v>0</v>
      </c>
      <c r="L866">
        <v>0</v>
      </c>
    </row>
    <row r="867" spans="1:12">
      <c r="A867" t="str">
        <f>HYPERLINK("http://bombeiros.sp.gov.br/hidrantes/03individual/258.html","258")</f>
        <v>258</v>
      </c>
      <c r="B867" t="str">
        <f>HYPERLINK("http://bombeiros.sp.gov.br/hidrantes/08bsg/qrcodeBSG.html?id=258&amp;lat=-23.54014&amp;long=-46.61134&amp;tipo=C","QRCODE")</f>
        <v>QRCODE</v>
      </c>
      <c r="C867" t="s">
        <v>5273</v>
      </c>
      <c r="D867" t="s">
        <v>286</v>
      </c>
      <c r="E867" t="s">
        <v>1747</v>
      </c>
      <c r="F867" t="s">
        <v>12</v>
      </c>
      <c r="G867" t="s">
        <v>1754</v>
      </c>
      <c r="H867">
        <v>0</v>
      </c>
      <c r="I867">
        <v>2</v>
      </c>
      <c r="J867">
        <v>0</v>
      </c>
      <c r="K867">
        <v>0</v>
      </c>
      <c r="L867">
        <v>0</v>
      </c>
    </row>
    <row r="868" spans="1:12">
      <c r="A868" t="str">
        <f>HYPERLINK("http://bombeiros.sp.gov.br/hidrantes/03individual/1543.html","1543")</f>
        <v>1543</v>
      </c>
      <c r="B868" t="str">
        <f>HYPERLINK("http://bombeiros.sp.gov.br/hidrantes/08bsg/qrcodeBSG.html?id=1543&amp;lat=-23.54617&amp;long=-46.60830&amp;tipo=C","QRCODE")</f>
        <v>QRCODE</v>
      </c>
      <c r="C868" t="s">
        <v>5273</v>
      </c>
      <c r="D868" t="s">
        <v>286</v>
      </c>
      <c r="E868" t="s">
        <v>1747</v>
      </c>
      <c r="F868" t="s">
        <v>12</v>
      </c>
      <c r="G868" t="s">
        <v>2411</v>
      </c>
      <c r="H868">
        <v>0</v>
      </c>
      <c r="I868">
        <v>2</v>
      </c>
      <c r="J868">
        <v>0</v>
      </c>
      <c r="K868">
        <v>0</v>
      </c>
      <c r="L868">
        <v>0</v>
      </c>
    </row>
    <row r="869" spans="1:12">
      <c r="A869" t="str">
        <f>HYPERLINK("http://bombeiros.sp.gov.br/hidrantes/03individual/1547.html","1547")</f>
        <v>1547</v>
      </c>
      <c r="B869" t="str">
        <f>HYPERLINK("http://bombeiros.sp.gov.br/hidrantes/08bsg/qrcodeBSG.html?id=1547&amp;lat=-23.54459&amp;long=-46.60944&amp;tipo=C","QRCODE")</f>
        <v>QRCODE</v>
      </c>
      <c r="C869" t="s">
        <v>5273</v>
      </c>
      <c r="D869" t="s">
        <v>286</v>
      </c>
      <c r="E869" t="s">
        <v>1747</v>
      </c>
      <c r="F869" t="s">
        <v>12</v>
      </c>
      <c r="G869" t="s">
        <v>2410</v>
      </c>
      <c r="H869">
        <v>0</v>
      </c>
      <c r="I869">
        <v>2</v>
      </c>
      <c r="J869">
        <v>0</v>
      </c>
      <c r="K869">
        <v>0</v>
      </c>
      <c r="L869">
        <v>0</v>
      </c>
    </row>
    <row r="870" spans="1:12">
      <c r="A870" t="str">
        <f>HYPERLINK("http://bombeiros.sp.gov.br/hidrantes/03individual/1956.html","1956")</f>
        <v>1956</v>
      </c>
      <c r="B870" t="str">
        <f>HYPERLINK("http://bombeiros.sp.gov.br/hidrantes/08bsg/qrcodeBSG.html?id=1956&amp;lat=-23.54243&amp;long=-46.60729&amp;tipo=C","QRCODE")</f>
        <v>QRCODE</v>
      </c>
      <c r="C870" t="s">
        <v>5273</v>
      </c>
      <c r="D870" t="s">
        <v>286</v>
      </c>
      <c r="E870" t="s">
        <v>1747</v>
      </c>
      <c r="F870" t="s">
        <v>12</v>
      </c>
      <c r="G870" t="s">
        <v>2406</v>
      </c>
      <c r="H870">
        <v>0</v>
      </c>
      <c r="I870">
        <v>2</v>
      </c>
      <c r="J870">
        <v>0</v>
      </c>
      <c r="K870">
        <v>0</v>
      </c>
      <c r="L870">
        <v>0</v>
      </c>
    </row>
    <row r="871" spans="1:12">
      <c r="A871" t="str">
        <f>HYPERLINK("http://bombeiros.sp.gov.br/hidrantes/03individual/185.html","185")</f>
        <v>185</v>
      </c>
      <c r="B871" t="str">
        <f>HYPERLINK("http://bombeiros.sp.gov.br/hidrantes/08bsg/qrcodeBSG.html?id=185&amp;lat=-23.54276&amp;long=-46.61426&amp;tipo=S","QRCODE")</f>
        <v>QRCODE</v>
      </c>
      <c r="C871" t="s">
        <v>5273</v>
      </c>
      <c r="D871" t="s">
        <v>286</v>
      </c>
      <c r="E871" t="s">
        <v>1747</v>
      </c>
      <c r="F871" t="s">
        <v>21</v>
      </c>
      <c r="G871" t="s">
        <v>1746</v>
      </c>
      <c r="H871">
        <v>0</v>
      </c>
      <c r="I871">
        <v>2</v>
      </c>
      <c r="J871">
        <v>0</v>
      </c>
      <c r="K871">
        <v>0</v>
      </c>
      <c r="L871">
        <v>0</v>
      </c>
    </row>
    <row r="872" spans="1:12">
      <c r="A872" t="str">
        <f>HYPERLINK("http://bombeiros.sp.gov.br/hidrantes/03individual/255.html","255")</f>
        <v>255</v>
      </c>
      <c r="B872" t="str">
        <f>HYPERLINK("http://bombeiros.sp.gov.br/hidrantes/08bsg/qrcodeBSG.html?id=255&amp;lat=-23.54247&amp;long=-46.61126&amp;tipo=S","QRCODE")</f>
        <v>QRCODE</v>
      </c>
      <c r="C872" t="s">
        <v>5273</v>
      </c>
      <c r="D872" t="s">
        <v>286</v>
      </c>
      <c r="E872" t="s">
        <v>1747</v>
      </c>
      <c r="F872" t="s">
        <v>21</v>
      </c>
      <c r="G872" t="s">
        <v>1753</v>
      </c>
      <c r="H872">
        <v>0</v>
      </c>
      <c r="I872">
        <v>2</v>
      </c>
      <c r="J872">
        <v>0</v>
      </c>
      <c r="K872">
        <v>0</v>
      </c>
      <c r="L872">
        <v>0</v>
      </c>
    </row>
    <row r="873" spans="1:12">
      <c r="A873" t="str">
        <f>HYPERLINK("http://bombeiros.sp.gov.br/hidrantes/03individual/256.html","256")</f>
        <v>256</v>
      </c>
      <c r="B873" t="str">
        <f>HYPERLINK("http://bombeiros.sp.gov.br/hidrantes/08bsg/qrcodeBSG.html?id=256&amp;lat=-23.54276&amp;long=-46.60721&amp;tipo=S","QRCODE")</f>
        <v>QRCODE</v>
      </c>
      <c r="C873" t="s">
        <v>5273</v>
      </c>
      <c r="D873" t="s">
        <v>286</v>
      </c>
      <c r="E873" t="s">
        <v>1747</v>
      </c>
      <c r="F873" t="s">
        <v>21</v>
      </c>
      <c r="G873" t="s">
        <v>2397</v>
      </c>
      <c r="H873">
        <v>0</v>
      </c>
      <c r="I873">
        <v>2</v>
      </c>
      <c r="J873">
        <v>0</v>
      </c>
      <c r="K873">
        <v>0</v>
      </c>
      <c r="L873">
        <v>0</v>
      </c>
    </row>
    <row r="874" spans="1:12">
      <c r="A874" t="str">
        <f>HYPERLINK("http://bombeiros.sp.gov.br/hidrantes/03individual/269.html","269")</f>
        <v>269</v>
      </c>
      <c r="B874" t="str">
        <f>HYPERLINK("http://bombeiros.sp.gov.br/hidrantes/08bsg/qrcodeBSG.html?id=269&amp;lat=-23.54383&amp;long=-46.60630&amp;tipo=S","QRCODE")</f>
        <v>QRCODE</v>
      </c>
      <c r="C874" t="s">
        <v>5273</v>
      </c>
      <c r="D874" t="s">
        <v>286</v>
      </c>
      <c r="E874" t="s">
        <v>1747</v>
      </c>
      <c r="F874" t="s">
        <v>21</v>
      </c>
      <c r="G874" t="s">
        <v>1931</v>
      </c>
      <c r="H874">
        <v>0</v>
      </c>
      <c r="I874">
        <v>2</v>
      </c>
      <c r="J874">
        <v>0</v>
      </c>
      <c r="K874">
        <v>0</v>
      </c>
      <c r="L874">
        <v>0</v>
      </c>
    </row>
    <row r="875" spans="1:12">
      <c r="A875" t="str">
        <f>HYPERLINK("http://bombeiros.sp.gov.br/hidrantes/03individual/1545.html","1545")</f>
        <v>1545</v>
      </c>
      <c r="B875" t="str">
        <f>HYPERLINK("http://bombeiros.sp.gov.br/hidrantes/08bsg/qrcodeBSG.html?id=1545&amp;lat=-23.54453&amp;long=-46.60945&amp;tipo=S","QRCODE")</f>
        <v>QRCODE</v>
      </c>
      <c r="C875" t="s">
        <v>5273</v>
      </c>
      <c r="D875" t="s">
        <v>286</v>
      </c>
      <c r="E875" t="s">
        <v>1747</v>
      </c>
      <c r="F875" t="s">
        <v>21</v>
      </c>
      <c r="G875" t="s">
        <v>5147</v>
      </c>
      <c r="H875">
        <v>0</v>
      </c>
      <c r="I875">
        <v>1</v>
      </c>
      <c r="J875">
        <v>0</v>
      </c>
      <c r="K875">
        <v>0</v>
      </c>
      <c r="L875">
        <v>0</v>
      </c>
    </row>
    <row r="876" spans="1:12">
      <c r="A876" t="str">
        <f>HYPERLINK("http://bombeiros.sp.gov.br/hidrantes/03individual/1550.html","1550")</f>
        <v>1550</v>
      </c>
      <c r="B876" t="str">
        <f>HYPERLINK("http://bombeiros.sp.gov.br/hidrantes/08bsg/qrcodeBSG.html?id=1550&amp;lat=-23.54389&amp;long=-46.61041&amp;tipo=S","QRCODE")</f>
        <v>QRCODE</v>
      </c>
      <c r="C876" t="s">
        <v>5273</v>
      </c>
      <c r="D876" t="s">
        <v>286</v>
      </c>
      <c r="E876" t="s">
        <v>1747</v>
      </c>
      <c r="F876" t="s">
        <v>21</v>
      </c>
      <c r="G876" t="s">
        <v>1908</v>
      </c>
      <c r="H876">
        <v>0</v>
      </c>
      <c r="I876">
        <v>3</v>
      </c>
      <c r="J876">
        <v>0</v>
      </c>
      <c r="K876">
        <v>0</v>
      </c>
      <c r="L876">
        <v>0</v>
      </c>
    </row>
    <row r="877" spans="1:12">
      <c r="A877" t="str">
        <f>HYPERLINK("http://bombeiros.sp.gov.br/hidrantes/03individual/1960.html","1960")</f>
        <v>1960</v>
      </c>
      <c r="B877" t="str">
        <f>HYPERLINK("http://bombeiros.sp.gov.br/hidrantes/08bsg/qrcodeBSG.html?id=1960&amp;lat=-23.54345&amp;long=-46.61500&amp;tipo=S","QRCODE")</f>
        <v>QRCODE</v>
      </c>
      <c r="C877" t="s">
        <v>5273</v>
      </c>
      <c r="D877" t="s">
        <v>286</v>
      </c>
      <c r="E877" t="s">
        <v>1747</v>
      </c>
      <c r="F877" t="s">
        <v>21</v>
      </c>
      <c r="G877" t="s">
        <v>3473</v>
      </c>
      <c r="H877">
        <v>1</v>
      </c>
      <c r="I877">
        <v>1</v>
      </c>
      <c r="J877">
        <v>0</v>
      </c>
      <c r="K877">
        <v>0</v>
      </c>
      <c r="L877">
        <v>0</v>
      </c>
    </row>
    <row r="878" spans="1:12">
      <c r="A878" t="str">
        <f>HYPERLINK("http://bombeiros.sp.gov.br/hidrantes/03individual/1964.html","1964")</f>
        <v>1964</v>
      </c>
      <c r="B878" t="str">
        <f>HYPERLINK("http://bombeiros.sp.gov.br/hidrantes/08bsg/qrcodeBSG.html?id=1964&amp;lat=-23.54489&amp;long=-46.61242&amp;tipo=S","QRCODE")</f>
        <v>QRCODE</v>
      </c>
      <c r="C878" t="s">
        <v>5273</v>
      </c>
      <c r="D878" t="s">
        <v>286</v>
      </c>
      <c r="E878" t="s">
        <v>1747</v>
      </c>
      <c r="F878" t="s">
        <v>21</v>
      </c>
      <c r="G878" t="s">
        <v>3474</v>
      </c>
      <c r="H878">
        <v>1</v>
      </c>
      <c r="I878">
        <v>1</v>
      </c>
      <c r="J878">
        <v>0</v>
      </c>
      <c r="K878">
        <v>0</v>
      </c>
      <c r="L878">
        <v>0</v>
      </c>
    </row>
    <row r="879" spans="1:12">
      <c r="A879" t="str">
        <f>HYPERLINK("http://bombeiros.sp.gov.br/hidrantes/03individual/905.html","905")</f>
        <v>905</v>
      </c>
      <c r="B879" t="str">
        <f>HYPERLINK("http://bombeiros.sp.gov.br/hidrantes/08bsg/qrcodeBSG.html?id=905&amp;lat=-23.54362&amp;long=-46.61812&amp;tipo=C","QRCODE")</f>
        <v>QRCODE</v>
      </c>
      <c r="C879" t="s">
        <v>5273</v>
      </c>
      <c r="D879" t="s">
        <v>286</v>
      </c>
      <c r="E879" t="s">
        <v>581</v>
      </c>
      <c r="F879" t="s">
        <v>12</v>
      </c>
      <c r="G879" t="s">
        <v>5229</v>
      </c>
      <c r="H879">
        <v>2</v>
      </c>
      <c r="I879">
        <v>0</v>
      </c>
      <c r="J879">
        <v>0</v>
      </c>
      <c r="K879">
        <v>0</v>
      </c>
      <c r="L879">
        <v>0</v>
      </c>
    </row>
    <row r="880" spans="1:12">
      <c r="A880" t="str">
        <f>HYPERLINK("http://bombeiros.sp.gov.br/hidrantes/03individual/2085.html","2085")</f>
        <v>2085</v>
      </c>
      <c r="B880" t="str">
        <f>HYPERLINK("http://bombeiros.sp.gov.br/hidrantes/08bsg/qrcodeBSG.html?id=2085&amp;lat=-23.53957&amp;long=-46.62679&amp;tipo=C","QRCODE")</f>
        <v>QRCODE</v>
      </c>
      <c r="C880" t="s">
        <v>5273</v>
      </c>
      <c r="D880" t="s">
        <v>286</v>
      </c>
      <c r="E880" t="s">
        <v>581</v>
      </c>
      <c r="F880" t="s">
        <v>12</v>
      </c>
      <c r="G880" t="s">
        <v>1924</v>
      </c>
      <c r="H880">
        <v>0</v>
      </c>
      <c r="I880">
        <v>2</v>
      </c>
      <c r="J880">
        <v>0</v>
      </c>
      <c r="K880">
        <v>0</v>
      </c>
      <c r="L880">
        <v>0</v>
      </c>
    </row>
    <row r="881" spans="1:12">
      <c r="A881" t="str">
        <f>HYPERLINK("http://bombeiros.sp.gov.br/hidrantes/03individual/2154.html","2154")</f>
        <v>2154</v>
      </c>
      <c r="B881" t="str">
        <f>HYPERLINK("http://bombeiros.sp.gov.br/hidrantes/08bsg/qrcodeBSG.html?id=2154&amp;lat=-23.54363&amp;long=-46.62637&amp;tipo=C","QRCODE")</f>
        <v>QRCODE</v>
      </c>
      <c r="C881" t="s">
        <v>5273</v>
      </c>
      <c r="D881" t="s">
        <v>286</v>
      </c>
      <c r="E881" t="s">
        <v>581</v>
      </c>
      <c r="F881" t="s">
        <v>12</v>
      </c>
      <c r="G881" t="s">
        <v>4382</v>
      </c>
      <c r="H881">
        <v>0</v>
      </c>
      <c r="I881">
        <v>2</v>
      </c>
      <c r="J881">
        <v>0</v>
      </c>
      <c r="K881">
        <v>0</v>
      </c>
      <c r="L881">
        <v>0</v>
      </c>
    </row>
    <row r="882" spans="1:12">
      <c r="A882" t="str">
        <f>HYPERLINK("http://bombeiros.sp.gov.br/hidrantes/03individual/57.html","57")</f>
        <v>57</v>
      </c>
      <c r="B882" t="str">
        <f>HYPERLINK("http://bombeiros.sp.gov.br/hidrantes/08bsg/qrcodeBSG.html?id=57&amp;lat=-23.54151&amp;long=-46.62547&amp;tipo=S","QRCODE")</f>
        <v>QRCODE</v>
      </c>
      <c r="C882" t="s">
        <v>5273</v>
      </c>
      <c r="D882" t="s">
        <v>286</v>
      </c>
      <c r="E882" t="s">
        <v>581</v>
      </c>
      <c r="F882" t="s">
        <v>21</v>
      </c>
      <c r="G882" t="s">
        <v>4369</v>
      </c>
      <c r="H882">
        <v>0</v>
      </c>
      <c r="I882">
        <v>2</v>
      </c>
      <c r="J882">
        <v>0</v>
      </c>
      <c r="K882">
        <v>0</v>
      </c>
      <c r="L882">
        <v>0</v>
      </c>
    </row>
    <row r="883" spans="1:12">
      <c r="A883" t="str">
        <f>HYPERLINK("http://bombeiros.sp.gov.br/hidrantes/03individual/72.html","72")</f>
        <v>72</v>
      </c>
      <c r="B883" t="str">
        <f>HYPERLINK("http://bombeiros.sp.gov.br/hidrantes/08bsg/qrcodeBSG.html?id=72&amp;lat=-23.54106&amp;long=-46.62469&amp;tipo=S","QRCODE")</f>
        <v>QRCODE</v>
      </c>
      <c r="C883" t="s">
        <v>5273</v>
      </c>
      <c r="D883" t="s">
        <v>286</v>
      </c>
      <c r="E883" t="s">
        <v>581</v>
      </c>
      <c r="F883" t="s">
        <v>21</v>
      </c>
      <c r="G883" t="s">
        <v>4437</v>
      </c>
      <c r="H883">
        <v>1</v>
      </c>
      <c r="I883">
        <v>2</v>
      </c>
      <c r="J883">
        <v>0</v>
      </c>
      <c r="K883">
        <v>0</v>
      </c>
      <c r="L883">
        <v>0</v>
      </c>
    </row>
    <row r="884" spans="1:12">
      <c r="A884" t="str">
        <f>HYPERLINK("http://bombeiros.sp.gov.br/hidrantes/03individual/77.html","77")</f>
        <v>77</v>
      </c>
      <c r="B884" t="str">
        <f>HYPERLINK("http://bombeiros.sp.gov.br/hidrantes/08bsg/qrcodeBSG.html?id=77&amp;lat=-23.54383&amp;long=-46.62152&amp;tipo=S","QRCODE")</f>
        <v>QRCODE</v>
      </c>
      <c r="C884" t="s">
        <v>5273</v>
      </c>
      <c r="D884" t="s">
        <v>286</v>
      </c>
      <c r="E884" t="s">
        <v>581</v>
      </c>
      <c r="F884" t="s">
        <v>21</v>
      </c>
      <c r="G884" t="s">
        <v>583</v>
      </c>
      <c r="H884">
        <v>0</v>
      </c>
      <c r="I884">
        <v>2</v>
      </c>
      <c r="J884">
        <v>0</v>
      </c>
      <c r="K884">
        <v>0</v>
      </c>
      <c r="L884">
        <v>0</v>
      </c>
    </row>
    <row r="885" spans="1:12">
      <c r="A885" t="str">
        <f>HYPERLINK("http://bombeiros.sp.gov.br/hidrantes/03individual/112.html","112")</f>
        <v>112</v>
      </c>
      <c r="B885" t="str">
        <f>HYPERLINK("http://bombeiros.sp.gov.br/hidrantes/08bsg/qrcodeBSG.html?id=112&amp;lat=-23.54752&amp;long=-46.62586&amp;tipo=S","QRCODE")</f>
        <v>QRCODE</v>
      </c>
      <c r="C885" t="s">
        <v>5273</v>
      </c>
      <c r="D885" t="s">
        <v>286</v>
      </c>
      <c r="E885" t="s">
        <v>581</v>
      </c>
      <c r="F885" t="s">
        <v>21</v>
      </c>
      <c r="G885" t="s">
        <v>3388</v>
      </c>
      <c r="H885">
        <v>1</v>
      </c>
      <c r="I885">
        <v>1</v>
      </c>
      <c r="J885">
        <v>0</v>
      </c>
      <c r="K885">
        <v>0</v>
      </c>
      <c r="L885">
        <v>0</v>
      </c>
    </row>
    <row r="886" spans="1:12">
      <c r="A886" t="str">
        <f>HYPERLINK("http://bombeiros.sp.gov.br/hidrantes/03individual/124.html","124")</f>
        <v>124</v>
      </c>
      <c r="B886" t="str">
        <f>HYPERLINK("http://bombeiros.sp.gov.br/hidrantes/08bsg/qrcodeBSG.html?id=124&amp;lat=-23.53957&amp;long=-46.62262&amp;tipo=S","QRCODE")</f>
        <v>QRCODE</v>
      </c>
      <c r="C886" t="s">
        <v>5273</v>
      </c>
      <c r="D886" t="s">
        <v>286</v>
      </c>
      <c r="E886" t="s">
        <v>581</v>
      </c>
      <c r="F886" t="s">
        <v>21</v>
      </c>
      <c r="G886" t="s">
        <v>1935</v>
      </c>
      <c r="H886">
        <v>0</v>
      </c>
      <c r="I886">
        <v>2</v>
      </c>
      <c r="J886">
        <v>0</v>
      </c>
      <c r="K886">
        <v>0</v>
      </c>
      <c r="L886">
        <v>0</v>
      </c>
    </row>
    <row r="887" spans="1:12">
      <c r="A887" t="str">
        <f>HYPERLINK("http://bombeiros.sp.gov.br/hidrantes/03individual/132.html","132")</f>
        <v>132</v>
      </c>
      <c r="B887" t="str">
        <f>HYPERLINK("http://bombeiros.sp.gov.br/hidrantes/08bsg/qrcodeBSG.html?id=132&amp;lat=-23.54451&amp;long=-46.62251&amp;tipo=S","QRCODE")</f>
        <v>QRCODE</v>
      </c>
      <c r="C887" t="s">
        <v>5273</v>
      </c>
      <c r="D887" t="s">
        <v>286</v>
      </c>
      <c r="E887" t="s">
        <v>581</v>
      </c>
      <c r="F887" t="s">
        <v>21</v>
      </c>
      <c r="G887" t="s">
        <v>580</v>
      </c>
      <c r="H887">
        <v>0</v>
      </c>
      <c r="I887">
        <v>2</v>
      </c>
      <c r="J887">
        <v>0</v>
      </c>
      <c r="K887">
        <v>0</v>
      </c>
      <c r="L887">
        <v>0</v>
      </c>
    </row>
    <row r="888" spans="1:12">
      <c r="A888" t="str">
        <f>HYPERLINK("http://bombeiros.sp.gov.br/hidrantes/03individual/145.html","145")</f>
        <v>145</v>
      </c>
      <c r="B888" t="str">
        <f>HYPERLINK("http://bombeiros.sp.gov.br/hidrantes/08bsg/qrcodeBSG.html?id=145&amp;lat=-23.54269&amp;long=-46.62186&amp;tipo=S","QRCODE")</f>
        <v>QRCODE</v>
      </c>
      <c r="C888" t="s">
        <v>5273</v>
      </c>
      <c r="D888" t="s">
        <v>286</v>
      </c>
      <c r="E888" t="s">
        <v>581</v>
      </c>
      <c r="F888" t="s">
        <v>21</v>
      </c>
      <c r="G888" t="s">
        <v>818</v>
      </c>
      <c r="H888">
        <v>1</v>
      </c>
      <c r="I888">
        <v>2</v>
      </c>
      <c r="J888">
        <v>0</v>
      </c>
      <c r="K888">
        <v>0</v>
      </c>
      <c r="L888">
        <v>0</v>
      </c>
    </row>
    <row r="889" spans="1:12">
      <c r="A889" t="str">
        <f>HYPERLINK("http://bombeiros.sp.gov.br/hidrantes/03individual/2061.html","2061")</f>
        <v>2061</v>
      </c>
      <c r="B889" t="str">
        <f>HYPERLINK("http://bombeiros.sp.gov.br/hidrantes/08bsg/qrcodeBSG.html?id=2061&amp;lat=-23.54063&amp;long=-46.62491&amp;tipo=S","QRCODE")</f>
        <v>QRCODE</v>
      </c>
      <c r="C889" t="s">
        <v>5273</v>
      </c>
      <c r="D889" t="s">
        <v>286</v>
      </c>
      <c r="E889" t="s">
        <v>581</v>
      </c>
      <c r="F889" t="s">
        <v>21</v>
      </c>
      <c r="G889" t="s">
        <v>844</v>
      </c>
      <c r="H889">
        <v>0</v>
      </c>
      <c r="I889">
        <v>2</v>
      </c>
      <c r="J889">
        <v>0</v>
      </c>
      <c r="K889">
        <v>0</v>
      </c>
      <c r="L889">
        <v>0</v>
      </c>
    </row>
    <row r="890" spans="1:12">
      <c r="A890" t="str">
        <f>HYPERLINK("http://bombeiros.sp.gov.br/hidrantes/03individual/2063.html","2063")</f>
        <v>2063</v>
      </c>
      <c r="B890" t="str">
        <f>HYPERLINK("http://bombeiros.sp.gov.br/hidrantes/08bsg/qrcodeBSG.html?id=2063&amp;lat=-23.54199&amp;long=-46.62436&amp;tipo=S","QRCODE")</f>
        <v>QRCODE</v>
      </c>
      <c r="C890" t="s">
        <v>5273</v>
      </c>
      <c r="D890" t="s">
        <v>286</v>
      </c>
      <c r="E890" t="s">
        <v>581</v>
      </c>
      <c r="F890" t="s">
        <v>21</v>
      </c>
      <c r="G890" t="s">
        <v>845</v>
      </c>
      <c r="H890">
        <v>0</v>
      </c>
      <c r="I890">
        <v>2</v>
      </c>
      <c r="J890">
        <v>0</v>
      </c>
      <c r="K890">
        <v>0</v>
      </c>
      <c r="L890">
        <v>0</v>
      </c>
    </row>
    <row r="891" spans="1:12">
      <c r="A891" t="str">
        <f>HYPERLINK("http://bombeiros.sp.gov.br/hidrantes/03individual/2065.html","2065")</f>
        <v>2065</v>
      </c>
      <c r="B891" t="str">
        <f>HYPERLINK("http://bombeiros.sp.gov.br/hidrantes/08bsg/qrcodeBSG.html?id=2065&amp;lat=-23.54133&amp;long=-46.62180&amp;tipo=S","QRCODE")</f>
        <v>QRCODE</v>
      </c>
      <c r="C891" t="s">
        <v>5273</v>
      </c>
      <c r="D891" t="s">
        <v>286</v>
      </c>
      <c r="E891" t="s">
        <v>581</v>
      </c>
      <c r="F891" t="s">
        <v>21</v>
      </c>
      <c r="G891" t="s">
        <v>3471</v>
      </c>
      <c r="H891">
        <v>1</v>
      </c>
      <c r="I891">
        <v>1</v>
      </c>
      <c r="J891">
        <v>0</v>
      </c>
      <c r="K891">
        <v>0</v>
      </c>
      <c r="L891">
        <v>0</v>
      </c>
    </row>
    <row r="892" spans="1:12">
      <c r="A892" t="str">
        <f>HYPERLINK("http://bombeiros.sp.gov.br/hidrantes/03individual/2146.html","2146")</f>
        <v>2146</v>
      </c>
      <c r="B892" t="str">
        <f>HYPERLINK("http://bombeiros.sp.gov.br/hidrantes/08bsg/qrcodeBSG.html?id=2146&amp;lat=-23.54436&amp;long=-46.62456&amp;tipo=S","QRCODE")</f>
        <v>QRCODE</v>
      </c>
      <c r="C892" t="s">
        <v>5273</v>
      </c>
      <c r="D892" t="s">
        <v>286</v>
      </c>
      <c r="E892" t="s">
        <v>581</v>
      </c>
      <c r="F892" t="s">
        <v>21</v>
      </c>
      <c r="G892" t="s">
        <v>843</v>
      </c>
      <c r="H892">
        <v>0</v>
      </c>
      <c r="I892">
        <v>3</v>
      </c>
      <c r="J892">
        <v>0</v>
      </c>
      <c r="K892">
        <v>0</v>
      </c>
      <c r="L892">
        <v>0</v>
      </c>
    </row>
    <row r="893" spans="1:12">
      <c r="A893" t="str">
        <f>HYPERLINK("http://bombeiros.sp.gov.br/hidrantes/03individual/2852.html","2852")</f>
        <v>2852</v>
      </c>
      <c r="B893" t="str">
        <f>HYPERLINK("http://bombeiros.sp.gov.br/hidrantes/08bsg/qrcodeBSG.html?id=2852&amp;lat=-23.54114&amp;long=-46.62670&amp;tipo=S","QRCODE")</f>
        <v>QRCODE</v>
      </c>
      <c r="C893" t="s">
        <v>5273</v>
      </c>
      <c r="D893" t="s">
        <v>286</v>
      </c>
      <c r="E893" t="s">
        <v>581</v>
      </c>
      <c r="F893" t="s">
        <v>21</v>
      </c>
      <c r="G893" t="s">
        <v>2453</v>
      </c>
      <c r="H893">
        <v>0</v>
      </c>
      <c r="I893">
        <v>2</v>
      </c>
      <c r="J893">
        <v>0</v>
      </c>
      <c r="K893">
        <v>0</v>
      </c>
      <c r="L893">
        <v>0</v>
      </c>
    </row>
    <row r="894" spans="1:12">
      <c r="A894" t="str">
        <f>HYPERLINK("http://bombeiros.sp.gov.br/hidrantes/03individual/705.html","705")</f>
        <v>705</v>
      </c>
      <c r="B894" t="str">
        <f>HYPERLINK("http://bombeiros.sp.gov.br/hidrantes/08bsg/qrcodeBSG.html?id=705&amp;lat=-23.53806&amp;long=-46.61785&amp;tipo=C","QRCODE")</f>
        <v>QRCODE</v>
      </c>
      <c r="C894" t="s">
        <v>5273</v>
      </c>
      <c r="D894" t="s">
        <v>286</v>
      </c>
      <c r="E894" t="s">
        <v>366</v>
      </c>
      <c r="F894" t="s">
        <v>12</v>
      </c>
      <c r="G894" t="s">
        <v>4930</v>
      </c>
      <c r="H894">
        <v>0</v>
      </c>
      <c r="I894">
        <v>1</v>
      </c>
      <c r="J894">
        <v>0</v>
      </c>
      <c r="K894">
        <v>0</v>
      </c>
      <c r="L894">
        <v>0</v>
      </c>
    </row>
    <row r="895" spans="1:12">
      <c r="A895" t="str">
        <f>HYPERLINK("http://bombeiros.sp.gov.br/hidrantes/03individual/2021.html","2021")</f>
        <v>2021</v>
      </c>
      <c r="B895" t="str">
        <f>HYPERLINK("http://bombeiros.sp.gov.br/hidrantes/08bsg/qrcodeBSG.html?id=2021&amp;lat=-23.53612&amp;long=-46.62214&amp;tipo=C","QRCODE")</f>
        <v>QRCODE</v>
      </c>
      <c r="C895" t="s">
        <v>5273</v>
      </c>
      <c r="D895" t="s">
        <v>286</v>
      </c>
      <c r="E895" t="s">
        <v>366</v>
      </c>
      <c r="F895" t="s">
        <v>12</v>
      </c>
      <c r="G895" t="s">
        <v>5119</v>
      </c>
      <c r="H895">
        <v>0</v>
      </c>
      <c r="I895">
        <v>2</v>
      </c>
      <c r="J895">
        <v>0</v>
      </c>
      <c r="K895">
        <v>0</v>
      </c>
      <c r="L895">
        <v>0</v>
      </c>
    </row>
    <row r="896" spans="1:12">
      <c r="A896" t="str">
        <f>HYPERLINK("http://bombeiros.sp.gov.br/hidrantes/03individual/148.html","148")</f>
        <v>148</v>
      </c>
      <c r="B896" t="str">
        <f>HYPERLINK("http://bombeiros.sp.gov.br/hidrantes/08bsg/qrcodeBSG.html?id=148&amp;lat=-23.53775&amp;long=-46.61892&amp;tipo=S","QRCODE")</f>
        <v>QRCODE</v>
      </c>
      <c r="C896" t="s">
        <v>5273</v>
      </c>
      <c r="D896" t="s">
        <v>286</v>
      </c>
      <c r="E896" t="s">
        <v>366</v>
      </c>
      <c r="F896" t="s">
        <v>21</v>
      </c>
      <c r="G896" t="s">
        <v>5279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>
      <c r="A897" t="str">
        <f>HYPERLINK("http://bombeiros.sp.gov.br/hidrantes/03individual/589.html","589")</f>
        <v>589</v>
      </c>
      <c r="B897" t="str">
        <f>HYPERLINK("http://bombeiros.sp.gov.br/hidrantes/08bsg/qrcodeBSG.html?id=589&amp;lat=-23.53802&amp;long=-46.61915&amp;tipo=S","QRCODE")</f>
        <v>QRCODE</v>
      </c>
      <c r="C897" t="s">
        <v>5273</v>
      </c>
      <c r="D897" t="s">
        <v>286</v>
      </c>
      <c r="E897" t="s">
        <v>366</v>
      </c>
      <c r="F897" t="s">
        <v>21</v>
      </c>
      <c r="G897" t="s">
        <v>5280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>
      <c r="A898" t="str">
        <f>HYPERLINK("http://bombeiros.sp.gov.br/hidrantes/03individual/706.html","706")</f>
        <v>706</v>
      </c>
      <c r="B898" t="str">
        <f>HYPERLINK("http://bombeiros.sp.gov.br/hidrantes/08bsg/qrcodeBSG.html?id=706&amp;lat=-23.53790&amp;long=-46.62207&amp;tipo=S","QRCODE")</f>
        <v>QRCODE</v>
      </c>
      <c r="C898" t="s">
        <v>5273</v>
      </c>
      <c r="D898" t="s">
        <v>286</v>
      </c>
      <c r="E898" t="s">
        <v>366</v>
      </c>
      <c r="F898" t="s">
        <v>21</v>
      </c>
      <c r="G898" t="s">
        <v>365</v>
      </c>
      <c r="H898">
        <v>0</v>
      </c>
      <c r="I898">
        <v>2</v>
      </c>
      <c r="J898">
        <v>0</v>
      </c>
      <c r="K898">
        <v>0</v>
      </c>
      <c r="L898">
        <v>0</v>
      </c>
    </row>
    <row r="899" spans="1:12">
      <c r="A899" t="str">
        <f>HYPERLINK("http://bombeiros.sp.gov.br/hidrantes/03individual/898.html","898")</f>
        <v>898</v>
      </c>
      <c r="B899" t="str">
        <f>HYPERLINK("http://bombeiros.sp.gov.br/hidrantes/08bsg/qrcodeBSG.html?id=898&amp;lat=-23.53582&amp;long=-46.62543&amp;tipo=S","QRCODE")</f>
        <v>QRCODE</v>
      </c>
      <c r="C899" t="s">
        <v>5273</v>
      </c>
      <c r="D899" t="s">
        <v>286</v>
      </c>
      <c r="E899" t="s">
        <v>366</v>
      </c>
      <c r="F899" t="s">
        <v>21</v>
      </c>
      <c r="G899" t="s">
        <v>5100</v>
      </c>
      <c r="H899">
        <v>0</v>
      </c>
      <c r="I899">
        <v>1</v>
      </c>
      <c r="J899">
        <v>0</v>
      </c>
      <c r="K899">
        <v>0</v>
      </c>
      <c r="L899">
        <v>0</v>
      </c>
    </row>
    <row r="900" spans="1:12">
      <c r="A900" t="str">
        <f>HYPERLINK("http://bombeiros.sp.gov.br/hidrantes/03individual/2005.html","2005")</f>
        <v>2005</v>
      </c>
      <c r="B900" t="str">
        <f>HYPERLINK("http://bombeiros.sp.gov.br/hidrantes/08bsg/qrcodeBSG.html?id=2005&amp;lat=-23.53583&amp;long=-46.62033&amp;tipo=S","QRCODE")</f>
        <v>QRCODE</v>
      </c>
      <c r="C900" t="s">
        <v>5273</v>
      </c>
      <c r="D900" t="s">
        <v>286</v>
      </c>
      <c r="E900" t="s">
        <v>366</v>
      </c>
      <c r="F900" t="s">
        <v>21</v>
      </c>
      <c r="G900" t="s">
        <v>767</v>
      </c>
      <c r="H900">
        <v>0</v>
      </c>
      <c r="I900">
        <v>2</v>
      </c>
      <c r="J900">
        <v>0</v>
      </c>
      <c r="K900">
        <v>0</v>
      </c>
      <c r="L900">
        <v>0</v>
      </c>
    </row>
    <row r="901" spans="1:12">
      <c r="A901" t="str">
        <f>HYPERLINK("http://bombeiros.sp.gov.br/hidrantes/03individual/2023.html","2023")</f>
        <v>2023</v>
      </c>
      <c r="B901" t="str">
        <f>HYPERLINK("http://bombeiros.sp.gov.br/hidrantes/08bsg/qrcodeBSG.html?id=2023&amp;lat=-23.53658&amp;long=-46.62211&amp;tipo=S","QRCODE")</f>
        <v>QRCODE</v>
      </c>
      <c r="C901" t="s">
        <v>5273</v>
      </c>
      <c r="D901" t="s">
        <v>286</v>
      </c>
      <c r="E901" t="s">
        <v>366</v>
      </c>
      <c r="F901" t="s">
        <v>21</v>
      </c>
      <c r="G901" t="s">
        <v>5281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>
      <c r="A902" t="str">
        <f>HYPERLINK("http://bombeiros.sp.gov.br/hidrantes/03individual/17715.html","17715")</f>
        <v>17715</v>
      </c>
      <c r="B902" t="str">
        <f>HYPERLINK("http://bombeiros.sp.gov.br/hidrantes/08bsg/qrcodeBSG.html?id=17715&amp;lat=-23.53516&amp;long=-46.62216&amp;tipo=S","QRCODE")</f>
        <v>QRCODE</v>
      </c>
      <c r="C902" t="s">
        <v>5273</v>
      </c>
      <c r="D902" t="s">
        <v>286</v>
      </c>
      <c r="E902" t="s">
        <v>366</v>
      </c>
      <c r="F902" t="s">
        <v>21</v>
      </c>
      <c r="G902" t="s">
        <v>2013</v>
      </c>
      <c r="H902">
        <v>0</v>
      </c>
      <c r="I902">
        <v>2</v>
      </c>
      <c r="J902">
        <v>0</v>
      </c>
      <c r="K902">
        <v>0</v>
      </c>
      <c r="L902">
        <v>0</v>
      </c>
    </row>
    <row r="903" spans="1:12">
      <c r="A903" t="str">
        <f>HYPERLINK("http://bombeiros.sp.gov.br/hidrantes/03individual/27423.html","27423")</f>
        <v>27423</v>
      </c>
      <c r="B903" t="str">
        <f>HYPERLINK("http://bombeiros.sp.gov.br/hidrantes/08bsg/qrcodeBSG.html?id=27423&amp;lat=-23.53668&amp;long=-46.61915&amp;tipo=S","QRCODE")</f>
        <v>QRCODE</v>
      </c>
      <c r="C903" t="s">
        <v>5273</v>
      </c>
      <c r="D903" t="s">
        <v>286</v>
      </c>
      <c r="E903" t="s">
        <v>366</v>
      </c>
      <c r="F903" t="s">
        <v>21</v>
      </c>
      <c r="G903" t="s">
        <v>5282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>
      <c r="A904" t="str">
        <f>HYPERLINK("http://bombeiros.sp.gov.br/hidrantes/03individual/1990.html","1990")</f>
        <v>1990</v>
      </c>
      <c r="B904" t="str">
        <f>HYPERLINK("http://bombeiros.sp.gov.br/hidrantes/08bsg/qrcodeBSG.html?id=1990&amp;lat=-23.53431&amp;long=-46.61312&amp;tipo=C","QRCODE")</f>
        <v>QRCODE</v>
      </c>
      <c r="C904" t="s">
        <v>5273</v>
      </c>
      <c r="D904" t="s">
        <v>286</v>
      </c>
      <c r="E904" t="s">
        <v>766</v>
      </c>
      <c r="F904" t="s">
        <v>12</v>
      </c>
      <c r="G904" t="s">
        <v>848</v>
      </c>
      <c r="H904">
        <v>2</v>
      </c>
      <c r="I904">
        <v>2</v>
      </c>
      <c r="J904">
        <v>0</v>
      </c>
      <c r="K904">
        <v>0</v>
      </c>
      <c r="L904">
        <v>0</v>
      </c>
    </row>
    <row r="905" spans="1:12">
      <c r="A905" t="str">
        <f>HYPERLINK("http://bombeiros.sp.gov.br/hidrantes/03individual/179.html","179")</f>
        <v>179</v>
      </c>
      <c r="B905" t="str">
        <f>HYPERLINK("http://bombeiros.sp.gov.br/hidrantes/08bsg/qrcodeBSG.html?id=179&amp;lat=-23.54034&amp;long=-46.61396&amp;tipo=S","QRCODE")</f>
        <v>QRCODE</v>
      </c>
      <c r="C905" t="s">
        <v>5273</v>
      </c>
      <c r="D905" t="s">
        <v>286</v>
      </c>
      <c r="E905" t="s">
        <v>766</v>
      </c>
      <c r="F905" t="s">
        <v>21</v>
      </c>
      <c r="G905" t="s">
        <v>1749</v>
      </c>
      <c r="H905">
        <v>0</v>
      </c>
      <c r="I905">
        <v>2</v>
      </c>
      <c r="J905">
        <v>0</v>
      </c>
      <c r="K905">
        <v>0</v>
      </c>
      <c r="L905">
        <v>0</v>
      </c>
    </row>
    <row r="906" spans="1:12">
      <c r="A906" t="str">
        <f>HYPERLINK("http://bombeiros.sp.gov.br/hidrantes/03individual/180.html","180")</f>
        <v>180</v>
      </c>
      <c r="B906" t="str">
        <f>HYPERLINK("http://bombeiros.sp.gov.br/hidrantes/08bsg/qrcodeBSG.html?id=180&amp;lat=-23.54035&amp;long=-46.61748&amp;tipo=S","QRCODE")</f>
        <v>QRCODE</v>
      </c>
      <c r="C906" t="s">
        <v>5273</v>
      </c>
      <c r="D906" t="s">
        <v>286</v>
      </c>
      <c r="E906" t="s">
        <v>766</v>
      </c>
      <c r="F906" t="s">
        <v>21</v>
      </c>
      <c r="G906" t="s">
        <v>1940</v>
      </c>
      <c r="H906">
        <v>0</v>
      </c>
      <c r="I906">
        <v>2</v>
      </c>
      <c r="J906">
        <v>0</v>
      </c>
      <c r="K906">
        <v>0</v>
      </c>
      <c r="L906">
        <v>0</v>
      </c>
    </row>
    <row r="907" spans="1:12">
      <c r="A907" t="str">
        <f>HYPERLINK("http://bombeiros.sp.gov.br/hidrantes/03individual/186.html","186")</f>
        <v>186</v>
      </c>
      <c r="B907" t="str">
        <f>HYPERLINK("http://bombeiros.sp.gov.br/hidrantes/08bsg/qrcodeBSG.html?id=186&amp;lat=-23.54040&amp;long=-46.61513&amp;tipo=S","QRCODE")</f>
        <v>QRCODE</v>
      </c>
      <c r="C907" t="s">
        <v>5273</v>
      </c>
      <c r="D907" t="s">
        <v>286</v>
      </c>
      <c r="E907" t="s">
        <v>766</v>
      </c>
      <c r="F907" t="s">
        <v>21</v>
      </c>
      <c r="G907" t="s">
        <v>1748</v>
      </c>
      <c r="H907">
        <v>0</v>
      </c>
      <c r="I907">
        <v>2</v>
      </c>
      <c r="J907">
        <v>0</v>
      </c>
      <c r="K907">
        <v>0</v>
      </c>
      <c r="L907">
        <v>0</v>
      </c>
    </row>
    <row r="908" spans="1:12">
      <c r="A908" t="str">
        <f>HYPERLINK("http://bombeiros.sp.gov.br/hidrantes/03individual/215.html","215")</f>
        <v>215</v>
      </c>
      <c r="B908" t="str">
        <f>HYPERLINK("http://bombeiros.sp.gov.br/hidrantes/08bsg/qrcodeBSG.html?id=215&amp;lat=-23.54126&amp;long=-46.61416&amp;tipo=S","QRCODE")</f>
        <v>QRCODE</v>
      </c>
      <c r="C908" t="s">
        <v>5273</v>
      </c>
      <c r="D908" t="s">
        <v>286</v>
      </c>
      <c r="E908" t="s">
        <v>766</v>
      </c>
      <c r="F908" t="s">
        <v>21</v>
      </c>
      <c r="G908" t="s">
        <v>1755</v>
      </c>
      <c r="H908">
        <v>0</v>
      </c>
      <c r="I908">
        <v>2</v>
      </c>
      <c r="J908">
        <v>0</v>
      </c>
      <c r="K908">
        <v>0</v>
      </c>
      <c r="L908">
        <v>0</v>
      </c>
    </row>
    <row r="909" spans="1:12">
      <c r="A909" t="str">
        <f>HYPERLINK("http://bombeiros.sp.gov.br/hidrantes/03individual/245.html","245")</f>
        <v>245</v>
      </c>
      <c r="B909" t="str">
        <f>HYPERLINK("http://bombeiros.sp.gov.br/hidrantes/08bsg/qrcodeBSG.html?id=245&amp;lat=-23.53853&amp;long=-46.61377&amp;tipo=S","QRCODE")</f>
        <v>QRCODE</v>
      </c>
      <c r="C909" t="s">
        <v>5273</v>
      </c>
      <c r="D909" t="s">
        <v>286</v>
      </c>
      <c r="E909" t="s">
        <v>766</v>
      </c>
      <c r="F909" t="s">
        <v>21</v>
      </c>
      <c r="G909" t="s">
        <v>786</v>
      </c>
      <c r="H909">
        <v>1</v>
      </c>
      <c r="I909">
        <v>3</v>
      </c>
      <c r="J909">
        <v>0</v>
      </c>
      <c r="K909">
        <v>0</v>
      </c>
      <c r="L909">
        <v>0</v>
      </c>
    </row>
    <row r="910" spans="1:12">
      <c r="A910" t="str">
        <f>HYPERLINK("http://bombeiros.sp.gov.br/hidrantes/03individual/270.html","270")</f>
        <v>270</v>
      </c>
      <c r="B910" t="str">
        <f>HYPERLINK("http://bombeiros.sp.gov.br/hidrantes/08bsg/qrcodeBSG.html?id=270&amp;lat=-23.53585&amp;long=-46.61284&amp;tipo=S","QRCODE")</f>
        <v>QRCODE</v>
      </c>
      <c r="C910" t="s">
        <v>5273</v>
      </c>
      <c r="D910" t="s">
        <v>286</v>
      </c>
      <c r="E910" t="s">
        <v>766</v>
      </c>
      <c r="F910" t="s">
        <v>21</v>
      </c>
      <c r="G910" t="s">
        <v>2532</v>
      </c>
      <c r="H910">
        <v>0</v>
      </c>
      <c r="I910">
        <v>2</v>
      </c>
      <c r="J910">
        <v>0</v>
      </c>
      <c r="K910">
        <v>0</v>
      </c>
      <c r="L910">
        <v>0</v>
      </c>
    </row>
    <row r="911" spans="1:12">
      <c r="A911" t="str">
        <f>HYPERLINK("http://bombeiros.sp.gov.br/hidrantes/03individual/271.html","271")</f>
        <v>271</v>
      </c>
      <c r="B911" t="str">
        <f>HYPERLINK("http://bombeiros.sp.gov.br/hidrantes/08bsg/qrcodeBSG.html?id=271&amp;lat=-23.53638&amp;long=-46.61162&amp;tipo=S","QRCODE")</f>
        <v>QRCODE</v>
      </c>
      <c r="C911" t="s">
        <v>5273</v>
      </c>
      <c r="D911" t="s">
        <v>286</v>
      </c>
      <c r="E911" t="s">
        <v>766</v>
      </c>
      <c r="F911" t="s">
        <v>21</v>
      </c>
      <c r="G911" t="s">
        <v>840</v>
      </c>
      <c r="H911">
        <v>1</v>
      </c>
      <c r="I911">
        <v>2</v>
      </c>
      <c r="J911">
        <v>0</v>
      </c>
      <c r="K911">
        <v>0</v>
      </c>
      <c r="L911">
        <v>0</v>
      </c>
    </row>
    <row r="912" spans="1:12">
      <c r="A912" t="str">
        <f>HYPERLINK("http://bombeiros.sp.gov.br/hidrantes/03individual/694.html","694")</f>
        <v>694</v>
      </c>
      <c r="B912" t="str">
        <f>HYPERLINK("http://bombeiros.sp.gov.br/hidrantes/08bsg/qrcodeBSG.html?id=694&amp;lat=-23.53557&amp;long=-46.61765&amp;tipo=S","QRCODE")</f>
        <v>QRCODE</v>
      </c>
      <c r="C912" t="s">
        <v>5273</v>
      </c>
      <c r="D912" t="s">
        <v>286</v>
      </c>
      <c r="E912" t="s">
        <v>766</v>
      </c>
      <c r="F912" t="s">
        <v>21</v>
      </c>
      <c r="G912" t="s">
        <v>5283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>
      <c r="A913" t="str">
        <f>HYPERLINK("http://bombeiros.sp.gov.br/hidrantes/03individual/773.html","773")</f>
        <v>773</v>
      </c>
      <c r="B913" t="str">
        <f>HYPERLINK("http://bombeiros.sp.gov.br/hidrantes/08bsg/qrcodeBSG.html?id=773&amp;lat=-23.53766&amp;long=-46.61613&amp;tipo=S","QRCODE")</f>
        <v>QRCODE</v>
      </c>
      <c r="C913" t="s">
        <v>5273</v>
      </c>
      <c r="D913" t="s">
        <v>286</v>
      </c>
      <c r="E913" t="s">
        <v>766</v>
      </c>
      <c r="F913" t="s">
        <v>21</v>
      </c>
      <c r="G913" t="s">
        <v>1964</v>
      </c>
      <c r="H913">
        <v>0</v>
      </c>
      <c r="I913">
        <v>2</v>
      </c>
      <c r="J913">
        <v>0</v>
      </c>
      <c r="K913">
        <v>0</v>
      </c>
      <c r="L913">
        <v>0</v>
      </c>
    </row>
    <row r="914" spans="1:12">
      <c r="A914" t="str">
        <f>HYPERLINK("http://bombeiros.sp.gov.br/hidrantes/03individual/786.html","786")</f>
        <v>786</v>
      </c>
      <c r="B914" t="str">
        <f>HYPERLINK("http://bombeiros.sp.gov.br/hidrantes/08bsg/qrcodeBSG.html?id=786&amp;lat=-23.53566&amp;long=-46.61595&amp;tipo=S","QRCODE")</f>
        <v>QRCODE</v>
      </c>
      <c r="C914" t="s">
        <v>5273</v>
      </c>
      <c r="D914" t="s">
        <v>286</v>
      </c>
      <c r="E914" t="s">
        <v>766</v>
      </c>
      <c r="F914" t="s">
        <v>21</v>
      </c>
      <c r="G914" t="s">
        <v>794</v>
      </c>
      <c r="H914">
        <v>1</v>
      </c>
      <c r="I914">
        <v>2</v>
      </c>
      <c r="J914">
        <v>0</v>
      </c>
      <c r="K914">
        <v>0</v>
      </c>
      <c r="L914">
        <v>0</v>
      </c>
    </row>
    <row r="915" spans="1:12">
      <c r="A915" t="str">
        <f>HYPERLINK("http://bombeiros.sp.gov.br/hidrantes/03individual/814.html","814")</f>
        <v>814</v>
      </c>
      <c r="B915" t="str">
        <f>HYPERLINK("http://bombeiros.sp.gov.br/hidrantes/08bsg/qrcodeBSG.html?id=814&amp;lat=-23.53758&amp;long=-46.61410&amp;tipo=S","QRCODE")</f>
        <v>QRCODE</v>
      </c>
      <c r="C915" t="s">
        <v>5273</v>
      </c>
      <c r="D915" t="s">
        <v>286</v>
      </c>
      <c r="E915" t="s">
        <v>766</v>
      </c>
      <c r="F915" t="s">
        <v>21</v>
      </c>
      <c r="G915" t="s">
        <v>2523</v>
      </c>
      <c r="H915">
        <v>0</v>
      </c>
      <c r="I915">
        <v>3</v>
      </c>
      <c r="J915">
        <v>0</v>
      </c>
      <c r="K915">
        <v>0</v>
      </c>
      <c r="L915">
        <v>0</v>
      </c>
    </row>
    <row r="916" spans="1:12">
      <c r="A916" t="str">
        <f>HYPERLINK("http://bombeiros.sp.gov.br/hidrantes/03individual/816.html","816")</f>
        <v>816</v>
      </c>
      <c r="B916" t="str">
        <f>HYPERLINK("http://bombeiros.sp.gov.br/hidrantes/08bsg/qrcodeBSG.html?id=816&amp;lat=-23.53374&amp;long=-46.61259&amp;tipo=S","QRCODE")</f>
        <v>QRCODE</v>
      </c>
      <c r="C916" t="s">
        <v>5273</v>
      </c>
      <c r="D916" t="s">
        <v>286</v>
      </c>
      <c r="E916" t="s">
        <v>766</v>
      </c>
      <c r="F916" t="s">
        <v>21</v>
      </c>
      <c r="G916" t="s">
        <v>800</v>
      </c>
      <c r="H916">
        <v>1</v>
      </c>
      <c r="I916">
        <v>2</v>
      </c>
      <c r="J916">
        <v>0</v>
      </c>
      <c r="K916">
        <v>0</v>
      </c>
      <c r="L916">
        <v>0</v>
      </c>
    </row>
    <row r="917" spans="1:12">
      <c r="A917" t="str">
        <f>HYPERLINK("http://bombeiros.sp.gov.br/hidrantes/03individual/1601.html","1601")</f>
        <v>1601</v>
      </c>
      <c r="B917" t="str">
        <f>HYPERLINK("http://bombeiros.sp.gov.br/hidrantes/08bsg/qrcodeBSG.html?id=1601&amp;lat=-23.53811&amp;long=-46.60853&amp;tipo=S","QRCODE")</f>
        <v>QRCODE</v>
      </c>
      <c r="C917" t="s">
        <v>5273</v>
      </c>
      <c r="D917" t="s">
        <v>286</v>
      </c>
      <c r="E917" t="s">
        <v>766</v>
      </c>
      <c r="F917" t="s">
        <v>21</v>
      </c>
      <c r="G917" t="s">
        <v>2708</v>
      </c>
      <c r="H917">
        <v>0</v>
      </c>
      <c r="I917">
        <v>2</v>
      </c>
      <c r="J917">
        <v>0</v>
      </c>
      <c r="K917">
        <v>0</v>
      </c>
      <c r="L917">
        <v>0</v>
      </c>
    </row>
    <row r="918" spans="1:12">
      <c r="A918" t="str">
        <f>HYPERLINK("http://bombeiros.sp.gov.br/hidrantes/03individual/1958.html","1958")</f>
        <v>1958</v>
      </c>
      <c r="B918" t="str">
        <f>HYPERLINK("http://bombeiros.sp.gov.br/hidrantes/08bsg/qrcodeBSG.html?id=1958&amp;lat=-23.53765&amp;long=-46.61159&amp;tipo=S","QRCODE")</f>
        <v>QRCODE</v>
      </c>
      <c r="C918" t="s">
        <v>5273</v>
      </c>
      <c r="D918" t="s">
        <v>286</v>
      </c>
      <c r="E918" t="s">
        <v>766</v>
      </c>
      <c r="F918" t="s">
        <v>21</v>
      </c>
      <c r="G918" t="s">
        <v>5084</v>
      </c>
      <c r="H918">
        <v>0</v>
      </c>
      <c r="I918">
        <v>1</v>
      </c>
      <c r="J918">
        <v>0</v>
      </c>
      <c r="K918">
        <v>0</v>
      </c>
      <c r="L918">
        <v>0</v>
      </c>
    </row>
    <row r="919" spans="1:12">
      <c r="A919" t="str">
        <f>HYPERLINK("http://bombeiros.sp.gov.br/hidrantes/03individual/1999.html","1999")</f>
        <v>1999</v>
      </c>
      <c r="B919" t="str">
        <f>HYPERLINK("http://bombeiros.sp.gov.br/hidrantes/08bsg/qrcodeBSG.html?id=1999&amp;lat=-23.53772&amp;long=-46.61755&amp;tipo=S","QRCODE")</f>
        <v>QRCODE</v>
      </c>
      <c r="C919" t="s">
        <v>5273</v>
      </c>
      <c r="D919" t="s">
        <v>286</v>
      </c>
      <c r="E919" t="s">
        <v>766</v>
      </c>
      <c r="F919" t="s">
        <v>21</v>
      </c>
      <c r="G919" t="s">
        <v>1971</v>
      </c>
      <c r="H919">
        <v>0</v>
      </c>
      <c r="I919">
        <v>2</v>
      </c>
      <c r="J919">
        <v>0</v>
      </c>
      <c r="K919">
        <v>0</v>
      </c>
      <c r="L919">
        <v>0</v>
      </c>
    </row>
    <row r="920" spans="1:12">
      <c r="A920" t="str">
        <f>HYPERLINK("http://bombeiros.sp.gov.br/hidrantes/03individual/2027.html","2027")</f>
        <v>2027</v>
      </c>
      <c r="B920" t="str">
        <f>HYPERLINK("http://bombeiros.sp.gov.br/hidrantes/08bsg/qrcodeBSG.html?id=2027&amp;lat=-23.53430&amp;long=-46.61465&amp;tipo=S","QRCODE")</f>
        <v>QRCODE</v>
      </c>
      <c r="C920" t="s">
        <v>5273</v>
      </c>
      <c r="D920" t="s">
        <v>286</v>
      </c>
      <c r="E920" t="s">
        <v>766</v>
      </c>
      <c r="F920" t="s">
        <v>21</v>
      </c>
      <c r="G920" t="s">
        <v>792</v>
      </c>
      <c r="H920">
        <v>1</v>
      </c>
      <c r="I920">
        <v>1</v>
      </c>
      <c r="J920">
        <v>0</v>
      </c>
      <c r="K920">
        <v>0</v>
      </c>
      <c r="L920">
        <v>0</v>
      </c>
    </row>
    <row r="921" spans="1:12">
      <c r="A921" t="str">
        <f>HYPERLINK("http://bombeiros.sp.gov.br/hidrantes/03individual/2029.html","2029")</f>
        <v>2029</v>
      </c>
      <c r="B921" t="str">
        <f>HYPERLINK("http://bombeiros.sp.gov.br/hidrantes/08bsg/qrcodeBSG.html?id=2029&amp;lat=-23.53763&amp;long=-46.61524&amp;tipo=S","QRCODE")</f>
        <v>QRCODE</v>
      </c>
      <c r="C921" t="s">
        <v>5273</v>
      </c>
      <c r="D921" t="s">
        <v>286</v>
      </c>
      <c r="E921" t="s">
        <v>766</v>
      </c>
      <c r="F921" t="s">
        <v>21</v>
      </c>
      <c r="G921" t="s">
        <v>4933</v>
      </c>
      <c r="H921">
        <v>0</v>
      </c>
      <c r="I921">
        <v>1</v>
      </c>
      <c r="J921">
        <v>0</v>
      </c>
      <c r="K921">
        <v>0</v>
      </c>
      <c r="L921">
        <v>0</v>
      </c>
    </row>
    <row r="922" spans="1:12">
      <c r="A922" t="str">
        <f>HYPERLINK("http://bombeiros.sp.gov.br/hidrantes/03individual/2031.html","2031")</f>
        <v>2031</v>
      </c>
      <c r="B922" t="str">
        <f>HYPERLINK("http://bombeiros.sp.gov.br/hidrantes/08bsg/qrcodeBSG.html?id=2031&amp;lat=-23.53687&amp;long=-46.61555&amp;tipo=S","QRCODE")</f>
        <v>QRCODE</v>
      </c>
      <c r="C922" t="s">
        <v>5273</v>
      </c>
      <c r="D922" t="s">
        <v>286</v>
      </c>
      <c r="E922" t="s">
        <v>766</v>
      </c>
      <c r="F922" t="s">
        <v>21</v>
      </c>
      <c r="G922" t="s">
        <v>765</v>
      </c>
      <c r="H922">
        <v>1</v>
      </c>
      <c r="I922">
        <v>3</v>
      </c>
      <c r="J922">
        <v>0</v>
      </c>
      <c r="K922">
        <v>0</v>
      </c>
      <c r="L922">
        <v>0</v>
      </c>
    </row>
    <row r="923" spans="1:12">
      <c r="A923" t="str">
        <f>HYPERLINK("http://bombeiros.sp.gov.br/hidrantes/03individual/26656.html","26656")</f>
        <v>26656</v>
      </c>
      <c r="B923" t="str">
        <f>HYPERLINK("http://bombeiros.sp.gov.br/hidrantes/08bsg/qrcodeBSG.html?id=26656&amp;lat=-23.53860&amp;long=-46.60961&amp;tipo=S","QRCODE")</f>
        <v>QRCODE</v>
      </c>
      <c r="C923" t="s">
        <v>5273</v>
      </c>
      <c r="D923" t="s">
        <v>286</v>
      </c>
      <c r="E923" t="s">
        <v>766</v>
      </c>
      <c r="F923" t="s">
        <v>21</v>
      </c>
      <c r="G923" t="s">
        <v>3350</v>
      </c>
      <c r="H923">
        <v>0</v>
      </c>
      <c r="I923">
        <v>2</v>
      </c>
      <c r="J923">
        <v>0</v>
      </c>
      <c r="K923">
        <v>0</v>
      </c>
      <c r="L923">
        <v>0</v>
      </c>
    </row>
    <row r="924" spans="1:12">
      <c r="A924" t="str">
        <f>HYPERLINK("http://bombeiros.sp.gov.br/hidrantes/03individual/919.html","919")</f>
        <v>919</v>
      </c>
      <c r="B924" t="str">
        <f>HYPERLINK("http://bombeiros.sp.gov.br/hidrantes/08bsg/qrcodeBSG.html?id=919&amp;lat=-23.50300&amp;long=-46.52481&amp;tipo=C","QRCODE")</f>
        <v>QRCODE</v>
      </c>
      <c r="C924" t="s">
        <v>5273</v>
      </c>
      <c r="D924" t="s">
        <v>5284</v>
      </c>
      <c r="E924" t="s">
        <v>1172</v>
      </c>
      <c r="F924" t="s">
        <v>12</v>
      </c>
      <c r="G924" t="s">
        <v>2519</v>
      </c>
      <c r="H924">
        <v>0</v>
      </c>
      <c r="I924">
        <v>2</v>
      </c>
      <c r="J924">
        <v>0</v>
      </c>
      <c r="K924">
        <v>0</v>
      </c>
      <c r="L924">
        <v>0</v>
      </c>
    </row>
    <row r="925" spans="1:12">
      <c r="A925" t="str">
        <f>HYPERLINK("http://bombeiros.sp.gov.br/hidrantes/03individual/935.html","935")</f>
        <v>935</v>
      </c>
      <c r="B925" t="str">
        <f>HYPERLINK("http://bombeiros.sp.gov.br/hidrantes/08bsg/qrcodeBSG.html?id=935&amp;lat=-23.50622&amp;long=-46.52590&amp;tipo=C","QRCODE")</f>
        <v>QRCODE</v>
      </c>
      <c r="C925" t="s">
        <v>5273</v>
      </c>
      <c r="D925" t="s">
        <v>5284</v>
      </c>
      <c r="E925" t="s">
        <v>1172</v>
      </c>
      <c r="F925" t="s">
        <v>12</v>
      </c>
      <c r="G925" t="s">
        <v>1228</v>
      </c>
      <c r="H925">
        <v>1</v>
      </c>
      <c r="I925">
        <v>2</v>
      </c>
      <c r="J925">
        <v>0</v>
      </c>
      <c r="K925">
        <v>0</v>
      </c>
      <c r="L925">
        <v>0</v>
      </c>
    </row>
    <row r="926" spans="1:12">
      <c r="A926" t="str">
        <f>HYPERLINK("http://bombeiros.sp.gov.br/hidrantes/03individual/945.html","945")</f>
        <v>945</v>
      </c>
      <c r="B926" t="str">
        <f>HYPERLINK("http://bombeiros.sp.gov.br/hidrantes/08bsg/qrcodeBSG.html?id=945&amp;lat=-23.50934&amp;long=-46.53049&amp;tipo=C","QRCODE")</f>
        <v>QRCODE</v>
      </c>
      <c r="C926" t="s">
        <v>5273</v>
      </c>
      <c r="D926" t="s">
        <v>5284</v>
      </c>
      <c r="E926" t="s">
        <v>1172</v>
      </c>
      <c r="F926" t="s">
        <v>12</v>
      </c>
      <c r="G926" t="s">
        <v>2518</v>
      </c>
      <c r="H926">
        <v>0</v>
      </c>
      <c r="I926">
        <v>2</v>
      </c>
      <c r="J926">
        <v>0</v>
      </c>
      <c r="K926">
        <v>0</v>
      </c>
      <c r="L926">
        <v>0</v>
      </c>
    </row>
    <row r="927" spans="1:12">
      <c r="A927" t="str">
        <f>HYPERLINK("http://bombeiros.sp.gov.br/hidrantes/03individual/946.html","946")</f>
        <v>946</v>
      </c>
      <c r="B927" t="str">
        <f>HYPERLINK("http://bombeiros.sp.gov.br/hidrantes/08bsg/qrcodeBSG.html?id=946&amp;lat=-23.51295&amp;long=-46.53660&amp;tipo=C","QRCODE")</f>
        <v>QRCODE</v>
      </c>
      <c r="C927" t="s">
        <v>5273</v>
      </c>
      <c r="D927" t="s">
        <v>5284</v>
      </c>
      <c r="E927" t="s">
        <v>1172</v>
      </c>
      <c r="F927" t="s">
        <v>12</v>
      </c>
      <c r="G927" t="s">
        <v>1226</v>
      </c>
      <c r="H927">
        <v>0</v>
      </c>
      <c r="I927">
        <v>3</v>
      </c>
      <c r="J927">
        <v>0</v>
      </c>
      <c r="K927">
        <v>0</v>
      </c>
      <c r="L927">
        <v>0</v>
      </c>
    </row>
    <row r="928" spans="1:12">
      <c r="A928" t="str">
        <f>HYPERLINK("http://bombeiros.sp.gov.br/hidrantes/03individual/1381.html","1381")</f>
        <v>1381</v>
      </c>
      <c r="B928" t="str">
        <f>HYPERLINK("http://bombeiros.sp.gov.br/hidrantes/08bsg/qrcodeBSG.html?id=1381&amp;lat=-23.51092&amp;long=-46.54115&amp;tipo=C","QRCODE")</f>
        <v>QRCODE</v>
      </c>
      <c r="C928" t="s">
        <v>5273</v>
      </c>
      <c r="D928" t="s">
        <v>5284</v>
      </c>
      <c r="E928" t="s">
        <v>1172</v>
      </c>
      <c r="F928" t="s">
        <v>12</v>
      </c>
      <c r="G928" t="s">
        <v>1184</v>
      </c>
      <c r="H928">
        <v>0</v>
      </c>
      <c r="I928">
        <v>2</v>
      </c>
      <c r="J928">
        <v>0</v>
      </c>
      <c r="K928">
        <v>0</v>
      </c>
      <c r="L928">
        <v>0</v>
      </c>
    </row>
    <row r="929" spans="1:12">
      <c r="A929" t="str">
        <f>HYPERLINK("http://bombeiros.sp.gov.br/hidrantes/03individual/929.html","929")</f>
        <v>929</v>
      </c>
      <c r="B929" t="str">
        <f>HYPERLINK("http://bombeiros.sp.gov.br/hidrantes/08bsg/qrcodeBSG.html?id=929&amp;lat=-23.50653&amp;long=-46.53153&amp;tipo=S","QRCODE")</f>
        <v>QRCODE</v>
      </c>
      <c r="C929" t="s">
        <v>5273</v>
      </c>
      <c r="D929" t="s">
        <v>5284</v>
      </c>
      <c r="E929" t="s">
        <v>1172</v>
      </c>
      <c r="F929" t="s">
        <v>21</v>
      </c>
      <c r="G929" t="s">
        <v>1227</v>
      </c>
      <c r="H929">
        <v>1</v>
      </c>
      <c r="I929">
        <v>2</v>
      </c>
      <c r="J929">
        <v>0</v>
      </c>
      <c r="K929">
        <v>0</v>
      </c>
      <c r="L929">
        <v>0</v>
      </c>
    </row>
    <row r="930" spans="1:12">
      <c r="A930" t="str">
        <f>HYPERLINK("http://bombeiros.sp.gov.br/hidrantes/03individual/1044.html","1044")</f>
        <v>1044</v>
      </c>
      <c r="B930" t="str">
        <f>HYPERLINK("http://bombeiros.sp.gov.br/hidrantes/08bsg/qrcodeBSG.html?id=1044&amp;lat=-23.50147&amp;long=-46.52437&amp;tipo=S","QRCODE")</f>
        <v>QRCODE</v>
      </c>
      <c r="C930" t="s">
        <v>5273</v>
      </c>
      <c r="D930" t="s">
        <v>5284</v>
      </c>
      <c r="E930" t="s">
        <v>1172</v>
      </c>
      <c r="F930" t="s">
        <v>21</v>
      </c>
      <c r="G930" t="s">
        <v>2512</v>
      </c>
      <c r="H930">
        <v>0</v>
      </c>
      <c r="I930">
        <v>2</v>
      </c>
      <c r="J930">
        <v>0</v>
      </c>
      <c r="K930">
        <v>0</v>
      </c>
      <c r="L930">
        <v>0</v>
      </c>
    </row>
    <row r="931" spans="1:12">
      <c r="A931" t="str">
        <f>HYPERLINK("http://bombeiros.sp.gov.br/hidrantes/03individual/1045.html","1045")</f>
        <v>1045</v>
      </c>
      <c r="B931" t="str">
        <f>HYPERLINK("http://bombeiros.sp.gov.br/hidrantes/08bsg/qrcodeBSG.html?id=1045&amp;lat=-23.50705&amp;long=-46.53436&amp;tipo=S","QRCODE")</f>
        <v>QRCODE</v>
      </c>
      <c r="C931" t="s">
        <v>5273</v>
      </c>
      <c r="D931" t="s">
        <v>5284</v>
      </c>
      <c r="E931" t="s">
        <v>1172</v>
      </c>
      <c r="F931" t="s">
        <v>21</v>
      </c>
      <c r="G931" t="s">
        <v>2514</v>
      </c>
      <c r="H931">
        <v>0</v>
      </c>
      <c r="I931">
        <v>2</v>
      </c>
      <c r="J931">
        <v>0</v>
      </c>
      <c r="K931">
        <v>0</v>
      </c>
      <c r="L931">
        <v>0</v>
      </c>
    </row>
    <row r="932" spans="1:12">
      <c r="A932" t="str">
        <f>HYPERLINK("http://bombeiros.sp.gov.br/hidrantes/03individual/1383.html","1383")</f>
        <v>1383</v>
      </c>
      <c r="B932" t="str">
        <f>HYPERLINK("http://bombeiros.sp.gov.br/hidrantes/08bsg/qrcodeBSG.html?id=1383&amp;lat=-23.51321&amp;long=-46.53322&amp;tipo=S","QRCODE")</f>
        <v>QRCODE</v>
      </c>
      <c r="C932" t="s">
        <v>5273</v>
      </c>
      <c r="D932" t="s">
        <v>5284</v>
      </c>
      <c r="E932" t="s">
        <v>1172</v>
      </c>
      <c r="F932" t="s">
        <v>21</v>
      </c>
      <c r="G932" t="s">
        <v>2552</v>
      </c>
      <c r="H932">
        <v>0</v>
      </c>
      <c r="I932">
        <v>2</v>
      </c>
      <c r="J932">
        <v>0</v>
      </c>
      <c r="K932">
        <v>0</v>
      </c>
      <c r="L932">
        <v>0</v>
      </c>
    </row>
    <row r="933" spans="1:12">
      <c r="A933" t="str">
        <f>HYPERLINK("http://bombeiros.sp.gov.br/hidrantes/03individual/1384.html","1384")</f>
        <v>1384</v>
      </c>
      <c r="B933" t="str">
        <f>HYPERLINK("http://bombeiros.sp.gov.br/hidrantes/08bsg/qrcodeBSG.html?id=1384&amp;lat=-23.50827&amp;long=-46.53658&amp;tipo=S","QRCODE")</f>
        <v>QRCODE</v>
      </c>
      <c r="C933" t="s">
        <v>5273</v>
      </c>
      <c r="D933" t="s">
        <v>5284</v>
      </c>
      <c r="E933" t="s">
        <v>1172</v>
      </c>
      <c r="F933" t="s">
        <v>21</v>
      </c>
      <c r="G933" t="s">
        <v>3726</v>
      </c>
      <c r="H933">
        <v>0</v>
      </c>
      <c r="I933">
        <v>1</v>
      </c>
      <c r="J933">
        <v>0</v>
      </c>
      <c r="K933">
        <v>0</v>
      </c>
      <c r="L933">
        <v>0</v>
      </c>
    </row>
    <row r="934" spans="1:12">
      <c r="A934" t="str">
        <f>HYPERLINK("http://bombeiros.sp.gov.br/hidrantes/03individual/1424.html","1424")</f>
        <v>1424</v>
      </c>
      <c r="B934" t="str">
        <f>HYPERLINK("http://bombeiros.sp.gov.br/hidrantes/08bsg/qrcodeBSG.html?id=1424&amp;lat=-23.50811&amp;long=-46.54211&amp;tipo=S","QRCODE")</f>
        <v>QRCODE</v>
      </c>
      <c r="C934" t="s">
        <v>5273</v>
      </c>
      <c r="D934" t="s">
        <v>5284</v>
      </c>
      <c r="E934" t="s">
        <v>1172</v>
      </c>
      <c r="F934" t="s">
        <v>21</v>
      </c>
      <c r="G934" t="s">
        <v>1186</v>
      </c>
      <c r="H934">
        <v>0</v>
      </c>
      <c r="I934">
        <v>2</v>
      </c>
      <c r="J934">
        <v>0</v>
      </c>
      <c r="K934">
        <v>0</v>
      </c>
      <c r="L934">
        <v>0</v>
      </c>
    </row>
    <row r="935" spans="1:12">
      <c r="A935" t="str">
        <f>HYPERLINK("http://bombeiros.sp.gov.br/hidrantes/03individual/1426.html","1426")</f>
        <v>1426</v>
      </c>
      <c r="B935" t="str">
        <f>HYPERLINK("http://bombeiros.sp.gov.br/hidrantes/08bsg/qrcodeBSG.html?id=1426&amp;lat=-23.51276&amp;long=-46.53041&amp;tipo=S","QRCODE")</f>
        <v>QRCODE</v>
      </c>
      <c r="C935" t="s">
        <v>5273</v>
      </c>
      <c r="D935" t="s">
        <v>5284</v>
      </c>
      <c r="E935" t="s">
        <v>1172</v>
      </c>
      <c r="F935" t="s">
        <v>21</v>
      </c>
      <c r="G935" t="s">
        <v>4769</v>
      </c>
      <c r="H935">
        <v>1</v>
      </c>
      <c r="I935">
        <v>1</v>
      </c>
      <c r="J935">
        <v>0</v>
      </c>
      <c r="K935">
        <v>0</v>
      </c>
      <c r="L935">
        <v>0</v>
      </c>
    </row>
    <row r="936" spans="1:12">
      <c r="A936" t="str">
        <f>HYPERLINK("http://bombeiros.sp.gov.br/hidrantes/03individual/1427.html","1427")</f>
        <v>1427</v>
      </c>
      <c r="B936" t="str">
        <f>HYPERLINK("http://bombeiros.sp.gov.br/hidrantes/08bsg/qrcodeBSG.html?id=1427&amp;lat=-23.51311&amp;long=-46.52894&amp;tipo=S","QRCODE")</f>
        <v>QRCODE</v>
      </c>
      <c r="C936" t="s">
        <v>5273</v>
      </c>
      <c r="D936" t="s">
        <v>5284</v>
      </c>
      <c r="E936" t="s">
        <v>1172</v>
      </c>
      <c r="F936" t="s">
        <v>21</v>
      </c>
      <c r="G936" t="s">
        <v>2554</v>
      </c>
      <c r="H936">
        <v>0</v>
      </c>
      <c r="I936">
        <v>2</v>
      </c>
      <c r="J936">
        <v>0</v>
      </c>
      <c r="K936">
        <v>0</v>
      </c>
      <c r="L936">
        <v>0</v>
      </c>
    </row>
    <row r="937" spans="1:12">
      <c r="A937" t="str">
        <f>HYPERLINK("http://bombeiros.sp.gov.br/hidrantes/03individual/1429.html","1429")</f>
        <v>1429</v>
      </c>
      <c r="B937" t="str">
        <f>HYPERLINK("http://bombeiros.sp.gov.br/hidrantes/08bsg/qrcodeBSG.html?id=1429&amp;lat=-23.51181&amp;long=-46.53005&amp;tipo=S","QRCODE")</f>
        <v>QRCODE</v>
      </c>
      <c r="C937" t="s">
        <v>5273</v>
      </c>
      <c r="D937" t="s">
        <v>5284</v>
      </c>
      <c r="E937" t="s">
        <v>1172</v>
      </c>
      <c r="F937" t="s">
        <v>21</v>
      </c>
      <c r="G937" t="s">
        <v>1187</v>
      </c>
      <c r="H937">
        <v>0</v>
      </c>
      <c r="I937">
        <v>2</v>
      </c>
      <c r="J937">
        <v>0</v>
      </c>
      <c r="K937">
        <v>0</v>
      </c>
      <c r="L937">
        <v>0</v>
      </c>
    </row>
    <row r="938" spans="1:12">
      <c r="A938" t="str">
        <f>HYPERLINK("http://bombeiros.sp.gov.br/hidrantes/03individual/1431.html","1431")</f>
        <v>1431</v>
      </c>
      <c r="B938" t="str">
        <f>HYPERLINK("http://bombeiros.sp.gov.br/hidrantes/08bsg/qrcodeBSG.html?id=1431&amp;lat=-23.51091&amp;long=-46.52698&amp;tipo=S","QRCODE")</f>
        <v>QRCODE</v>
      </c>
      <c r="C938" t="s">
        <v>5273</v>
      </c>
      <c r="D938" t="s">
        <v>5284</v>
      </c>
      <c r="E938" t="s">
        <v>1172</v>
      </c>
      <c r="F938" t="s">
        <v>21</v>
      </c>
      <c r="G938" t="s">
        <v>1188</v>
      </c>
      <c r="H938">
        <v>1</v>
      </c>
      <c r="I938">
        <v>2</v>
      </c>
      <c r="J938">
        <v>0</v>
      </c>
      <c r="K938">
        <v>0</v>
      </c>
      <c r="L938">
        <v>0</v>
      </c>
    </row>
    <row r="939" spans="1:12">
      <c r="A939" t="str">
        <f>HYPERLINK("http://bombeiros.sp.gov.br/hidrantes/03individual/1433.html","1433")</f>
        <v>1433</v>
      </c>
      <c r="B939" t="str">
        <f>HYPERLINK("http://bombeiros.sp.gov.br/hidrantes/08bsg/qrcodeBSG.html?id=1433&amp;lat=-23.50329&amp;long=-46.52632&amp;tipo=S","QRCODE")</f>
        <v>QRCODE</v>
      </c>
      <c r="C939" t="s">
        <v>5273</v>
      </c>
      <c r="D939" t="s">
        <v>5284</v>
      </c>
      <c r="E939" t="s">
        <v>1172</v>
      </c>
      <c r="F939" t="s">
        <v>21</v>
      </c>
      <c r="G939" t="s">
        <v>1189</v>
      </c>
      <c r="H939">
        <v>1</v>
      </c>
      <c r="I939">
        <v>2</v>
      </c>
      <c r="J939">
        <v>0</v>
      </c>
      <c r="K939">
        <v>0</v>
      </c>
      <c r="L939">
        <v>0</v>
      </c>
    </row>
    <row r="940" spans="1:12">
      <c r="A940" t="str">
        <f>HYPERLINK("http://bombeiros.sp.gov.br/hidrantes/03individual/3011.html","3011")</f>
        <v>3011</v>
      </c>
      <c r="B940" t="str">
        <f>HYPERLINK("http://bombeiros.sp.gov.br/hidrantes/08bsg/qrcodeBSG.html?id=3011&amp;lat=-23.51098&amp;long=-46.54331&amp;tipo=S","QRCODE")</f>
        <v>QRCODE</v>
      </c>
      <c r="C940" t="s">
        <v>5273</v>
      </c>
      <c r="D940" t="s">
        <v>5284</v>
      </c>
      <c r="E940" t="s">
        <v>1172</v>
      </c>
      <c r="F940" t="s">
        <v>21</v>
      </c>
      <c r="G940" t="s">
        <v>3747</v>
      </c>
      <c r="H940">
        <v>0</v>
      </c>
      <c r="I940">
        <v>1</v>
      </c>
      <c r="J940">
        <v>0</v>
      </c>
      <c r="K940">
        <v>0</v>
      </c>
      <c r="L940">
        <v>0</v>
      </c>
    </row>
    <row r="941" spans="1:12">
      <c r="A941" t="str">
        <f>HYPERLINK("http://bombeiros.sp.gov.br/hidrantes/03individual/3335.html","3335")</f>
        <v>3335</v>
      </c>
      <c r="B941" t="str">
        <f>HYPERLINK("http://bombeiros.sp.gov.br/hidrantes/08bsg/qrcodeBSG.html?id=3335&amp;lat=-23.50968&amp;long=-46.53966&amp;tipo=S","QRCODE")</f>
        <v>QRCODE</v>
      </c>
      <c r="C941" t="s">
        <v>5273</v>
      </c>
      <c r="D941" t="s">
        <v>5284</v>
      </c>
      <c r="E941" t="s">
        <v>1172</v>
      </c>
      <c r="F941" t="s">
        <v>21</v>
      </c>
      <c r="G941" t="s">
        <v>3749</v>
      </c>
      <c r="H941">
        <v>0</v>
      </c>
      <c r="I941">
        <v>1</v>
      </c>
      <c r="J941">
        <v>0</v>
      </c>
      <c r="K941">
        <v>0</v>
      </c>
      <c r="L941">
        <v>0</v>
      </c>
    </row>
    <row r="942" spans="1:12">
      <c r="A942" t="str">
        <f>HYPERLINK("http://bombeiros.sp.gov.br/hidrantes/03individual/4419.html","4419")</f>
        <v>4419</v>
      </c>
      <c r="B942" t="str">
        <f>HYPERLINK("http://bombeiros.sp.gov.br/hidrantes/08bsg/qrcodeBSG.html?id=4419&amp;lat=-23.50815&amp;long=-46.53724&amp;tipo=S","QRCODE")</f>
        <v>QRCODE</v>
      </c>
      <c r="C942" t="s">
        <v>5273</v>
      </c>
      <c r="D942" t="s">
        <v>5284</v>
      </c>
      <c r="E942" t="s">
        <v>1172</v>
      </c>
      <c r="F942" t="s">
        <v>21</v>
      </c>
      <c r="G942" t="s">
        <v>1171</v>
      </c>
      <c r="H942">
        <v>1</v>
      </c>
      <c r="I942">
        <v>2</v>
      </c>
      <c r="J942">
        <v>0</v>
      </c>
      <c r="K942">
        <v>0</v>
      </c>
      <c r="L942">
        <v>0</v>
      </c>
    </row>
    <row r="943" spans="1:12">
      <c r="A943" t="str">
        <f>HYPERLINK("http://bombeiros.sp.gov.br/hidrantes/03individual/17798.html","17798")</f>
        <v>17798</v>
      </c>
      <c r="B943" t="str">
        <f>HYPERLINK("http://bombeiros.sp.gov.br/hidrantes/08bsg/qrcodeBSG.html?id=17798&amp;lat=-23.50638&amp;long=-46.53231&amp;tipo=S","QRCODE")</f>
        <v>QRCODE</v>
      </c>
      <c r="C943" t="s">
        <v>5273</v>
      </c>
      <c r="D943" t="s">
        <v>5284</v>
      </c>
      <c r="E943" t="s">
        <v>1172</v>
      </c>
      <c r="F943" t="s">
        <v>21</v>
      </c>
      <c r="G943" t="s">
        <v>2587</v>
      </c>
      <c r="H943">
        <v>0</v>
      </c>
      <c r="I943">
        <v>2</v>
      </c>
      <c r="J943">
        <v>0</v>
      </c>
      <c r="K943">
        <v>0</v>
      </c>
      <c r="L943">
        <v>0</v>
      </c>
    </row>
    <row r="944" spans="1:12">
      <c r="A944" t="str">
        <f>HYPERLINK("http://bombeiros.sp.gov.br/hidrantes/03individual/10055.html","10055")</f>
        <v>10055</v>
      </c>
      <c r="B944" t="str">
        <f>HYPERLINK("http://bombeiros.sp.gov.br/hidrantes/08bsg/qrcodeBSG.html?id=10055&amp;lat=-23.50548&amp;long=-46.51602&amp;tipo=B","QRCODE")</f>
        <v>QRCODE</v>
      </c>
      <c r="C944" t="s">
        <v>5273</v>
      </c>
      <c r="D944" t="s">
        <v>5284</v>
      </c>
      <c r="E944" t="s">
        <v>1093</v>
      </c>
      <c r="F944" t="s">
        <v>1719</v>
      </c>
      <c r="G944" t="s">
        <v>5243</v>
      </c>
      <c r="H944">
        <v>1</v>
      </c>
      <c r="I944">
        <v>0</v>
      </c>
      <c r="J944">
        <v>0</v>
      </c>
      <c r="K944">
        <v>0</v>
      </c>
      <c r="L944">
        <v>0</v>
      </c>
    </row>
    <row r="945" spans="1:12">
      <c r="A945" t="str">
        <f>HYPERLINK("http://bombeiros.sp.gov.br/hidrantes/03individual/921.html","921")</f>
        <v>921</v>
      </c>
      <c r="B945" t="str">
        <f>HYPERLINK("http://bombeiros.sp.gov.br/hidrantes/08bsg/qrcodeBSG.html?id=921&amp;lat=-23.50533&amp;long=-46.52052&amp;tipo=C","QRCODE")</f>
        <v>QRCODE</v>
      </c>
      <c r="C945" t="s">
        <v>5273</v>
      </c>
      <c r="D945" t="s">
        <v>5284</v>
      </c>
      <c r="E945" t="s">
        <v>1093</v>
      </c>
      <c r="F945" t="s">
        <v>12</v>
      </c>
      <c r="G945" t="s">
        <v>2517</v>
      </c>
      <c r="H945">
        <v>0</v>
      </c>
      <c r="I945">
        <v>2</v>
      </c>
      <c r="J945">
        <v>0</v>
      </c>
      <c r="K945">
        <v>0</v>
      </c>
      <c r="L945">
        <v>0</v>
      </c>
    </row>
    <row r="946" spans="1:12">
      <c r="A946" t="str">
        <f>HYPERLINK("http://bombeiros.sp.gov.br/hidrantes/03individual/925.html","925")</f>
        <v>925</v>
      </c>
      <c r="B946" t="str">
        <f>HYPERLINK("http://bombeiros.sp.gov.br/hidrantes/08bsg/qrcodeBSG.html?id=925&amp;lat=-23.50549&amp;long=-46.51611&amp;tipo=C","QRCODE")</f>
        <v>QRCODE</v>
      </c>
      <c r="C946" t="s">
        <v>5273</v>
      </c>
      <c r="D946" t="s">
        <v>5284</v>
      </c>
      <c r="E946" t="s">
        <v>1093</v>
      </c>
      <c r="F946" t="s">
        <v>12</v>
      </c>
      <c r="G946" t="s">
        <v>3809</v>
      </c>
      <c r="H946">
        <v>0</v>
      </c>
      <c r="I946">
        <v>1</v>
      </c>
      <c r="J946">
        <v>0</v>
      </c>
      <c r="K946">
        <v>0</v>
      </c>
      <c r="L946">
        <v>0</v>
      </c>
    </row>
    <row r="947" spans="1:12">
      <c r="A947" t="str">
        <f>HYPERLINK("http://bombeiros.sp.gov.br/hidrantes/03individual/950.html","950")</f>
        <v>950</v>
      </c>
      <c r="B947" t="str">
        <f>HYPERLINK("http://bombeiros.sp.gov.br/hidrantes/08bsg/qrcodeBSG.html?id=950&amp;lat=-23.50899&amp;long=-46.51557&amp;tipo=C","QRCODE")</f>
        <v>QRCODE</v>
      </c>
      <c r="C947" t="s">
        <v>5273</v>
      </c>
      <c r="D947" t="s">
        <v>5284</v>
      </c>
      <c r="E947" t="s">
        <v>1093</v>
      </c>
      <c r="F947" t="s">
        <v>12</v>
      </c>
      <c r="G947" t="s">
        <v>3810</v>
      </c>
      <c r="H947">
        <v>0</v>
      </c>
      <c r="I947">
        <v>2</v>
      </c>
      <c r="J947">
        <v>0</v>
      </c>
      <c r="K947">
        <v>0</v>
      </c>
      <c r="L947">
        <v>0</v>
      </c>
    </row>
    <row r="948" spans="1:12">
      <c r="A948" t="str">
        <f>HYPERLINK("http://bombeiros.sp.gov.br/hidrantes/03individual/1385.html","1385")</f>
        <v>1385</v>
      </c>
      <c r="B948" t="str">
        <f>HYPERLINK("http://bombeiros.sp.gov.br/hidrantes/08bsg/qrcodeBSG.html?id=1385&amp;lat=-23.51142&amp;long=-46.52042&amp;tipo=S","QRCODE")</f>
        <v>QRCODE</v>
      </c>
      <c r="C948" t="s">
        <v>5273</v>
      </c>
      <c r="D948" t="s">
        <v>5284</v>
      </c>
      <c r="E948" t="s">
        <v>1093</v>
      </c>
      <c r="F948" t="s">
        <v>21</v>
      </c>
      <c r="G948" t="s">
        <v>1092</v>
      </c>
      <c r="H948">
        <v>0</v>
      </c>
      <c r="I948">
        <v>3</v>
      </c>
      <c r="J948">
        <v>0</v>
      </c>
      <c r="K948">
        <v>0</v>
      </c>
      <c r="L948">
        <v>0</v>
      </c>
    </row>
    <row r="949" spans="1:12">
      <c r="A949" t="str">
        <f>HYPERLINK("http://bombeiros.sp.gov.br/hidrantes/03individual/2965.html","2965")</f>
        <v>2965</v>
      </c>
      <c r="B949" t="str">
        <f>HYPERLINK("http://bombeiros.sp.gov.br/hidrantes/08bsg/qrcodeBSG.html?id=2965&amp;lat=-23.50155&amp;long=-46.50590&amp;tipo=S","QRCODE")</f>
        <v>QRCODE</v>
      </c>
      <c r="C949" t="s">
        <v>5273</v>
      </c>
      <c r="D949" t="s">
        <v>5284</v>
      </c>
      <c r="E949" t="s">
        <v>1093</v>
      </c>
      <c r="F949" t="s">
        <v>21</v>
      </c>
      <c r="G949" t="s">
        <v>4947</v>
      </c>
      <c r="H949">
        <v>0</v>
      </c>
      <c r="I949">
        <v>1</v>
      </c>
      <c r="J949">
        <v>0</v>
      </c>
      <c r="K949">
        <v>0</v>
      </c>
      <c r="L949">
        <v>0</v>
      </c>
    </row>
    <row r="950" spans="1:12">
      <c r="A950" t="str">
        <f>HYPERLINK("http://bombeiros.sp.gov.br/hidrantes/03individual/811.html","811")</f>
        <v>811</v>
      </c>
      <c r="B950" t="str">
        <f>HYPERLINK("http://bombeiros.sp.gov.br/hidrantes/08bsg/qrcodeBSG.html?id=811&amp;lat=-23.49928&amp;long=-46.52914&amp;tipo=C","QRCODE")</f>
        <v>QRCODE</v>
      </c>
      <c r="C950" t="s">
        <v>5273</v>
      </c>
      <c r="D950" t="s">
        <v>5284</v>
      </c>
      <c r="E950" t="s">
        <v>2522</v>
      </c>
      <c r="F950" t="s">
        <v>12</v>
      </c>
      <c r="G950" t="s">
        <v>2521</v>
      </c>
      <c r="H950">
        <v>0</v>
      </c>
      <c r="I950">
        <v>2</v>
      </c>
      <c r="J950">
        <v>0</v>
      </c>
      <c r="K950">
        <v>0</v>
      </c>
      <c r="L950">
        <v>0</v>
      </c>
    </row>
    <row r="951" spans="1:12">
      <c r="A951" t="str">
        <f>HYPERLINK("http://bombeiros.sp.gov.br/hidrantes/03individual/4458.html","4458")</f>
        <v>4458</v>
      </c>
      <c r="B951" t="str">
        <f>HYPERLINK("http://bombeiros.sp.gov.br/hidrantes/08bsg/qrcodeBSG.html?id=4458&amp;lat=-23.49898&amp;long=-46.52910&amp;tipo=C","QRCODE")</f>
        <v>QRCODE</v>
      </c>
      <c r="C951" t="s">
        <v>5273</v>
      </c>
      <c r="D951" t="s">
        <v>5284</v>
      </c>
      <c r="E951" t="s">
        <v>2522</v>
      </c>
      <c r="F951" t="s">
        <v>12</v>
      </c>
      <c r="G951" t="s">
        <v>2564</v>
      </c>
      <c r="H951">
        <v>0</v>
      </c>
      <c r="I951">
        <v>2</v>
      </c>
      <c r="J951">
        <v>0</v>
      </c>
      <c r="K951">
        <v>0</v>
      </c>
      <c r="L951">
        <v>0</v>
      </c>
    </row>
    <row r="952" spans="1:12">
      <c r="A952" t="str">
        <f>HYPERLINK("http://bombeiros.sp.gov.br/hidrantes/03individual/913.html","913")</f>
        <v>913</v>
      </c>
      <c r="B952" t="str">
        <f>HYPERLINK("http://bombeiros.sp.gov.br/hidrantes/08bsg/qrcodeBSG.html?id=913&amp;lat=-23.49613&amp;long=-46.50754&amp;tipo=C","QRCODE")</f>
        <v>QRCODE</v>
      </c>
      <c r="C952" t="s">
        <v>5273</v>
      </c>
      <c r="D952" t="s">
        <v>5284</v>
      </c>
      <c r="E952" t="s">
        <v>1648</v>
      </c>
      <c r="F952" t="s">
        <v>12</v>
      </c>
      <c r="G952" t="s">
        <v>5014</v>
      </c>
      <c r="H952">
        <v>0</v>
      </c>
      <c r="I952">
        <v>1</v>
      </c>
      <c r="J952">
        <v>0</v>
      </c>
      <c r="K952">
        <v>0</v>
      </c>
      <c r="L952">
        <v>0</v>
      </c>
    </row>
    <row r="953" spans="1:12">
      <c r="A953" t="str">
        <f>HYPERLINK("http://bombeiros.sp.gov.br/hidrantes/03individual/915.html","915")</f>
        <v>915</v>
      </c>
      <c r="B953" t="str">
        <f>HYPERLINK("http://bombeiros.sp.gov.br/hidrantes/08bsg/qrcodeBSG.html?id=915&amp;lat=-23.49471&amp;long=-46.50009&amp;tipo=C","QRCODE")</f>
        <v>QRCODE</v>
      </c>
      <c r="C953" t="s">
        <v>5273</v>
      </c>
      <c r="D953" t="s">
        <v>5284</v>
      </c>
      <c r="E953" t="s">
        <v>1648</v>
      </c>
      <c r="F953" t="s">
        <v>12</v>
      </c>
      <c r="G953" t="s">
        <v>2093</v>
      </c>
      <c r="H953">
        <v>0</v>
      </c>
      <c r="I953">
        <v>2</v>
      </c>
      <c r="J953">
        <v>0</v>
      </c>
      <c r="K953">
        <v>0</v>
      </c>
      <c r="L953">
        <v>0</v>
      </c>
    </row>
    <row r="954" spans="1:12">
      <c r="A954" t="str">
        <f>HYPERLINK("http://bombeiros.sp.gov.br/hidrantes/03individual/1053.html","1053")</f>
        <v>1053</v>
      </c>
      <c r="B954" t="str">
        <f>HYPERLINK("http://bombeiros.sp.gov.br/hidrantes/08bsg/qrcodeBSG.html?id=1053&amp;lat=-23.50098&amp;long=-46.50116&amp;tipo=S","QRCODE")</f>
        <v>QRCODE</v>
      </c>
      <c r="C954" t="s">
        <v>5273</v>
      </c>
      <c r="D954" t="s">
        <v>5284</v>
      </c>
      <c r="E954" t="s">
        <v>1648</v>
      </c>
      <c r="F954" t="s">
        <v>21</v>
      </c>
      <c r="G954" t="s">
        <v>4952</v>
      </c>
      <c r="H954">
        <v>0</v>
      </c>
      <c r="I954">
        <v>1</v>
      </c>
      <c r="J954">
        <v>0</v>
      </c>
      <c r="K954">
        <v>0</v>
      </c>
      <c r="L954">
        <v>0</v>
      </c>
    </row>
    <row r="955" spans="1:12">
      <c r="A955" t="str">
        <f>HYPERLINK("http://bombeiros.sp.gov.br/hidrantes/03individual/1387.html","1387")</f>
        <v>1387</v>
      </c>
      <c r="B955" t="str">
        <f>HYPERLINK("http://bombeiros.sp.gov.br/hidrantes/08bsg/qrcodeBSG.html?id=1387&amp;lat=-23.49668&amp;long=-46.50348&amp;tipo=S","QRCODE")</f>
        <v>QRCODE</v>
      </c>
      <c r="C955" t="s">
        <v>5273</v>
      </c>
      <c r="D955" t="s">
        <v>5284</v>
      </c>
      <c r="E955" t="s">
        <v>1648</v>
      </c>
      <c r="F955" t="s">
        <v>21</v>
      </c>
      <c r="G955" t="s">
        <v>2133</v>
      </c>
      <c r="H955">
        <v>0</v>
      </c>
      <c r="I955">
        <v>2</v>
      </c>
      <c r="J955">
        <v>0</v>
      </c>
      <c r="K955">
        <v>0</v>
      </c>
      <c r="L955">
        <v>0</v>
      </c>
    </row>
    <row r="956" spans="1:12">
      <c r="A956" t="str">
        <f>HYPERLINK("http://bombeiros.sp.gov.br/hidrantes/03individual/1389.html","1389")</f>
        <v>1389</v>
      </c>
      <c r="B956" t="str">
        <f>HYPERLINK("http://bombeiros.sp.gov.br/hidrantes/08bsg/qrcodeBSG.html?id=1389&amp;lat=-23.50812&amp;long=-46.50908&amp;tipo=S","QRCODE")</f>
        <v>QRCODE</v>
      </c>
      <c r="C956" t="s">
        <v>5273</v>
      </c>
      <c r="D956" t="s">
        <v>5284</v>
      </c>
      <c r="E956" t="s">
        <v>1648</v>
      </c>
      <c r="F956" t="s">
        <v>21</v>
      </c>
      <c r="G956" t="s">
        <v>1651</v>
      </c>
      <c r="H956">
        <v>1</v>
      </c>
      <c r="I956">
        <v>2</v>
      </c>
      <c r="J956">
        <v>0</v>
      </c>
      <c r="K956">
        <v>0</v>
      </c>
      <c r="L956">
        <v>0</v>
      </c>
    </row>
    <row r="957" spans="1:12">
      <c r="A957" t="str">
        <f>HYPERLINK("http://bombeiros.sp.gov.br/hidrantes/03individual/1434.html","1434")</f>
        <v>1434</v>
      </c>
      <c r="B957" t="str">
        <f>HYPERLINK("http://bombeiros.sp.gov.br/hidrantes/08bsg/qrcodeBSG.html?id=1434&amp;lat=-23.50479&amp;long=-46.50746&amp;tipo=S","QRCODE")</f>
        <v>QRCODE</v>
      </c>
      <c r="C957" t="s">
        <v>5273</v>
      </c>
      <c r="D957" t="s">
        <v>5284</v>
      </c>
      <c r="E957" t="s">
        <v>1648</v>
      </c>
      <c r="F957" t="s">
        <v>21</v>
      </c>
      <c r="G957" t="s">
        <v>1650</v>
      </c>
      <c r="H957">
        <v>1</v>
      </c>
      <c r="I957">
        <v>2</v>
      </c>
      <c r="J957">
        <v>0</v>
      </c>
      <c r="K957">
        <v>0</v>
      </c>
      <c r="L957">
        <v>0</v>
      </c>
    </row>
    <row r="958" spans="1:12">
      <c r="A958" t="str">
        <f>HYPERLINK("http://bombeiros.sp.gov.br/hidrantes/03individual/1467.html","1467")</f>
        <v>1467</v>
      </c>
      <c r="B958" t="str">
        <f>HYPERLINK("http://bombeiros.sp.gov.br/hidrantes/08bsg/qrcodeBSG.html?id=1467&amp;lat=-23.49721&amp;long=-46.49990&amp;tipo=S","QRCODE")</f>
        <v>QRCODE</v>
      </c>
      <c r="C958" t="s">
        <v>5273</v>
      </c>
      <c r="D958" t="s">
        <v>5284</v>
      </c>
      <c r="E958" t="s">
        <v>1648</v>
      </c>
      <c r="F958" t="s">
        <v>21</v>
      </c>
      <c r="G958" t="s">
        <v>3724</v>
      </c>
      <c r="H958">
        <v>0</v>
      </c>
      <c r="I958">
        <v>1</v>
      </c>
      <c r="J958">
        <v>0</v>
      </c>
      <c r="K958">
        <v>0</v>
      </c>
      <c r="L958">
        <v>0</v>
      </c>
    </row>
    <row r="959" spans="1:12">
      <c r="A959" t="str">
        <f>HYPERLINK("http://bombeiros.sp.gov.br/hidrantes/03individual/1470.html","1470")</f>
        <v>1470</v>
      </c>
      <c r="B959" t="str">
        <f>HYPERLINK("http://bombeiros.sp.gov.br/hidrantes/08bsg/qrcodeBSG.html?id=1470&amp;lat=-23.50231&amp;long=-46.49728&amp;tipo=S","QRCODE")</f>
        <v>QRCODE</v>
      </c>
      <c r="C959" t="s">
        <v>5273</v>
      </c>
      <c r="D959" t="s">
        <v>5284</v>
      </c>
      <c r="E959" t="s">
        <v>1648</v>
      </c>
      <c r="F959" t="s">
        <v>21</v>
      </c>
      <c r="G959" t="s">
        <v>2129</v>
      </c>
      <c r="H959">
        <v>0</v>
      </c>
      <c r="I959">
        <v>2</v>
      </c>
      <c r="J959">
        <v>0</v>
      </c>
      <c r="K959">
        <v>0</v>
      </c>
      <c r="L959">
        <v>0</v>
      </c>
    </row>
    <row r="960" spans="1:12">
      <c r="A960" t="str">
        <f>HYPERLINK("http://bombeiros.sp.gov.br/hidrantes/03individual/1472.html","1472")</f>
        <v>1472</v>
      </c>
      <c r="B960" t="str">
        <f>HYPERLINK("http://bombeiros.sp.gov.br/hidrantes/08bsg/qrcodeBSG.html?id=1472&amp;lat=-23.50059&amp;long=-46.49440&amp;tipo=S","QRCODE")</f>
        <v>QRCODE</v>
      </c>
      <c r="C960" t="s">
        <v>5273</v>
      </c>
      <c r="D960" t="s">
        <v>5284</v>
      </c>
      <c r="E960" t="s">
        <v>1648</v>
      </c>
      <c r="F960" t="s">
        <v>21</v>
      </c>
      <c r="G960" t="s">
        <v>1649</v>
      </c>
      <c r="H960">
        <v>1</v>
      </c>
      <c r="I960">
        <v>2</v>
      </c>
      <c r="J960">
        <v>0</v>
      </c>
      <c r="K960">
        <v>0</v>
      </c>
      <c r="L960">
        <v>0</v>
      </c>
    </row>
    <row r="961" spans="1:12">
      <c r="A961" t="str">
        <f>HYPERLINK("http://bombeiros.sp.gov.br/hidrantes/03individual/1502.html","1502")</f>
        <v>1502</v>
      </c>
      <c r="B961" t="str">
        <f>HYPERLINK("http://bombeiros.sp.gov.br/hidrantes/08bsg/qrcodeBSG.html?id=1502&amp;lat=-23.50472&amp;long=-46.49576&amp;tipo=S","QRCODE")</f>
        <v>QRCODE</v>
      </c>
      <c r="C961" t="s">
        <v>5273</v>
      </c>
      <c r="D961" t="s">
        <v>5284</v>
      </c>
      <c r="E961" t="s">
        <v>1648</v>
      </c>
      <c r="F961" t="s">
        <v>21</v>
      </c>
      <c r="G961" t="s">
        <v>1647</v>
      </c>
      <c r="H961">
        <v>1</v>
      </c>
      <c r="I961">
        <v>2</v>
      </c>
      <c r="J961">
        <v>0</v>
      </c>
      <c r="K961">
        <v>0</v>
      </c>
      <c r="L961">
        <v>0</v>
      </c>
    </row>
    <row r="962" spans="1:12">
      <c r="A962" t="str">
        <f>HYPERLINK("http://bombeiros.sp.gov.br/hidrantes/03individual/1535.html","1535")</f>
        <v>1535</v>
      </c>
      <c r="B962" t="str">
        <f>HYPERLINK("http://bombeiros.sp.gov.br/hidrantes/08bsg/qrcodeBSG.html?id=1535&amp;lat=-23.50219&amp;long=-46.49417&amp;tipo=S","QRCODE")</f>
        <v>QRCODE</v>
      </c>
      <c r="C962" t="s">
        <v>5273</v>
      </c>
      <c r="D962" t="s">
        <v>5284</v>
      </c>
      <c r="E962" t="s">
        <v>1648</v>
      </c>
      <c r="F962" t="s">
        <v>21</v>
      </c>
      <c r="G962" t="s">
        <v>3015</v>
      </c>
      <c r="H962">
        <v>1</v>
      </c>
      <c r="I962">
        <v>2</v>
      </c>
      <c r="J962">
        <v>0</v>
      </c>
      <c r="K962">
        <v>0</v>
      </c>
      <c r="L962">
        <v>0</v>
      </c>
    </row>
    <row r="963" spans="1:12">
      <c r="A963" t="str">
        <f>HYPERLINK("http://bombeiros.sp.gov.br/hidrantes/03individual/2963.html","2963")</f>
        <v>2963</v>
      </c>
      <c r="B963" t="str">
        <f>HYPERLINK("http://bombeiros.sp.gov.br/hidrantes/08bsg/qrcodeBSG.html?id=2963&amp;lat=-23.50283&amp;long=-46.50031&amp;tipo=S","QRCODE")</f>
        <v>QRCODE</v>
      </c>
      <c r="C963" t="s">
        <v>5273</v>
      </c>
      <c r="D963" t="s">
        <v>5284</v>
      </c>
      <c r="E963" t="s">
        <v>1648</v>
      </c>
      <c r="F963" t="s">
        <v>21</v>
      </c>
      <c r="G963" t="s">
        <v>4946</v>
      </c>
      <c r="H963">
        <v>0</v>
      </c>
      <c r="I963">
        <v>1</v>
      </c>
      <c r="J963">
        <v>0</v>
      </c>
      <c r="K963">
        <v>0</v>
      </c>
      <c r="L963">
        <v>0</v>
      </c>
    </row>
    <row r="964" spans="1:12">
      <c r="A964" t="str">
        <f>HYPERLINK("http://bombeiros.sp.gov.br/hidrantes/03individual/3017.html","3017")</f>
        <v>3017</v>
      </c>
      <c r="B964" t="str">
        <f>HYPERLINK("http://bombeiros.sp.gov.br/hidrantes/08bsg/qrcodeBSG.html?id=3017&amp;lat=-23.55911&amp;long=-46.52099&amp;tipo=C","QRCODE")</f>
        <v>QRCODE</v>
      </c>
      <c r="C964" t="s">
        <v>5273</v>
      </c>
      <c r="D964" t="s">
        <v>5285</v>
      </c>
      <c r="E964" t="s">
        <v>979</v>
      </c>
      <c r="F964" t="s">
        <v>12</v>
      </c>
      <c r="G964" t="s">
        <v>4730</v>
      </c>
      <c r="H964">
        <v>1</v>
      </c>
      <c r="I964">
        <v>2</v>
      </c>
      <c r="J964">
        <v>0</v>
      </c>
      <c r="K964">
        <v>0</v>
      </c>
      <c r="L964">
        <v>0</v>
      </c>
    </row>
    <row r="965" spans="1:12">
      <c r="A965" t="str">
        <f>HYPERLINK("http://bombeiros.sp.gov.br/hidrantes/03individual/1030.html","1030")</f>
        <v>1030</v>
      </c>
      <c r="B965" t="str">
        <f>HYPERLINK("http://bombeiros.sp.gov.br/hidrantes/08bsg/qrcodeBSG.html?id=1030&amp;lat=-23.55199&amp;long=-46.54515&amp;tipo=C","QRCODE")</f>
        <v>QRCODE</v>
      </c>
      <c r="C965" t="s">
        <v>5273</v>
      </c>
      <c r="D965" t="s">
        <v>5285</v>
      </c>
      <c r="E965" t="s">
        <v>961</v>
      </c>
      <c r="F965" t="s">
        <v>12</v>
      </c>
      <c r="G965" t="s">
        <v>1050</v>
      </c>
      <c r="H965">
        <v>0</v>
      </c>
      <c r="I965">
        <v>2</v>
      </c>
      <c r="J965">
        <v>0</v>
      </c>
      <c r="K965">
        <v>0</v>
      </c>
      <c r="L965">
        <v>0</v>
      </c>
    </row>
    <row r="966" spans="1:12">
      <c r="A966" t="str">
        <f>HYPERLINK("http://bombeiros.sp.gov.br/hidrantes/03individual/1032.html","1032")</f>
        <v>1032</v>
      </c>
      <c r="B966" t="str">
        <f>HYPERLINK("http://bombeiros.sp.gov.br/hidrantes/08bsg/qrcodeBSG.html?id=1032&amp;lat=-23.54799&amp;long=-46.53925&amp;tipo=C","QRCODE")</f>
        <v>QRCODE</v>
      </c>
      <c r="C966" t="s">
        <v>5273</v>
      </c>
      <c r="D966" t="s">
        <v>5285</v>
      </c>
      <c r="E966" t="s">
        <v>961</v>
      </c>
      <c r="F966" t="s">
        <v>12</v>
      </c>
      <c r="G966" t="s">
        <v>4573</v>
      </c>
      <c r="H966">
        <v>0</v>
      </c>
      <c r="I966">
        <v>2</v>
      </c>
      <c r="J966">
        <v>0</v>
      </c>
      <c r="K966">
        <v>0</v>
      </c>
      <c r="L966">
        <v>0</v>
      </c>
    </row>
    <row r="967" spans="1:12">
      <c r="A967" t="str">
        <f>HYPERLINK("http://bombeiros.sp.gov.br/hidrantes/03individual/3030.html","3030")</f>
        <v>3030</v>
      </c>
      <c r="B967" t="str">
        <f>HYPERLINK("http://bombeiros.sp.gov.br/hidrantes/08bsg/qrcodeBSG.html?id=3030&amp;lat=-23.54317&amp;long=-46.53706&amp;tipo=C","QRCODE")</f>
        <v>QRCODE</v>
      </c>
      <c r="C967" t="s">
        <v>5273</v>
      </c>
      <c r="D967" t="s">
        <v>5285</v>
      </c>
      <c r="E967" t="s">
        <v>961</v>
      </c>
      <c r="F967" t="s">
        <v>12</v>
      </c>
      <c r="G967" t="s">
        <v>5045</v>
      </c>
      <c r="H967">
        <v>1</v>
      </c>
      <c r="I967">
        <v>1</v>
      </c>
      <c r="J967">
        <v>0</v>
      </c>
      <c r="K967">
        <v>0</v>
      </c>
      <c r="L967">
        <v>0</v>
      </c>
    </row>
    <row r="968" spans="1:12">
      <c r="A968" t="str">
        <f>HYPERLINK("http://bombeiros.sp.gov.br/hidrantes/03individual/27046.html","27046")</f>
        <v>27046</v>
      </c>
      <c r="B968" t="str">
        <f>HYPERLINK("http://bombeiros.sp.gov.br/hidrantes/08bsg/qrcodeBSG.html?id=27046&amp;lat=-23.54039&amp;long=-46.55065&amp;tipo=C","QRCODE")</f>
        <v>QRCODE</v>
      </c>
      <c r="C968" t="s">
        <v>5273</v>
      </c>
      <c r="D968" t="s">
        <v>5285</v>
      </c>
      <c r="E968" t="s">
        <v>961</v>
      </c>
      <c r="F968" t="s">
        <v>12</v>
      </c>
      <c r="G968" t="s">
        <v>3657</v>
      </c>
      <c r="H968">
        <v>0</v>
      </c>
      <c r="I968">
        <v>1</v>
      </c>
      <c r="J968">
        <v>0</v>
      </c>
      <c r="K968">
        <v>0</v>
      </c>
      <c r="L968">
        <v>0</v>
      </c>
    </row>
    <row r="969" spans="1:12">
      <c r="A969" t="str">
        <f>HYPERLINK("http://bombeiros.sp.gov.br/hidrantes/03individual/1458.html","1458")</f>
        <v>1458</v>
      </c>
      <c r="B969" t="str">
        <f>HYPERLINK("http://bombeiros.sp.gov.br/hidrantes/08bsg/qrcodeBSG.html?id=1458&amp;lat=-23.53940&amp;long=-46.55738&amp;tipo=S","QRCODE")</f>
        <v>QRCODE</v>
      </c>
      <c r="C969" t="s">
        <v>5273</v>
      </c>
      <c r="D969" t="s">
        <v>5285</v>
      </c>
      <c r="E969" t="s">
        <v>961</v>
      </c>
      <c r="F969" t="s">
        <v>21</v>
      </c>
      <c r="G969" t="s">
        <v>4853</v>
      </c>
      <c r="H969">
        <v>2</v>
      </c>
      <c r="I969">
        <v>2</v>
      </c>
      <c r="J969">
        <v>0</v>
      </c>
      <c r="K969">
        <v>0</v>
      </c>
      <c r="L969">
        <v>0</v>
      </c>
    </row>
    <row r="970" spans="1:12">
      <c r="A970" t="str">
        <f>HYPERLINK("http://bombeiros.sp.gov.br/hidrantes/03individual/1496.html","1496")</f>
        <v>1496</v>
      </c>
      <c r="B970" t="str">
        <f>HYPERLINK("http://bombeiros.sp.gov.br/hidrantes/08bsg/qrcodeBSG.html?id=1496&amp;lat=-23.54919&amp;long=-46.54974&amp;tipo=S","QRCODE")</f>
        <v>QRCODE</v>
      </c>
      <c r="C970" t="s">
        <v>5273</v>
      </c>
      <c r="D970" t="s">
        <v>5285</v>
      </c>
      <c r="E970" t="s">
        <v>961</v>
      </c>
      <c r="F970" t="s">
        <v>21</v>
      </c>
      <c r="G970" t="s">
        <v>5058</v>
      </c>
      <c r="H970">
        <v>0</v>
      </c>
      <c r="I970">
        <v>1</v>
      </c>
      <c r="J970">
        <v>0</v>
      </c>
      <c r="K970">
        <v>0</v>
      </c>
      <c r="L970">
        <v>0</v>
      </c>
    </row>
    <row r="971" spans="1:12">
      <c r="A971" t="str">
        <f>HYPERLINK("http://bombeiros.sp.gov.br/hidrantes/03individual/1522.html","1522")</f>
        <v>1522</v>
      </c>
      <c r="B971" t="str">
        <f>HYPERLINK("http://bombeiros.sp.gov.br/hidrantes/08bsg/qrcodeBSG.html?id=1522&amp;lat=-23.54239&amp;long=-46.54906&amp;tipo=S","QRCODE")</f>
        <v>QRCODE</v>
      </c>
      <c r="C971" t="s">
        <v>5273</v>
      </c>
      <c r="D971" t="s">
        <v>5285</v>
      </c>
      <c r="E971" t="s">
        <v>961</v>
      </c>
      <c r="F971" t="s">
        <v>21</v>
      </c>
      <c r="G971" t="s">
        <v>3014</v>
      </c>
      <c r="H971">
        <v>1</v>
      </c>
      <c r="I971">
        <v>1</v>
      </c>
      <c r="J971">
        <v>0</v>
      </c>
      <c r="K971">
        <v>0</v>
      </c>
      <c r="L971">
        <v>0</v>
      </c>
    </row>
    <row r="972" spans="1:12">
      <c r="A972" t="str">
        <f>HYPERLINK("http://bombeiros.sp.gov.br/hidrantes/03individual/1523.html","1523")</f>
        <v>1523</v>
      </c>
      <c r="B972" t="str">
        <f>HYPERLINK("http://bombeiros.sp.gov.br/hidrantes/08bsg/qrcodeBSG.html?id=1523&amp;lat=-23.54374&amp;long=-46.55581&amp;tipo=S","QRCODE")</f>
        <v>QRCODE</v>
      </c>
      <c r="C972" t="s">
        <v>5273</v>
      </c>
      <c r="D972" t="s">
        <v>5285</v>
      </c>
      <c r="E972" t="s">
        <v>961</v>
      </c>
      <c r="F972" t="s">
        <v>21</v>
      </c>
      <c r="G972" t="s">
        <v>2409</v>
      </c>
      <c r="H972">
        <v>0</v>
      </c>
      <c r="I972">
        <v>3</v>
      </c>
      <c r="J972">
        <v>0</v>
      </c>
      <c r="K972">
        <v>0</v>
      </c>
      <c r="L972">
        <v>0</v>
      </c>
    </row>
    <row r="973" spans="1:12">
      <c r="A973" t="str">
        <f>HYPERLINK("http://bombeiros.sp.gov.br/hidrantes/03individual/1524.html","1524")</f>
        <v>1524</v>
      </c>
      <c r="B973" t="str">
        <f>HYPERLINK("http://bombeiros.sp.gov.br/hidrantes/08bsg/qrcodeBSG.html?id=1524&amp;lat=-23.54577&amp;long=-46.55556&amp;tipo=S","QRCODE")</f>
        <v>QRCODE</v>
      </c>
      <c r="C973" t="s">
        <v>5273</v>
      </c>
      <c r="D973" t="s">
        <v>5285</v>
      </c>
      <c r="E973" t="s">
        <v>961</v>
      </c>
      <c r="F973" t="s">
        <v>21</v>
      </c>
      <c r="G973" t="s">
        <v>1014</v>
      </c>
      <c r="H973">
        <v>0</v>
      </c>
      <c r="I973">
        <v>2</v>
      </c>
      <c r="J973">
        <v>0</v>
      </c>
      <c r="K973">
        <v>0</v>
      </c>
      <c r="L973">
        <v>0</v>
      </c>
    </row>
    <row r="974" spans="1:12">
      <c r="A974" t="str">
        <f>HYPERLINK("http://bombeiros.sp.gov.br/hidrantes/03individual/1600.html","1600")</f>
        <v>1600</v>
      </c>
      <c r="B974" t="str">
        <f>HYPERLINK("http://bombeiros.sp.gov.br/hidrantes/08bsg/qrcodeBSG.html?id=1600&amp;lat=-23.54864&amp;long=-46.54739&amp;tipo=S","QRCODE")</f>
        <v>QRCODE</v>
      </c>
      <c r="C974" t="s">
        <v>5273</v>
      </c>
      <c r="D974" t="s">
        <v>5285</v>
      </c>
      <c r="E974" t="s">
        <v>961</v>
      </c>
      <c r="F974" t="s">
        <v>21</v>
      </c>
      <c r="G974" t="s">
        <v>4571</v>
      </c>
      <c r="H974">
        <v>0</v>
      </c>
      <c r="I974">
        <v>2</v>
      </c>
      <c r="J974">
        <v>0</v>
      </c>
      <c r="K974">
        <v>0</v>
      </c>
      <c r="L974">
        <v>0</v>
      </c>
    </row>
    <row r="975" spans="1:12">
      <c r="A975" t="str">
        <f>HYPERLINK("http://bombeiros.sp.gov.br/hidrantes/03individual/1634.html","1634")</f>
        <v>1634</v>
      </c>
      <c r="B975" t="str">
        <f>HYPERLINK("http://bombeiros.sp.gov.br/hidrantes/08bsg/qrcodeBSG.html?id=1634&amp;lat=-23.55433&amp;long=-46.55039&amp;tipo=S","QRCODE")</f>
        <v>QRCODE</v>
      </c>
      <c r="C975" t="s">
        <v>5273</v>
      </c>
      <c r="D975" t="s">
        <v>5285</v>
      </c>
      <c r="E975" t="s">
        <v>961</v>
      </c>
      <c r="F975" t="s">
        <v>21</v>
      </c>
      <c r="G975" t="s">
        <v>3121</v>
      </c>
      <c r="H975">
        <v>1</v>
      </c>
      <c r="I975">
        <v>1</v>
      </c>
      <c r="J975">
        <v>0</v>
      </c>
      <c r="K975">
        <v>0</v>
      </c>
      <c r="L975">
        <v>0</v>
      </c>
    </row>
    <row r="976" spans="1:12">
      <c r="A976" t="str">
        <f>HYPERLINK("http://bombeiros.sp.gov.br/hidrantes/03individual/1636.html","1636")</f>
        <v>1636</v>
      </c>
      <c r="B976" t="str">
        <f>HYPERLINK("http://bombeiros.sp.gov.br/hidrantes/08bsg/qrcodeBSG.html?id=1636&amp;lat=-23.54666&amp;long=-46.55004&amp;tipo=S","QRCODE")</f>
        <v>QRCODE</v>
      </c>
      <c r="C976" t="s">
        <v>5273</v>
      </c>
      <c r="D976" t="s">
        <v>5285</v>
      </c>
      <c r="E976" t="s">
        <v>961</v>
      </c>
      <c r="F976" t="s">
        <v>21</v>
      </c>
      <c r="G976" t="s">
        <v>2403</v>
      </c>
      <c r="H976">
        <v>1</v>
      </c>
      <c r="I976">
        <v>2</v>
      </c>
      <c r="J976">
        <v>0</v>
      </c>
      <c r="K976">
        <v>0</v>
      </c>
      <c r="L976">
        <v>0</v>
      </c>
    </row>
    <row r="977" spans="1:12">
      <c r="A977" t="str">
        <f>HYPERLINK("http://bombeiros.sp.gov.br/hidrantes/03individual/1638.html","1638")</f>
        <v>1638</v>
      </c>
      <c r="B977" t="str">
        <f>HYPERLINK("http://bombeiros.sp.gov.br/hidrantes/08bsg/qrcodeBSG.html?id=1638&amp;lat=-23.54675&amp;long=-46.54938&amp;tipo=S","QRCODE")</f>
        <v>QRCODE</v>
      </c>
      <c r="C977" t="s">
        <v>5273</v>
      </c>
      <c r="D977" t="s">
        <v>5285</v>
      </c>
      <c r="E977" t="s">
        <v>961</v>
      </c>
      <c r="F977" t="s">
        <v>21</v>
      </c>
      <c r="G977" t="s">
        <v>4939</v>
      </c>
      <c r="H977">
        <v>0</v>
      </c>
      <c r="I977">
        <v>1</v>
      </c>
      <c r="J977">
        <v>0</v>
      </c>
      <c r="K977">
        <v>0</v>
      </c>
      <c r="L977">
        <v>0</v>
      </c>
    </row>
    <row r="978" spans="1:12">
      <c r="A978" t="str">
        <f>HYPERLINK("http://bombeiros.sp.gov.br/hidrantes/03individual/1663.html","1663")</f>
        <v>1663</v>
      </c>
      <c r="B978" t="str">
        <f>HYPERLINK("http://bombeiros.sp.gov.br/hidrantes/08bsg/qrcodeBSG.html?id=1663&amp;lat=-23.55357&amp;long=-46.54934&amp;tipo=S","QRCODE")</f>
        <v>QRCODE</v>
      </c>
      <c r="C978" t="s">
        <v>5273</v>
      </c>
      <c r="D978" t="s">
        <v>5285</v>
      </c>
      <c r="E978" t="s">
        <v>961</v>
      </c>
      <c r="F978" t="s">
        <v>21</v>
      </c>
      <c r="G978" t="s">
        <v>4559</v>
      </c>
      <c r="H978">
        <v>0</v>
      </c>
      <c r="I978">
        <v>2</v>
      </c>
      <c r="J978">
        <v>0</v>
      </c>
      <c r="K978">
        <v>0</v>
      </c>
      <c r="L978">
        <v>0</v>
      </c>
    </row>
    <row r="979" spans="1:12">
      <c r="A979" t="str">
        <f>HYPERLINK("http://bombeiros.sp.gov.br/hidrantes/03individual/1664.html","1664")</f>
        <v>1664</v>
      </c>
      <c r="B979" t="str">
        <f>HYPERLINK("http://bombeiros.sp.gov.br/hidrantes/08bsg/qrcodeBSG.html?id=1664&amp;lat=-23.55186&amp;long=-46.55177&amp;tipo=S","QRCODE")</f>
        <v>QRCODE</v>
      </c>
      <c r="C979" t="s">
        <v>5273</v>
      </c>
      <c r="D979" t="s">
        <v>5285</v>
      </c>
      <c r="E979" t="s">
        <v>961</v>
      </c>
      <c r="F979" t="s">
        <v>21</v>
      </c>
      <c r="G979" t="s">
        <v>1020</v>
      </c>
      <c r="H979">
        <v>0</v>
      </c>
      <c r="I979">
        <v>2</v>
      </c>
      <c r="J979">
        <v>0</v>
      </c>
      <c r="K979">
        <v>0</v>
      </c>
      <c r="L979">
        <v>0</v>
      </c>
    </row>
    <row r="980" spans="1:12">
      <c r="A980" t="str">
        <f>HYPERLINK("http://bombeiros.sp.gov.br/hidrantes/03individual/1665.html","1665")</f>
        <v>1665</v>
      </c>
      <c r="B980" t="str">
        <f>HYPERLINK("http://bombeiros.sp.gov.br/hidrantes/08bsg/qrcodeBSG.html?id=1665&amp;lat=-23.55554&amp;long=-46.54910&amp;tipo=S","QRCODE")</f>
        <v>QRCODE</v>
      </c>
      <c r="C980" t="s">
        <v>5273</v>
      </c>
      <c r="D980" t="s">
        <v>5285</v>
      </c>
      <c r="E980" t="s">
        <v>961</v>
      </c>
      <c r="F980" t="s">
        <v>21</v>
      </c>
      <c r="G980" t="s">
        <v>5112</v>
      </c>
      <c r="H980">
        <v>1</v>
      </c>
      <c r="I980">
        <v>1</v>
      </c>
      <c r="J980">
        <v>0</v>
      </c>
      <c r="K980">
        <v>0</v>
      </c>
      <c r="L980">
        <v>0</v>
      </c>
    </row>
    <row r="981" spans="1:12">
      <c r="A981" t="str">
        <f>HYPERLINK("http://bombeiros.sp.gov.br/hidrantes/03individual/1666.html","1666")</f>
        <v>1666</v>
      </c>
      <c r="B981" t="str">
        <f>HYPERLINK("http://bombeiros.sp.gov.br/hidrantes/08bsg/qrcodeBSG.html?id=1666&amp;lat=-23.54562&amp;long=-46.54976&amp;tipo=S","QRCODE")</f>
        <v>QRCODE</v>
      </c>
      <c r="C981" t="s">
        <v>5273</v>
      </c>
      <c r="D981" t="s">
        <v>5285</v>
      </c>
      <c r="E981" t="s">
        <v>961</v>
      </c>
      <c r="F981" t="s">
        <v>21</v>
      </c>
      <c r="G981" t="s">
        <v>4837</v>
      </c>
      <c r="H981">
        <v>1</v>
      </c>
      <c r="I981">
        <v>1</v>
      </c>
      <c r="J981">
        <v>0</v>
      </c>
      <c r="K981">
        <v>0</v>
      </c>
      <c r="L981">
        <v>0</v>
      </c>
    </row>
    <row r="982" spans="1:12">
      <c r="A982" t="str">
        <f>HYPERLINK("http://bombeiros.sp.gov.br/hidrantes/03individual/1732.html","1732")</f>
        <v>1732</v>
      </c>
      <c r="B982" t="str">
        <f>HYPERLINK("http://bombeiros.sp.gov.br/hidrantes/08bsg/qrcodeBSG.html?id=1732&amp;lat=-23.54214&amp;long=-46.54430&amp;tipo=S","QRCODE")</f>
        <v>QRCODE</v>
      </c>
      <c r="C982" t="s">
        <v>5273</v>
      </c>
      <c r="D982" t="s">
        <v>5285</v>
      </c>
      <c r="E982" t="s">
        <v>961</v>
      </c>
      <c r="F982" t="s">
        <v>21</v>
      </c>
      <c r="G982" t="s">
        <v>2535</v>
      </c>
      <c r="H982">
        <v>1</v>
      </c>
      <c r="I982">
        <v>2</v>
      </c>
      <c r="J982">
        <v>0</v>
      </c>
      <c r="K982">
        <v>0</v>
      </c>
      <c r="L982">
        <v>0</v>
      </c>
    </row>
    <row r="983" spans="1:12">
      <c r="A983" t="str">
        <f>HYPERLINK("http://bombeiros.sp.gov.br/hidrantes/03individual/1759.html","1759")</f>
        <v>1759</v>
      </c>
      <c r="B983" t="str">
        <f>HYPERLINK("http://bombeiros.sp.gov.br/hidrantes/08bsg/qrcodeBSG.html?id=1759&amp;lat=-23.54936&amp;long=-46.54386&amp;tipo=S","QRCODE")</f>
        <v>QRCODE</v>
      </c>
      <c r="C983" t="s">
        <v>5273</v>
      </c>
      <c r="D983" t="s">
        <v>5285</v>
      </c>
      <c r="E983" t="s">
        <v>961</v>
      </c>
      <c r="F983" t="s">
        <v>21</v>
      </c>
      <c r="G983" t="s">
        <v>3118</v>
      </c>
      <c r="H983">
        <v>1</v>
      </c>
      <c r="I983">
        <v>1</v>
      </c>
      <c r="J983">
        <v>0</v>
      </c>
      <c r="K983">
        <v>0</v>
      </c>
      <c r="L983">
        <v>0</v>
      </c>
    </row>
    <row r="984" spans="1:12">
      <c r="A984" t="str">
        <f>HYPERLINK("http://bombeiros.sp.gov.br/hidrantes/03individual/1781.html","1781")</f>
        <v>1781</v>
      </c>
      <c r="B984" t="str">
        <f>HYPERLINK("http://bombeiros.sp.gov.br/hidrantes/08bsg/qrcodeBSG.html?id=1781&amp;lat=-23.54580&amp;long=-46.54089&amp;tipo=S","QRCODE")</f>
        <v>QRCODE</v>
      </c>
      <c r="C984" t="s">
        <v>5273</v>
      </c>
      <c r="D984" t="s">
        <v>5285</v>
      </c>
      <c r="E984" t="s">
        <v>961</v>
      </c>
      <c r="F984" t="s">
        <v>21</v>
      </c>
      <c r="G984" t="s">
        <v>5048</v>
      </c>
      <c r="H984">
        <v>0</v>
      </c>
      <c r="I984">
        <v>1</v>
      </c>
      <c r="J984">
        <v>0</v>
      </c>
      <c r="K984">
        <v>0</v>
      </c>
      <c r="L984">
        <v>0</v>
      </c>
    </row>
    <row r="985" spans="1:12">
      <c r="A985" t="str">
        <f>HYPERLINK("http://bombeiros.sp.gov.br/hidrantes/03individual/1819.html","1819")</f>
        <v>1819</v>
      </c>
      <c r="B985" t="str">
        <f>HYPERLINK("http://bombeiros.sp.gov.br/hidrantes/08bsg/qrcodeBSG.html?id=1819&amp;lat=-23.54709&amp;long=-46.54135&amp;tipo=S","QRCODE")</f>
        <v>QRCODE</v>
      </c>
      <c r="C985" t="s">
        <v>5273</v>
      </c>
      <c r="D985" t="s">
        <v>5285</v>
      </c>
      <c r="E985" t="s">
        <v>961</v>
      </c>
      <c r="F985" t="s">
        <v>21</v>
      </c>
      <c r="G985" t="s">
        <v>4760</v>
      </c>
      <c r="H985">
        <v>1</v>
      </c>
      <c r="I985">
        <v>1</v>
      </c>
      <c r="J985">
        <v>0</v>
      </c>
      <c r="K985">
        <v>0</v>
      </c>
      <c r="L985">
        <v>0</v>
      </c>
    </row>
    <row r="986" spans="1:12">
      <c r="A986" t="str">
        <f>HYPERLINK("http://bombeiros.sp.gov.br/hidrantes/03individual/3031.html","3031")</f>
        <v>3031</v>
      </c>
      <c r="B986" t="str">
        <f>HYPERLINK("http://bombeiros.sp.gov.br/hidrantes/08bsg/qrcodeBSG.html?id=3031&amp;lat=-23.54524&amp;long=-46.53777&amp;tipo=S","QRCODE")</f>
        <v>QRCODE</v>
      </c>
      <c r="C986" t="s">
        <v>5273</v>
      </c>
      <c r="D986" t="s">
        <v>5285</v>
      </c>
      <c r="E986" t="s">
        <v>961</v>
      </c>
      <c r="F986" t="s">
        <v>21</v>
      </c>
      <c r="G986" t="s">
        <v>2567</v>
      </c>
      <c r="H986">
        <v>0</v>
      </c>
      <c r="I986">
        <v>2</v>
      </c>
      <c r="J986">
        <v>0</v>
      </c>
      <c r="K986">
        <v>0</v>
      </c>
      <c r="L986">
        <v>0</v>
      </c>
    </row>
    <row r="987" spans="1:12">
      <c r="A987" t="str">
        <f>HYPERLINK("http://bombeiros.sp.gov.br/hidrantes/03individual/3034.html","3034")</f>
        <v>3034</v>
      </c>
      <c r="B987" t="str">
        <f>HYPERLINK("http://bombeiros.sp.gov.br/hidrantes/08bsg/qrcodeBSG.html?id=3034&amp;lat=-23.54721&amp;long=-46.54299&amp;tipo=S","QRCODE")</f>
        <v>QRCODE</v>
      </c>
      <c r="C987" t="s">
        <v>5273</v>
      </c>
      <c r="D987" t="s">
        <v>5285</v>
      </c>
      <c r="E987" t="s">
        <v>961</v>
      </c>
      <c r="F987" t="s">
        <v>21</v>
      </c>
      <c r="G987" t="s">
        <v>4731</v>
      </c>
      <c r="H987">
        <v>1</v>
      </c>
      <c r="I987">
        <v>1</v>
      </c>
      <c r="J987">
        <v>0</v>
      </c>
      <c r="K987">
        <v>0</v>
      </c>
      <c r="L987">
        <v>0</v>
      </c>
    </row>
    <row r="988" spans="1:12">
      <c r="A988" t="str">
        <f>HYPERLINK("http://bombeiros.sp.gov.br/hidrantes/03individual/3035.html","3035")</f>
        <v>3035</v>
      </c>
      <c r="B988" t="str">
        <f>HYPERLINK("http://bombeiros.sp.gov.br/hidrantes/08bsg/qrcodeBSG.html?id=3035&amp;lat=-23.54787&amp;long=-46.54431&amp;tipo=S","QRCODE")</f>
        <v>QRCODE</v>
      </c>
      <c r="C988" t="s">
        <v>5273</v>
      </c>
      <c r="D988" t="s">
        <v>5285</v>
      </c>
      <c r="E988" t="s">
        <v>961</v>
      </c>
      <c r="F988" t="s">
        <v>21</v>
      </c>
      <c r="G988" t="s">
        <v>986</v>
      </c>
      <c r="H988">
        <v>0</v>
      </c>
      <c r="I988">
        <v>2</v>
      </c>
      <c r="J988">
        <v>0</v>
      </c>
      <c r="K988">
        <v>0</v>
      </c>
      <c r="L988">
        <v>0</v>
      </c>
    </row>
    <row r="989" spans="1:12">
      <c r="A989" t="str">
        <f>HYPERLINK("http://bombeiros.sp.gov.br/hidrantes/03individual/3217.html","3217")</f>
        <v>3217</v>
      </c>
      <c r="B989" t="str">
        <f>HYPERLINK("http://bombeiros.sp.gov.br/hidrantes/08bsg/qrcodeBSG.html?id=3217&amp;lat=-23.53954&amp;long=-46.54892&amp;tipo=S","QRCODE")</f>
        <v>QRCODE</v>
      </c>
      <c r="C989" t="s">
        <v>5273</v>
      </c>
      <c r="D989" t="s">
        <v>5285</v>
      </c>
      <c r="E989" t="s">
        <v>961</v>
      </c>
      <c r="F989" t="s">
        <v>21</v>
      </c>
      <c r="G989" t="s">
        <v>1159</v>
      </c>
      <c r="H989">
        <v>1</v>
      </c>
      <c r="I989">
        <v>2</v>
      </c>
      <c r="J989">
        <v>0</v>
      </c>
      <c r="K989">
        <v>0</v>
      </c>
      <c r="L989">
        <v>0</v>
      </c>
    </row>
    <row r="990" spans="1:12">
      <c r="A990" t="str">
        <f>HYPERLINK("http://bombeiros.sp.gov.br/hidrantes/03individual/3275.html","3275")</f>
        <v>3275</v>
      </c>
      <c r="B990" t="str">
        <f>HYPERLINK("http://bombeiros.sp.gov.br/hidrantes/08bsg/qrcodeBSG.html?id=3275&amp;lat=-23.54515&amp;long=-46.54286&amp;tipo=S","QRCODE")</f>
        <v>QRCODE</v>
      </c>
      <c r="C990" t="s">
        <v>5273</v>
      </c>
      <c r="D990" t="s">
        <v>5285</v>
      </c>
      <c r="E990" t="s">
        <v>961</v>
      </c>
      <c r="F990" t="s">
        <v>21</v>
      </c>
      <c r="G990" t="s">
        <v>4724</v>
      </c>
      <c r="H990">
        <v>1</v>
      </c>
      <c r="I990">
        <v>1</v>
      </c>
      <c r="J990">
        <v>0</v>
      </c>
      <c r="K990">
        <v>0</v>
      </c>
      <c r="L990">
        <v>0</v>
      </c>
    </row>
    <row r="991" spans="1:12">
      <c r="A991" t="str">
        <f>HYPERLINK("http://bombeiros.sp.gov.br/hidrantes/03individual/3294.html","3294")</f>
        <v>3294</v>
      </c>
      <c r="B991" t="str">
        <f>HYPERLINK("http://bombeiros.sp.gov.br/hidrantes/08bsg/qrcodeBSG.html?id=3294&amp;lat=-23.54506&amp;long=-46.54866&amp;tipo=S","QRCODE")</f>
        <v>QRCODE</v>
      </c>
      <c r="C991" t="s">
        <v>5273</v>
      </c>
      <c r="D991" t="s">
        <v>5285</v>
      </c>
      <c r="E991" t="s">
        <v>961</v>
      </c>
      <c r="F991" t="s">
        <v>21</v>
      </c>
      <c r="G991" t="s">
        <v>1158</v>
      </c>
      <c r="H991">
        <v>0</v>
      </c>
      <c r="I991">
        <v>2</v>
      </c>
      <c r="J991">
        <v>0</v>
      </c>
      <c r="K991">
        <v>0</v>
      </c>
      <c r="L991">
        <v>0</v>
      </c>
    </row>
    <row r="992" spans="1:12">
      <c r="A992" t="str">
        <f>HYPERLINK("http://bombeiros.sp.gov.br/hidrantes/03individual/3297.html","3297")</f>
        <v>3297</v>
      </c>
      <c r="B992" t="str">
        <f>HYPERLINK("http://bombeiros.sp.gov.br/hidrantes/08bsg/qrcodeBSG.html?id=3297&amp;lat=-23.54790&amp;long=-46.54938&amp;tipo=S","QRCODE")</f>
        <v>QRCODE</v>
      </c>
      <c r="C992" t="s">
        <v>5273</v>
      </c>
      <c r="D992" t="s">
        <v>5285</v>
      </c>
      <c r="E992" t="s">
        <v>961</v>
      </c>
      <c r="F992" t="s">
        <v>21</v>
      </c>
      <c r="G992" t="s">
        <v>4164</v>
      </c>
      <c r="H992">
        <v>0</v>
      </c>
      <c r="I992">
        <v>1</v>
      </c>
      <c r="J992">
        <v>0</v>
      </c>
      <c r="K992">
        <v>0</v>
      </c>
      <c r="L992">
        <v>0</v>
      </c>
    </row>
    <row r="993" spans="1:12">
      <c r="A993" t="str">
        <f>HYPERLINK("http://bombeiros.sp.gov.br/hidrantes/03individual/3298.html","3298")</f>
        <v>3298</v>
      </c>
      <c r="B993" t="str">
        <f>HYPERLINK("http://bombeiros.sp.gov.br/hidrantes/08bsg/qrcodeBSG.html?id=3298&amp;lat=-23.54730&amp;long=-46.55334&amp;tipo=S","QRCODE")</f>
        <v>QRCODE</v>
      </c>
      <c r="C993" t="s">
        <v>5273</v>
      </c>
      <c r="D993" t="s">
        <v>5285</v>
      </c>
      <c r="E993" t="s">
        <v>961</v>
      </c>
      <c r="F993" t="s">
        <v>21</v>
      </c>
      <c r="G993" t="s">
        <v>970</v>
      </c>
      <c r="H993">
        <v>1</v>
      </c>
      <c r="I993">
        <v>2</v>
      </c>
      <c r="J993">
        <v>0</v>
      </c>
      <c r="K993">
        <v>0</v>
      </c>
      <c r="L993">
        <v>0</v>
      </c>
    </row>
    <row r="994" spans="1:12">
      <c r="A994" t="str">
        <f>HYPERLINK("http://bombeiros.sp.gov.br/hidrantes/03individual/3316.html","3316")</f>
        <v>3316</v>
      </c>
      <c r="B994" t="str">
        <f>HYPERLINK("http://bombeiros.sp.gov.br/hidrantes/08bsg/qrcodeBSG.html?id=3316&amp;lat=-23.55349&amp;long=-46.55125&amp;tipo=S","QRCODE")</f>
        <v>QRCODE</v>
      </c>
      <c r="C994" t="s">
        <v>5273</v>
      </c>
      <c r="D994" t="s">
        <v>5285</v>
      </c>
      <c r="E994" t="s">
        <v>961</v>
      </c>
      <c r="F994" t="s">
        <v>21</v>
      </c>
      <c r="G994" t="s">
        <v>960</v>
      </c>
      <c r="H994">
        <v>0</v>
      </c>
      <c r="I994">
        <v>2</v>
      </c>
      <c r="J994">
        <v>0</v>
      </c>
      <c r="K994">
        <v>0</v>
      </c>
      <c r="L994">
        <v>0</v>
      </c>
    </row>
    <row r="995" spans="1:12">
      <c r="A995" t="str">
        <f>HYPERLINK("http://bombeiros.sp.gov.br/hidrantes/03individual/3317.html","3317")</f>
        <v>3317</v>
      </c>
      <c r="B995" t="str">
        <f>HYPERLINK("http://bombeiros.sp.gov.br/hidrantes/08bsg/qrcodeBSG.html?id=3317&amp;lat=-23.55482&amp;long=-46.55263&amp;tipo=S","QRCODE")</f>
        <v>QRCODE</v>
      </c>
      <c r="C995" t="s">
        <v>5273</v>
      </c>
      <c r="D995" t="s">
        <v>5285</v>
      </c>
      <c r="E995" t="s">
        <v>961</v>
      </c>
      <c r="F995" t="s">
        <v>21</v>
      </c>
      <c r="G995" t="s">
        <v>4517</v>
      </c>
      <c r="H995">
        <v>0</v>
      </c>
      <c r="I995">
        <v>2</v>
      </c>
      <c r="J995">
        <v>0</v>
      </c>
      <c r="K995">
        <v>0</v>
      </c>
      <c r="L995">
        <v>0</v>
      </c>
    </row>
    <row r="996" spans="1:12">
      <c r="A996" t="str">
        <f>HYPERLINK("http://bombeiros.sp.gov.br/hidrantes/03individual/3323.html","3323")</f>
        <v>3323</v>
      </c>
      <c r="B996" t="str">
        <f>HYPERLINK("http://bombeiros.sp.gov.br/hidrantes/08bsg/qrcodeBSG.html?id=3323&amp;lat=-23.55079&amp;long=-46.55424&amp;tipo=S","QRCODE")</f>
        <v>QRCODE</v>
      </c>
      <c r="C996" t="s">
        <v>5273</v>
      </c>
      <c r="D996" t="s">
        <v>5285</v>
      </c>
      <c r="E996" t="s">
        <v>961</v>
      </c>
      <c r="F996" t="s">
        <v>21</v>
      </c>
      <c r="G996" t="s">
        <v>3098</v>
      </c>
      <c r="H996">
        <v>0</v>
      </c>
      <c r="I996">
        <v>2</v>
      </c>
      <c r="J996">
        <v>0</v>
      </c>
      <c r="K996">
        <v>0</v>
      </c>
      <c r="L996">
        <v>0</v>
      </c>
    </row>
    <row r="997" spans="1:12">
      <c r="A997" t="str">
        <f>HYPERLINK("http://bombeiros.sp.gov.br/hidrantes/03individual/3350.html","3350")</f>
        <v>3350</v>
      </c>
      <c r="B997" t="str">
        <f>HYPERLINK("http://bombeiros.sp.gov.br/hidrantes/08bsg/qrcodeBSG.html?id=3350&amp;lat=-23.54952&amp;long=-46.55224&amp;tipo=S","QRCODE")</f>
        <v>QRCODE</v>
      </c>
      <c r="C997" t="s">
        <v>5273</v>
      </c>
      <c r="D997" t="s">
        <v>5285</v>
      </c>
      <c r="E997" t="s">
        <v>961</v>
      </c>
      <c r="F997" t="s">
        <v>21</v>
      </c>
      <c r="G997" t="s">
        <v>4722</v>
      </c>
      <c r="H997">
        <v>1</v>
      </c>
      <c r="I997">
        <v>1</v>
      </c>
      <c r="J997">
        <v>0</v>
      </c>
      <c r="K997">
        <v>0</v>
      </c>
      <c r="L997">
        <v>0</v>
      </c>
    </row>
    <row r="998" spans="1:12">
      <c r="A998" t="str">
        <f>HYPERLINK("http://bombeiros.sp.gov.br/hidrantes/03individual/3555.html","3555")</f>
        <v>3555</v>
      </c>
      <c r="B998" t="str">
        <f>HYPERLINK("http://bombeiros.sp.gov.br/hidrantes/08bsg/qrcodeBSG.html?id=3555&amp;lat=-23.54175&amp;long=-46.55680&amp;tipo=S","QRCODE")</f>
        <v>QRCODE</v>
      </c>
      <c r="C998" t="s">
        <v>5273</v>
      </c>
      <c r="D998" t="s">
        <v>5285</v>
      </c>
      <c r="E998" t="s">
        <v>961</v>
      </c>
      <c r="F998" t="s">
        <v>21</v>
      </c>
      <c r="G998" t="s">
        <v>993</v>
      </c>
      <c r="H998">
        <v>1</v>
      </c>
      <c r="I998">
        <v>3</v>
      </c>
      <c r="J998">
        <v>0</v>
      </c>
      <c r="K998">
        <v>0</v>
      </c>
      <c r="L998">
        <v>0</v>
      </c>
    </row>
    <row r="999" spans="1:12">
      <c r="A999" t="str">
        <f>HYPERLINK("http://bombeiros.sp.gov.br/hidrantes/03individual/1033.html","1033")</f>
        <v>1033</v>
      </c>
      <c r="B999" t="str">
        <f>HYPERLINK("http://bombeiros.sp.gov.br/hidrantes/08bsg/qrcodeBSG.html?id=1033&amp;lat=-23.54996&amp;long=-46.53420&amp;tipo=C","QRCODE")</f>
        <v>QRCODE</v>
      </c>
      <c r="C999" t="s">
        <v>5273</v>
      </c>
      <c r="D999" t="s">
        <v>5285</v>
      </c>
      <c r="E999" t="s">
        <v>981</v>
      </c>
      <c r="F999" t="s">
        <v>12</v>
      </c>
      <c r="G999" t="s">
        <v>4572</v>
      </c>
      <c r="H999">
        <v>0</v>
      </c>
      <c r="I999">
        <v>2</v>
      </c>
      <c r="J999">
        <v>0</v>
      </c>
      <c r="K999">
        <v>0</v>
      </c>
      <c r="L999">
        <v>0</v>
      </c>
    </row>
    <row r="1000" spans="1:12">
      <c r="A1000" t="str">
        <f>HYPERLINK("http://bombeiros.sp.gov.br/hidrantes/03individual/1034.html","1034")</f>
        <v>1034</v>
      </c>
      <c r="B1000" t="str">
        <f>HYPERLINK("http://bombeiros.sp.gov.br/hidrantes/08bsg/qrcodeBSG.html?id=1034&amp;lat=-23.54785&amp;long=-46.52933&amp;tipo=C","QRCODE")</f>
        <v>QRCODE</v>
      </c>
      <c r="C1000" t="s">
        <v>5273</v>
      </c>
      <c r="D1000" t="s">
        <v>5285</v>
      </c>
      <c r="E1000" t="s">
        <v>981</v>
      </c>
      <c r="F1000" t="s">
        <v>12</v>
      </c>
      <c r="G1000" t="s">
        <v>2513</v>
      </c>
      <c r="H1000">
        <v>0</v>
      </c>
      <c r="I1000">
        <v>2</v>
      </c>
      <c r="J1000">
        <v>0</v>
      </c>
      <c r="K1000">
        <v>0</v>
      </c>
      <c r="L1000">
        <v>0</v>
      </c>
    </row>
    <row r="1001" spans="1:12">
      <c r="A1001" t="str">
        <f>HYPERLINK("http://bombeiros.sp.gov.br/hidrantes/03individual/1358.html","1358")</f>
        <v>1358</v>
      </c>
      <c r="B1001" t="str">
        <f>HYPERLINK("http://bombeiros.sp.gov.br/hidrantes/08bsg/qrcodeBSG.html?id=1358&amp;lat=-23.55838&amp;long=-46.54151&amp;tipo=S","QRCODE")</f>
        <v>QRCODE</v>
      </c>
      <c r="C1001" t="s">
        <v>5273</v>
      </c>
      <c r="D1001" t="s">
        <v>5285</v>
      </c>
      <c r="E1001" t="s">
        <v>981</v>
      </c>
      <c r="F1001" t="s">
        <v>21</v>
      </c>
      <c r="G1001" t="s">
        <v>1006</v>
      </c>
      <c r="H1001">
        <v>0</v>
      </c>
      <c r="I1001">
        <v>3</v>
      </c>
      <c r="J1001">
        <v>0</v>
      </c>
      <c r="K1001">
        <v>0</v>
      </c>
      <c r="L1001">
        <v>0</v>
      </c>
    </row>
    <row r="1002" spans="1:12">
      <c r="A1002" t="str">
        <f>HYPERLINK("http://bombeiros.sp.gov.br/hidrantes/03individual/1359.html","1359")</f>
        <v>1359</v>
      </c>
      <c r="B1002" t="str">
        <f>HYPERLINK("http://bombeiros.sp.gov.br/hidrantes/08bsg/qrcodeBSG.html?id=1359&amp;lat=-23.55452&amp;long=-46.54014&amp;tipo=S","QRCODE")</f>
        <v>QRCODE</v>
      </c>
      <c r="C1002" t="s">
        <v>5273</v>
      </c>
      <c r="D1002" t="s">
        <v>5285</v>
      </c>
      <c r="E1002" t="s">
        <v>981</v>
      </c>
      <c r="F1002" t="s">
        <v>21</v>
      </c>
      <c r="G1002" t="s">
        <v>1007</v>
      </c>
      <c r="H1002">
        <v>0</v>
      </c>
      <c r="I1002">
        <v>2</v>
      </c>
      <c r="J1002">
        <v>0</v>
      </c>
      <c r="K1002">
        <v>0</v>
      </c>
      <c r="L1002">
        <v>0</v>
      </c>
    </row>
    <row r="1003" spans="1:12">
      <c r="A1003" t="str">
        <f>HYPERLINK("http://bombeiros.sp.gov.br/hidrantes/03individual/1487.html","1487")</f>
        <v>1487</v>
      </c>
      <c r="B1003" t="str">
        <f>HYPERLINK("http://bombeiros.sp.gov.br/hidrantes/08bsg/qrcodeBSG.html?id=1487&amp;lat=-23.56172&amp;long=-46.53247&amp;tipo=S","QRCODE")</f>
        <v>QRCODE</v>
      </c>
      <c r="C1003" t="s">
        <v>5273</v>
      </c>
      <c r="D1003" t="s">
        <v>5285</v>
      </c>
      <c r="E1003" t="s">
        <v>981</v>
      </c>
      <c r="F1003" t="s">
        <v>21</v>
      </c>
      <c r="G1003" t="s">
        <v>4570</v>
      </c>
      <c r="H1003">
        <v>0</v>
      </c>
      <c r="I1003">
        <v>2</v>
      </c>
      <c r="J1003">
        <v>0</v>
      </c>
      <c r="K1003">
        <v>0</v>
      </c>
      <c r="L1003">
        <v>0</v>
      </c>
    </row>
    <row r="1004" spans="1:12">
      <c r="A1004" t="str">
        <f>HYPERLINK("http://bombeiros.sp.gov.br/hidrantes/03individual/1556.html","1556")</f>
        <v>1556</v>
      </c>
      <c r="B1004" t="str">
        <f>HYPERLINK("http://bombeiros.sp.gov.br/hidrantes/08bsg/qrcodeBSG.html?id=1556&amp;lat=-23.55949&amp;long=-46.53384&amp;tipo=S","QRCODE")</f>
        <v>QRCODE</v>
      </c>
      <c r="C1004" t="s">
        <v>5273</v>
      </c>
      <c r="D1004" t="s">
        <v>5285</v>
      </c>
      <c r="E1004" t="s">
        <v>981</v>
      </c>
      <c r="F1004" t="s">
        <v>21</v>
      </c>
      <c r="G1004" t="s">
        <v>3690</v>
      </c>
      <c r="H1004">
        <v>0</v>
      </c>
      <c r="I1004">
        <v>3</v>
      </c>
      <c r="J1004">
        <v>0</v>
      </c>
      <c r="K1004">
        <v>0</v>
      </c>
      <c r="L1004">
        <v>0</v>
      </c>
    </row>
    <row r="1005" spans="1:12">
      <c r="A1005" t="str">
        <f>HYPERLINK("http://bombeiros.sp.gov.br/hidrantes/03individual/1558.html","1558")</f>
        <v>1558</v>
      </c>
      <c r="B1005" t="str">
        <f>HYPERLINK("http://bombeiros.sp.gov.br/hidrantes/08bsg/qrcodeBSG.html?id=1558&amp;lat=-23.56019&amp;long=-46.53818&amp;tipo=S","QRCODE")</f>
        <v>QRCODE</v>
      </c>
      <c r="C1005" t="s">
        <v>5273</v>
      </c>
      <c r="D1005" t="s">
        <v>5285</v>
      </c>
      <c r="E1005" t="s">
        <v>981</v>
      </c>
      <c r="F1005" t="s">
        <v>21</v>
      </c>
      <c r="G1005" t="s">
        <v>3130</v>
      </c>
      <c r="H1005">
        <v>1</v>
      </c>
      <c r="I1005">
        <v>1</v>
      </c>
      <c r="J1005">
        <v>0</v>
      </c>
      <c r="K1005">
        <v>0</v>
      </c>
      <c r="L1005">
        <v>0</v>
      </c>
    </row>
    <row r="1006" spans="1:12">
      <c r="A1006" t="str">
        <f>HYPERLINK("http://bombeiros.sp.gov.br/hidrantes/03individual/1620.html","1620")</f>
        <v>1620</v>
      </c>
      <c r="B1006" t="str">
        <f>HYPERLINK("http://bombeiros.sp.gov.br/hidrantes/08bsg/qrcodeBSG.html?id=1620&amp;lat=-23.56080&amp;long=-46.53216&amp;tipo=S","QRCODE")</f>
        <v>QRCODE</v>
      </c>
      <c r="C1006" t="s">
        <v>5273</v>
      </c>
      <c r="D1006" t="s">
        <v>5285</v>
      </c>
      <c r="E1006" t="s">
        <v>981</v>
      </c>
      <c r="F1006" t="s">
        <v>21</v>
      </c>
      <c r="G1006" t="s">
        <v>3125</v>
      </c>
      <c r="H1006">
        <v>1</v>
      </c>
      <c r="I1006">
        <v>1</v>
      </c>
      <c r="J1006">
        <v>0</v>
      </c>
      <c r="K1006">
        <v>0</v>
      </c>
      <c r="L1006">
        <v>0</v>
      </c>
    </row>
    <row r="1007" spans="1:12">
      <c r="A1007" t="str">
        <f>HYPERLINK("http://bombeiros.sp.gov.br/hidrantes/03individual/1685.html","1685")</f>
        <v>1685</v>
      </c>
      <c r="B1007" t="str">
        <f>HYPERLINK("http://bombeiros.sp.gov.br/hidrantes/08bsg/qrcodeBSG.html?id=1685&amp;lat=-23.55809&amp;long=-46.53048&amp;tipo=S","QRCODE")</f>
        <v>QRCODE</v>
      </c>
      <c r="C1007" t="s">
        <v>5273</v>
      </c>
      <c r="D1007" t="s">
        <v>5285</v>
      </c>
      <c r="E1007" t="s">
        <v>981</v>
      </c>
      <c r="F1007" t="s">
        <v>21</v>
      </c>
      <c r="G1007" t="s">
        <v>4556</v>
      </c>
      <c r="H1007">
        <v>0</v>
      </c>
      <c r="I1007">
        <v>2</v>
      </c>
      <c r="J1007">
        <v>0</v>
      </c>
      <c r="K1007">
        <v>0</v>
      </c>
      <c r="L1007">
        <v>0</v>
      </c>
    </row>
    <row r="1008" spans="1:12">
      <c r="A1008" t="str">
        <f>HYPERLINK("http://bombeiros.sp.gov.br/hidrantes/03individual/1691.html","1691")</f>
        <v>1691</v>
      </c>
      <c r="B1008" t="str">
        <f>HYPERLINK("http://bombeiros.sp.gov.br/hidrantes/08bsg/qrcodeBSG.html?id=1691&amp;lat=-23.55012&amp;long=-46.53073&amp;tipo=S","QRCODE")</f>
        <v>QRCODE</v>
      </c>
      <c r="C1008" t="s">
        <v>5273</v>
      </c>
      <c r="D1008" t="s">
        <v>5285</v>
      </c>
      <c r="E1008" t="s">
        <v>981</v>
      </c>
      <c r="F1008" t="s">
        <v>21</v>
      </c>
      <c r="G1008" t="s">
        <v>2534</v>
      </c>
      <c r="H1008">
        <v>0</v>
      </c>
      <c r="I1008">
        <v>2</v>
      </c>
      <c r="J1008">
        <v>0</v>
      </c>
      <c r="K1008">
        <v>0</v>
      </c>
      <c r="L1008">
        <v>0</v>
      </c>
    </row>
    <row r="1009" spans="1:12">
      <c r="A1009" t="str">
        <f>HYPERLINK("http://bombeiros.sp.gov.br/hidrantes/03individual/1693.html","1693")</f>
        <v>1693</v>
      </c>
      <c r="B1009" t="str">
        <f>HYPERLINK("http://bombeiros.sp.gov.br/hidrantes/08bsg/qrcodeBSG.html?id=1693&amp;lat=-23.56225&amp;long=-46.52857&amp;tipo=S","QRCODE")</f>
        <v>QRCODE</v>
      </c>
      <c r="C1009" t="s">
        <v>5273</v>
      </c>
      <c r="D1009" t="s">
        <v>5285</v>
      </c>
      <c r="E1009" t="s">
        <v>981</v>
      </c>
      <c r="F1009" t="s">
        <v>21</v>
      </c>
      <c r="G1009" t="s">
        <v>4557</v>
      </c>
      <c r="H1009">
        <v>0</v>
      </c>
      <c r="I1009">
        <v>2</v>
      </c>
      <c r="J1009">
        <v>0</v>
      </c>
      <c r="K1009">
        <v>0</v>
      </c>
      <c r="L1009">
        <v>0</v>
      </c>
    </row>
    <row r="1010" spans="1:12">
      <c r="A1010" t="str">
        <f>HYPERLINK("http://bombeiros.sp.gov.br/hidrantes/03individual/1731.html","1731")</f>
        <v>1731</v>
      </c>
      <c r="B1010" t="str">
        <f>HYPERLINK("http://bombeiros.sp.gov.br/hidrantes/08bsg/qrcodeBSG.html?id=1731&amp;lat=-23.55672&amp;long=-46.53870&amp;tipo=S","QRCODE")</f>
        <v>QRCODE</v>
      </c>
      <c r="C1010" t="s">
        <v>5273</v>
      </c>
      <c r="D1010" t="s">
        <v>5285</v>
      </c>
      <c r="E1010" t="s">
        <v>981</v>
      </c>
      <c r="F1010" t="s">
        <v>21</v>
      </c>
      <c r="G1010" t="s">
        <v>1021</v>
      </c>
      <c r="H1010">
        <v>0</v>
      </c>
      <c r="I1010">
        <v>2</v>
      </c>
      <c r="J1010">
        <v>0</v>
      </c>
      <c r="K1010">
        <v>0</v>
      </c>
      <c r="L1010">
        <v>0</v>
      </c>
    </row>
    <row r="1011" spans="1:12">
      <c r="A1011" t="str">
        <f>HYPERLINK("http://bombeiros.sp.gov.br/hidrantes/03individual/1737.html","1737")</f>
        <v>1737</v>
      </c>
      <c r="B1011" t="str">
        <f>HYPERLINK("http://bombeiros.sp.gov.br/hidrantes/08bsg/qrcodeBSG.html?id=1737&amp;lat=-23.55039&amp;long=-46.52526&amp;tipo=S","QRCODE")</f>
        <v>QRCODE</v>
      </c>
      <c r="C1011" t="s">
        <v>5273</v>
      </c>
      <c r="D1011" t="s">
        <v>5285</v>
      </c>
      <c r="E1011" t="s">
        <v>981</v>
      </c>
      <c r="F1011" t="s">
        <v>21</v>
      </c>
      <c r="G1011" t="s">
        <v>4920</v>
      </c>
      <c r="H1011">
        <v>1</v>
      </c>
      <c r="I1011">
        <v>1</v>
      </c>
      <c r="J1011">
        <v>0</v>
      </c>
      <c r="K1011">
        <v>0</v>
      </c>
      <c r="L1011">
        <v>0</v>
      </c>
    </row>
    <row r="1012" spans="1:12">
      <c r="A1012" t="str">
        <f>HYPERLINK("http://bombeiros.sp.gov.br/hidrantes/03individual/1780.html","1780")</f>
        <v>1780</v>
      </c>
      <c r="B1012" t="str">
        <f>HYPERLINK("http://bombeiros.sp.gov.br/hidrantes/08bsg/qrcodeBSG.html?id=1780&amp;lat=-23.55108&amp;long=-46.53974&amp;tipo=S","QRCODE")</f>
        <v>QRCODE</v>
      </c>
      <c r="C1012" t="s">
        <v>5273</v>
      </c>
      <c r="D1012" t="s">
        <v>5285</v>
      </c>
      <c r="E1012" t="s">
        <v>981</v>
      </c>
      <c r="F1012" t="s">
        <v>21</v>
      </c>
      <c r="G1012" t="s">
        <v>4561</v>
      </c>
      <c r="H1012">
        <v>0</v>
      </c>
      <c r="I1012">
        <v>2</v>
      </c>
      <c r="J1012">
        <v>0</v>
      </c>
      <c r="K1012">
        <v>0</v>
      </c>
      <c r="L1012">
        <v>0</v>
      </c>
    </row>
    <row r="1013" spans="1:12">
      <c r="A1013" t="str">
        <f>HYPERLINK("http://bombeiros.sp.gov.br/hidrantes/03individual/3010.html","3010")</f>
        <v>3010</v>
      </c>
      <c r="B1013" t="str">
        <f>HYPERLINK("http://bombeiros.sp.gov.br/hidrantes/08bsg/qrcodeBSG.html?id=3010&amp;lat=-23.54526&amp;long=-46.53035&amp;tipo=S","QRCODE")</f>
        <v>QRCODE</v>
      </c>
      <c r="C1013" t="s">
        <v>5273</v>
      </c>
      <c r="D1013" t="s">
        <v>5285</v>
      </c>
      <c r="E1013" t="s">
        <v>981</v>
      </c>
      <c r="F1013" t="s">
        <v>21</v>
      </c>
      <c r="G1013" t="s">
        <v>2572</v>
      </c>
      <c r="H1013">
        <v>0</v>
      </c>
      <c r="I1013">
        <v>3</v>
      </c>
      <c r="J1013">
        <v>0</v>
      </c>
      <c r="K1013">
        <v>0</v>
      </c>
      <c r="L1013">
        <v>0</v>
      </c>
    </row>
    <row r="1014" spans="1:12">
      <c r="A1014" t="str">
        <f>HYPERLINK("http://bombeiros.sp.gov.br/hidrantes/03individual/3012.html","3012")</f>
        <v>3012</v>
      </c>
      <c r="B1014" t="str">
        <f>HYPERLINK("http://bombeiros.sp.gov.br/hidrantes/08bsg/qrcodeBSG.html?id=3012&amp;lat=-23.54581&amp;long=-46.53189&amp;tipo=S","QRCODE")</f>
        <v>QRCODE</v>
      </c>
      <c r="C1014" t="s">
        <v>5273</v>
      </c>
      <c r="D1014" t="s">
        <v>5285</v>
      </c>
      <c r="E1014" t="s">
        <v>981</v>
      </c>
      <c r="F1014" t="s">
        <v>21</v>
      </c>
      <c r="G1014" t="s">
        <v>5116</v>
      </c>
      <c r="H1014">
        <v>0</v>
      </c>
      <c r="I1014">
        <v>2</v>
      </c>
      <c r="J1014">
        <v>0</v>
      </c>
      <c r="K1014">
        <v>0</v>
      </c>
      <c r="L1014">
        <v>0</v>
      </c>
    </row>
    <row r="1015" spans="1:12">
      <c r="A1015" t="str">
        <f>HYPERLINK("http://bombeiros.sp.gov.br/hidrantes/03individual/3015.html","3015")</f>
        <v>3015</v>
      </c>
      <c r="B1015" t="str">
        <f>HYPERLINK("http://bombeiros.sp.gov.br/hidrantes/08bsg/qrcodeBSG.html?id=3015&amp;lat=-23.54684&amp;long=-46.52887&amp;tipo=S","QRCODE")</f>
        <v>QRCODE</v>
      </c>
      <c r="C1015" t="s">
        <v>5273</v>
      </c>
      <c r="D1015" t="s">
        <v>5285</v>
      </c>
      <c r="E1015" t="s">
        <v>981</v>
      </c>
      <c r="F1015" t="s">
        <v>21</v>
      </c>
      <c r="G1015" t="s">
        <v>2569</v>
      </c>
      <c r="H1015">
        <v>0</v>
      </c>
      <c r="I1015">
        <v>3</v>
      </c>
      <c r="J1015">
        <v>0</v>
      </c>
      <c r="K1015">
        <v>0</v>
      </c>
      <c r="L1015">
        <v>0</v>
      </c>
    </row>
    <row r="1016" spans="1:12">
      <c r="A1016" t="str">
        <f>HYPERLINK("http://bombeiros.sp.gov.br/hidrantes/03individual/3018.html","3018")</f>
        <v>3018</v>
      </c>
      <c r="B1016" t="str">
        <f>HYPERLINK("http://bombeiros.sp.gov.br/hidrantes/08bsg/qrcodeBSG.html?id=3018&amp;lat=-23.55589&amp;long=-46.52231&amp;tipo=S","QRCODE")</f>
        <v>QRCODE</v>
      </c>
      <c r="C1016" t="s">
        <v>5273</v>
      </c>
      <c r="D1016" t="s">
        <v>5285</v>
      </c>
      <c r="E1016" t="s">
        <v>981</v>
      </c>
      <c r="F1016" t="s">
        <v>21</v>
      </c>
      <c r="G1016" t="s">
        <v>980</v>
      </c>
      <c r="H1016">
        <v>1</v>
      </c>
      <c r="I1016">
        <v>3</v>
      </c>
      <c r="J1016">
        <v>0</v>
      </c>
      <c r="K1016">
        <v>0</v>
      </c>
      <c r="L1016">
        <v>0</v>
      </c>
    </row>
    <row r="1017" spans="1:12">
      <c r="A1017" t="str">
        <f>HYPERLINK("http://bombeiros.sp.gov.br/hidrantes/03individual/3022.html","3022")</f>
        <v>3022</v>
      </c>
      <c r="B1017" t="str">
        <f>HYPERLINK("http://bombeiros.sp.gov.br/hidrantes/08bsg/qrcodeBSG.html?id=3022&amp;lat=-23.55368&amp;long=-46.52379&amp;tipo=S","QRCODE")</f>
        <v>QRCODE</v>
      </c>
      <c r="C1017" t="s">
        <v>5273</v>
      </c>
      <c r="D1017" t="s">
        <v>5285</v>
      </c>
      <c r="E1017" t="s">
        <v>981</v>
      </c>
      <c r="F1017" t="s">
        <v>21</v>
      </c>
      <c r="G1017" t="s">
        <v>2571</v>
      </c>
      <c r="H1017">
        <v>0</v>
      </c>
      <c r="I1017">
        <v>2</v>
      </c>
      <c r="J1017">
        <v>0</v>
      </c>
      <c r="K1017">
        <v>0</v>
      </c>
      <c r="L1017">
        <v>0</v>
      </c>
    </row>
    <row r="1018" spans="1:12">
      <c r="A1018" t="str">
        <f>HYPERLINK("http://bombeiros.sp.gov.br/hidrantes/03individual/3023.html","3023")</f>
        <v>3023</v>
      </c>
      <c r="B1018" t="str">
        <f>HYPERLINK("http://bombeiros.sp.gov.br/hidrantes/08bsg/qrcodeBSG.html?id=3023&amp;lat=-23.55626&amp;long=-46.52774&amp;tipo=S","QRCODE")</f>
        <v>QRCODE</v>
      </c>
      <c r="C1018" t="s">
        <v>5273</v>
      </c>
      <c r="D1018" t="s">
        <v>5285</v>
      </c>
      <c r="E1018" t="s">
        <v>981</v>
      </c>
      <c r="F1018" t="s">
        <v>21</v>
      </c>
      <c r="G1018" t="s">
        <v>4733</v>
      </c>
      <c r="H1018">
        <v>1</v>
      </c>
      <c r="I1018">
        <v>1</v>
      </c>
      <c r="J1018">
        <v>0</v>
      </c>
      <c r="K1018">
        <v>0</v>
      </c>
      <c r="L1018">
        <v>0</v>
      </c>
    </row>
    <row r="1019" spans="1:12">
      <c r="A1019" t="str">
        <f>HYPERLINK("http://bombeiros.sp.gov.br/hidrantes/03individual/3028.html","3028")</f>
        <v>3028</v>
      </c>
      <c r="B1019" t="str">
        <f>HYPERLINK("http://bombeiros.sp.gov.br/hidrantes/08bsg/qrcodeBSG.html?id=3028&amp;lat=-23.55675&amp;long=-46.53519&amp;tipo=S","QRCODE")</f>
        <v>QRCODE</v>
      </c>
      <c r="C1019" t="s">
        <v>5273</v>
      </c>
      <c r="D1019" t="s">
        <v>5285</v>
      </c>
      <c r="E1019" t="s">
        <v>981</v>
      </c>
      <c r="F1019" t="s">
        <v>21</v>
      </c>
      <c r="G1019" t="s">
        <v>985</v>
      </c>
      <c r="H1019">
        <v>1</v>
      </c>
      <c r="I1019">
        <v>2</v>
      </c>
      <c r="J1019">
        <v>0</v>
      </c>
      <c r="K1019">
        <v>0</v>
      </c>
      <c r="L1019">
        <v>0</v>
      </c>
    </row>
    <row r="1020" spans="1:12">
      <c r="A1020" t="str">
        <f>HYPERLINK("http://bombeiros.sp.gov.br/hidrantes/03individual/3038.html","3038")</f>
        <v>3038</v>
      </c>
      <c r="B1020" t="str">
        <f>HYPERLINK("http://bombeiros.sp.gov.br/hidrantes/08bsg/qrcodeBSG.html?id=3038&amp;lat=-23.55263&amp;long=-46.53667&amp;tipo=S","QRCODE")</f>
        <v>QRCODE</v>
      </c>
      <c r="C1020" t="s">
        <v>5273</v>
      </c>
      <c r="D1020" t="s">
        <v>5285</v>
      </c>
      <c r="E1020" t="s">
        <v>981</v>
      </c>
      <c r="F1020" t="s">
        <v>21</v>
      </c>
      <c r="G1020" t="s">
        <v>4732</v>
      </c>
      <c r="H1020">
        <v>1</v>
      </c>
      <c r="I1020">
        <v>2</v>
      </c>
      <c r="J1020">
        <v>0</v>
      </c>
      <c r="K1020">
        <v>0</v>
      </c>
      <c r="L1020">
        <v>0</v>
      </c>
    </row>
    <row r="1021" spans="1:12">
      <c r="A1021" t="str">
        <f>HYPERLINK("http://bombeiros.sp.gov.br/hidrantes/03individual/3040.html","3040")</f>
        <v>3040</v>
      </c>
      <c r="B1021" t="str">
        <f>HYPERLINK("http://bombeiros.sp.gov.br/hidrantes/08bsg/qrcodeBSG.html?id=3040&amp;lat=-23.54886&amp;long=-46.53657&amp;tipo=S","QRCODE")</f>
        <v>QRCODE</v>
      </c>
      <c r="C1021" t="s">
        <v>5273</v>
      </c>
      <c r="D1021" t="s">
        <v>5285</v>
      </c>
      <c r="E1021" t="s">
        <v>981</v>
      </c>
      <c r="F1021" t="s">
        <v>21</v>
      </c>
      <c r="G1021" t="s">
        <v>4551</v>
      </c>
      <c r="H1021">
        <v>0</v>
      </c>
      <c r="I1021">
        <v>2</v>
      </c>
      <c r="J1021">
        <v>0</v>
      </c>
      <c r="K1021">
        <v>0</v>
      </c>
      <c r="L1021">
        <v>0</v>
      </c>
    </row>
    <row r="1022" spans="1:12">
      <c r="A1022" t="str">
        <f>HYPERLINK("http://bombeiros.sp.gov.br/hidrantes/03individual/3223.html","3223")</f>
        <v>3223</v>
      </c>
      <c r="B1022" t="str">
        <f>HYPERLINK("http://bombeiros.sp.gov.br/hidrantes/08bsg/qrcodeBSG.html?id=3223&amp;lat=-23.54293&amp;long=-46.53404&amp;tipo=S","QRCODE")</f>
        <v>QRCODE</v>
      </c>
      <c r="C1022" t="s">
        <v>5273</v>
      </c>
      <c r="D1022" t="s">
        <v>5285</v>
      </c>
      <c r="E1022" t="s">
        <v>981</v>
      </c>
      <c r="F1022" t="s">
        <v>21</v>
      </c>
      <c r="G1022" t="s">
        <v>2580</v>
      </c>
      <c r="H1022">
        <v>0</v>
      </c>
      <c r="I1022">
        <v>3</v>
      </c>
      <c r="J1022">
        <v>0</v>
      </c>
      <c r="K1022">
        <v>0</v>
      </c>
      <c r="L1022">
        <v>0</v>
      </c>
    </row>
    <row r="1023" spans="1:12">
      <c r="A1023" t="str">
        <f>HYPERLINK("http://bombeiros.sp.gov.br/hidrantes/03individual/3288.html","3288")</f>
        <v>3288</v>
      </c>
      <c r="B1023" t="str">
        <f>HYPERLINK("http://bombeiros.sp.gov.br/hidrantes/08bsg/qrcodeBSG.html?id=3288&amp;lat=-23.55390&amp;long=-46.53642&amp;tipo=S","QRCODE")</f>
        <v>QRCODE</v>
      </c>
      <c r="C1023" t="s">
        <v>5273</v>
      </c>
      <c r="D1023" t="s">
        <v>5285</v>
      </c>
      <c r="E1023" t="s">
        <v>981</v>
      </c>
      <c r="F1023" t="s">
        <v>21</v>
      </c>
      <c r="G1023" t="s">
        <v>4506</v>
      </c>
      <c r="H1023">
        <v>0</v>
      </c>
      <c r="I1023">
        <v>2</v>
      </c>
      <c r="J1023">
        <v>0</v>
      </c>
      <c r="K1023">
        <v>0</v>
      </c>
      <c r="L1023">
        <v>0</v>
      </c>
    </row>
    <row r="1024" spans="1:12">
      <c r="A1024" t="str">
        <f>HYPERLINK("http://bombeiros.sp.gov.br/hidrantes/03individual/3300.html","3300")</f>
        <v>3300</v>
      </c>
      <c r="B1024" t="str">
        <f>HYPERLINK("http://bombeiros.sp.gov.br/hidrantes/08bsg/qrcodeBSG.html?id=3300&amp;lat=-23.55866&amp;long=-46.53311&amp;tipo=S","QRCODE")</f>
        <v>QRCODE</v>
      </c>
      <c r="C1024" t="s">
        <v>5273</v>
      </c>
      <c r="D1024" t="s">
        <v>5285</v>
      </c>
      <c r="E1024" t="s">
        <v>981</v>
      </c>
      <c r="F1024" t="s">
        <v>21</v>
      </c>
      <c r="G1024" t="s">
        <v>4505</v>
      </c>
      <c r="H1024">
        <v>0</v>
      </c>
      <c r="I1024">
        <v>2</v>
      </c>
      <c r="J1024">
        <v>0</v>
      </c>
      <c r="K1024">
        <v>0</v>
      </c>
      <c r="L1024">
        <v>0</v>
      </c>
    </row>
    <row r="1025" spans="1:12">
      <c r="A1025" t="str">
        <f>HYPERLINK("http://bombeiros.sp.gov.br/hidrantes/03individual/3301.html","3301")</f>
        <v>3301</v>
      </c>
      <c r="B1025" t="str">
        <f>HYPERLINK("http://bombeiros.sp.gov.br/hidrantes/08bsg/qrcodeBSG.html?id=3301&amp;lat=-23.55957&amp;long=-46.52877&amp;tipo=S","QRCODE")</f>
        <v>QRCODE</v>
      </c>
      <c r="C1025" t="s">
        <v>5273</v>
      </c>
      <c r="D1025" t="s">
        <v>5285</v>
      </c>
      <c r="E1025" t="s">
        <v>981</v>
      </c>
      <c r="F1025" t="s">
        <v>21</v>
      </c>
      <c r="G1025" t="s">
        <v>4516</v>
      </c>
      <c r="H1025">
        <v>0</v>
      </c>
      <c r="I1025">
        <v>2</v>
      </c>
      <c r="J1025">
        <v>0</v>
      </c>
      <c r="K1025">
        <v>0</v>
      </c>
      <c r="L1025">
        <v>0</v>
      </c>
    </row>
    <row r="1026" spans="1:12">
      <c r="A1026" t="str">
        <f>HYPERLINK("http://bombeiros.sp.gov.br/hidrantes/03individual/3325.html","3325")</f>
        <v>3325</v>
      </c>
      <c r="B1026" t="str">
        <f>HYPERLINK("http://bombeiros.sp.gov.br/hidrantes/08bsg/qrcodeBSG.html?id=3325&amp;lat=-23.55621&amp;long=-46.54238&amp;tipo=S","QRCODE")</f>
        <v>QRCODE</v>
      </c>
      <c r="C1026" t="s">
        <v>5273</v>
      </c>
      <c r="D1026" t="s">
        <v>5285</v>
      </c>
      <c r="E1026" t="s">
        <v>981</v>
      </c>
      <c r="F1026" t="s">
        <v>21</v>
      </c>
      <c r="G1026" t="s">
        <v>5114</v>
      </c>
      <c r="H1026">
        <v>0</v>
      </c>
      <c r="I1026">
        <v>1</v>
      </c>
      <c r="J1026">
        <v>0</v>
      </c>
      <c r="K1026">
        <v>0</v>
      </c>
      <c r="L1026">
        <v>0</v>
      </c>
    </row>
    <row r="1027" spans="1:12">
      <c r="A1027" t="str">
        <f>HYPERLINK("http://bombeiros.sp.gov.br/hidrantes/03individual/4156.html","4156")</f>
        <v>4156</v>
      </c>
      <c r="B1027" t="str">
        <f>HYPERLINK("http://bombeiros.sp.gov.br/hidrantes/08bsg/qrcodeBSG.html?id=4156&amp;lat=-23.55667&amp;long=-46.53753&amp;tipo=S","QRCODE")</f>
        <v>QRCODE</v>
      </c>
      <c r="C1027" t="s">
        <v>5273</v>
      </c>
      <c r="D1027" t="s">
        <v>5285</v>
      </c>
      <c r="E1027" t="s">
        <v>981</v>
      </c>
      <c r="F1027" t="s">
        <v>21</v>
      </c>
      <c r="G1027" t="s">
        <v>1001</v>
      </c>
      <c r="H1027">
        <v>1</v>
      </c>
      <c r="I1027">
        <v>3</v>
      </c>
      <c r="J1027">
        <v>0</v>
      </c>
      <c r="K1027">
        <v>0</v>
      </c>
      <c r="L1027">
        <v>0</v>
      </c>
    </row>
    <row r="1028" spans="1:12">
      <c r="A1028" t="str">
        <f>HYPERLINK("http://bombeiros.sp.gov.br/hidrantes/03individual/4291.html","4291")</f>
        <v>4291</v>
      </c>
      <c r="B1028" t="str">
        <f>HYPERLINK("http://bombeiros.sp.gov.br/hidrantes/08bsg/qrcodeBSG.html?id=4291&amp;lat=-23.55654&amp;long=-46.52529&amp;tipo=S","QRCODE")</f>
        <v>QRCODE</v>
      </c>
      <c r="C1028" t="s">
        <v>5273</v>
      </c>
      <c r="D1028" t="s">
        <v>5285</v>
      </c>
      <c r="E1028" t="s">
        <v>981</v>
      </c>
      <c r="F1028" t="s">
        <v>21</v>
      </c>
      <c r="G1028" t="s">
        <v>2561</v>
      </c>
      <c r="H1028">
        <v>0</v>
      </c>
      <c r="I1028">
        <v>2</v>
      </c>
      <c r="J1028">
        <v>0</v>
      </c>
      <c r="K1028">
        <v>0</v>
      </c>
      <c r="L1028">
        <v>0</v>
      </c>
    </row>
    <row r="1029" spans="1:12">
      <c r="A1029" t="str">
        <f>HYPERLINK("http://bombeiros.sp.gov.br/hidrantes/03individual/4292.html","4292")</f>
        <v>4292</v>
      </c>
      <c r="B1029" t="str">
        <f>HYPERLINK("http://bombeiros.sp.gov.br/hidrantes/08bsg/qrcodeBSG.html?id=4292&amp;lat=-23.55783&amp;long=-46.53949&amp;tipo=S","QRCODE")</f>
        <v>QRCODE</v>
      </c>
      <c r="C1029" t="s">
        <v>5273</v>
      </c>
      <c r="D1029" t="s">
        <v>5285</v>
      </c>
      <c r="E1029" t="s">
        <v>981</v>
      </c>
      <c r="F1029" t="s">
        <v>21</v>
      </c>
      <c r="G1029" t="s">
        <v>2420</v>
      </c>
      <c r="H1029">
        <v>0</v>
      </c>
      <c r="I1029">
        <v>2</v>
      </c>
      <c r="J1029">
        <v>0</v>
      </c>
      <c r="K1029">
        <v>0</v>
      </c>
      <c r="L1029">
        <v>0</v>
      </c>
    </row>
    <row r="1030" spans="1:12">
      <c r="A1030" t="str">
        <f>HYPERLINK("http://bombeiros.sp.gov.br/hidrantes/03individual/4306.html","4306")</f>
        <v>4306</v>
      </c>
      <c r="B1030" t="str">
        <f>HYPERLINK("http://bombeiros.sp.gov.br/hidrantes/08bsg/qrcodeBSG.html?id=4306&amp;lat=-23.55349&amp;long=-46.54341&amp;tipo=S","QRCODE")</f>
        <v>QRCODE</v>
      </c>
      <c r="C1030" t="s">
        <v>5273</v>
      </c>
      <c r="D1030" t="s">
        <v>5285</v>
      </c>
      <c r="E1030" t="s">
        <v>981</v>
      </c>
      <c r="F1030" t="s">
        <v>21</v>
      </c>
      <c r="G1030" t="s">
        <v>997</v>
      </c>
      <c r="H1030">
        <v>0</v>
      </c>
      <c r="I1030">
        <v>2</v>
      </c>
      <c r="J1030">
        <v>0</v>
      </c>
      <c r="K1030">
        <v>0</v>
      </c>
      <c r="L1030">
        <v>0</v>
      </c>
    </row>
    <row r="1031" spans="1:12">
      <c r="A1031" t="str">
        <f>HYPERLINK("http://bombeiros.sp.gov.br/hidrantes/03individual/27260.html","27260")</f>
        <v>27260</v>
      </c>
      <c r="B1031" t="str">
        <f>HYPERLINK("http://bombeiros.sp.gov.br/hidrantes/08bsg/qrcodeBSG.html?id=27260&amp;lat=-23.55218&amp;long=-46.52907&amp;tipo=S","QRCODE")</f>
        <v>QRCODE</v>
      </c>
      <c r="C1031" t="s">
        <v>5273</v>
      </c>
      <c r="D1031" t="s">
        <v>5285</v>
      </c>
      <c r="E1031" t="s">
        <v>981</v>
      </c>
      <c r="F1031" t="s">
        <v>21</v>
      </c>
      <c r="G1031" t="s">
        <v>5286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>
      <c r="A1032" t="str">
        <f>HYPERLINK("http://bombeiros.sp.gov.br/hidrantes/03individual/27261.html","27261")</f>
        <v>27261</v>
      </c>
      <c r="B1032" t="str">
        <f>HYPERLINK("http://bombeiros.sp.gov.br/hidrantes/08bsg/qrcodeBSG.html?id=27261&amp;lat=-23.55020&amp;long=-46.52852&amp;tipo=S","QRCODE")</f>
        <v>QRCODE</v>
      </c>
      <c r="C1032" t="s">
        <v>5273</v>
      </c>
      <c r="D1032" t="s">
        <v>5285</v>
      </c>
      <c r="E1032" t="s">
        <v>981</v>
      </c>
      <c r="F1032" t="s">
        <v>21</v>
      </c>
      <c r="G1032" t="s">
        <v>5287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>
      <c r="A1033" t="str">
        <f>HYPERLINK("http://bombeiros.sp.gov.br/hidrantes/03individual/2975.html","2975")</f>
        <v>2975</v>
      </c>
      <c r="B1033" t="str">
        <f>HYPERLINK("http://bombeiros.sp.gov.br/hidrantes/08bsg/qrcodeBSG.html?id=2975&amp;lat=-23.55991&amp;long=-46.51129&amp;tipo=C","QRCODE")</f>
        <v>QRCODE</v>
      </c>
      <c r="C1033" t="s">
        <v>5273</v>
      </c>
      <c r="D1033" t="s">
        <v>5288</v>
      </c>
      <c r="E1033" t="s">
        <v>1633</v>
      </c>
      <c r="F1033" t="s">
        <v>12</v>
      </c>
      <c r="G1033" t="s">
        <v>1664</v>
      </c>
      <c r="H1033">
        <v>0</v>
      </c>
      <c r="I1033">
        <v>2</v>
      </c>
      <c r="J1033">
        <v>0</v>
      </c>
      <c r="K1033">
        <v>0</v>
      </c>
      <c r="L1033">
        <v>0</v>
      </c>
    </row>
    <row r="1034" spans="1:12">
      <c r="A1034" t="str">
        <f>HYPERLINK("http://bombeiros.sp.gov.br/hidrantes/03individual/3041.html","3041")</f>
        <v>3041</v>
      </c>
      <c r="B1034" t="str">
        <f>HYPERLINK("http://bombeiros.sp.gov.br/hidrantes/08bsg/qrcodeBSG.html?id=3041&amp;lat=-23.55295&amp;long=-46.51327&amp;tipo=C","QRCODE")</f>
        <v>QRCODE</v>
      </c>
      <c r="C1034" t="s">
        <v>5273</v>
      </c>
      <c r="D1034" t="s">
        <v>5288</v>
      </c>
      <c r="E1034" t="s">
        <v>1633</v>
      </c>
      <c r="F1034" t="s">
        <v>12</v>
      </c>
      <c r="G1034" t="s">
        <v>2568</v>
      </c>
      <c r="H1034">
        <v>0</v>
      </c>
      <c r="I1034">
        <v>2</v>
      </c>
      <c r="J1034">
        <v>0</v>
      </c>
      <c r="K1034">
        <v>0</v>
      </c>
      <c r="L1034">
        <v>0</v>
      </c>
    </row>
    <row r="1035" spans="1:12">
      <c r="A1035" t="str">
        <f>HYPERLINK("http://bombeiros.sp.gov.br/hidrantes/03individual/5650.html","5650")</f>
        <v>5650</v>
      </c>
      <c r="B1035" t="str">
        <f>HYPERLINK("http://bombeiros.sp.gov.br/hidrantes/08bsg/qrcodeBSG.html?id=5650&amp;lat=-23.55459&amp;long=-46.48572&amp;tipo=C","QRCODE")</f>
        <v>QRCODE</v>
      </c>
      <c r="C1035" t="s">
        <v>5273</v>
      </c>
      <c r="D1035" t="s">
        <v>5288</v>
      </c>
      <c r="E1035" t="s">
        <v>1633</v>
      </c>
      <c r="F1035" t="s">
        <v>12</v>
      </c>
      <c r="G1035" t="s">
        <v>4211</v>
      </c>
      <c r="H1035">
        <v>0</v>
      </c>
      <c r="I1035">
        <v>2</v>
      </c>
      <c r="J1035">
        <v>0</v>
      </c>
      <c r="K1035">
        <v>0</v>
      </c>
      <c r="L1035">
        <v>0</v>
      </c>
    </row>
    <row r="1036" spans="1:12">
      <c r="A1036" t="str">
        <f>HYPERLINK("http://bombeiros.sp.gov.br/hidrantes/03individual/27044.html","27044")</f>
        <v>27044</v>
      </c>
      <c r="B1036" t="str">
        <f>HYPERLINK("http://bombeiros.sp.gov.br/hidrantes/08bsg/qrcodeBSG.html?id=27044&amp;lat=-23.55554&amp;long=-46.51105&amp;tipo=C","QRCODE")</f>
        <v>QRCODE</v>
      </c>
      <c r="C1036" t="s">
        <v>5273</v>
      </c>
      <c r="D1036" t="s">
        <v>5288</v>
      </c>
      <c r="E1036" t="s">
        <v>1633</v>
      </c>
      <c r="F1036" t="s">
        <v>12</v>
      </c>
      <c r="G1036" t="s">
        <v>3413</v>
      </c>
      <c r="H1036">
        <v>0</v>
      </c>
      <c r="I1036">
        <v>1</v>
      </c>
      <c r="J1036">
        <v>0</v>
      </c>
      <c r="K1036">
        <v>0</v>
      </c>
      <c r="L1036">
        <v>0</v>
      </c>
    </row>
    <row r="1037" spans="1:12">
      <c r="A1037" t="str">
        <f>HYPERLINK("http://bombeiros.sp.gov.br/hidrantes/03individual/1873.html","1873")</f>
        <v>1873</v>
      </c>
      <c r="B1037" t="str">
        <f>HYPERLINK("http://bombeiros.sp.gov.br/hidrantes/08bsg/qrcodeBSG.html?id=1873&amp;lat=-23.55524&amp;long=-46.51557&amp;tipo=S","QRCODE")</f>
        <v>QRCODE</v>
      </c>
      <c r="C1037" t="s">
        <v>5273</v>
      </c>
      <c r="D1037" t="s">
        <v>5288</v>
      </c>
      <c r="E1037" t="s">
        <v>1633</v>
      </c>
      <c r="F1037" t="s">
        <v>21</v>
      </c>
      <c r="G1037" t="s">
        <v>2537</v>
      </c>
      <c r="H1037">
        <v>0</v>
      </c>
      <c r="I1037">
        <v>2</v>
      </c>
      <c r="J1037">
        <v>0</v>
      </c>
      <c r="K1037">
        <v>0</v>
      </c>
      <c r="L1037">
        <v>0</v>
      </c>
    </row>
    <row r="1038" spans="1:12">
      <c r="A1038" t="str">
        <f>HYPERLINK("http://bombeiros.sp.gov.br/hidrantes/03individual/1888.html","1888")</f>
        <v>1888</v>
      </c>
      <c r="B1038" t="str">
        <f>HYPERLINK("http://bombeiros.sp.gov.br/hidrantes/08bsg/qrcodeBSG.html?id=1888&amp;lat=-23.55041&amp;long=-46.50275&amp;tipo=S","QRCODE")</f>
        <v>QRCODE</v>
      </c>
      <c r="C1038" t="s">
        <v>5273</v>
      </c>
      <c r="D1038" t="s">
        <v>5288</v>
      </c>
      <c r="E1038" t="s">
        <v>1633</v>
      </c>
      <c r="F1038" t="s">
        <v>21</v>
      </c>
      <c r="G1038" t="s">
        <v>1634</v>
      </c>
      <c r="H1038">
        <v>0</v>
      </c>
      <c r="I1038">
        <v>2</v>
      </c>
      <c r="J1038">
        <v>0</v>
      </c>
      <c r="K1038">
        <v>0</v>
      </c>
      <c r="L1038">
        <v>0</v>
      </c>
    </row>
    <row r="1039" spans="1:12">
      <c r="A1039" t="str">
        <f>HYPERLINK("http://bombeiros.sp.gov.br/hidrantes/03individual/1890.html","1890")</f>
        <v>1890</v>
      </c>
      <c r="B1039" t="str">
        <f>HYPERLINK("http://bombeiros.sp.gov.br/hidrantes/08bsg/qrcodeBSG.html?id=1890&amp;lat=-23.55694&amp;long=-46.50440&amp;tipo=S","QRCODE")</f>
        <v>QRCODE</v>
      </c>
      <c r="C1039" t="s">
        <v>5273</v>
      </c>
      <c r="D1039" t="s">
        <v>5288</v>
      </c>
      <c r="E1039" t="s">
        <v>1633</v>
      </c>
      <c r="F1039" t="s">
        <v>21</v>
      </c>
      <c r="G1039" t="s">
        <v>1632</v>
      </c>
      <c r="H1039">
        <v>0</v>
      </c>
      <c r="I1039">
        <v>2</v>
      </c>
      <c r="J1039">
        <v>0</v>
      </c>
      <c r="K1039">
        <v>0</v>
      </c>
      <c r="L1039">
        <v>0</v>
      </c>
    </row>
    <row r="1040" spans="1:12">
      <c r="A1040" t="str">
        <f>HYPERLINK("http://bombeiros.sp.gov.br/hidrantes/03individual/1892.html","1892")</f>
        <v>1892</v>
      </c>
      <c r="B1040" t="str">
        <f>HYPERLINK("http://bombeiros.sp.gov.br/hidrantes/08bsg/qrcodeBSG.html?id=1892&amp;lat=-23.55275&amp;long=-46.49833&amp;tipo=S","QRCODE")</f>
        <v>QRCODE</v>
      </c>
      <c r="C1040" t="s">
        <v>5273</v>
      </c>
      <c r="D1040" t="s">
        <v>5288</v>
      </c>
      <c r="E1040" t="s">
        <v>1633</v>
      </c>
      <c r="F1040" t="s">
        <v>21</v>
      </c>
      <c r="G1040" t="s">
        <v>1770</v>
      </c>
      <c r="H1040">
        <v>0</v>
      </c>
      <c r="I1040">
        <v>2</v>
      </c>
      <c r="J1040">
        <v>0</v>
      </c>
      <c r="K1040">
        <v>0</v>
      </c>
      <c r="L1040">
        <v>0</v>
      </c>
    </row>
    <row r="1041" spans="1:12">
      <c r="A1041" t="str">
        <f>HYPERLINK("http://bombeiros.sp.gov.br/hidrantes/03individual/1913.html","1913")</f>
        <v>1913</v>
      </c>
      <c r="B1041" t="str">
        <f>HYPERLINK("http://bombeiros.sp.gov.br/hidrantes/08bsg/qrcodeBSG.html?id=1913&amp;lat=-23.55334&amp;long=-46.49580&amp;tipo=S","QRCODE")</f>
        <v>QRCODE</v>
      </c>
      <c r="C1041" t="s">
        <v>5273</v>
      </c>
      <c r="D1041" t="s">
        <v>5288</v>
      </c>
      <c r="E1041" t="s">
        <v>1633</v>
      </c>
      <c r="F1041" t="s">
        <v>21</v>
      </c>
      <c r="G1041" t="s">
        <v>1766</v>
      </c>
      <c r="H1041">
        <v>0</v>
      </c>
      <c r="I1041">
        <v>2</v>
      </c>
      <c r="J1041">
        <v>0</v>
      </c>
      <c r="K1041">
        <v>0</v>
      </c>
      <c r="L1041">
        <v>0</v>
      </c>
    </row>
    <row r="1042" spans="1:12">
      <c r="A1042" t="str">
        <f>HYPERLINK("http://bombeiros.sp.gov.br/hidrantes/03individual/1935.html","1935")</f>
        <v>1935</v>
      </c>
      <c r="B1042" t="str">
        <f>HYPERLINK("http://bombeiros.sp.gov.br/hidrantes/08bsg/qrcodeBSG.html?id=1935&amp;lat=-23.55505&amp;long=-46.48914&amp;tipo=S","QRCODE")</f>
        <v>QRCODE</v>
      </c>
      <c r="C1042" t="s">
        <v>5273</v>
      </c>
      <c r="D1042" t="s">
        <v>5288</v>
      </c>
      <c r="E1042" t="s">
        <v>1633</v>
      </c>
      <c r="F1042" t="s">
        <v>21</v>
      </c>
      <c r="G1042" t="s">
        <v>1767</v>
      </c>
      <c r="H1042">
        <v>0</v>
      </c>
      <c r="I1042">
        <v>2</v>
      </c>
      <c r="J1042">
        <v>0</v>
      </c>
      <c r="K1042">
        <v>0</v>
      </c>
      <c r="L1042">
        <v>0</v>
      </c>
    </row>
    <row r="1043" spans="1:12">
      <c r="A1043" t="str">
        <f>HYPERLINK("http://bombeiros.sp.gov.br/hidrantes/03individual/1949.html","1949")</f>
        <v>1949</v>
      </c>
      <c r="B1043" t="str">
        <f>HYPERLINK("http://bombeiros.sp.gov.br/hidrantes/08bsg/qrcodeBSG.html?id=1949&amp;lat=-23.55507&amp;long=-46.48439&amp;tipo=S","QRCODE")</f>
        <v>QRCODE</v>
      </c>
      <c r="C1043" t="s">
        <v>5273</v>
      </c>
      <c r="D1043" t="s">
        <v>5288</v>
      </c>
      <c r="E1043" t="s">
        <v>1633</v>
      </c>
      <c r="F1043" t="s">
        <v>21</v>
      </c>
      <c r="G1043" t="s">
        <v>3681</v>
      </c>
      <c r="H1043">
        <v>1</v>
      </c>
      <c r="I1043">
        <v>1</v>
      </c>
      <c r="J1043">
        <v>0</v>
      </c>
      <c r="K1043">
        <v>0</v>
      </c>
      <c r="L1043">
        <v>0</v>
      </c>
    </row>
    <row r="1044" spans="1:12">
      <c r="A1044" t="str">
        <f>HYPERLINK("http://bombeiros.sp.gov.br/hidrantes/03individual/4164.html","4164")</f>
        <v>4164</v>
      </c>
      <c r="B1044" t="str">
        <f>HYPERLINK("http://bombeiros.sp.gov.br/hidrantes/08bsg/qrcodeBSG.html?id=4164&amp;lat=-23.55817&amp;long=-46.48670&amp;tipo=S","QRCODE")</f>
        <v>QRCODE</v>
      </c>
      <c r="C1044" t="s">
        <v>5273</v>
      </c>
      <c r="D1044" t="s">
        <v>5288</v>
      </c>
      <c r="E1044" t="s">
        <v>1633</v>
      </c>
      <c r="F1044" t="s">
        <v>21</v>
      </c>
      <c r="G1044" t="s">
        <v>4808</v>
      </c>
      <c r="H1044">
        <v>1</v>
      </c>
      <c r="I1044">
        <v>1</v>
      </c>
      <c r="J1044">
        <v>0</v>
      </c>
      <c r="K1044">
        <v>0</v>
      </c>
      <c r="L1044">
        <v>0</v>
      </c>
    </row>
    <row r="1045" spans="1:12">
      <c r="A1045" t="str">
        <f>HYPERLINK("http://bombeiros.sp.gov.br/hidrantes/03individual/4165.html","4165")</f>
        <v>4165</v>
      </c>
      <c r="B1045" t="str">
        <f>HYPERLINK("http://bombeiros.sp.gov.br/hidrantes/08bsg/qrcodeBSG.html?id=4165&amp;lat=-23.55717&amp;long=-46.49459&amp;tipo=S","QRCODE")</f>
        <v>QRCODE</v>
      </c>
      <c r="C1045" t="s">
        <v>5273</v>
      </c>
      <c r="D1045" t="s">
        <v>5288</v>
      </c>
      <c r="E1045" t="s">
        <v>1633</v>
      </c>
      <c r="F1045" t="s">
        <v>21</v>
      </c>
      <c r="G1045" t="s">
        <v>4197</v>
      </c>
      <c r="H1045">
        <v>0</v>
      </c>
      <c r="I1045">
        <v>1</v>
      </c>
      <c r="J1045">
        <v>0</v>
      </c>
      <c r="K1045">
        <v>0</v>
      </c>
      <c r="L1045">
        <v>0</v>
      </c>
    </row>
    <row r="1046" spans="1:12">
      <c r="A1046" t="str">
        <f>HYPERLINK("http://bombeiros.sp.gov.br/hidrantes/03individual/17746.html","17746")</f>
        <v>17746</v>
      </c>
      <c r="B1046" t="str">
        <f>HYPERLINK("http://bombeiros.sp.gov.br/hidrantes/08bsg/qrcodeBSG.html?id=17746&amp;lat=-23.55427&amp;long=-46.49695&amp;tipo=S","QRCODE")</f>
        <v>QRCODE</v>
      </c>
      <c r="C1046" t="s">
        <v>5273</v>
      </c>
      <c r="D1046" t="s">
        <v>5288</v>
      </c>
      <c r="E1046" t="s">
        <v>1633</v>
      </c>
      <c r="F1046" t="s">
        <v>21</v>
      </c>
      <c r="G1046" t="s">
        <v>3833</v>
      </c>
      <c r="H1046">
        <v>1</v>
      </c>
      <c r="I1046">
        <v>1</v>
      </c>
      <c r="J1046">
        <v>0</v>
      </c>
      <c r="K1046">
        <v>0</v>
      </c>
      <c r="L1046">
        <v>0</v>
      </c>
    </row>
    <row r="1047" spans="1:12">
      <c r="A1047" t="str">
        <f>HYPERLINK("http://bombeiros.sp.gov.br/hidrantes/03individual/17877.html","17877")</f>
        <v>17877</v>
      </c>
      <c r="B1047" t="str">
        <f>HYPERLINK("http://bombeiros.sp.gov.br/hidrantes/08bsg/qrcodeBSG.html?id=17877&amp;lat=-23.55495&amp;long=-46.50937&amp;tipo=S","QRCODE")</f>
        <v>QRCODE</v>
      </c>
      <c r="C1047" t="s">
        <v>5273</v>
      </c>
      <c r="D1047" t="s">
        <v>5288</v>
      </c>
      <c r="E1047" t="s">
        <v>1633</v>
      </c>
      <c r="F1047" t="s">
        <v>21</v>
      </c>
      <c r="G1047" t="s">
        <v>5225</v>
      </c>
      <c r="H1047">
        <v>1</v>
      </c>
      <c r="I1047">
        <v>0</v>
      </c>
      <c r="J1047">
        <v>0</v>
      </c>
      <c r="K1047">
        <v>0</v>
      </c>
      <c r="L1047">
        <v>0</v>
      </c>
    </row>
    <row r="1048" spans="1:12">
      <c r="A1048" t="str">
        <f>HYPERLINK("http://bombeiros.sp.gov.br/hidrantes/03individual/2969.html","2969")</f>
        <v>2969</v>
      </c>
      <c r="B1048" t="str">
        <f>HYPERLINK("http://bombeiros.sp.gov.br/hidrantes/08bsg/qrcodeBSG.html?id=2969&amp;lat=-23.57256&amp;long=-46.50305&amp;tipo=C","QRCODE")</f>
        <v>QRCODE</v>
      </c>
      <c r="C1048" t="s">
        <v>5273</v>
      </c>
      <c r="D1048" t="s">
        <v>5288</v>
      </c>
      <c r="E1048" t="s">
        <v>1597</v>
      </c>
      <c r="F1048" t="s">
        <v>12</v>
      </c>
      <c r="G1048" t="s">
        <v>1665</v>
      </c>
      <c r="H1048">
        <v>0</v>
      </c>
      <c r="I1048">
        <v>2</v>
      </c>
      <c r="J1048">
        <v>0</v>
      </c>
      <c r="K1048">
        <v>0</v>
      </c>
      <c r="L1048">
        <v>0</v>
      </c>
    </row>
    <row r="1049" spans="1:12">
      <c r="A1049" t="str">
        <f>HYPERLINK("http://bombeiros.sp.gov.br/hidrantes/03individual/4418.html","4418")</f>
        <v>4418</v>
      </c>
      <c r="B1049" t="str">
        <f>HYPERLINK("http://bombeiros.sp.gov.br/hidrantes/08bsg/qrcodeBSG.html?id=4418&amp;lat=-23.57539&amp;long=-46.50239&amp;tipo=C","QRCODE")</f>
        <v>QRCODE</v>
      </c>
      <c r="C1049" t="s">
        <v>5273</v>
      </c>
      <c r="D1049" t="s">
        <v>5288</v>
      </c>
      <c r="E1049" t="s">
        <v>1597</v>
      </c>
      <c r="F1049" t="s">
        <v>12</v>
      </c>
      <c r="G1049" t="s">
        <v>1656</v>
      </c>
      <c r="H1049">
        <v>0</v>
      </c>
      <c r="I1049">
        <v>2</v>
      </c>
      <c r="J1049">
        <v>0</v>
      </c>
      <c r="K1049">
        <v>0</v>
      </c>
      <c r="L1049">
        <v>0</v>
      </c>
    </row>
    <row r="1050" spans="1:12">
      <c r="A1050" t="str">
        <f>HYPERLINK("http://bombeiros.sp.gov.br/hidrantes/03individual/5525.html","5525")</f>
        <v>5525</v>
      </c>
      <c r="B1050" t="str">
        <f>HYPERLINK("http://bombeiros.sp.gov.br/hidrantes/08bsg/qrcodeBSG.html?id=5525&amp;lat=-23.56061&amp;long=-46.48399&amp;tipo=C","QRCODE")</f>
        <v>QRCODE</v>
      </c>
      <c r="C1050" t="s">
        <v>5273</v>
      </c>
      <c r="D1050" t="s">
        <v>5288</v>
      </c>
      <c r="E1050" t="s">
        <v>1597</v>
      </c>
      <c r="F1050" t="s">
        <v>12</v>
      </c>
      <c r="G1050" t="s">
        <v>3854</v>
      </c>
      <c r="H1050">
        <v>0</v>
      </c>
      <c r="I1050">
        <v>1</v>
      </c>
      <c r="J1050">
        <v>0</v>
      </c>
      <c r="K1050">
        <v>0</v>
      </c>
      <c r="L1050">
        <v>0</v>
      </c>
    </row>
    <row r="1051" spans="1:12">
      <c r="A1051" t="str">
        <f>HYPERLINK("http://bombeiros.sp.gov.br/hidrantes/03individual/5609.html","5609")</f>
        <v>5609</v>
      </c>
      <c r="B1051" t="str">
        <f>HYPERLINK("http://bombeiros.sp.gov.br/hidrantes/08bsg/qrcodeBSG.html?id=5609&amp;lat=-23.55997&amp;long=-46.48608&amp;tipo=C","QRCODE")</f>
        <v>QRCODE</v>
      </c>
      <c r="C1051" t="s">
        <v>5273</v>
      </c>
      <c r="D1051" t="s">
        <v>5288</v>
      </c>
      <c r="E1051" t="s">
        <v>1597</v>
      </c>
      <c r="F1051" t="s">
        <v>12</v>
      </c>
      <c r="G1051" t="s">
        <v>4210</v>
      </c>
      <c r="H1051">
        <v>0</v>
      </c>
      <c r="I1051">
        <v>1</v>
      </c>
      <c r="J1051">
        <v>0</v>
      </c>
      <c r="K1051">
        <v>0</v>
      </c>
      <c r="L1051">
        <v>0</v>
      </c>
    </row>
    <row r="1052" spans="1:12">
      <c r="A1052" t="str">
        <f>HYPERLINK("http://bombeiros.sp.gov.br/hidrantes/03individual/1046.html","1046")</f>
        <v>1046</v>
      </c>
      <c r="B1052" t="str">
        <f>HYPERLINK("http://bombeiros.sp.gov.br/hidrantes/08bsg/qrcodeBSG.html?id=1046&amp;lat=-23.56050&amp;long=-46.50691&amp;tipo=S","QRCODE")</f>
        <v>QRCODE</v>
      </c>
      <c r="C1052" t="s">
        <v>5273</v>
      </c>
      <c r="D1052" t="s">
        <v>5288</v>
      </c>
      <c r="E1052" t="s">
        <v>1597</v>
      </c>
      <c r="F1052" t="s">
        <v>21</v>
      </c>
      <c r="G1052" t="s">
        <v>1596</v>
      </c>
      <c r="H1052">
        <v>0</v>
      </c>
      <c r="I1052">
        <v>2</v>
      </c>
      <c r="J1052">
        <v>0</v>
      </c>
      <c r="K1052">
        <v>0</v>
      </c>
      <c r="L1052">
        <v>0</v>
      </c>
    </row>
    <row r="1053" spans="1:12">
      <c r="A1053" t="str">
        <f>HYPERLINK("http://bombeiros.sp.gov.br/hidrantes/03individual/1874.html","1874")</f>
        <v>1874</v>
      </c>
      <c r="B1053" t="str">
        <f>HYPERLINK("http://bombeiros.sp.gov.br/hidrantes/08bsg/qrcodeBSG.html?id=1874&amp;lat=-23.57524&amp;long=-46.49716&amp;tipo=S","QRCODE")</f>
        <v>QRCODE</v>
      </c>
      <c r="C1053" t="s">
        <v>5273</v>
      </c>
      <c r="D1053" t="s">
        <v>5288</v>
      </c>
      <c r="E1053" t="s">
        <v>1597</v>
      </c>
      <c r="F1053" t="s">
        <v>21</v>
      </c>
      <c r="G1053" t="s">
        <v>1637</v>
      </c>
      <c r="H1053">
        <v>0</v>
      </c>
      <c r="I1053">
        <v>2</v>
      </c>
      <c r="J1053">
        <v>0</v>
      </c>
      <c r="K1053">
        <v>0</v>
      </c>
      <c r="L1053">
        <v>0</v>
      </c>
    </row>
    <row r="1054" spans="1:12">
      <c r="A1054" t="str">
        <f>HYPERLINK("http://bombeiros.sp.gov.br/hidrantes/03individual/1955.html","1955")</f>
        <v>1955</v>
      </c>
      <c r="B1054" t="str">
        <f>HYPERLINK("http://bombeiros.sp.gov.br/hidrantes/08bsg/qrcodeBSG.html?id=1955&amp;lat=-23.55908&amp;long=-46.49013&amp;tipo=S","QRCODE")</f>
        <v>QRCODE</v>
      </c>
      <c r="C1054" t="s">
        <v>5273</v>
      </c>
      <c r="D1054" t="s">
        <v>5288</v>
      </c>
      <c r="E1054" t="s">
        <v>1597</v>
      </c>
      <c r="F1054" t="s">
        <v>21</v>
      </c>
      <c r="G1054" t="s">
        <v>1768</v>
      </c>
      <c r="H1054">
        <v>0</v>
      </c>
      <c r="I1054">
        <v>2</v>
      </c>
      <c r="J1054">
        <v>0</v>
      </c>
      <c r="K1054">
        <v>0</v>
      </c>
      <c r="L1054">
        <v>0</v>
      </c>
    </row>
    <row r="1055" spans="1:12">
      <c r="A1055" t="str">
        <f>HYPERLINK("http://bombeiros.sp.gov.br/hidrantes/03individual/1957.html","1957")</f>
        <v>1957</v>
      </c>
      <c r="B1055" t="str">
        <f>HYPERLINK("http://bombeiros.sp.gov.br/hidrantes/08bsg/qrcodeBSG.html?id=1957&amp;lat=-23.56431&amp;long=-46.49104&amp;tipo=S","QRCODE")</f>
        <v>QRCODE</v>
      </c>
      <c r="C1055" t="s">
        <v>5273</v>
      </c>
      <c r="D1055" t="s">
        <v>5288</v>
      </c>
      <c r="E1055" t="s">
        <v>1597</v>
      </c>
      <c r="F1055" t="s">
        <v>21</v>
      </c>
      <c r="G1055" t="s">
        <v>1769</v>
      </c>
      <c r="H1055">
        <v>0</v>
      </c>
      <c r="I1055">
        <v>2</v>
      </c>
      <c r="J1055">
        <v>0</v>
      </c>
      <c r="K1055">
        <v>0</v>
      </c>
      <c r="L1055">
        <v>0</v>
      </c>
    </row>
    <row r="1056" spans="1:12">
      <c r="A1056" t="str">
        <f>HYPERLINK("http://bombeiros.sp.gov.br/hidrantes/03individual/17739.html","17739")</f>
        <v>17739</v>
      </c>
      <c r="B1056" t="str">
        <f>HYPERLINK("http://bombeiros.sp.gov.br/hidrantes/08bsg/qrcodeBSG.html?id=17739&amp;lat=-23.56404&amp;long=-46.49314&amp;tipo=S","QRCODE")</f>
        <v>QRCODE</v>
      </c>
      <c r="C1056" t="s">
        <v>5273</v>
      </c>
      <c r="D1056" t="s">
        <v>5288</v>
      </c>
      <c r="E1056" t="s">
        <v>1597</v>
      </c>
      <c r="F1056" t="s">
        <v>21</v>
      </c>
      <c r="G1056" t="s">
        <v>3834</v>
      </c>
      <c r="H1056">
        <v>1</v>
      </c>
      <c r="I1056">
        <v>1</v>
      </c>
      <c r="J1056">
        <v>0</v>
      </c>
      <c r="K1056">
        <v>0</v>
      </c>
      <c r="L1056">
        <v>0</v>
      </c>
    </row>
    <row r="1057" spans="1:12">
      <c r="A1057" t="str">
        <f>HYPERLINK("http://bombeiros.sp.gov.br/hidrantes/03individual/17740.html","17740")</f>
        <v>17740</v>
      </c>
      <c r="B1057" t="str">
        <f>HYPERLINK("http://bombeiros.sp.gov.br/hidrantes/08bsg/qrcodeBSG.html?id=17740&amp;lat=-23.56578&amp;long=-46.48252&amp;tipo=S","QRCODE")</f>
        <v>QRCODE</v>
      </c>
      <c r="C1057" t="s">
        <v>5273</v>
      </c>
      <c r="D1057" t="s">
        <v>5288</v>
      </c>
      <c r="E1057" t="s">
        <v>1597</v>
      </c>
      <c r="F1057" t="s">
        <v>21</v>
      </c>
      <c r="G1057" t="s">
        <v>3835</v>
      </c>
      <c r="H1057">
        <v>1</v>
      </c>
      <c r="I1057">
        <v>1</v>
      </c>
      <c r="J1057">
        <v>0</v>
      </c>
      <c r="K1057">
        <v>0</v>
      </c>
      <c r="L1057">
        <v>0</v>
      </c>
    </row>
    <row r="1058" spans="1:12">
      <c r="A1058" t="str">
        <f>HYPERLINK("http://bombeiros.sp.gov.br/hidrantes/03individual/968.html","968")</f>
        <v>968</v>
      </c>
      <c r="B1058" t="str">
        <f>HYPERLINK("http://bombeiros.sp.gov.br/hidrantes/08bsg/qrcodeBSG.html?id=968&amp;lat=-23.56530&amp;long=-46.47603&amp;tipo=C","QRCODE")</f>
        <v>QRCODE</v>
      </c>
      <c r="C1058" t="s">
        <v>5273</v>
      </c>
      <c r="D1058" t="s">
        <v>5288</v>
      </c>
      <c r="E1058" t="s">
        <v>1432</v>
      </c>
      <c r="F1058" t="s">
        <v>12</v>
      </c>
      <c r="G1058" t="s">
        <v>2094</v>
      </c>
      <c r="H1058">
        <v>0</v>
      </c>
      <c r="I1058">
        <v>2</v>
      </c>
      <c r="J1058">
        <v>0</v>
      </c>
      <c r="K1058">
        <v>0</v>
      </c>
      <c r="L1058">
        <v>0</v>
      </c>
    </row>
    <row r="1059" spans="1:12">
      <c r="A1059" t="str">
        <f>HYPERLINK("http://bombeiros.sp.gov.br/hidrantes/03individual/969.html","969")</f>
        <v>969</v>
      </c>
      <c r="B1059" t="str">
        <f>HYPERLINK("http://bombeiros.sp.gov.br/hidrantes/08bsg/qrcodeBSG.html?id=969&amp;lat=-23.56199&amp;long=-46.47951&amp;tipo=C","QRCODE")</f>
        <v>QRCODE</v>
      </c>
      <c r="C1059" t="s">
        <v>5273</v>
      </c>
      <c r="D1059" t="s">
        <v>5288</v>
      </c>
      <c r="E1059" t="s">
        <v>1432</v>
      </c>
      <c r="F1059" t="s">
        <v>12</v>
      </c>
      <c r="G1059" t="s">
        <v>2095</v>
      </c>
      <c r="H1059">
        <v>0</v>
      </c>
      <c r="I1059">
        <v>2</v>
      </c>
      <c r="J1059">
        <v>0</v>
      </c>
      <c r="K1059">
        <v>0</v>
      </c>
      <c r="L1059">
        <v>0</v>
      </c>
    </row>
    <row r="1060" spans="1:12">
      <c r="A1060" t="str">
        <f>HYPERLINK("http://bombeiros.sp.gov.br/hidrantes/03individual/2001.html","2001")</f>
        <v>2001</v>
      </c>
      <c r="B1060" t="str">
        <f>HYPERLINK("http://bombeiros.sp.gov.br/hidrantes/08bsg/qrcodeBSG.html?id=2001&amp;lat=-23.55615&amp;long=-46.46654&amp;tipo=C","QRCODE")</f>
        <v>QRCODE</v>
      </c>
      <c r="C1060" t="s">
        <v>5273</v>
      </c>
      <c r="D1060" t="s">
        <v>5288</v>
      </c>
      <c r="E1060" t="s">
        <v>1432</v>
      </c>
      <c r="F1060" t="s">
        <v>12</v>
      </c>
      <c r="G1060" t="s">
        <v>1431</v>
      </c>
      <c r="H1060">
        <v>0</v>
      </c>
      <c r="I1060">
        <v>4</v>
      </c>
      <c r="J1060">
        <v>0</v>
      </c>
      <c r="K1060">
        <v>0</v>
      </c>
      <c r="L1060">
        <v>0</v>
      </c>
    </row>
    <row r="1061" spans="1:12">
      <c r="A1061" t="str">
        <f>HYPERLINK("http://bombeiros.sp.gov.br/hidrantes/03individual/3359.html","3359")</f>
        <v>3359</v>
      </c>
      <c r="B1061" t="str">
        <f>HYPERLINK("http://bombeiros.sp.gov.br/hidrantes/08bsg/qrcodeBSG.html?id=3359&amp;lat=-23.55663&amp;long=-46.47753&amp;tipo=C","QRCODE")</f>
        <v>QRCODE</v>
      </c>
      <c r="C1061" t="s">
        <v>5273</v>
      </c>
      <c r="D1061" t="s">
        <v>5288</v>
      </c>
      <c r="E1061" t="s">
        <v>1432</v>
      </c>
      <c r="F1061" t="s">
        <v>12</v>
      </c>
      <c r="G1061" t="s">
        <v>4195</v>
      </c>
      <c r="H1061">
        <v>0</v>
      </c>
      <c r="I1061">
        <v>1</v>
      </c>
      <c r="J1061">
        <v>0</v>
      </c>
      <c r="K1061">
        <v>0</v>
      </c>
      <c r="L1061">
        <v>0</v>
      </c>
    </row>
    <row r="1062" spans="1:12">
      <c r="A1062" t="str">
        <f>HYPERLINK("http://bombeiros.sp.gov.br/hidrantes/03individual/3398.html","3398")</f>
        <v>3398</v>
      </c>
      <c r="B1062" t="str">
        <f>HYPERLINK("http://bombeiros.sp.gov.br/hidrantes/08bsg/qrcodeBSG.html?id=3398&amp;lat=-23.55405&amp;long=-46.46623&amp;tipo=C","QRCODE")</f>
        <v>QRCODE</v>
      </c>
      <c r="C1062" t="s">
        <v>5273</v>
      </c>
      <c r="D1062" t="s">
        <v>5288</v>
      </c>
      <c r="E1062" t="s">
        <v>1432</v>
      </c>
      <c r="F1062" t="s">
        <v>12</v>
      </c>
      <c r="G1062" t="s">
        <v>4943</v>
      </c>
      <c r="H1062">
        <v>0</v>
      </c>
      <c r="I1062">
        <v>1</v>
      </c>
      <c r="J1062">
        <v>0</v>
      </c>
      <c r="K1062">
        <v>0</v>
      </c>
      <c r="L1062">
        <v>0</v>
      </c>
    </row>
    <row r="1063" spans="1:12">
      <c r="A1063" t="str">
        <f>HYPERLINK("http://bombeiros.sp.gov.br/hidrantes/03individual/3400.html","3400")</f>
        <v>3400</v>
      </c>
      <c r="B1063" t="str">
        <f>HYPERLINK("http://bombeiros.sp.gov.br/hidrantes/08bsg/qrcodeBSG.html?id=3400&amp;lat=-23.55088&amp;long=-46.46350&amp;tipo=C","QRCODE")</f>
        <v>QRCODE</v>
      </c>
      <c r="C1063" t="s">
        <v>5273</v>
      </c>
      <c r="D1063" t="s">
        <v>5288</v>
      </c>
      <c r="E1063" t="s">
        <v>1432</v>
      </c>
      <c r="F1063" t="s">
        <v>12</v>
      </c>
      <c r="G1063" t="s">
        <v>4323</v>
      </c>
      <c r="H1063">
        <v>0</v>
      </c>
      <c r="I1063">
        <v>1</v>
      </c>
      <c r="J1063">
        <v>0</v>
      </c>
      <c r="K1063">
        <v>0</v>
      </c>
      <c r="L1063">
        <v>0</v>
      </c>
    </row>
    <row r="1064" spans="1:12">
      <c r="A1064" t="str">
        <f>HYPERLINK("http://bombeiros.sp.gov.br/hidrantes/03individual/27083.html","27083")</f>
        <v>27083</v>
      </c>
      <c r="B1064" t="str">
        <f>HYPERLINK("http://bombeiros.sp.gov.br/hidrantes/08bsg/qrcodeBSG.html?id=27083&amp;lat=-23.56373&amp;long=-46.47915&amp;tipo=C","QRCODE")</f>
        <v>QRCODE</v>
      </c>
      <c r="C1064" t="s">
        <v>5273</v>
      </c>
      <c r="D1064" t="s">
        <v>5288</v>
      </c>
      <c r="E1064" t="s">
        <v>1432</v>
      </c>
      <c r="F1064" t="s">
        <v>12</v>
      </c>
      <c r="G1064" t="s">
        <v>3435</v>
      </c>
      <c r="H1064">
        <v>0</v>
      </c>
      <c r="I1064">
        <v>1</v>
      </c>
      <c r="J1064">
        <v>0</v>
      </c>
      <c r="K1064">
        <v>0</v>
      </c>
      <c r="L1064">
        <v>0</v>
      </c>
    </row>
    <row r="1065" spans="1:12">
      <c r="A1065" t="str">
        <f>HYPERLINK("http://bombeiros.sp.gov.br/hidrantes/03individual/2003.html","2003")</f>
        <v>2003</v>
      </c>
      <c r="B1065" t="str">
        <f>HYPERLINK("http://bombeiros.sp.gov.br/hidrantes/08bsg/qrcodeBSG.html?id=2003&amp;lat=-23.55297&amp;long=-46.47598&amp;tipo=S","QRCODE")</f>
        <v>QRCODE</v>
      </c>
      <c r="C1065" t="s">
        <v>5273</v>
      </c>
      <c r="D1065" t="s">
        <v>5288</v>
      </c>
      <c r="E1065" t="s">
        <v>1432</v>
      </c>
      <c r="F1065" t="s">
        <v>21</v>
      </c>
      <c r="G1065" t="s">
        <v>2108</v>
      </c>
      <c r="H1065">
        <v>0</v>
      </c>
      <c r="I1065">
        <v>2</v>
      </c>
      <c r="J1065">
        <v>0</v>
      </c>
      <c r="K1065">
        <v>0</v>
      </c>
      <c r="L1065">
        <v>0</v>
      </c>
    </row>
    <row r="1066" spans="1:12">
      <c r="A1066" t="str">
        <f>HYPERLINK("http://bombeiros.sp.gov.br/hidrantes/03individual/2017.html","2017")</f>
        <v>2017</v>
      </c>
      <c r="B1066" t="str">
        <f>HYPERLINK("http://bombeiros.sp.gov.br/hidrantes/08bsg/qrcodeBSG.html?id=2017&amp;lat=-23.55550&amp;long=-46.47217&amp;tipo=S","QRCODE")</f>
        <v>QRCODE</v>
      </c>
      <c r="C1066" t="s">
        <v>5273</v>
      </c>
      <c r="D1066" t="s">
        <v>5288</v>
      </c>
      <c r="E1066" t="s">
        <v>1432</v>
      </c>
      <c r="F1066" t="s">
        <v>21</v>
      </c>
      <c r="G1066" t="s">
        <v>2107</v>
      </c>
      <c r="H1066">
        <v>0</v>
      </c>
      <c r="I1066">
        <v>2</v>
      </c>
      <c r="J1066">
        <v>0</v>
      </c>
      <c r="K1066">
        <v>0</v>
      </c>
      <c r="L1066">
        <v>0</v>
      </c>
    </row>
    <row r="1067" spans="1:12">
      <c r="A1067" t="str">
        <f>HYPERLINK("http://bombeiros.sp.gov.br/hidrantes/03individual/3355.html","3355")</f>
        <v>3355</v>
      </c>
      <c r="B1067" t="str">
        <f>HYPERLINK("http://bombeiros.sp.gov.br/hidrantes/08bsg/qrcodeBSG.html?id=3355&amp;lat=-23.56374&amp;long=-46.47462&amp;tipo=S","QRCODE")</f>
        <v>QRCODE</v>
      </c>
      <c r="C1067" t="s">
        <v>5273</v>
      </c>
      <c r="D1067" t="s">
        <v>5288</v>
      </c>
      <c r="E1067" t="s">
        <v>1432</v>
      </c>
      <c r="F1067" t="s">
        <v>21</v>
      </c>
      <c r="G1067" t="s">
        <v>2165</v>
      </c>
      <c r="H1067">
        <v>0</v>
      </c>
      <c r="I1067">
        <v>2</v>
      </c>
      <c r="J1067">
        <v>0</v>
      </c>
      <c r="K1067">
        <v>0</v>
      </c>
      <c r="L1067">
        <v>0</v>
      </c>
    </row>
    <row r="1068" spans="1:12">
      <c r="A1068" t="str">
        <f>HYPERLINK("http://bombeiros.sp.gov.br/hidrantes/03individual/3360.html","3360")</f>
        <v>3360</v>
      </c>
      <c r="B1068" t="str">
        <f>HYPERLINK("http://bombeiros.sp.gov.br/hidrantes/08bsg/qrcodeBSG.html?id=3360&amp;lat=-23.55362&amp;long=-46.47994&amp;tipo=S","QRCODE")</f>
        <v>QRCODE</v>
      </c>
      <c r="C1068" t="s">
        <v>5273</v>
      </c>
      <c r="D1068" t="s">
        <v>5288</v>
      </c>
      <c r="E1068" t="s">
        <v>1432</v>
      </c>
      <c r="F1068" t="s">
        <v>21</v>
      </c>
      <c r="G1068" t="s">
        <v>1466</v>
      </c>
      <c r="H1068">
        <v>1</v>
      </c>
      <c r="I1068">
        <v>2</v>
      </c>
      <c r="J1068">
        <v>0</v>
      </c>
      <c r="K1068">
        <v>0</v>
      </c>
      <c r="L1068">
        <v>0</v>
      </c>
    </row>
    <row r="1069" spans="1:12">
      <c r="A1069" t="str">
        <f>HYPERLINK("http://bombeiros.sp.gov.br/hidrantes/03individual/850.html","850")</f>
        <v>850</v>
      </c>
      <c r="B1069" t="str">
        <f>HYPERLINK("http://bombeiros.sp.gov.br/hidrantes/08bsg/qrcodeBSG.html?id=850&amp;lat=-23.58043&amp;long=-46.38924&amp;tipo=C","QRCODE")</f>
        <v>QRCODE</v>
      </c>
      <c r="C1069" t="s">
        <v>5273</v>
      </c>
      <c r="D1069" t="s">
        <v>110</v>
      </c>
      <c r="E1069" t="s">
        <v>110</v>
      </c>
      <c r="F1069" t="s">
        <v>12</v>
      </c>
      <c r="G1069" t="s">
        <v>5289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>
      <c r="A1070" t="str">
        <f>HYPERLINK("http://bombeiros.sp.gov.br/hidrantes/03individual/852.html","852")</f>
        <v>852</v>
      </c>
      <c r="B1070" t="str">
        <f>HYPERLINK("http://bombeiros.sp.gov.br/hidrantes/08bsg/qrcodeBSG.html?id=852&amp;lat=-23.58232&amp;long=-46.39096&amp;tipo=C","QRCODE")</f>
        <v>QRCODE</v>
      </c>
      <c r="C1070" t="s">
        <v>5273</v>
      </c>
      <c r="D1070" t="s">
        <v>110</v>
      </c>
      <c r="E1070" t="s">
        <v>110</v>
      </c>
      <c r="F1070" t="s">
        <v>12</v>
      </c>
      <c r="G1070" t="s">
        <v>4868</v>
      </c>
      <c r="H1070">
        <v>0</v>
      </c>
      <c r="I1070">
        <v>1</v>
      </c>
      <c r="J1070">
        <v>0</v>
      </c>
      <c r="K1070">
        <v>0</v>
      </c>
      <c r="L1070">
        <v>0</v>
      </c>
    </row>
    <row r="1071" spans="1:12">
      <c r="A1071" t="str">
        <f>HYPERLINK("http://bombeiros.sp.gov.br/hidrantes/03individual/853.html","853")</f>
        <v>853</v>
      </c>
      <c r="B1071" t="str">
        <f>HYPERLINK("http://bombeiros.sp.gov.br/hidrantes/08bsg/qrcodeBSG.html?id=853&amp;lat=-23.58278&amp;long=-46.39254&amp;tipo=C","QRCODE")</f>
        <v>QRCODE</v>
      </c>
      <c r="C1071" t="s">
        <v>5273</v>
      </c>
      <c r="D1071" t="s">
        <v>110</v>
      </c>
      <c r="E1071" t="s">
        <v>110</v>
      </c>
      <c r="F1071" t="s">
        <v>12</v>
      </c>
      <c r="G1071" t="s">
        <v>2998</v>
      </c>
      <c r="H1071">
        <v>0</v>
      </c>
      <c r="I1071">
        <v>3</v>
      </c>
      <c r="J1071">
        <v>0</v>
      </c>
      <c r="K1071">
        <v>0</v>
      </c>
      <c r="L1071">
        <v>0</v>
      </c>
    </row>
    <row r="1072" spans="1:12">
      <c r="A1072" t="str">
        <f>HYPERLINK("http://bombeiros.sp.gov.br/hidrantes/03individual/859.html","859")</f>
        <v>859</v>
      </c>
      <c r="B1072" t="str">
        <f>HYPERLINK("http://bombeiros.sp.gov.br/hidrantes/08bsg/qrcodeBSG.html?id=859&amp;lat=-23.57851&amp;long=-46.40631&amp;tipo=C","QRCODE")</f>
        <v>QRCODE</v>
      </c>
      <c r="C1072" t="s">
        <v>5273</v>
      </c>
      <c r="D1072" t="s">
        <v>110</v>
      </c>
      <c r="E1072" t="s">
        <v>110</v>
      </c>
      <c r="F1072" t="s">
        <v>12</v>
      </c>
      <c r="G1072" t="s">
        <v>3957</v>
      </c>
      <c r="H1072">
        <v>1</v>
      </c>
      <c r="I1072">
        <v>1</v>
      </c>
      <c r="J1072">
        <v>0</v>
      </c>
      <c r="K1072">
        <v>0</v>
      </c>
      <c r="L1072">
        <v>0</v>
      </c>
    </row>
    <row r="1073" spans="1:12">
      <c r="A1073" t="str">
        <f>HYPERLINK("http://bombeiros.sp.gov.br/hidrantes/03individual/860.html","860")</f>
        <v>860</v>
      </c>
      <c r="B1073" t="str">
        <f>HYPERLINK("http://bombeiros.sp.gov.br/hidrantes/08bsg/qrcodeBSG.html?id=860&amp;lat=-23.57714&amp;long=-46.39280&amp;tipo=C","QRCODE")</f>
        <v>QRCODE</v>
      </c>
      <c r="C1073" t="s">
        <v>5273</v>
      </c>
      <c r="D1073" t="s">
        <v>110</v>
      </c>
      <c r="E1073" t="s">
        <v>110</v>
      </c>
      <c r="F1073" t="s">
        <v>12</v>
      </c>
      <c r="G1073" t="s">
        <v>3461</v>
      </c>
      <c r="H1073">
        <v>2</v>
      </c>
      <c r="I1073">
        <v>1</v>
      </c>
      <c r="J1073">
        <v>0</v>
      </c>
      <c r="K1073">
        <v>0</v>
      </c>
      <c r="L1073">
        <v>0</v>
      </c>
    </row>
    <row r="1074" spans="1:12">
      <c r="A1074" t="str">
        <f>HYPERLINK("http://bombeiros.sp.gov.br/hidrantes/03individual/861.html","861")</f>
        <v>861</v>
      </c>
      <c r="B1074" t="str">
        <f>HYPERLINK("http://bombeiros.sp.gov.br/hidrantes/08bsg/qrcodeBSG.html?id=861&amp;lat=-23.57955&amp;long=-46.39478&amp;tipo=C","QRCODE")</f>
        <v>QRCODE</v>
      </c>
      <c r="C1074" t="s">
        <v>5273</v>
      </c>
      <c r="D1074" t="s">
        <v>110</v>
      </c>
      <c r="E1074" t="s">
        <v>110</v>
      </c>
      <c r="F1074" t="s">
        <v>12</v>
      </c>
      <c r="G1074" t="s">
        <v>4307</v>
      </c>
      <c r="H1074">
        <v>0</v>
      </c>
      <c r="I1074">
        <v>1</v>
      </c>
      <c r="J1074">
        <v>0</v>
      </c>
      <c r="K1074">
        <v>0</v>
      </c>
      <c r="L1074">
        <v>0</v>
      </c>
    </row>
    <row r="1075" spans="1:12">
      <c r="A1075" t="str">
        <f>HYPERLINK("http://bombeiros.sp.gov.br/hidrantes/03individual/862.html","862")</f>
        <v>862</v>
      </c>
      <c r="B1075" t="str">
        <f>HYPERLINK("http://bombeiros.sp.gov.br/hidrantes/08bsg/qrcodeBSG.html?id=862&amp;lat=-23.58011&amp;long=-46.39236&amp;tipo=C","QRCODE")</f>
        <v>QRCODE</v>
      </c>
      <c r="C1075" t="s">
        <v>5273</v>
      </c>
      <c r="D1075" t="s">
        <v>110</v>
      </c>
      <c r="E1075" t="s">
        <v>110</v>
      </c>
      <c r="F1075" t="s">
        <v>12</v>
      </c>
      <c r="G1075" t="s">
        <v>5290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>
      <c r="A1076" t="str">
        <f>HYPERLINK("http://bombeiros.sp.gov.br/hidrantes/03individual/864.html","864")</f>
        <v>864</v>
      </c>
      <c r="B1076" t="str">
        <f>HYPERLINK("http://bombeiros.sp.gov.br/hidrantes/08bsg/qrcodeBSG.html?id=864&amp;lat=-23.58082&amp;long=-46.39814&amp;tipo=C","QRCODE")</f>
        <v>QRCODE</v>
      </c>
      <c r="C1076" t="s">
        <v>5273</v>
      </c>
      <c r="D1076" t="s">
        <v>110</v>
      </c>
      <c r="E1076" t="s">
        <v>110</v>
      </c>
      <c r="F1076" t="s">
        <v>12</v>
      </c>
      <c r="G1076" t="s">
        <v>5252</v>
      </c>
      <c r="H1076">
        <v>1</v>
      </c>
      <c r="I1076">
        <v>0</v>
      </c>
      <c r="J1076">
        <v>0</v>
      </c>
      <c r="K1076">
        <v>0</v>
      </c>
      <c r="L1076">
        <v>0</v>
      </c>
    </row>
    <row r="1077" spans="1:12">
      <c r="A1077" t="str">
        <f>HYPERLINK("http://bombeiros.sp.gov.br/hidrantes/03individual/893.html","893")</f>
        <v>893</v>
      </c>
      <c r="B1077" t="str">
        <f>HYPERLINK("http://bombeiros.sp.gov.br/hidrantes/08bsg/qrcodeBSG.html?id=893&amp;lat=-23.56654&amp;long=-46.41903&amp;tipo=C","QRCODE")</f>
        <v>QRCODE</v>
      </c>
      <c r="C1077" t="s">
        <v>5273</v>
      </c>
      <c r="D1077" t="s">
        <v>110</v>
      </c>
      <c r="E1077" t="s">
        <v>110</v>
      </c>
      <c r="F1077" t="s">
        <v>12</v>
      </c>
      <c r="G1077" t="s">
        <v>4968</v>
      </c>
      <c r="H1077">
        <v>0</v>
      </c>
      <c r="I1077">
        <v>1</v>
      </c>
      <c r="J1077">
        <v>0</v>
      </c>
      <c r="K1077">
        <v>0</v>
      </c>
      <c r="L1077">
        <v>0</v>
      </c>
    </row>
    <row r="1078" spans="1:12">
      <c r="A1078" t="str">
        <f>HYPERLINK("http://bombeiros.sp.gov.br/hidrantes/03individual/897.html","897")</f>
        <v>897</v>
      </c>
      <c r="B1078" t="str">
        <f>HYPERLINK("http://bombeiros.sp.gov.br/hidrantes/08bsg/qrcodeBSG.html?id=897&amp;lat=-23.58618&amp;long=-46.39273&amp;tipo=C","QRCODE")</f>
        <v>QRCODE</v>
      </c>
      <c r="C1078" t="s">
        <v>5273</v>
      </c>
      <c r="D1078" t="s">
        <v>110</v>
      </c>
      <c r="E1078" t="s">
        <v>110</v>
      </c>
      <c r="F1078" t="s">
        <v>12</v>
      </c>
      <c r="G1078" t="s">
        <v>5231</v>
      </c>
      <c r="H1078">
        <v>1</v>
      </c>
      <c r="I1078">
        <v>0</v>
      </c>
      <c r="J1078">
        <v>0</v>
      </c>
      <c r="K1078">
        <v>0</v>
      </c>
      <c r="L1078">
        <v>0</v>
      </c>
    </row>
    <row r="1079" spans="1:12">
      <c r="A1079" t="str">
        <f>HYPERLINK("http://bombeiros.sp.gov.br/hidrantes/03individual/899.html","899")</f>
        <v>899</v>
      </c>
      <c r="B1079" t="str">
        <f>HYPERLINK("http://bombeiros.sp.gov.br/hidrantes/08bsg/qrcodeBSG.html?id=899&amp;lat=-23.58040&amp;long=-46.39910&amp;tipo=C","QRCODE")</f>
        <v>QRCODE</v>
      </c>
      <c r="C1079" t="s">
        <v>5273</v>
      </c>
      <c r="D1079" t="s">
        <v>110</v>
      </c>
      <c r="E1079" t="s">
        <v>110</v>
      </c>
      <c r="F1079" t="s">
        <v>12</v>
      </c>
      <c r="G1079" t="s">
        <v>5249</v>
      </c>
      <c r="H1079">
        <v>2</v>
      </c>
      <c r="I1079">
        <v>0</v>
      </c>
      <c r="J1079">
        <v>0</v>
      </c>
      <c r="K1079">
        <v>0</v>
      </c>
      <c r="L1079">
        <v>0</v>
      </c>
    </row>
    <row r="1080" spans="1:12">
      <c r="A1080" t="str">
        <f>HYPERLINK("http://bombeiros.sp.gov.br/hidrantes/03individual/909.html","909")</f>
        <v>909</v>
      </c>
      <c r="B1080" t="str">
        <f>HYPERLINK("http://bombeiros.sp.gov.br/hidrantes/08bsg/qrcodeBSG.html?id=909&amp;lat=-23.58052&amp;long=-46.39429&amp;tipo=C","QRCODE")</f>
        <v>QRCODE</v>
      </c>
      <c r="C1080" t="s">
        <v>5273</v>
      </c>
      <c r="D1080" t="s">
        <v>110</v>
      </c>
      <c r="E1080" t="s">
        <v>110</v>
      </c>
      <c r="F1080" t="s">
        <v>12</v>
      </c>
      <c r="G1080" t="s">
        <v>109</v>
      </c>
      <c r="H1080">
        <v>1</v>
      </c>
      <c r="I1080">
        <v>2</v>
      </c>
      <c r="J1080">
        <v>0</v>
      </c>
      <c r="K1080">
        <v>0</v>
      </c>
      <c r="L1080">
        <v>0</v>
      </c>
    </row>
    <row r="1081" spans="1:12">
      <c r="A1081" t="str">
        <f>HYPERLINK("http://bombeiros.sp.gov.br/hidrantes/03individual/923.html","923")</f>
        <v>923</v>
      </c>
      <c r="B1081" t="str">
        <f>HYPERLINK("http://bombeiros.sp.gov.br/hidrantes/08bsg/qrcodeBSG.html?id=923&amp;lat=-23.57668&amp;long=-46.41367&amp;tipo=C","QRCODE")</f>
        <v>QRCODE</v>
      </c>
      <c r="C1081" t="s">
        <v>5273</v>
      </c>
      <c r="D1081" t="s">
        <v>110</v>
      </c>
      <c r="E1081" t="s">
        <v>110</v>
      </c>
      <c r="F1081" t="s">
        <v>12</v>
      </c>
      <c r="G1081" t="s">
        <v>4306</v>
      </c>
      <c r="H1081">
        <v>0</v>
      </c>
      <c r="I1081">
        <v>1</v>
      </c>
      <c r="J1081">
        <v>0</v>
      </c>
      <c r="K1081">
        <v>0</v>
      </c>
      <c r="L1081">
        <v>0</v>
      </c>
    </row>
    <row r="1082" spans="1:12">
      <c r="A1082" t="str">
        <f>HYPERLINK("http://bombeiros.sp.gov.br/hidrantes/03individual/927.html","927")</f>
        <v>927</v>
      </c>
      <c r="B1082" t="str">
        <f>HYPERLINK("http://bombeiros.sp.gov.br/hidrantes/08bsg/qrcodeBSG.html?id=927&amp;lat=-23.59415&amp;long=-46.41148&amp;tipo=C","QRCODE")</f>
        <v>QRCODE</v>
      </c>
      <c r="C1082" t="s">
        <v>5273</v>
      </c>
      <c r="D1082" t="s">
        <v>110</v>
      </c>
      <c r="E1082" t="s">
        <v>110</v>
      </c>
      <c r="F1082" t="s">
        <v>12</v>
      </c>
      <c r="G1082" t="s">
        <v>5291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>
      <c r="A1083" t="str">
        <f>HYPERLINK("http://bombeiros.sp.gov.br/hidrantes/03individual/931.html","931")</f>
        <v>931</v>
      </c>
      <c r="B1083" t="str">
        <f>HYPERLINK("http://bombeiros.sp.gov.br/hidrantes/08bsg/qrcodeBSG.html?id=931&amp;lat=-23.59341&amp;long=-46.41184&amp;tipo=C","QRCODE")</f>
        <v>QRCODE</v>
      </c>
      <c r="C1083" t="s">
        <v>5273</v>
      </c>
      <c r="D1083" t="s">
        <v>110</v>
      </c>
      <c r="E1083" t="s">
        <v>110</v>
      </c>
      <c r="F1083" t="s">
        <v>12</v>
      </c>
      <c r="G1083" t="s">
        <v>5292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>
      <c r="A1084" t="str">
        <f>HYPERLINK("http://bombeiros.sp.gov.br/hidrantes/03individual/933.html","933")</f>
        <v>933</v>
      </c>
      <c r="B1084" t="str">
        <f>HYPERLINK("http://bombeiros.sp.gov.br/hidrantes/08bsg/qrcodeBSG.html?id=933&amp;lat=-23.59122&amp;long=-46.41166&amp;tipo=C","QRCODE")</f>
        <v>QRCODE</v>
      </c>
      <c r="C1084" t="s">
        <v>5273</v>
      </c>
      <c r="D1084" t="s">
        <v>110</v>
      </c>
      <c r="E1084" t="s">
        <v>110</v>
      </c>
      <c r="F1084" t="s">
        <v>12</v>
      </c>
      <c r="G1084" t="s">
        <v>4899</v>
      </c>
      <c r="H1084">
        <v>1</v>
      </c>
      <c r="I1084">
        <v>1</v>
      </c>
      <c r="J1084">
        <v>0</v>
      </c>
      <c r="K1084">
        <v>0</v>
      </c>
      <c r="L1084">
        <v>0</v>
      </c>
    </row>
    <row r="1085" spans="1:12">
      <c r="A1085" t="str">
        <f>HYPERLINK("http://bombeiros.sp.gov.br/hidrantes/03individual/941.html","941")</f>
        <v>941</v>
      </c>
      <c r="B1085" t="str">
        <f>HYPERLINK("http://bombeiros.sp.gov.br/hidrantes/08bsg/qrcodeBSG.html?id=941&amp;lat=-23.58941&amp;long=-46.40861&amp;tipo=C","QRCODE")</f>
        <v>QRCODE</v>
      </c>
      <c r="C1085" t="s">
        <v>5273</v>
      </c>
      <c r="D1085" t="s">
        <v>110</v>
      </c>
      <c r="E1085" t="s">
        <v>110</v>
      </c>
      <c r="F1085" t="s">
        <v>12</v>
      </c>
      <c r="G1085" t="s">
        <v>1409</v>
      </c>
      <c r="H1085">
        <v>0</v>
      </c>
      <c r="I1085">
        <v>2</v>
      </c>
      <c r="J1085">
        <v>0</v>
      </c>
      <c r="K1085">
        <v>0</v>
      </c>
      <c r="L1085">
        <v>0</v>
      </c>
    </row>
    <row r="1086" spans="1:12">
      <c r="A1086" t="str">
        <f>HYPERLINK("http://bombeiros.sp.gov.br/hidrantes/03individual/966.html","966")</f>
        <v>966</v>
      </c>
      <c r="B1086" t="str">
        <f>HYPERLINK("http://bombeiros.sp.gov.br/hidrantes/08bsg/qrcodeBSG.html?id=966&amp;lat=-23.58844&amp;long=-46.39766&amp;tipo=C","QRCODE")</f>
        <v>QRCODE</v>
      </c>
      <c r="C1086" t="s">
        <v>5273</v>
      </c>
      <c r="D1086" t="s">
        <v>110</v>
      </c>
      <c r="E1086" t="s">
        <v>110</v>
      </c>
      <c r="F1086" t="s">
        <v>12</v>
      </c>
      <c r="G1086" t="s">
        <v>3460</v>
      </c>
      <c r="H1086">
        <v>0</v>
      </c>
      <c r="I1086">
        <v>1</v>
      </c>
      <c r="J1086">
        <v>0</v>
      </c>
      <c r="K1086">
        <v>0</v>
      </c>
      <c r="L1086">
        <v>0</v>
      </c>
    </row>
    <row r="1087" spans="1:12">
      <c r="A1087" t="str">
        <f>HYPERLINK("http://bombeiros.sp.gov.br/hidrantes/03individual/992.html","992")</f>
        <v>992</v>
      </c>
      <c r="B1087" t="str">
        <f>HYPERLINK("http://bombeiros.sp.gov.br/hidrantes/08bsg/qrcodeBSG.html?id=992&amp;lat=-23.58340&amp;long=-46.41385&amp;tipo=C","QRCODE")</f>
        <v>QRCODE</v>
      </c>
      <c r="C1087" t="s">
        <v>5273</v>
      </c>
      <c r="D1087" t="s">
        <v>110</v>
      </c>
      <c r="E1087" t="s">
        <v>110</v>
      </c>
      <c r="F1087" t="s">
        <v>12</v>
      </c>
      <c r="G1087" t="s">
        <v>2996</v>
      </c>
      <c r="H1087">
        <v>0</v>
      </c>
      <c r="I1087">
        <v>1</v>
      </c>
      <c r="J1087">
        <v>0</v>
      </c>
      <c r="K1087">
        <v>0</v>
      </c>
      <c r="L1087">
        <v>0</v>
      </c>
    </row>
    <row r="1088" spans="1:12">
      <c r="A1088" t="str">
        <f>HYPERLINK("http://bombeiros.sp.gov.br/hidrantes/03individual/995.html","995")</f>
        <v>995</v>
      </c>
      <c r="B1088" t="str">
        <f>HYPERLINK("http://bombeiros.sp.gov.br/hidrantes/08bsg/qrcodeBSG.html?id=995&amp;lat=-23.57175&amp;long=-46.40146&amp;tipo=C","QRCODE")</f>
        <v>QRCODE</v>
      </c>
      <c r="C1088" t="s">
        <v>5273</v>
      </c>
      <c r="D1088" t="s">
        <v>110</v>
      </c>
      <c r="E1088" t="s">
        <v>110</v>
      </c>
      <c r="F1088" t="s">
        <v>12</v>
      </c>
      <c r="G1088" t="s">
        <v>5293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>
      <c r="A1089" t="str">
        <f>HYPERLINK("http://bombeiros.sp.gov.br/hidrantes/03individual/1003.html","1003")</f>
        <v>1003</v>
      </c>
      <c r="B1089" t="str">
        <f>HYPERLINK("http://bombeiros.sp.gov.br/hidrantes/08bsg/qrcodeBSG.html?id=1003&amp;lat=-23.59701&amp;long=-46.41245&amp;tipo=C","QRCODE")</f>
        <v>QRCODE</v>
      </c>
      <c r="C1089" t="s">
        <v>5273</v>
      </c>
      <c r="D1089" t="s">
        <v>110</v>
      </c>
      <c r="E1089" t="s">
        <v>110</v>
      </c>
      <c r="F1089" t="s">
        <v>12</v>
      </c>
      <c r="G1089" t="s">
        <v>4977</v>
      </c>
      <c r="H1089">
        <v>1</v>
      </c>
      <c r="I1089">
        <v>1</v>
      </c>
      <c r="J1089">
        <v>0</v>
      </c>
      <c r="K1089">
        <v>0</v>
      </c>
      <c r="L1089">
        <v>0</v>
      </c>
    </row>
    <row r="1090" spans="1:12">
      <c r="A1090" t="str">
        <f>HYPERLINK("http://bombeiros.sp.gov.br/hidrantes/03individual/2011.html","2011")</f>
        <v>2011</v>
      </c>
      <c r="B1090" t="str">
        <f>HYPERLINK("http://bombeiros.sp.gov.br/hidrantes/08bsg/qrcodeBSG.html?id=2011&amp;lat=-23.57194&amp;long=-46.39939&amp;tipo=C","QRCODE")</f>
        <v>QRCODE</v>
      </c>
      <c r="C1090" t="s">
        <v>5273</v>
      </c>
      <c r="D1090" t="s">
        <v>110</v>
      </c>
      <c r="E1090" t="s">
        <v>110</v>
      </c>
      <c r="F1090" t="s">
        <v>12</v>
      </c>
      <c r="G1090" t="s">
        <v>5294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>
      <c r="A1091" t="str">
        <f>HYPERLINK("http://bombeiros.sp.gov.br/hidrantes/03individual/3340.html","3340")</f>
        <v>3340</v>
      </c>
      <c r="B1091" t="str">
        <f>HYPERLINK("http://bombeiros.sp.gov.br/hidrantes/08bsg/qrcodeBSG.html?id=3340&amp;lat=-23.58888&amp;long=-46.41513&amp;tipo=C","QRCODE")</f>
        <v>QRCODE</v>
      </c>
      <c r="C1091" t="s">
        <v>5273</v>
      </c>
      <c r="D1091" t="s">
        <v>110</v>
      </c>
      <c r="E1091" t="s">
        <v>110</v>
      </c>
      <c r="F1091" t="s">
        <v>12</v>
      </c>
      <c r="G1091" t="s">
        <v>5142</v>
      </c>
      <c r="H1091">
        <v>0</v>
      </c>
      <c r="I1091">
        <v>1</v>
      </c>
      <c r="J1091">
        <v>0</v>
      </c>
      <c r="K1091">
        <v>0</v>
      </c>
      <c r="L1091">
        <v>0</v>
      </c>
    </row>
    <row r="1092" spans="1:12">
      <c r="A1092" t="str">
        <f>HYPERLINK("http://bombeiros.sp.gov.br/hidrantes/03individual/3446.html","3446")</f>
        <v>3446</v>
      </c>
      <c r="B1092" t="str">
        <f>HYPERLINK("http://bombeiros.sp.gov.br/hidrantes/08bsg/qrcodeBSG.html?id=3446&amp;lat=-23.59423&amp;long=-46.41353&amp;tipo=C","QRCODE")</f>
        <v>QRCODE</v>
      </c>
      <c r="C1092" t="s">
        <v>5273</v>
      </c>
      <c r="D1092" t="s">
        <v>110</v>
      </c>
      <c r="E1092" t="s">
        <v>110</v>
      </c>
      <c r="F1092" t="s">
        <v>12</v>
      </c>
      <c r="G1092" t="s">
        <v>2012</v>
      </c>
      <c r="H1092">
        <v>1</v>
      </c>
      <c r="I1092">
        <v>2</v>
      </c>
      <c r="J1092">
        <v>0</v>
      </c>
      <c r="K1092">
        <v>0</v>
      </c>
      <c r="L1092">
        <v>0</v>
      </c>
    </row>
    <row r="1093" spans="1:12">
      <c r="A1093" t="str">
        <f>HYPERLINK("http://bombeiros.sp.gov.br/hidrantes/03individual/3451.html","3451")</f>
        <v>3451</v>
      </c>
      <c r="B1093" t="str">
        <f>HYPERLINK("http://bombeiros.sp.gov.br/hidrantes/08bsg/qrcodeBSG.html?id=3451&amp;lat=-23.59397&amp;long=-46.40784&amp;tipo=C","QRCODE")</f>
        <v>QRCODE</v>
      </c>
      <c r="C1093" t="s">
        <v>5273</v>
      </c>
      <c r="D1093" t="s">
        <v>110</v>
      </c>
      <c r="E1093" t="s">
        <v>110</v>
      </c>
      <c r="F1093" t="s">
        <v>12</v>
      </c>
      <c r="G1093" t="s">
        <v>5295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>
      <c r="A1094" t="str">
        <f>HYPERLINK("http://bombeiros.sp.gov.br/hidrantes/03individual/3466.html","3466")</f>
        <v>3466</v>
      </c>
      <c r="B1094" t="str">
        <f>HYPERLINK("http://bombeiros.sp.gov.br/hidrantes/08bsg/qrcodeBSG.html?id=3466&amp;lat=-23.58314&amp;long=-46.41154&amp;tipo=C","QRCODE")</f>
        <v>QRCODE</v>
      </c>
      <c r="C1094" t="s">
        <v>5273</v>
      </c>
      <c r="D1094" t="s">
        <v>110</v>
      </c>
      <c r="E1094" t="s">
        <v>110</v>
      </c>
      <c r="F1094" t="s">
        <v>12</v>
      </c>
      <c r="G1094" t="s">
        <v>5296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>
      <c r="A1095" t="str">
        <f>HYPERLINK("http://bombeiros.sp.gov.br/hidrantes/03individual/3467.html","3467")</f>
        <v>3467</v>
      </c>
      <c r="B1095" t="str">
        <f>HYPERLINK("http://bombeiros.sp.gov.br/hidrantes/08bsg/qrcodeBSG.html?id=3467&amp;lat=-23.58165&amp;long=-46.40498&amp;tipo=C","QRCODE")</f>
        <v>QRCODE</v>
      </c>
      <c r="C1095" t="s">
        <v>5273</v>
      </c>
      <c r="D1095" t="s">
        <v>110</v>
      </c>
      <c r="E1095" t="s">
        <v>110</v>
      </c>
      <c r="F1095" t="s">
        <v>12</v>
      </c>
      <c r="G1095" t="s">
        <v>5297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>
      <c r="A1096" t="str">
        <f>HYPERLINK("http://bombeiros.sp.gov.br/hidrantes/03individual/3839.html","3839")</f>
        <v>3839</v>
      </c>
      <c r="B1096" t="str">
        <f>HYPERLINK("http://bombeiros.sp.gov.br/hidrantes/08bsg/qrcodeBSG.html?id=3839&amp;lat=-23.58688&amp;long=-46.39085&amp;tipo=C","QRCODE")</f>
        <v>QRCODE</v>
      </c>
      <c r="C1096" t="s">
        <v>5273</v>
      </c>
      <c r="D1096" t="s">
        <v>110</v>
      </c>
      <c r="E1096" t="s">
        <v>110</v>
      </c>
      <c r="F1096" t="s">
        <v>12</v>
      </c>
      <c r="G1096" t="s">
        <v>193</v>
      </c>
      <c r="H1096">
        <v>0</v>
      </c>
      <c r="I1096">
        <v>2</v>
      </c>
      <c r="J1096">
        <v>0</v>
      </c>
      <c r="K1096">
        <v>0</v>
      </c>
      <c r="L1096">
        <v>0</v>
      </c>
    </row>
    <row r="1097" spans="1:12">
      <c r="A1097" t="str">
        <f>HYPERLINK("http://bombeiros.sp.gov.br/hidrantes/03individual/4223.html","4223")</f>
        <v>4223</v>
      </c>
      <c r="B1097" t="str">
        <f>HYPERLINK("http://bombeiros.sp.gov.br/hidrantes/08bsg/qrcodeBSG.html?id=4223&amp;lat=-23.58948&amp;long=-46.40126&amp;tipo=C","QRCODE")</f>
        <v>QRCODE</v>
      </c>
      <c r="C1097" t="s">
        <v>5273</v>
      </c>
      <c r="D1097" t="s">
        <v>110</v>
      </c>
      <c r="E1097" t="s">
        <v>110</v>
      </c>
      <c r="F1097" t="s">
        <v>12</v>
      </c>
      <c r="G1097" t="s">
        <v>5144</v>
      </c>
      <c r="H1097">
        <v>0</v>
      </c>
      <c r="I1097">
        <v>1</v>
      </c>
      <c r="J1097">
        <v>0</v>
      </c>
      <c r="K1097">
        <v>0</v>
      </c>
      <c r="L1097">
        <v>0</v>
      </c>
    </row>
    <row r="1098" spans="1:12">
      <c r="A1098" t="str">
        <f>HYPERLINK("http://bombeiros.sp.gov.br/hidrantes/03individual/4312.html","4312")</f>
        <v>4312</v>
      </c>
      <c r="B1098" t="str">
        <f>HYPERLINK("http://bombeiros.sp.gov.br/hidrantes/08bsg/qrcodeBSG.html?id=4312&amp;lat=-23.58939&amp;long=-46.41134&amp;tipo=C","QRCODE")</f>
        <v>QRCODE</v>
      </c>
      <c r="C1098" t="s">
        <v>5273</v>
      </c>
      <c r="D1098" t="s">
        <v>110</v>
      </c>
      <c r="E1098" t="s">
        <v>110</v>
      </c>
      <c r="F1098" t="s">
        <v>12</v>
      </c>
      <c r="G1098" t="s">
        <v>3856</v>
      </c>
      <c r="H1098">
        <v>0</v>
      </c>
      <c r="I1098">
        <v>1</v>
      </c>
      <c r="J1098">
        <v>0</v>
      </c>
      <c r="K1098">
        <v>0</v>
      </c>
      <c r="L1098">
        <v>0</v>
      </c>
    </row>
    <row r="1099" spans="1:12">
      <c r="A1099" t="str">
        <f>HYPERLINK("http://bombeiros.sp.gov.br/hidrantes/03individual/4317.html","4317")</f>
        <v>4317</v>
      </c>
      <c r="B1099" t="str">
        <f>HYPERLINK("http://bombeiros.sp.gov.br/hidrantes/08bsg/qrcodeBSG.html?id=4317&amp;lat=-23.56961&amp;long=-46.41646&amp;tipo=C","QRCODE")</f>
        <v>QRCODE</v>
      </c>
      <c r="C1099" t="s">
        <v>5273</v>
      </c>
      <c r="D1099" t="s">
        <v>110</v>
      </c>
      <c r="E1099" t="s">
        <v>110</v>
      </c>
      <c r="F1099" t="s">
        <v>12</v>
      </c>
      <c r="G1099" t="s">
        <v>4970</v>
      </c>
      <c r="H1099">
        <v>0</v>
      </c>
      <c r="I1099">
        <v>1</v>
      </c>
      <c r="J1099">
        <v>0</v>
      </c>
      <c r="K1099">
        <v>0</v>
      </c>
      <c r="L1099">
        <v>0</v>
      </c>
    </row>
    <row r="1100" spans="1:12">
      <c r="A1100" t="str">
        <f>HYPERLINK("http://bombeiros.sp.gov.br/hidrantes/03individual/4431.html","4431")</f>
        <v>4431</v>
      </c>
      <c r="B1100" t="str">
        <f>HYPERLINK("http://bombeiros.sp.gov.br/hidrantes/08bsg/qrcodeBSG.html?id=4431&amp;lat=-23.58148&amp;long=-46.39452&amp;tipo=C","QRCODE")</f>
        <v>QRCODE</v>
      </c>
      <c r="C1100" t="s">
        <v>5273</v>
      </c>
      <c r="D1100" t="s">
        <v>110</v>
      </c>
      <c r="E1100" t="s">
        <v>110</v>
      </c>
      <c r="F1100" t="s">
        <v>12</v>
      </c>
      <c r="G1100" t="s">
        <v>5298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>
      <c r="A1101" t="str">
        <f>HYPERLINK("http://bombeiros.sp.gov.br/hidrantes/03individual/4437.html","4437")</f>
        <v>4437</v>
      </c>
      <c r="B1101" t="str">
        <f>HYPERLINK("http://bombeiros.sp.gov.br/hidrantes/08bsg/qrcodeBSG.html?id=4437&amp;lat=-23.57019&amp;long=-46.39700&amp;tipo=C","QRCODE")</f>
        <v>QRCODE</v>
      </c>
      <c r="C1101" t="s">
        <v>5273</v>
      </c>
      <c r="D1101" t="s">
        <v>110</v>
      </c>
      <c r="E1101" t="s">
        <v>110</v>
      </c>
      <c r="F1101" t="s">
        <v>12</v>
      </c>
      <c r="G1101" t="s">
        <v>3041</v>
      </c>
      <c r="H1101">
        <v>0</v>
      </c>
      <c r="I1101">
        <v>3</v>
      </c>
      <c r="J1101">
        <v>0</v>
      </c>
      <c r="K1101">
        <v>0</v>
      </c>
      <c r="L1101">
        <v>0</v>
      </c>
    </row>
    <row r="1102" spans="1:12">
      <c r="A1102" t="str">
        <f>HYPERLINK("http://bombeiros.sp.gov.br/hidrantes/03individual/6779.html","6779")</f>
        <v>6779</v>
      </c>
      <c r="B1102" t="str">
        <f>HYPERLINK("http://bombeiros.sp.gov.br/hidrantes/08bsg/qrcodeBSG.html?id=6779&amp;lat=-23.58986&amp;long=-46.41282&amp;tipo=C","QRCODE")</f>
        <v>QRCODE</v>
      </c>
      <c r="C1102" t="s">
        <v>5273</v>
      </c>
      <c r="D1102" t="s">
        <v>110</v>
      </c>
      <c r="E1102" t="s">
        <v>110</v>
      </c>
      <c r="F1102" t="s">
        <v>12</v>
      </c>
      <c r="G1102" t="s">
        <v>4976</v>
      </c>
      <c r="H1102">
        <v>0</v>
      </c>
      <c r="I1102">
        <v>1</v>
      </c>
      <c r="J1102">
        <v>0</v>
      </c>
      <c r="K1102">
        <v>0</v>
      </c>
      <c r="L1102">
        <v>0</v>
      </c>
    </row>
    <row r="1103" spans="1:12">
      <c r="A1103" t="str">
        <f>HYPERLINK("http://bombeiros.sp.gov.br/hidrantes/03individual/6780.html","6780")</f>
        <v>6780</v>
      </c>
      <c r="B1103" t="str">
        <f>HYPERLINK("http://bombeiros.sp.gov.br/hidrantes/08bsg/qrcodeBSG.html?id=6780&amp;lat=-23.59234&amp;long=-46.40812&amp;tipo=C","QRCODE")</f>
        <v>QRCODE</v>
      </c>
      <c r="C1103" t="s">
        <v>5273</v>
      </c>
      <c r="D1103" t="s">
        <v>110</v>
      </c>
      <c r="E1103" t="s">
        <v>110</v>
      </c>
      <c r="F1103" t="s">
        <v>12</v>
      </c>
      <c r="G1103" t="s">
        <v>3043</v>
      </c>
      <c r="H1103">
        <v>0</v>
      </c>
      <c r="I1103">
        <v>4</v>
      </c>
      <c r="J1103">
        <v>0</v>
      </c>
      <c r="K1103">
        <v>0</v>
      </c>
      <c r="L1103">
        <v>0</v>
      </c>
    </row>
    <row r="1104" spans="1:12">
      <c r="A1104" t="str">
        <f>HYPERLINK("http://bombeiros.sp.gov.br/hidrantes/03individual/14929.html","14929")</f>
        <v>14929</v>
      </c>
      <c r="B1104" t="str">
        <f>HYPERLINK("http://bombeiros.sp.gov.br/hidrantes/08bsg/qrcodeBSG.html?id=14929&amp;lat=-23.59595&amp;long=-46.41153&amp;tipo=C","QRCODE")</f>
        <v>QRCODE</v>
      </c>
      <c r="C1104" t="s">
        <v>5273</v>
      </c>
      <c r="D1104" t="s">
        <v>110</v>
      </c>
      <c r="E1104" t="s">
        <v>110</v>
      </c>
      <c r="F1104" t="s">
        <v>12</v>
      </c>
      <c r="G1104" t="s">
        <v>4982</v>
      </c>
      <c r="H1104">
        <v>1</v>
      </c>
      <c r="I1104">
        <v>1</v>
      </c>
      <c r="J1104">
        <v>0</v>
      </c>
      <c r="K1104">
        <v>0</v>
      </c>
      <c r="L1104">
        <v>0</v>
      </c>
    </row>
    <row r="1105" spans="1:12">
      <c r="A1105" t="str">
        <f>HYPERLINK("http://bombeiros.sp.gov.br/hidrantes/03individual/17787.html","17787")</f>
        <v>17787</v>
      </c>
      <c r="B1105" t="str">
        <f>HYPERLINK("http://bombeiros.sp.gov.br/hidrantes/08bsg/qrcodeBSG.html?id=17787&amp;lat=-23.56797&amp;long=-46.40515&amp;tipo=C","QRCODE")</f>
        <v>QRCODE</v>
      </c>
      <c r="C1105" t="s">
        <v>5273</v>
      </c>
      <c r="D1105" t="s">
        <v>110</v>
      </c>
      <c r="E1105" t="s">
        <v>110</v>
      </c>
      <c r="F1105" t="s">
        <v>12</v>
      </c>
      <c r="G1105" t="s">
        <v>4258</v>
      </c>
      <c r="H1105">
        <v>0</v>
      </c>
      <c r="I1105">
        <v>1</v>
      </c>
      <c r="J1105">
        <v>0</v>
      </c>
      <c r="K1105">
        <v>0</v>
      </c>
      <c r="L1105">
        <v>0</v>
      </c>
    </row>
    <row r="1106" spans="1:12">
      <c r="A1106" t="str">
        <f>HYPERLINK("http://bombeiros.sp.gov.br/hidrantes/03individual/26872.html","26872")</f>
        <v>26872</v>
      </c>
      <c r="B1106" t="str">
        <f>HYPERLINK("http://bombeiros.sp.gov.br/hidrantes/08bsg/qrcodeBSG.html?id=26872&amp;lat=-23.59147&amp;long=-46.41320&amp;tipo=C","QRCODE")</f>
        <v>QRCODE</v>
      </c>
      <c r="C1106" t="s">
        <v>5273</v>
      </c>
      <c r="D1106" t="s">
        <v>110</v>
      </c>
      <c r="E1106" t="s">
        <v>110</v>
      </c>
      <c r="F1106" t="s">
        <v>12</v>
      </c>
      <c r="G1106" t="s">
        <v>5299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>
      <c r="A1107" t="str">
        <f>HYPERLINK("http://bombeiros.sp.gov.br/hidrantes/03individual/27080.html","27080")</f>
        <v>27080</v>
      </c>
      <c r="B1107" t="str">
        <f>HYPERLINK("http://bombeiros.sp.gov.br/hidrantes/08bsg/qrcodeBSG.html?id=27080&amp;lat=-23.58728&amp;long=-46.41483&amp;tipo=C","QRCODE")</f>
        <v>QRCODE</v>
      </c>
      <c r="C1107" t="s">
        <v>5273</v>
      </c>
      <c r="D1107" t="s">
        <v>110</v>
      </c>
      <c r="E1107" t="s">
        <v>110</v>
      </c>
      <c r="F1107" t="s">
        <v>12</v>
      </c>
      <c r="G1107" t="s">
        <v>5300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>
      <c r="A1108" t="str">
        <f>HYPERLINK("http://bombeiros.sp.gov.br/hidrantes/03individual/2050.html","2050")</f>
        <v>2050</v>
      </c>
      <c r="B1108" t="str">
        <f>HYPERLINK("http://bombeiros.sp.gov.br/hidrantes/08bsg/qrcodeBSG.html?id=2050&amp;lat=-23.57395&amp;long=-46.39983&amp;tipo=S","QRCODE")</f>
        <v>QRCODE</v>
      </c>
      <c r="C1108" t="s">
        <v>5273</v>
      </c>
      <c r="D1108" t="s">
        <v>110</v>
      </c>
      <c r="E1108" t="s">
        <v>110</v>
      </c>
      <c r="F1108" t="s">
        <v>21</v>
      </c>
      <c r="G1108" t="s">
        <v>4313</v>
      </c>
      <c r="H1108">
        <v>0</v>
      </c>
      <c r="I1108">
        <v>1</v>
      </c>
      <c r="J1108">
        <v>0</v>
      </c>
      <c r="K1108">
        <v>0</v>
      </c>
      <c r="L1108">
        <v>0</v>
      </c>
    </row>
    <row r="1109" spans="1:12">
      <c r="A1109" t="str">
        <f>HYPERLINK("http://bombeiros.sp.gov.br/hidrantes/03individual/2068.html","2068")</f>
        <v>2068</v>
      </c>
      <c r="B1109" t="str">
        <f>HYPERLINK("http://bombeiros.sp.gov.br/hidrantes/08bsg/qrcodeBSG.html?id=2068&amp;lat=-23.56393&amp;long=-46.41662&amp;tipo=S","QRCODE")</f>
        <v>QRCODE</v>
      </c>
      <c r="C1109" t="s">
        <v>5273</v>
      </c>
      <c r="D1109" t="s">
        <v>110</v>
      </c>
      <c r="E1109" t="s">
        <v>110</v>
      </c>
      <c r="F1109" t="s">
        <v>21</v>
      </c>
      <c r="G1109" t="s">
        <v>4967</v>
      </c>
      <c r="H1109">
        <v>0</v>
      </c>
      <c r="I1109">
        <v>1</v>
      </c>
      <c r="J1109">
        <v>0</v>
      </c>
      <c r="K1109">
        <v>0</v>
      </c>
      <c r="L1109">
        <v>0</v>
      </c>
    </row>
    <row r="1110" spans="1:12">
      <c r="A1110" t="str">
        <f>HYPERLINK("http://bombeiros.sp.gov.br/hidrantes/03individual/5595.html","5595")</f>
        <v>5595</v>
      </c>
      <c r="B1110" t="str">
        <f>HYPERLINK("http://bombeiros.sp.gov.br/hidrantes/08bsg/qrcodeBSG.html?id=5595&amp;lat=-23.59024&amp;long=-46.40649&amp;tipo=S","QRCODE")</f>
        <v>QRCODE</v>
      </c>
      <c r="C1110" t="s">
        <v>5273</v>
      </c>
      <c r="D1110" t="s">
        <v>110</v>
      </c>
      <c r="E1110" t="s">
        <v>110</v>
      </c>
      <c r="F1110" t="s">
        <v>21</v>
      </c>
      <c r="G1110" t="s">
        <v>3447</v>
      </c>
      <c r="H1110">
        <v>1</v>
      </c>
      <c r="I1110">
        <v>1</v>
      </c>
      <c r="J1110">
        <v>0</v>
      </c>
      <c r="K1110">
        <v>0</v>
      </c>
      <c r="L1110">
        <v>0</v>
      </c>
    </row>
    <row r="1111" spans="1:12">
      <c r="A1111" t="str">
        <f>HYPERLINK("http://bombeiros.sp.gov.br/hidrantes/03individual/17786.html","17786")</f>
        <v>17786</v>
      </c>
      <c r="B1111" t="str">
        <f>HYPERLINK("http://bombeiros.sp.gov.br/hidrantes/08bsg/qrcodeBSG.html?id=17786&amp;lat=-23.59337&amp;long=-46.41505&amp;tipo=S","QRCODE")</f>
        <v>QRCODE</v>
      </c>
      <c r="C1111" t="s">
        <v>5273</v>
      </c>
      <c r="D1111" t="s">
        <v>110</v>
      </c>
      <c r="E1111" t="s">
        <v>110</v>
      </c>
      <c r="F1111" t="s">
        <v>21</v>
      </c>
      <c r="G1111" t="s">
        <v>3847</v>
      </c>
      <c r="H1111">
        <v>0</v>
      </c>
      <c r="I1111">
        <v>1</v>
      </c>
      <c r="J1111">
        <v>0</v>
      </c>
      <c r="K1111">
        <v>0</v>
      </c>
      <c r="L1111">
        <v>0</v>
      </c>
    </row>
    <row r="1112" spans="1:12">
      <c r="A1112" t="str">
        <f>HYPERLINK("http://bombeiros.sp.gov.br/hidrantes/03individual/17873.html","17873")</f>
        <v>17873</v>
      </c>
      <c r="B1112" t="str">
        <f>HYPERLINK("http://bombeiros.sp.gov.br/hidrantes/08bsg/qrcodeBSG.html?id=17873&amp;lat=-23.56780&amp;long=-46.40917&amp;tipo=S","QRCODE")</f>
        <v>QRCODE</v>
      </c>
      <c r="C1112" t="s">
        <v>5273</v>
      </c>
      <c r="D1112" t="s">
        <v>110</v>
      </c>
      <c r="E1112" t="s">
        <v>110</v>
      </c>
      <c r="F1112" t="s">
        <v>21</v>
      </c>
      <c r="G1112" t="s">
        <v>4257</v>
      </c>
      <c r="H1112">
        <v>0</v>
      </c>
      <c r="I1112">
        <v>1</v>
      </c>
      <c r="J1112">
        <v>0</v>
      </c>
      <c r="K1112">
        <v>0</v>
      </c>
      <c r="L1112">
        <v>0</v>
      </c>
    </row>
    <row r="1113" spans="1:12">
      <c r="A1113" t="str">
        <f>HYPERLINK("http://bombeiros.sp.gov.br/hidrantes/03individual/17785.html","17785")</f>
        <v>17785</v>
      </c>
      <c r="B1113" t="str">
        <f>HYPERLINK("http://bombeiros.sp.gov.br/hidrantes/08bsg/qrcodeBSG.html?id=17785&amp;lat=-23.61119&amp;long=-46.39536&amp;tipo=C","QRCODE")</f>
        <v>QRCODE</v>
      </c>
      <c r="C1113" t="s">
        <v>5273</v>
      </c>
      <c r="D1113" t="s">
        <v>110</v>
      </c>
      <c r="E1113" t="s">
        <v>502</v>
      </c>
      <c r="F1113" t="s">
        <v>12</v>
      </c>
      <c r="G1113" t="s">
        <v>501</v>
      </c>
      <c r="H1113">
        <v>0</v>
      </c>
      <c r="I1113">
        <v>2</v>
      </c>
      <c r="J1113">
        <v>0</v>
      </c>
      <c r="K1113">
        <v>0</v>
      </c>
      <c r="L1113">
        <v>0</v>
      </c>
    </row>
    <row r="1114" spans="1:12">
      <c r="A1114" t="str">
        <f>HYPERLINK("http://bombeiros.sp.gov.br/hidrantes/03individual/805.html","805")</f>
        <v>805</v>
      </c>
      <c r="B1114" t="str">
        <f>HYPERLINK("http://bombeiros.sp.gov.br/hidrantes/08bsg/qrcodeBSG.html?id=805&amp;lat=-23.60800&amp;long=-46.39981&amp;tipo=C","QRCODE")</f>
        <v>QRCODE</v>
      </c>
      <c r="C1114" t="s">
        <v>5273</v>
      </c>
      <c r="D1114" t="s">
        <v>110</v>
      </c>
      <c r="E1114" t="s">
        <v>108</v>
      </c>
      <c r="F1114" t="s">
        <v>12</v>
      </c>
      <c r="G1114" t="s">
        <v>5301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>
      <c r="A1115" t="str">
        <f>HYPERLINK("http://bombeiros.sp.gov.br/hidrantes/03individual/815.html","815")</f>
        <v>815</v>
      </c>
      <c r="B1115" t="str">
        <f>HYPERLINK("http://bombeiros.sp.gov.br/hidrantes/08bsg/qrcodeBSG.html?id=815&amp;lat=-23.60290&amp;long=-46.40415&amp;tipo=C","QRCODE")</f>
        <v>QRCODE</v>
      </c>
      <c r="C1115" t="s">
        <v>5273</v>
      </c>
      <c r="D1115" t="s">
        <v>110</v>
      </c>
      <c r="E1115" t="s">
        <v>108</v>
      </c>
      <c r="F1115" t="s">
        <v>12</v>
      </c>
      <c r="G1115" t="s">
        <v>4991</v>
      </c>
      <c r="H1115">
        <v>0</v>
      </c>
      <c r="I1115">
        <v>1</v>
      </c>
      <c r="J1115">
        <v>0</v>
      </c>
      <c r="K1115">
        <v>0</v>
      </c>
      <c r="L1115">
        <v>0</v>
      </c>
    </row>
    <row r="1116" spans="1:12">
      <c r="A1116" t="str">
        <f>HYPERLINK("http://bombeiros.sp.gov.br/hidrantes/03individual/834.html","834")</f>
        <v>834</v>
      </c>
      <c r="B1116" t="str">
        <f>HYPERLINK("http://bombeiros.sp.gov.br/hidrantes/08bsg/qrcodeBSG.html?id=834&amp;lat=-23.59885&amp;long=-46.40384&amp;tipo=C","QRCODE")</f>
        <v>QRCODE</v>
      </c>
      <c r="C1116" t="s">
        <v>5273</v>
      </c>
      <c r="D1116" t="s">
        <v>110</v>
      </c>
      <c r="E1116" t="s">
        <v>108</v>
      </c>
      <c r="F1116" t="s">
        <v>12</v>
      </c>
      <c r="G1116" t="s">
        <v>4310</v>
      </c>
      <c r="H1116">
        <v>0</v>
      </c>
      <c r="I1116">
        <v>1</v>
      </c>
      <c r="J1116">
        <v>0</v>
      </c>
      <c r="K1116">
        <v>0</v>
      </c>
      <c r="L1116">
        <v>0</v>
      </c>
    </row>
    <row r="1117" spans="1:12">
      <c r="A1117" t="str">
        <f>HYPERLINK("http://bombeiros.sp.gov.br/hidrantes/03individual/836.html","836")</f>
        <v>836</v>
      </c>
      <c r="B1117" t="str">
        <f>HYPERLINK("http://bombeiros.sp.gov.br/hidrantes/08bsg/qrcodeBSG.html?id=836&amp;lat=-23.59970&amp;long=-46.40144&amp;tipo=C","QRCODE")</f>
        <v>QRCODE</v>
      </c>
      <c r="C1117" t="s">
        <v>5273</v>
      </c>
      <c r="D1117" t="s">
        <v>110</v>
      </c>
      <c r="E1117" t="s">
        <v>108</v>
      </c>
      <c r="F1117" t="s">
        <v>12</v>
      </c>
      <c r="G1117" t="s">
        <v>4981</v>
      </c>
      <c r="H1117">
        <v>1</v>
      </c>
      <c r="I1117">
        <v>1</v>
      </c>
      <c r="J1117">
        <v>0</v>
      </c>
      <c r="K1117">
        <v>0</v>
      </c>
      <c r="L1117">
        <v>0</v>
      </c>
    </row>
    <row r="1118" spans="1:12">
      <c r="A1118" t="str">
        <f>HYPERLINK("http://bombeiros.sp.gov.br/hidrantes/03individual/855.html","855")</f>
        <v>855</v>
      </c>
      <c r="B1118" t="str">
        <f>HYPERLINK("http://bombeiros.sp.gov.br/hidrantes/08bsg/qrcodeBSG.html?id=855&amp;lat=-23.59653&amp;long=-46.39711&amp;tipo=C","QRCODE")</f>
        <v>QRCODE</v>
      </c>
      <c r="C1118" t="s">
        <v>5273</v>
      </c>
      <c r="D1118" t="s">
        <v>110</v>
      </c>
      <c r="E1118" t="s">
        <v>108</v>
      </c>
      <c r="F1118" t="s">
        <v>12</v>
      </c>
      <c r="G1118" t="s">
        <v>3874</v>
      </c>
      <c r="H1118">
        <v>0</v>
      </c>
      <c r="I1118">
        <v>1</v>
      </c>
      <c r="J1118">
        <v>0</v>
      </c>
      <c r="K1118">
        <v>0</v>
      </c>
      <c r="L1118">
        <v>0</v>
      </c>
    </row>
    <row r="1119" spans="1:12">
      <c r="A1119" t="str">
        <f>HYPERLINK("http://bombeiros.sp.gov.br/hidrantes/03individual/856.html","856")</f>
        <v>856</v>
      </c>
      <c r="B1119" t="str">
        <f>HYPERLINK("http://bombeiros.sp.gov.br/hidrantes/08bsg/qrcodeBSG.html?id=856&amp;lat=-23.59640&amp;long=-46.39729&amp;tipo=C","QRCODE")</f>
        <v>QRCODE</v>
      </c>
      <c r="C1119" t="s">
        <v>5273</v>
      </c>
      <c r="D1119" t="s">
        <v>110</v>
      </c>
      <c r="E1119" t="s">
        <v>108</v>
      </c>
      <c r="F1119" t="s">
        <v>12</v>
      </c>
      <c r="G1119" t="s">
        <v>5302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>
      <c r="A1120" t="str">
        <f>HYPERLINK("http://bombeiros.sp.gov.br/hidrantes/03individual/904.html","904")</f>
        <v>904</v>
      </c>
      <c r="B1120" t="str">
        <f>HYPERLINK("http://bombeiros.sp.gov.br/hidrantes/08bsg/qrcodeBSG.html?id=904&amp;lat=-23.59831&amp;long=-46.39073&amp;tipo=C","QRCODE")</f>
        <v>QRCODE</v>
      </c>
      <c r="C1120" t="s">
        <v>5273</v>
      </c>
      <c r="D1120" t="s">
        <v>110</v>
      </c>
      <c r="E1120" t="s">
        <v>108</v>
      </c>
      <c r="F1120" t="s">
        <v>12</v>
      </c>
      <c r="G1120" t="s">
        <v>107</v>
      </c>
      <c r="H1120">
        <v>0</v>
      </c>
      <c r="I1120">
        <v>2</v>
      </c>
      <c r="J1120">
        <v>0</v>
      </c>
      <c r="K1120">
        <v>0</v>
      </c>
      <c r="L1120">
        <v>0</v>
      </c>
    </row>
    <row r="1121" spans="1:12">
      <c r="A1121" t="str">
        <f>HYPERLINK("http://bombeiros.sp.gov.br/hidrantes/03individual/907.html","907")</f>
        <v>907</v>
      </c>
      <c r="B1121" t="str">
        <f>HYPERLINK("http://bombeiros.sp.gov.br/hidrantes/08bsg/qrcodeBSG.html?id=907&amp;lat=-23.59556&amp;long=-46.39968&amp;tipo=C","QRCODE")</f>
        <v>QRCODE</v>
      </c>
      <c r="C1121" t="s">
        <v>5273</v>
      </c>
      <c r="D1121" t="s">
        <v>110</v>
      </c>
      <c r="E1121" t="s">
        <v>108</v>
      </c>
      <c r="F1121" t="s">
        <v>12</v>
      </c>
      <c r="G1121" t="s">
        <v>4980</v>
      </c>
      <c r="H1121">
        <v>1</v>
      </c>
      <c r="I1121">
        <v>1</v>
      </c>
      <c r="J1121">
        <v>0</v>
      </c>
      <c r="K1121">
        <v>0</v>
      </c>
      <c r="L1121">
        <v>0</v>
      </c>
    </row>
    <row r="1122" spans="1:12">
      <c r="A1122" t="str">
        <f>HYPERLINK("http://bombeiros.sp.gov.br/hidrantes/03individual/948.html","948")</f>
        <v>948</v>
      </c>
      <c r="B1122" t="str">
        <f>HYPERLINK("http://bombeiros.sp.gov.br/hidrantes/08bsg/qrcodeBSG.html?id=948&amp;lat=-23.59377&amp;long=-46.39589&amp;tipo=C","QRCODE")</f>
        <v>QRCODE</v>
      </c>
      <c r="C1122" t="s">
        <v>5273</v>
      </c>
      <c r="D1122" t="s">
        <v>110</v>
      </c>
      <c r="E1122" t="s">
        <v>108</v>
      </c>
      <c r="F1122" t="s">
        <v>12</v>
      </c>
      <c r="G1122" t="s">
        <v>4979</v>
      </c>
      <c r="H1122">
        <v>1</v>
      </c>
      <c r="I1122">
        <v>1</v>
      </c>
      <c r="J1122">
        <v>0</v>
      </c>
      <c r="K1122">
        <v>0</v>
      </c>
      <c r="L1122">
        <v>0</v>
      </c>
    </row>
    <row r="1123" spans="1:12">
      <c r="A1123" t="str">
        <f>HYPERLINK("http://bombeiros.sp.gov.br/hidrantes/03individual/957.html","957")</f>
        <v>957</v>
      </c>
      <c r="B1123" t="str">
        <f>HYPERLINK("http://bombeiros.sp.gov.br/hidrantes/08bsg/qrcodeBSG.html?id=957&amp;lat=-23.59166&amp;long=-46.39921&amp;tipo=C","QRCODE")</f>
        <v>QRCODE</v>
      </c>
      <c r="C1123" t="s">
        <v>5273</v>
      </c>
      <c r="D1123" t="s">
        <v>110</v>
      </c>
      <c r="E1123" t="s">
        <v>108</v>
      </c>
      <c r="F1123" t="s">
        <v>12</v>
      </c>
      <c r="G1123" t="s">
        <v>4978</v>
      </c>
      <c r="H1123">
        <v>1</v>
      </c>
      <c r="I1123">
        <v>1</v>
      </c>
      <c r="J1123">
        <v>0</v>
      </c>
      <c r="K1123">
        <v>0</v>
      </c>
      <c r="L1123">
        <v>0</v>
      </c>
    </row>
    <row r="1124" spans="1:12">
      <c r="A1124" t="str">
        <f>HYPERLINK("http://bombeiros.sp.gov.br/hidrantes/03individual/3843.html","3843")</f>
        <v>3843</v>
      </c>
      <c r="B1124" t="str">
        <f>HYPERLINK("http://bombeiros.sp.gov.br/hidrantes/08bsg/qrcodeBSG.html?id=3843&amp;lat=-23.59334&amp;long=-46.39453&amp;tipo=S","QRCODE")</f>
        <v>QRCODE</v>
      </c>
      <c r="C1124" t="s">
        <v>5273</v>
      </c>
      <c r="D1124" t="s">
        <v>110</v>
      </c>
      <c r="E1124" t="s">
        <v>108</v>
      </c>
      <c r="F1124" t="s">
        <v>21</v>
      </c>
      <c r="G1124" t="s">
        <v>3374</v>
      </c>
      <c r="H1124">
        <v>0</v>
      </c>
      <c r="I1124">
        <v>1</v>
      </c>
      <c r="J1124">
        <v>0</v>
      </c>
      <c r="K1124">
        <v>0</v>
      </c>
      <c r="L1124">
        <v>0</v>
      </c>
    </row>
    <row r="1125" spans="1:12">
      <c r="A1125" t="str">
        <f>HYPERLINK("http://bombeiros.sp.gov.br/hidrantes/03individual/5596.html","5596")</f>
        <v>5596</v>
      </c>
      <c r="B1125" t="str">
        <f>HYPERLINK("http://bombeiros.sp.gov.br/hidrantes/08bsg/qrcodeBSG.html?id=5596&amp;lat=-23.59465&amp;long=-46.40572&amp;tipo=S","QRCODE")</f>
        <v>QRCODE</v>
      </c>
      <c r="C1125" t="s">
        <v>5273</v>
      </c>
      <c r="D1125" t="s">
        <v>110</v>
      </c>
      <c r="E1125" t="s">
        <v>108</v>
      </c>
      <c r="F1125" t="s">
        <v>21</v>
      </c>
      <c r="G1125" t="s">
        <v>3448</v>
      </c>
      <c r="H1125">
        <v>1</v>
      </c>
      <c r="I1125">
        <v>1</v>
      </c>
      <c r="J1125">
        <v>0</v>
      </c>
      <c r="K1125">
        <v>0</v>
      </c>
      <c r="L1125">
        <v>0</v>
      </c>
    </row>
    <row r="1126" spans="1:12">
      <c r="A1126" t="str">
        <f>HYPERLINK("http://bombeiros.sp.gov.br/hidrantes/03individual/813.html","813")</f>
        <v>813</v>
      </c>
      <c r="B1126" t="str">
        <f>HYPERLINK("http://bombeiros.sp.gov.br/hidrantes/08bsg/qrcodeBSG.html?id=813&amp;lat=-23.48247&amp;long=-46.49335&amp;tipo=C","QRCODE")</f>
        <v>QRCODE</v>
      </c>
      <c r="C1126" t="s">
        <v>5273</v>
      </c>
      <c r="D1126" t="s">
        <v>68</v>
      </c>
      <c r="E1126" t="s">
        <v>68</v>
      </c>
      <c r="F1126" t="s">
        <v>12</v>
      </c>
      <c r="G1126" t="s">
        <v>3708</v>
      </c>
      <c r="H1126">
        <v>1</v>
      </c>
      <c r="I1126">
        <v>1</v>
      </c>
      <c r="J1126">
        <v>0</v>
      </c>
      <c r="K1126">
        <v>0</v>
      </c>
      <c r="L1126">
        <v>0</v>
      </c>
    </row>
    <row r="1127" spans="1:12">
      <c r="A1127" t="str">
        <f>HYPERLINK("http://bombeiros.sp.gov.br/hidrantes/03individual/818.html","818")</f>
        <v>818</v>
      </c>
      <c r="B1127" t="str">
        <f>HYPERLINK("http://bombeiros.sp.gov.br/hidrantes/08bsg/qrcodeBSG.html?id=818&amp;lat=-23.48450&amp;long=-46.48807&amp;tipo=C","QRCODE")</f>
        <v>QRCODE</v>
      </c>
      <c r="C1127" t="s">
        <v>5273</v>
      </c>
      <c r="D1127" t="s">
        <v>68</v>
      </c>
      <c r="E1127" t="s">
        <v>68</v>
      </c>
      <c r="F1127" t="s">
        <v>12</v>
      </c>
      <c r="G1127" t="s">
        <v>5178</v>
      </c>
      <c r="H1127">
        <v>0</v>
      </c>
      <c r="I1127">
        <v>1</v>
      </c>
      <c r="J1127">
        <v>0</v>
      </c>
      <c r="K1127">
        <v>0</v>
      </c>
      <c r="L1127">
        <v>0</v>
      </c>
    </row>
    <row r="1128" spans="1:12">
      <c r="A1128" t="str">
        <f>HYPERLINK("http://bombeiros.sp.gov.br/hidrantes/03individual/917.html","917")</f>
        <v>917</v>
      </c>
      <c r="B1128" t="str">
        <f>HYPERLINK("http://bombeiros.sp.gov.br/hidrantes/08bsg/qrcodeBSG.html?id=917&amp;lat=-23.49017&amp;long=-46.50126&amp;tipo=C","QRCODE")</f>
        <v>QRCODE</v>
      </c>
      <c r="C1128" t="s">
        <v>5273</v>
      </c>
      <c r="D1128" t="s">
        <v>68</v>
      </c>
      <c r="E1128" t="s">
        <v>68</v>
      </c>
      <c r="F1128" t="s">
        <v>12</v>
      </c>
      <c r="G1128" t="s">
        <v>3707</v>
      </c>
      <c r="H1128">
        <v>1</v>
      </c>
      <c r="I1128">
        <v>1</v>
      </c>
      <c r="J1128">
        <v>0</v>
      </c>
      <c r="K1128">
        <v>0</v>
      </c>
      <c r="L1128">
        <v>0</v>
      </c>
    </row>
    <row r="1129" spans="1:12">
      <c r="A1129" t="str">
        <f>HYPERLINK("http://bombeiros.sp.gov.br/hidrantes/03individual/952.html","952")</f>
        <v>952</v>
      </c>
      <c r="B1129" t="str">
        <f>HYPERLINK("http://bombeiros.sp.gov.br/hidrantes/08bsg/qrcodeBSG.html?id=952&amp;lat=-23.48518&amp;long=-46.48784&amp;tipo=C","QRCODE")</f>
        <v>QRCODE</v>
      </c>
      <c r="C1129" t="s">
        <v>5273</v>
      </c>
      <c r="D1129" t="s">
        <v>68</v>
      </c>
      <c r="E1129" t="s">
        <v>68</v>
      </c>
      <c r="F1129" t="s">
        <v>12</v>
      </c>
      <c r="G1129" t="s">
        <v>3868</v>
      </c>
      <c r="H1129">
        <v>1</v>
      </c>
      <c r="I1129">
        <v>1</v>
      </c>
      <c r="J1129">
        <v>0</v>
      </c>
      <c r="K1129">
        <v>0</v>
      </c>
      <c r="L1129">
        <v>0</v>
      </c>
    </row>
    <row r="1130" spans="1:12">
      <c r="A1130" t="str">
        <f>HYPERLINK("http://bombeiros.sp.gov.br/hidrantes/03individual/1503.html","1503")</f>
        <v>1503</v>
      </c>
      <c r="B1130" t="str">
        <f>HYPERLINK("http://bombeiros.sp.gov.br/hidrantes/08bsg/qrcodeBSG.html?id=1503&amp;lat=-23.49257&amp;long=-46.49254&amp;tipo=C","QRCODE")</f>
        <v>QRCODE</v>
      </c>
      <c r="C1130" t="s">
        <v>5273</v>
      </c>
      <c r="D1130" t="s">
        <v>68</v>
      </c>
      <c r="E1130" t="s">
        <v>68</v>
      </c>
      <c r="F1130" t="s">
        <v>12</v>
      </c>
      <c r="G1130" t="s">
        <v>3864</v>
      </c>
      <c r="H1130">
        <v>1</v>
      </c>
      <c r="I1130">
        <v>1</v>
      </c>
      <c r="J1130">
        <v>0</v>
      </c>
      <c r="K1130">
        <v>0</v>
      </c>
      <c r="L1130">
        <v>0</v>
      </c>
    </row>
    <row r="1131" spans="1:12">
      <c r="A1131" t="str">
        <f>HYPERLINK("http://bombeiros.sp.gov.br/hidrantes/03individual/5637.html","5637")</f>
        <v>5637</v>
      </c>
      <c r="B1131" t="str">
        <f>HYPERLINK("http://bombeiros.sp.gov.br/hidrantes/08bsg/qrcodeBSG.html?id=5637&amp;lat=-23.48192&amp;long=-46.49199&amp;tipo=C","QRCODE")</f>
        <v>QRCODE</v>
      </c>
      <c r="C1131" t="s">
        <v>5273</v>
      </c>
      <c r="D1131" t="s">
        <v>68</v>
      </c>
      <c r="E1131" t="s">
        <v>68</v>
      </c>
      <c r="F1131" t="s">
        <v>12</v>
      </c>
      <c r="G1131" t="s">
        <v>3853</v>
      </c>
      <c r="H1131">
        <v>1</v>
      </c>
      <c r="I1131">
        <v>1</v>
      </c>
      <c r="J1131">
        <v>0</v>
      </c>
      <c r="K1131">
        <v>0</v>
      </c>
      <c r="L1131">
        <v>0</v>
      </c>
    </row>
    <row r="1132" spans="1:12">
      <c r="A1132" t="str">
        <f>HYPERLINK("http://bombeiros.sp.gov.br/hidrantes/03individual/1468.html","1468")</f>
        <v>1468</v>
      </c>
      <c r="B1132" t="str">
        <f>HYPERLINK("http://bombeiros.sp.gov.br/hidrantes/08bsg/qrcodeBSG.html?id=1468&amp;lat=-23.49028&amp;long=-46.49826&amp;tipo=S","QRCODE")</f>
        <v>QRCODE</v>
      </c>
      <c r="C1132" t="s">
        <v>5273</v>
      </c>
      <c r="D1132" t="s">
        <v>68</v>
      </c>
      <c r="E1132" t="s">
        <v>68</v>
      </c>
      <c r="F1132" t="s">
        <v>21</v>
      </c>
      <c r="G1132" t="s">
        <v>3725</v>
      </c>
      <c r="H1132">
        <v>1</v>
      </c>
      <c r="I1132">
        <v>1</v>
      </c>
      <c r="J1132">
        <v>0</v>
      </c>
      <c r="K1132">
        <v>0</v>
      </c>
      <c r="L1132">
        <v>0</v>
      </c>
    </row>
    <row r="1133" spans="1:12">
      <c r="A1133" t="str">
        <f>HYPERLINK("http://bombeiros.sp.gov.br/hidrantes/03individual/1505.html","1505")</f>
        <v>1505</v>
      </c>
      <c r="B1133" t="str">
        <f>HYPERLINK("http://bombeiros.sp.gov.br/hidrantes/08bsg/qrcodeBSG.html?id=1505&amp;lat=-23.50009&amp;long=-46.49008&amp;tipo=S","QRCODE")</f>
        <v>QRCODE</v>
      </c>
      <c r="C1133" t="s">
        <v>5273</v>
      </c>
      <c r="D1133" t="s">
        <v>68</v>
      </c>
      <c r="E1133" t="s">
        <v>68</v>
      </c>
      <c r="F1133" t="s">
        <v>21</v>
      </c>
      <c r="G1133" t="s">
        <v>1646</v>
      </c>
      <c r="H1133">
        <v>0</v>
      </c>
      <c r="I1133">
        <v>3</v>
      </c>
      <c r="J1133">
        <v>0</v>
      </c>
      <c r="K1133">
        <v>0</v>
      </c>
      <c r="L1133">
        <v>0</v>
      </c>
    </row>
    <row r="1134" spans="1:12">
      <c r="A1134" t="str">
        <f>HYPERLINK("http://bombeiros.sp.gov.br/hidrantes/03individual/1534.html","1534")</f>
        <v>1534</v>
      </c>
      <c r="B1134" t="str">
        <f>HYPERLINK("http://bombeiros.sp.gov.br/hidrantes/08bsg/qrcodeBSG.html?id=1534&amp;lat=-23.49522&amp;long=-46.49658&amp;tipo=S","QRCODE")</f>
        <v>QRCODE</v>
      </c>
      <c r="C1134" t="s">
        <v>5273</v>
      </c>
      <c r="D1134" t="s">
        <v>68</v>
      </c>
      <c r="E1134" t="s">
        <v>68</v>
      </c>
      <c r="F1134" t="s">
        <v>21</v>
      </c>
      <c r="G1134" t="s">
        <v>3723</v>
      </c>
      <c r="H1134">
        <v>1</v>
      </c>
      <c r="I1134">
        <v>1</v>
      </c>
      <c r="J1134">
        <v>0</v>
      </c>
      <c r="K1134">
        <v>0</v>
      </c>
      <c r="L1134">
        <v>0</v>
      </c>
    </row>
    <row r="1135" spans="1:12">
      <c r="A1135" t="str">
        <f>HYPERLINK("http://bombeiros.sp.gov.br/hidrantes/03individual/1622.html","1622")</f>
        <v>1622</v>
      </c>
      <c r="B1135" t="str">
        <f>HYPERLINK("http://bombeiros.sp.gov.br/hidrantes/08bsg/qrcodeBSG.html?id=1622&amp;lat=-23.50328&amp;long=-46.48821&amp;tipo=S","QRCODE")</f>
        <v>QRCODE</v>
      </c>
      <c r="C1135" t="s">
        <v>5273</v>
      </c>
      <c r="D1135" t="s">
        <v>68</v>
      </c>
      <c r="E1135" t="s">
        <v>68</v>
      </c>
      <c r="F1135" t="s">
        <v>21</v>
      </c>
      <c r="G1135" t="s">
        <v>3013</v>
      </c>
      <c r="H1135">
        <v>1</v>
      </c>
      <c r="I1135">
        <v>1</v>
      </c>
      <c r="J1135">
        <v>0</v>
      </c>
      <c r="K1135">
        <v>0</v>
      </c>
      <c r="L1135">
        <v>0</v>
      </c>
    </row>
    <row r="1136" spans="1:12">
      <c r="A1136" t="str">
        <f>HYPERLINK("http://bombeiros.sp.gov.br/hidrantes/03individual/1624.html","1624")</f>
        <v>1624</v>
      </c>
      <c r="B1136" t="str">
        <f>HYPERLINK("http://bombeiros.sp.gov.br/hidrantes/08bsg/qrcodeBSG.html?id=1624&amp;lat=-23.48979&amp;long=-46.48920&amp;tipo=S","QRCODE")</f>
        <v>QRCODE</v>
      </c>
      <c r="C1136" t="s">
        <v>5273</v>
      </c>
      <c r="D1136" t="s">
        <v>68</v>
      </c>
      <c r="E1136" t="s">
        <v>68</v>
      </c>
      <c r="F1136" t="s">
        <v>21</v>
      </c>
      <c r="G1136" t="s">
        <v>3859</v>
      </c>
      <c r="H1136">
        <v>1</v>
      </c>
      <c r="I1136">
        <v>1</v>
      </c>
      <c r="J1136">
        <v>0</v>
      </c>
      <c r="K1136">
        <v>0</v>
      </c>
      <c r="L1136">
        <v>0</v>
      </c>
    </row>
    <row r="1137" spans="1:12">
      <c r="A1137" t="str">
        <f>HYPERLINK("http://bombeiros.sp.gov.br/hidrantes/03individual/1695.html","1695")</f>
        <v>1695</v>
      </c>
      <c r="B1137" t="str">
        <f>HYPERLINK("http://bombeiros.sp.gov.br/hidrantes/08bsg/qrcodeBSG.html?id=1695&amp;lat=-23.50537&amp;long=-46.48999&amp;tipo=S","QRCODE")</f>
        <v>QRCODE</v>
      </c>
      <c r="C1137" t="s">
        <v>5273</v>
      </c>
      <c r="D1137" t="s">
        <v>68</v>
      </c>
      <c r="E1137" t="s">
        <v>68</v>
      </c>
      <c r="F1137" t="s">
        <v>21</v>
      </c>
      <c r="G1137" t="s">
        <v>3018</v>
      </c>
      <c r="H1137">
        <v>1</v>
      </c>
      <c r="I1137">
        <v>2</v>
      </c>
      <c r="J1137">
        <v>0</v>
      </c>
      <c r="K1137">
        <v>0</v>
      </c>
      <c r="L1137">
        <v>0</v>
      </c>
    </row>
    <row r="1138" spans="1:12">
      <c r="A1138" t="str">
        <f>HYPERLINK("http://bombeiros.sp.gov.br/hidrantes/03individual/1721.html","1721")</f>
        <v>1721</v>
      </c>
      <c r="B1138" t="str">
        <f>HYPERLINK("http://bombeiros.sp.gov.br/hidrantes/08bsg/qrcodeBSG.html?id=1721&amp;lat=-23.49514&amp;long=-46.48549&amp;tipo=S","QRCODE")</f>
        <v>QRCODE</v>
      </c>
      <c r="C1138" t="s">
        <v>5273</v>
      </c>
      <c r="D1138" t="s">
        <v>68</v>
      </c>
      <c r="E1138" t="s">
        <v>68</v>
      </c>
      <c r="F1138" t="s">
        <v>21</v>
      </c>
      <c r="G1138" t="s">
        <v>1774</v>
      </c>
      <c r="H1138">
        <v>1</v>
      </c>
      <c r="I1138">
        <v>2</v>
      </c>
      <c r="J1138">
        <v>0</v>
      </c>
      <c r="K1138">
        <v>0</v>
      </c>
      <c r="L1138">
        <v>0</v>
      </c>
    </row>
    <row r="1139" spans="1:12">
      <c r="A1139" t="str">
        <f>HYPERLINK("http://bombeiros.sp.gov.br/hidrantes/03individual/3470.html","3470")</f>
        <v>3470</v>
      </c>
      <c r="B1139" t="str">
        <f>HYPERLINK("http://bombeiros.sp.gov.br/hidrantes/08bsg/qrcodeBSG.html?id=3470&amp;lat=-23.49550&amp;long=-46.49324&amp;tipo=S","QRCODE")</f>
        <v>QRCODE</v>
      </c>
      <c r="C1139" t="s">
        <v>5273</v>
      </c>
      <c r="D1139" t="s">
        <v>68</v>
      </c>
      <c r="E1139" t="s">
        <v>68</v>
      </c>
      <c r="F1139" t="s">
        <v>21</v>
      </c>
      <c r="G1139" t="s">
        <v>3848</v>
      </c>
      <c r="H1139">
        <v>1</v>
      </c>
      <c r="I1139">
        <v>1</v>
      </c>
      <c r="J1139">
        <v>0</v>
      </c>
      <c r="K1139">
        <v>0</v>
      </c>
      <c r="L1139">
        <v>0</v>
      </c>
    </row>
    <row r="1140" spans="1:12">
      <c r="A1140" t="str">
        <f>HYPERLINK("http://bombeiros.sp.gov.br/hidrantes/03individual/3557.html","3557")</f>
        <v>3557</v>
      </c>
      <c r="B1140" t="str">
        <f>HYPERLINK("http://bombeiros.sp.gov.br/hidrantes/08bsg/qrcodeBSG.html?id=3557&amp;lat=-23.48580&amp;long=-46.48020&amp;tipo=S","QRCODE")</f>
        <v>QRCODE</v>
      </c>
      <c r="C1140" t="s">
        <v>5273</v>
      </c>
      <c r="D1140" t="s">
        <v>68</v>
      </c>
      <c r="E1140" t="s">
        <v>68</v>
      </c>
      <c r="F1140" t="s">
        <v>21</v>
      </c>
      <c r="G1140" t="s">
        <v>67</v>
      </c>
      <c r="H1140">
        <v>0</v>
      </c>
      <c r="I1140">
        <v>2</v>
      </c>
      <c r="J1140">
        <v>0</v>
      </c>
      <c r="K1140">
        <v>0</v>
      </c>
      <c r="L1140">
        <v>0</v>
      </c>
    </row>
    <row r="1141" spans="1:12">
      <c r="A1141" t="str">
        <f>HYPERLINK("http://bombeiros.sp.gov.br/hidrantes/03individual/4339.html","4339")</f>
        <v>4339</v>
      </c>
      <c r="B1141" t="str">
        <f>HYPERLINK("http://bombeiros.sp.gov.br/hidrantes/08bsg/qrcodeBSG.html?id=4339&amp;lat=-23.49242&amp;long=-46.48270&amp;tipo=S","QRCODE")</f>
        <v>QRCODE</v>
      </c>
      <c r="C1141" t="s">
        <v>5273</v>
      </c>
      <c r="D1141" t="s">
        <v>68</v>
      </c>
      <c r="E1141" t="s">
        <v>68</v>
      </c>
      <c r="F1141" t="s">
        <v>21</v>
      </c>
      <c r="G1141" t="s">
        <v>4034</v>
      </c>
      <c r="H1141">
        <v>2</v>
      </c>
      <c r="I1141">
        <v>1</v>
      </c>
      <c r="J1141">
        <v>0</v>
      </c>
      <c r="K1141">
        <v>0</v>
      </c>
      <c r="L1141">
        <v>0</v>
      </c>
    </row>
    <row r="1142" spans="1:12">
      <c r="A1142" t="str">
        <f>HYPERLINK("http://bombeiros.sp.gov.br/hidrantes/03individual/5638.html","5638")</f>
        <v>5638</v>
      </c>
      <c r="B1142" t="str">
        <f>HYPERLINK("http://bombeiros.sp.gov.br/hidrantes/08bsg/qrcodeBSG.html?id=5638&amp;lat=-23.50293&amp;long=-46.49117&amp;tipo=S","QRCODE")</f>
        <v>QRCODE</v>
      </c>
      <c r="C1142" t="s">
        <v>5273</v>
      </c>
      <c r="D1142" t="s">
        <v>68</v>
      </c>
      <c r="E1142" t="s">
        <v>68</v>
      </c>
      <c r="F1142" t="s">
        <v>21</v>
      </c>
      <c r="G1142" t="s">
        <v>4746</v>
      </c>
      <c r="H1142">
        <v>1</v>
      </c>
      <c r="I1142">
        <v>1</v>
      </c>
      <c r="J1142">
        <v>0</v>
      </c>
      <c r="K1142">
        <v>0</v>
      </c>
      <c r="L1142">
        <v>0</v>
      </c>
    </row>
    <row r="1143" spans="1:12">
      <c r="A1143" t="str">
        <f>HYPERLINK("http://bombeiros.sp.gov.br/hidrantes/03individual/3556.html","3556")</f>
        <v>3556</v>
      </c>
      <c r="B1143" t="str">
        <f>HYPERLINK("http://bombeiros.sp.gov.br/hidrantes/08bsg/qrcodeBSG.html?id=3556&amp;lat=-23.49159&amp;long=-46.47253&amp;tipo=C","QRCODE")</f>
        <v>QRCODE</v>
      </c>
      <c r="C1143" t="s">
        <v>5273</v>
      </c>
      <c r="D1143" t="s">
        <v>68</v>
      </c>
      <c r="E1143" t="s">
        <v>65</v>
      </c>
      <c r="F1143" t="s">
        <v>12</v>
      </c>
      <c r="G1143" t="s">
        <v>66</v>
      </c>
      <c r="H1143">
        <v>0</v>
      </c>
      <c r="I1143">
        <v>2</v>
      </c>
      <c r="J1143">
        <v>0</v>
      </c>
      <c r="K1143">
        <v>0</v>
      </c>
      <c r="L1143">
        <v>0</v>
      </c>
    </row>
    <row r="1144" spans="1:12">
      <c r="A1144" t="str">
        <f>HYPERLINK("http://bombeiros.sp.gov.br/hidrantes/03individual/1723.html","1723")</f>
        <v>1723</v>
      </c>
      <c r="B1144" t="str">
        <f>HYPERLINK("http://bombeiros.sp.gov.br/hidrantes/08bsg/qrcodeBSG.html?id=1723&amp;lat=-23.49693&amp;long=-46.48499&amp;tipo=S","QRCODE")</f>
        <v>QRCODE</v>
      </c>
      <c r="C1144" t="s">
        <v>5273</v>
      </c>
      <c r="D1144" t="s">
        <v>68</v>
      </c>
      <c r="E1144" t="s">
        <v>65</v>
      </c>
      <c r="F1144" t="s">
        <v>21</v>
      </c>
      <c r="G1144" t="s">
        <v>91</v>
      </c>
      <c r="H1144">
        <v>1</v>
      </c>
      <c r="I1144">
        <v>2</v>
      </c>
      <c r="J1144">
        <v>0</v>
      </c>
      <c r="K1144">
        <v>0</v>
      </c>
      <c r="L1144">
        <v>0</v>
      </c>
    </row>
    <row r="1145" spans="1:12">
      <c r="A1145" t="str">
        <f>HYPERLINK("http://bombeiros.sp.gov.br/hidrantes/03individual/1776.html","1776")</f>
        <v>1776</v>
      </c>
      <c r="B1145" t="str">
        <f>HYPERLINK("http://bombeiros.sp.gov.br/hidrantes/08bsg/qrcodeBSG.html?id=1776&amp;lat=-23.50489&amp;long=-46.48439&amp;tipo=S","QRCODE")</f>
        <v>QRCODE</v>
      </c>
      <c r="C1145" t="s">
        <v>5273</v>
      </c>
      <c r="D1145" t="s">
        <v>68</v>
      </c>
      <c r="E1145" t="s">
        <v>65</v>
      </c>
      <c r="F1145" t="s">
        <v>21</v>
      </c>
      <c r="G1145" t="s">
        <v>4851</v>
      </c>
      <c r="H1145">
        <v>1</v>
      </c>
      <c r="I1145">
        <v>1</v>
      </c>
      <c r="J1145">
        <v>0</v>
      </c>
      <c r="K1145">
        <v>0</v>
      </c>
      <c r="L1145">
        <v>0</v>
      </c>
    </row>
    <row r="1146" spans="1:12">
      <c r="A1146" t="str">
        <f>HYPERLINK("http://bombeiros.sp.gov.br/hidrantes/03individual/1777.html","1777")</f>
        <v>1777</v>
      </c>
      <c r="B1146" t="str">
        <f>HYPERLINK("http://bombeiros.sp.gov.br/hidrantes/08bsg/qrcodeBSG.html?id=1777&amp;lat=-23.49816&amp;long=-46.48232&amp;tipo=S","QRCODE")</f>
        <v>QRCODE</v>
      </c>
      <c r="C1146" t="s">
        <v>5273</v>
      </c>
      <c r="D1146" t="s">
        <v>68</v>
      </c>
      <c r="E1146" t="s">
        <v>65</v>
      </c>
      <c r="F1146" t="s">
        <v>21</v>
      </c>
      <c r="G1146" t="s">
        <v>92</v>
      </c>
      <c r="H1146">
        <v>2</v>
      </c>
      <c r="I1146">
        <v>1</v>
      </c>
      <c r="J1146">
        <v>0</v>
      </c>
      <c r="K1146">
        <v>0</v>
      </c>
      <c r="L1146">
        <v>0</v>
      </c>
    </row>
    <row r="1147" spans="1:12">
      <c r="A1147" t="str">
        <f>HYPERLINK("http://bombeiros.sp.gov.br/hidrantes/03individual/1840.html","1840")</f>
        <v>1840</v>
      </c>
      <c r="B1147" t="str">
        <f>HYPERLINK("http://bombeiros.sp.gov.br/hidrantes/08bsg/qrcodeBSG.html?id=1840&amp;lat=-23.50573&amp;long=-46.47761&amp;tipo=S","QRCODE")</f>
        <v>QRCODE</v>
      </c>
      <c r="C1147" t="s">
        <v>5273</v>
      </c>
      <c r="D1147" t="s">
        <v>68</v>
      </c>
      <c r="E1147" t="s">
        <v>65</v>
      </c>
      <c r="F1147" t="s">
        <v>21</v>
      </c>
      <c r="G1147" t="s">
        <v>3019</v>
      </c>
      <c r="H1147">
        <v>1</v>
      </c>
      <c r="I1147">
        <v>1</v>
      </c>
      <c r="J1147">
        <v>0</v>
      </c>
      <c r="K1147">
        <v>0</v>
      </c>
      <c r="L1147">
        <v>0</v>
      </c>
    </row>
    <row r="1148" spans="1:12">
      <c r="A1148" t="str">
        <f>HYPERLINK("http://bombeiros.sp.gov.br/hidrantes/03individual/1841.html","1841")</f>
        <v>1841</v>
      </c>
      <c r="B1148" t="str">
        <f>HYPERLINK("http://bombeiros.sp.gov.br/hidrantes/08bsg/qrcodeBSG.html?id=1841&amp;lat=-23.50071&amp;long=-46.48076&amp;tipo=S","QRCODE")</f>
        <v>QRCODE</v>
      </c>
      <c r="C1148" t="s">
        <v>5273</v>
      </c>
      <c r="D1148" t="s">
        <v>68</v>
      </c>
      <c r="E1148" t="s">
        <v>65</v>
      </c>
      <c r="F1148" t="s">
        <v>21</v>
      </c>
      <c r="G1148" t="s">
        <v>93</v>
      </c>
      <c r="H1148">
        <v>1</v>
      </c>
      <c r="I1148">
        <v>2</v>
      </c>
      <c r="J1148">
        <v>0</v>
      </c>
      <c r="K1148">
        <v>0</v>
      </c>
      <c r="L1148">
        <v>0</v>
      </c>
    </row>
    <row r="1149" spans="1:12">
      <c r="A1149" t="str">
        <f>HYPERLINK("http://bombeiros.sp.gov.br/hidrantes/03individual/1894.html","1894")</f>
        <v>1894</v>
      </c>
      <c r="B1149" t="str">
        <f>HYPERLINK("http://bombeiros.sp.gov.br/hidrantes/08bsg/qrcodeBSG.html?id=1894&amp;lat=-23.49893&amp;long=-46.47196&amp;tipo=S","QRCODE")</f>
        <v>QRCODE</v>
      </c>
      <c r="C1149" t="s">
        <v>5273</v>
      </c>
      <c r="D1149" t="s">
        <v>68</v>
      </c>
      <c r="E1149" t="s">
        <v>65</v>
      </c>
      <c r="F1149" t="s">
        <v>21</v>
      </c>
      <c r="G1149" t="s">
        <v>3017</v>
      </c>
      <c r="H1149">
        <v>1</v>
      </c>
      <c r="I1149">
        <v>1</v>
      </c>
      <c r="J1149">
        <v>0</v>
      </c>
      <c r="K1149">
        <v>0</v>
      </c>
      <c r="L1149">
        <v>0</v>
      </c>
    </row>
    <row r="1150" spans="1:12">
      <c r="A1150" t="str">
        <f>HYPERLINK("http://bombeiros.sp.gov.br/hidrantes/03individual/1898.html","1898")</f>
        <v>1898</v>
      </c>
      <c r="B1150" t="str">
        <f>HYPERLINK("http://bombeiros.sp.gov.br/hidrantes/08bsg/qrcodeBSG.html?id=1898&amp;lat=-23.48940&amp;long=-46.47658&amp;tipo=S","QRCODE")</f>
        <v>QRCODE</v>
      </c>
      <c r="C1150" t="s">
        <v>5273</v>
      </c>
      <c r="D1150" t="s">
        <v>68</v>
      </c>
      <c r="E1150" t="s">
        <v>65</v>
      </c>
      <c r="F1150" t="s">
        <v>21</v>
      </c>
      <c r="G1150" t="s">
        <v>87</v>
      </c>
      <c r="H1150">
        <v>1</v>
      </c>
      <c r="I1150">
        <v>2</v>
      </c>
      <c r="J1150">
        <v>0</v>
      </c>
      <c r="K1150">
        <v>0</v>
      </c>
      <c r="L1150">
        <v>0</v>
      </c>
    </row>
    <row r="1151" spans="1:12">
      <c r="A1151" t="str">
        <f>HYPERLINK("http://bombeiros.sp.gov.br/hidrantes/03individual/3362.html","3362")</f>
        <v>3362</v>
      </c>
      <c r="B1151" t="str">
        <f>HYPERLINK("http://bombeiros.sp.gov.br/hidrantes/08bsg/qrcodeBSG.html?id=3362&amp;lat=-23.50148&amp;long=-46.48520&amp;tipo=S","QRCODE")</f>
        <v>QRCODE</v>
      </c>
      <c r="C1151" t="s">
        <v>5273</v>
      </c>
      <c r="D1151" t="s">
        <v>68</v>
      </c>
      <c r="E1151" t="s">
        <v>65</v>
      </c>
      <c r="F1151" t="s">
        <v>21</v>
      </c>
      <c r="G1151" t="s">
        <v>4723</v>
      </c>
      <c r="H1151">
        <v>1</v>
      </c>
      <c r="I1151">
        <v>1</v>
      </c>
      <c r="J1151">
        <v>0</v>
      </c>
      <c r="K1151">
        <v>0</v>
      </c>
      <c r="L1151">
        <v>0</v>
      </c>
    </row>
    <row r="1152" spans="1:12">
      <c r="A1152" t="str">
        <f>HYPERLINK("http://bombeiros.sp.gov.br/hidrantes/03individual/3366.html","3366")</f>
        <v>3366</v>
      </c>
      <c r="B1152" t="str">
        <f>HYPERLINK("http://bombeiros.sp.gov.br/hidrantes/08bsg/qrcodeBSG.html?id=3366&amp;lat=-23.50114&amp;long=-46.47687&amp;tipo=S","QRCODE")</f>
        <v>QRCODE</v>
      </c>
      <c r="C1152" t="s">
        <v>5273</v>
      </c>
      <c r="D1152" t="s">
        <v>68</v>
      </c>
      <c r="E1152" t="s">
        <v>65</v>
      </c>
      <c r="F1152" t="s">
        <v>21</v>
      </c>
      <c r="G1152" t="s">
        <v>2166</v>
      </c>
      <c r="H1152">
        <v>0</v>
      </c>
      <c r="I1152">
        <v>2</v>
      </c>
      <c r="J1152">
        <v>0</v>
      </c>
      <c r="K1152">
        <v>0</v>
      </c>
      <c r="L1152">
        <v>0</v>
      </c>
    </row>
    <row r="1153" spans="1:12">
      <c r="A1153" t="str">
        <f>HYPERLINK("http://bombeiros.sp.gov.br/hidrantes/03individual/3516.html","3516")</f>
        <v>3516</v>
      </c>
      <c r="B1153" t="str">
        <f>HYPERLINK("http://bombeiros.sp.gov.br/hidrantes/08bsg/qrcodeBSG.html?id=3516&amp;lat=-23.49752&amp;long=-46.47808&amp;tipo=S","QRCODE")</f>
        <v>QRCODE</v>
      </c>
      <c r="C1153" t="s">
        <v>5273</v>
      </c>
      <c r="D1153" t="s">
        <v>68</v>
      </c>
      <c r="E1153" t="s">
        <v>65</v>
      </c>
      <c r="F1153" t="s">
        <v>21</v>
      </c>
      <c r="G1153" t="s">
        <v>3857</v>
      </c>
      <c r="H1153">
        <v>1</v>
      </c>
      <c r="I1153">
        <v>1</v>
      </c>
      <c r="J1153">
        <v>0</v>
      </c>
      <c r="K1153">
        <v>0</v>
      </c>
      <c r="L1153">
        <v>0</v>
      </c>
    </row>
    <row r="1154" spans="1:12">
      <c r="A1154" t="str">
        <f>HYPERLINK("http://bombeiros.sp.gov.br/hidrantes/03individual/3547.html","3547")</f>
        <v>3547</v>
      </c>
      <c r="B1154" t="str">
        <f>HYPERLINK("http://bombeiros.sp.gov.br/hidrantes/08bsg/qrcodeBSG.html?id=3547&amp;lat=-23.48951&amp;long=-46.47744&amp;tipo=S","QRCODE")</f>
        <v>QRCODE</v>
      </c>
      <c r="C1154" t="s">
        <v>5273</v>
      </c>
      <c r="D1154" t="s">
        <v>68</v>
      </c>
      <c r="E1154" t="s">
        <v>65</v>
      </c>
      <c r="F1154" t="s">
        <v>21</v>
      </c>
      <c r="G1154" t="s">
        <v>64</v>
      </c>
      <c r="H1154">
        <v>1</v>
      </c>
      <c r="I1154">
        <v>2</v>
      </c>
      <c r="J1154">
        <v>0</v>
      </c>
      <c r="K1154">
        <v>0</v>
      </c>
      <c r="L1154">
        <v>0</v>
      </c>
    </row>
    <row r="1155" spans="1:12">
      <c r="A1155" t="str">
        <f>HYPERLINK("http://bombeiros.sp.gov.br/hidrantes/03individual/4341.html","4341")</f>
        <v>4341</v>
      </c>
      <c r="B1155" t="str">
        <f>HYPERLINK("http://bombeiros.sp.gov.br/hidrantes/08bsg/qrcodeBSG.html?id=4341&amp;lat=-23.49758&amp;long=-46.47774&amp;tipo=S","QRCODE")</f>
        <v>QRCODE</v>
      </c>
      <c r="C1155" t="s">
        <v>5273</v>
      </c>
      <c r="D1155" t="s">
        <v>68</v>
      </c>
      <c r="E1155" t="s">
        <v>65</v>
      </c>
      <c r="F1155" t="s">
        <v>21</v>
      </c>
      <c r="G1155" t="s">
        <v>3855</v>
      </c>
      <c r="H1155">
        <v>1</v>
      </c>
      <c r="I1155">
        <v>1</v>
      </c>
      <c r="J1155">
        <v>0</v>
      </c>
      <c r="K1155">
        <v>0</v>
      </c>
      <c r="L1155">
        <v>0</v>
      </c>
    </row>
    <row r="1156" spans="1:12">
      <c r="A1156" t="str">
        <f>HYPERLINK("http://bombeiros.sp.gov.br/hidrantes/03individual/4342.html","4342")</f>
        <v>4342</v>
      </c>
      <c r="B1156" t="str">
        <f>HYPERLINK("http://bombeiros.sp.gov.br/hidrantes/08bsg/qrcodeBSG.html?id=4342&amp;lat=-23.49004&amp;long=-46.47708&amp;tipo=S","QRCODE")</f>
        <v>QRCODE</v>
      </c>
      <c r="C1156" t="s">
        <v>5273</v>
      </c>
      <c r="D1156" t="s">
        <v>68</v>
      </c>
      <c r="E1156" t="s">
        <v>65</v>
      </c>
      <c r="F1156" t="s">
        <v>21</v>
      </c>
      <c r="G1156" t="s">
        <v>3049</v>
      </c>
      <c r="H1156">
        <v>1</v>
      </c>
      <c r="I1156">
        <v>2</v>
      </c>
      <c r="J1156">
        <v>0</v>
      </c>
      <c r="K1156">
        <v>0</v>
      </c>
      <c r="L1156">
        <v>0</v>
      </c>
    </row>
    <row r="1157" spans="1:12">
      <c r="A1157" t="str">
        <f>HYPERLINK("http://bombeiros.sp.gov.br/hidrantes/03individual/4416.html","4416")</f>
        <v>4416</v>
      </c>
      <c r="B1157" t="str">
        <f>HYPERLINK("http://bombeiros.sp.gov.br/hidrantes/08bsg/qrcodeBSG.html?id=4416&amp;lat=-23.49271&amp;long=-46.47351&amp;tipo=S","QRCODE")</f>
        <v>QRCODE</v>
      </c>
      <c r="C1157" t="s">
        <v>5273</v>
      </c>
      <c r="D1157" t="s">
        <v>68</v>
      </c>
      <c r="E1157" t="s">
        <v>65</v>
      </c>
      <c r="F1157" t="s">
        <v>21</v>
      </c>
      <c r="G1157" t="s">
        <v>3042</v>
      </c>
      <c r="H1157">
        <v>1</v>
      </c>
      <c r="I1157">
        <v>2</v>
      </c>
      <c r="J1157">
        <v>0</v>
      </c>
      <c r="K1157">
        <v>0</v>
      </c>
      <c r="L1157">
        <v>0</v>
      </c>
    </row>
    <row r="1158" spans="1:12">
      <c r="A1158" t="str">
        <f>HYPERLINK("http://bombeiros.sp.gov.br/hidrantes/03individual/3416.html","3416")</f>
        <v>3416</v>
      </c>
      <c r="B1158" t="str">
        <f>HYPERLINK("http://bombeiros.sp.gov.br/hidrantes/08bsg/qrcodeBSG.html?id=3416&amp;lat=-23.54632&amp;long=-46.40234&amp;tipo=C","QRCODE")</f>
        <v>QRCODE</v>
      </c>
      <c r="C1158" t="s">
        <v>5273</v>
      </c>
      <c r="D1158" t="s">
        <v>82</v>
      </c>
      <c r="E1158" t="s">
        <v>82</v>
      </c>
      <c r="F1158" t="s">
        <v>12</v>
      </c>
      <c r="G1158" t="s">
        <v>2749</v>
      </c>
      <c r="H1158">
        <v>0</v>
      </c>
      <c r="I1158">
        <v>1</v>
      </c>
      <c r="J1158">
        <v>0</v>
      </c>
      <c r="K1158">
        <v>0</v>
      </c>
      <c r="L1158">
        <v>0</v>
      </c>
    </row>
    <row r="1159" spans="1:12">
      <c r="A1159" t="str">
        <f>HYPERLINK("http://bombeiros.sp.gov.br/hidrantes/03individual/3432.html","3432")</f>
        <v>3432</v>
      </c>
      <c r="B1159" t="str">
        <f>HYPERLINK("http://bombeiros.sp.gov.br/hidrantes/08bsg/qrcodeBSG.html?id=3432&amp;lat=-23.54488&amp;long=-46.41487&amp;tipo=C","QRCODE")</f>
        <v>QRCODE</v>
      </c>
      <c r="C1159" t="s">
        <v>5273</v>
      </c>
      <c r="D1159" t="s">
        <v>82</v>
      </c>
      <c r="E1159" t="s">
        <v>82</v>
      </c>
      <c r="F1159" t="s">
        <v>12</v>
      </c>
      <c r="G1159" t="s">
        <v>3359</v>
      </c>
      <c r="H1159">
        <v>1</v>
      </c>
      <c r="I1159">
        <v>1</v>
      </c>
      <c r="J1159">
        <v>0</v>
      </c>
      <c r="K1159">
        <v>0</v>
      </c>
      <c r="L1159">
        <v>0</v>
      </c>
    </row>
    <row r="1160" spans="1:12">
      <c r="A1160" t="str">
        <f>HYPERLINK("http://bombeiros.sp.gov.br/hidrantes/03individual/15040.html","15040")</f>
        <v>15040</v>
      </c>
      <c r="B1160" t="str">
        <f>HYPERLINK("http://bombeiros.sp.gov.br/hidrantes/08bsg/qrcodeBSG.html?id=15040&amp;lat=-23.54885&amp;long=-46.40199&amp;tipo=C","QRCODE")</f>
        <v>QRCODE</v>
      </c>
      <c r="C1160" t="s">
        <v>5273</v>
      </c>
      <c r="D1160" t="s">
        <v>82</v>
      </c>
      <c r="E1160" t="s">
        <v>82</v>
      </c>
      <c r="F1160" t="s">
        <v>12</v>
      </c>
      <c r="G1160" t="s">
        <v>5303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>
      <c r="A1161" t="str">
        <f>HYPERLINK("http://bombeiros.sp.gov.br/hidrantes/03individual/17789.html","17789")</f>
        <v>17789</v>
      </c>
      <c r="B1161" t="str">
        <f>HYPERLINK("http://bombeiros.sp.gov.br/hidrantes/08bsg/qrcodeBSG.html?id=17789&amp;lat=-23.56025&amp;long=-46.42464&amp;tipo=C","QRCODE")</f>
        <v>QRCODE</v>
      </c>
      <c r="C1161" t="s">
        <v>5273</v>
      </c>
      <c r="D1161" t="s">
        <v>82</v>
      </c>
      <c r="E1161" t="s">
        <v>82</v>
      </c>
      <c r="F1161" t="s">
        <v>12</v>
      </c>
      <c r="G1161" t="s">
        <v>503</v>
      </c>
      <c r="H1161">
        <v>0</v>
      </c>
      <c r="I1161">
        <v>2</v>
      </c>
      <c r="J1161">
        <v>0</v>
      </c>
      <c r="K1161">
        <v>0</v>
      </c>
      <c r="L1161">
        <v>0</v>
      </c>
    </row>
    <row r="1162" spans="1:12">
      <c r="A1162" t="str">
        <f>HYPERLINK("http://bombeiros.sp.gov.br/hidrantes/03individual/26814.html","26814")</f>
        <v>26814</v>
      </c>
      <c r="B1162" t="str">
        <f>HYPERLINK("http://bombeiros.sp.gov.br/hidrantes/08bsg/qrcodeBSG.html?id=26814&amp;lat=-23.54764&amp;long=-46.40877&amp;tipo=C","QRCODE")</f>
        <v>QRCODE</v>
      </c>
      <c r="C1162" t="s">
        <v>5273</v>
      </c>
      <c r="D1162" t="s">
        <v>82</v>
      </c>
      <c r="E1162" t="s">
        <v>82</v>
      </c>
      <c r="F1162" t="s">
        <v>12</v>
      </c>
      <c r="G1162" t="s">
        <v>3987</v>
      </c>
      <c r="H1162">
        <v>0</v>
      </c>
      <c r="I1162">
        <v>1</v>
      </c>
      <c r="J1162">
        <v>0</v>
      </c>
      <c r="K1162">
        <v>0</v>
      </c>
      <c r="L1162">
        <v>0</v>
      </c>
    </row>
    <row r="1163" spans="1:12">
      <c r="A1163" t="str">
        <f>HYPERLINK("http://bombeiros.sp.gov.br/hidrantes/03individual/1994.html","1994")</f>
        <v>1994</v>
      </c>
      <c r="B1163" t="str">
        <f>HYPERLINK("http://bombeiros.sp.gov.br/hidrantes/08bsg/qrcodeBSG.html?id=1994&amp;lat=-23.54722&amp;long=-46.42627&amp;tipo=S","QRCODE")</f>
        <v>QRCODE</v>
      </c>
      <c r="C1163" t="s">
        <v>5273</v>
      </c>
      <c r="D1163" t="s">
        <v>82</v>
      </c>
      <c r="E1163" t="s">
        <v>82</v>
      </c>
      <c r="F1163" t="s">
        <v>21</v>
      </c>
      <c r="G1163" t="s">
        <v>5032</v>
      </c>
      <c r="H1163">
        <v>0</v>
      </c>
      <c r="I1163">
        <v>1</v>
      </c>
      <c r="J1163">
        <v>0</v>
      </c>
      <c r="K1163">
        <v>0</v>
      </c>
      <c r="L1163">
        <v>0</v>
      </c>
    </row>
    <row r="1164" spans="1:12">
      <c r="A1164" t="str">
        <f>HYPERLINK("http://bombeiros.sp.gov.br/hidrantes/03individual/2028.html","2028")</f>
        <v>2028</v>
      </c>
      <c r="B1164" t="str">
        <f>HYPERLINK("http://bombeiros.sp.gov.br/hidrantes/08bsg/qrcodeBSG.html?id=2028&amp;lat=-23.54507&amp;long=-46.42547&amp;tipo=S","QRCODE")</f>
        <v>QRCODE</v>
      </c>
      <c r="C1164" t="s">
        <v>5273</v>
      </c>
      <c r="D1164" t="s">
        <v>82</v>
      </c>
      <c r="E1164" t="s">
        <v>82</v>
      </c>
      <c r="F1164" t="s">
        <v>21</v>
      </c>
      <c r="G1164" t="s">
        <v>84</v>
      </c>
      <c r="H1164">
        <v>0</v>
      </c>
      <c r="I1164">
        <v>2</v>
      </c>
      <c r="J1164">
        <v>0</v>
      </c>
      <c r="K1164">
        <v>0</v>
      </c>
      <c r="L1164">
        <v>0</v>
      </c>
    </row>
    <row r="1165" spans="1:12">
      <c r="A1165" t="str">
        <f>HYPERLINK("http://bombeiros.sp.gov.br/hidrantes/03individual/3364.html","3364")</f>
        <v>3364</v>
      </c>
      <c r="B1165" t="str">
        <f>HYPERLINK("http://bombeiros.sp.gov.br/hidrantes/08bsg/qrcodeBSG.html?id=3364&amp;lat=-23.54825&amp;long=-46.42145&amp;tipo=S","QRCODE")</f>
        <v>QRCODE</v>
      </c>
      <c r="C1165" t="s">
        <v>5273</v>
      </c>
      <c r="D1165" t="s">
        <v>82</v>
      </c>
      <c r="E1165" t="s">
        <v>82</v>
      </c>
      <c r="F1165" t="s">
        <v>21</v>
      </c>
      <c r="G1165" t="s">
        <v>4167</v>
      </c>
      <c r="H1165">
        <v>0</v>
      </c>
      <c r="I1165">
        <v>1</v>
      </c>
      <c r="J1165">
        <v>0</v>
      </c>
      <c r="K1165">
        <v>0</v>
      </c>
      <c r="L1165">
        <v>0</v>
      </c>
    </row>
    <row r="1166" spans="1:12">
      <c r="A1166" t="str">
        <f>HYPERLINK("http://bombeiros.sp.gov.br/hidrantes/03individual/4319.html","4319")</f>
        <v>4319</v>
      </c>
      <c r="B1166" t="str">
        <f>HYPERLINK("http://bombeiros.sp.gov.br/hidrantes/08bsg/qrcodeBSG.html?id=4319&amp;lat=-23.54585&amp;long=-46.41148&amp;tipo=S","QRCODE")</f>
        <v>QRCODE</v>
      </c>
      <c r="C1166" t="s">
        <v>5273</v>
      </c>
      <c r="D1166" t="s">
        <v>82</v>
      </c>
      <c r="E1166" t="s">
        <v>82</v>
      </c>
      <c r="F1166" t="s">
        <v>21</v>
      </c>
      <c r="G1166" t="s">
        <v>3970</v>
      </c>
      <c r="H1166">
        <v>1</v>
      </c>
      <c r="I1166">
        <v>1</v>
      </c>
      <c r="J1166">
        <v>0</v>
      </c>
      <c r="K1166">
        <v>0</v>
      </c>
      <c r="L1166">
        <v>0</v>
      </c>
    </row>
    <row r="1167" spans="1:12">
      <c r="A1167" t="str">
        <f>HYPERLINK("http://bombeiros.sp.gov.br/hidrantes/03individual/4333.html","4333")</f>
        <v>4333</v>
      </c>
      <c r="B1167" t="str">
        <f>HYPERLINK("http://bombeiros.sp.gov.br/hidrantes/08bsg/qrcodeBSG.html?id=4333&amp;lat=-23.54246&amp;long=-46.41972&amp;tipo=S","QRCODE")</f>
        <v>QRCODE</v>
      </c>
      <c r="C1167" t="s">
        <v>5273</v>
      </c>
      <c r="D1167" t="s">
        <v>82</v>
      </c>
      <c r="E1167" t="s">
        <v>82</v>
      </c>
      <c r="F1167" t="s">
        <v>21</v>
      </c>
      <c r="G1167" t="s">
        <v>81</v>
      </c>
      <c r="H1167">
        <v>0</v>
      </c>
      <c r="I1167">
        <v>2</v>
      </c>
      <c r="J1167">
        <v>0</v>
      </c>
      <c r="K1167">
        <v>0</v>
      </c>
      <c r="L1167">
        <v>0</v>
      </c>
    </row>
    <row r="1168" spans="1:12">
      <c r="A1168" t="str">
        <f>HYPERLINK("http://bombeiros.sp.gov.br/hidrantes/03individual/858.html","858")</f>
        <v>858</v>
      </c>
      <c r="B1168" t="str">
        <f>HYPERLINK("http://bombeiros.sp.gov.br/hidrantes/08bsg/qrcodeBSG.html?id=858&amp;lat=-23.56670&amp;long=-46.39422&amp;tipo=C","QRCODE")</f>
        <v>QRCODE</v>
      </c>
      <c r="C1168" t="s">
        <v>5273</v>
      </c>
      <c r="D1168" t="s">
        <v>82</v>
      </c>
      <c r="E1168" t="s">
        <v>1858</v>
      </c>
      <c r="F1168" t="s">
        <v>12</v>
      </c>
      <c r="G1168" t="s">
        <v>3873</v>
      </c>
      <c r="H1168">
        <v>0</v>
      </c>
      <c r="I1168">
        <v>1</v>
      </c>
      <c r="J1168">
        <v>0</v>
      </c>
      <c r="K1168">
        <v>0</v>
      </c>
      <c r="L1168">
        <v>0</v>
      </c>
    </row>
    <row r="1169" spans="1:12">
      <c r="A1169" t="str">
        <f>HYPERLINK("http://bombeiros.sp.gov.br/hidrantes/03individual/3456.html","3456")</f>
        <v>3456</v>
      </c>
      <c r="B1169" t="str">
        <f>HYPERLINK("http://bombeiros.sp.gov.br/hidrantes/08bsg/qrcodeBSG.html?id=3456&amp;lat=-23.56282&amp;long=-46.40703&amp;tipo=C","QRCODE")</f>
        <v>QRCODE</v>
      </c>
      <c r="C1169" t="s">
        <v>5273</v>
      </c>
      <c r="D1169" t="s">
        <v>82</v>
      </c>
      <c r="E1169" t="s">
        <v>1858</v>
      </c>
      <c r="F1169" t="s">
        <v>12</v>
      </c>
      <c r="G1169" t="s">
        <v>1857</v>
      </c>
      <c r="H1169">
        <v>0</v>
      </c>
      <c r="I1169">
        <v>2</v>
      </c>
      <c r="J1169">
        <v>0</v>
      </c>
      <c r="K1169">
        <v>0</v>
      </c>
      <c r="L1169">
        <v>0</v>
      </c>
    </row>
    <row r="1170" spans="1:12">
      <c r="A1170" t="str">
        <f>HYPERLINK("http://bombeiros.sp.gov.br/hidrantes/03individual/15041.html","15041")</f>
        <v>15041</v>
      </c>
      <c r="B1170" t="str">
        <f>HYPERLINK("http://bombeiros.sp.gov.br/hidrantes/08bsg/qrcodeBSG.html?id=15041&amp;lat=-23.55281&amp;long=-46.40626&amp;tipo=C","QRCODE")</f>
        <v>QRCODE</v>
      </c>
      <c r="C1170" t="s">
        <v>5273</v>
      </c>
      <c r="D1170" t="s">
        <v>82</v>
      </c>
      <c r="E1170" t="s">
        <v>1858</v>
      </c>
      <c r="F1170" t="s">
        <v>12</v>
      </c>
      <c r="G1170" t="s">
        <v>4319</v>
      </c>
      <c r="H1170">
        <v>0</v>
      </c>
      <c r="I1170">
        <v>2</v>
      </c>
      <c r="J1170">
        <v>0</v>
      </c>
      <c r="K1170">
        <v>0</v>
      </c>
      <c r="L1170">
        <v>0</v>
      </c>
    </row>
    <row r="1171" spans="1:12">
      <c r="A1171" t="str">
        <f>HYPERLINK("http://bombeiros.sp.gov.br/hidrantes/03individual/17788.html","17788")</f>
        <v>17788</v>
      </c>
      <c r="B1171" t="str">
        <f>HYPERLINK("http://bombeiros.sp.gov.br/hidrantes/08bsg/qrcodeBSG.html?id=17788&amp;lat=-23.56281&amp;long=-46.40453&amp;tipo=C","QRCODE")</f>
        <v>QRCODE</v>
      </c>
      <c r="C1171" t="s">
        <v>5273</v>
      </c>
      <c r="D1171" t="s">
        <v>82</v>
      </c>
      <c r="E1171" t="s">
        <v>1858</v>
      </c>
      <c r="F1171" t="s">
        <v>12</v>
      </c>
      <c r="G1171" t="s">
        <v>4966</v>
      </c>
      <c r="H1171">
        <v>0</v>
      </c>
      <c r="I1171">
        <v>1</v>
      </c>
      <c r="J1171">
        <v>0</v>
      </c>
      <c r="K1171">
        <v>0</v>
      </c>
      <c r="L1171">
        <v>0</v>
      </c>
    </row>
    <row r="1172" spans="1:12">
      <c r="A1172" t="str">
        <f>HYPERLINK("http://bombeiros.sp.gov.br/hidrantes/03individual/27078.html","27078")</f>
        <v>27078</v>
      </c>
      <c r="B1172" t="str">
        <f>HYPERLINK("http://bombeiros.sp.gov.br/hidrantes/08bsg/qrcodeBSG.html?id=27078&amp;lat=-23.55923&amp;long=-46.39825&amp;tipo=C","QRCODE")</f>
        <v>QRCODE</v>
      </c>
      <c r="C1172" t="s">
        <v>5273</v>
      </c>
      <c r="D1172" t="s">
        <v>82</v>
      </c>
      <c r="E1172" t="s">
        <v>1858</v>
      </c>
      <c r="F1172" t="s">
        <v>12</v>
      </c>
      <c r="G1172" t="s">
        <v>3792</v>
      </c>
      <c r="H1172">
        <v>0</v>
      </c>
      <c r="I1172">
        <v>1</v>
      </c>
      <c r="J1172">
        <v>0</v>
      </c>
      <c r="K1172">
        <v>0</v>
      </c>
      <c r="L1172">
        <v>0</v>
      </c>
    </row>
    <row r="1173" spans="1:12">
      <c r="A1173" t="str">
        <f>HYPERLINK("http://bombeiros.sp.gov.br/hidrantes/03individual/27179.html","27179")</f>
        <v>27179</v>
      </c>
      <c r="B1173" t="str">
        <f>HYPERLINK("http://bombeiros.sp.gov.br/hidrantes/08bsg/qrcodeBSG.html?id=27179&amp;lat=-23.55598&amp;long=-46.39601&amp;tipo=C","QRCODE")</f>
        <v>QRCODE</v>
      </c>
      <c r="C1173" t="s">
        <v>5273</v>
      </c>
      <c r="D1173" t="s">
        <v>82</v>
      </c>
      <c r="E1173" t="s">
        <v>1858</v>
      </c>
      <c r="F1173" t="s">
        <v>12</v>
      </c>
      <c r="G1173" t="s">
        <v>5304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>
      <c r="A1174" t="str">
        <f>HYPERLINK("http://bombeiros.sp.gov.br/hidrantes/03individual/27180.html","27180")</f>
        <v>27180</v>
      </c>
      <c r="B1174" t="str">
        <f>HYPERLINK("http://bombeiros.sp.gov.br/hidrantes/08bsg/qrcodeBSG.html?id=27180&amp;lat=-23.56327&amp;long=-46.40191&amp;tipo=C","QRCODE")</f>
        <v>QRCODE</v>
      </c>
      <c r="C1174" t="s">
        <v>5273</v>
      </c>
      <c r="D1174" t="s">
        <v>82</v>
      </c>
      <c r="E1174" t="s">
        <v>1858</v>
      </c>
      <c r="F1174" t="s">
        <v>12</v>
      </c>
      <c r="G1174" t="s">
        <v>3432</v>
      </c>
      <c r="H1174">
        <v>0</v>
      </c>
      <c r="I1174">
        <v>1</v>
      </c>
      <c r="J1174">
        <v>0</v>
      </c>
      <c r="K1174">
        <v>0</v>
      </c>
      <c r="L1174">
        <v>0</v>
      </c>
    </row>
    <row r="1175" spans="1:12">
      <c r="A1175" t="str">
        <f>HYPERLINK("http://bombeiros.sp.gov.br/hidrantes/03individual/3858.html","3858")</f>
        <v>3858</v>
      </c>
      <c r="B1175" t="str">
        <f>HYPERLINK("http://bombeiros.sp.gov.br/hidrantes/08bsg/qrcodeBSG.html?id=3858&amp;lat=-23.60132&amp;long=-46.43861&amp;tipo=C","QRCODE")</f>
        <v>QRCODE</v>
      </c>
      <c r="C1175" t="s">
        <v>5273</v>
      </c>
      <c r="D1175" t="s">
        <v>532</v>
      </c>
      <c r="E1175" t="s">
        <v>532</v>
      </c>
      <c r="F1175" t="s">
        <v>12</v>
      </c>
      <c r="G1175" t="s">
        <v>531</v>
      </c>
      <c r="H1175">
        <v>0</v>
      </c>
      <c r="I1175">
        <v>2</v>
      </c>
      <c r="J1175">
        <v>0</v>
      </c>
      <c r="K1175">
        <v>0</v>
      </c>
      <c r="L1175">
        <v>0</v>
      </c>
    </row>
    <row r="1176" spans="1:12">
      <c r="A1176" t="str">
        <f>HYPERLINK("http://bombeiros.sp.gov.br/hidrantes/03individual/3908.html","3908")</f>
        <v>3908</v>
      </c>
      <c r="B1176" t="str">
        <f>HYPERLINK("http://bombeiros.sp.gov.br/hidrantes/08bsg/qrcodeBSG.html?id=3908&amp;lat=-23.61665&amp;long=-46.43137&amp;tipo=C","QRCODE")</f>
        <v>QRCODE</v>
      </c>
      <c r="C1176" t="s">
        <v>5273</v>
      </c>
      <c r="D1176" t="s">
        <v>532</v>
      </c>
      <c r="E1176" t="s">
        <v>532</v>
      </c>
      <c r="F1176" t="s">
        <v>12</v>
      </c>
      <c r="G1176" t="s">
        <v>1463</v>
      </c>
      <c r="H1176">
        <v>0</v>
      </c>
      <c r="I1176">
        <v>2</v>
      </c>
      <c r="J1176">
        <v>0</v>
      </c>
      <c r="K1176">
        <v>0</v>
      </c>
      <c r="L1176">
        <v>0</v>
      </c>
    </row>
    <row r="1177" spans="1:12">
      <c r="A1177" t="str">
        <f>HYPERLINK("http://bombeiros.sp.gov.br/hidrantes/03individual/2110.html","2110")</f>
        <v>2110</v>
      </c>
      <c r="B1177" t="str">
        <f>HYPERLINK("http://bombeiros.sp.gov.br/hidrantes/08bsg/qrcodeBSG.html?id=2110&amp;lat=-23.59987&amp;long=-46.43802&amp;tipo=S","QRCODE")</f>
        <v>QRCODE</v>
      </c>
      <c r="C1177" t="s">
        <v>5273</v>
      </c>
      <c r="D1177" t="s">
        <v>532</v>
      </c>
      <c r="E1177" t="s">
        <v>532</v>
      </c>
      <c r="F1177" t="s">
        <v>21</v>
      </c>
      <c r="G1177" t="s">
        <v>4315</v>
      </c>
      <c r="H1177">
        <v>0</v>
      </c>
      <c r="I1177">
        <v>1</v>
      </c>
      <c r="J1177">
        <v>0</v>
      </c>
      <c r="K1177">
        <v>0</v>
      </c>
      <c r="L1177">
        <v>0</v>
      </c>
    </row>
    <row r="1178" spans="1:12">
      <c r="A1178" t="str">
        <f>HYPERLINK("http://bombeiros.sp.gov.br/hidrantes/03individual/4377.html","4377")</f>
        <v>4377</v>
      </c>
      <c r="B1178" t="str">
        <f>HYPERLINK("http://bombeiros.sp.gov.br/hidrantes/08bsg/qrcodeBSG.html?id=4377&amp;lat=-23.60399&amp;long=-46.42992&amp;tipo=S","QRCODE")</f>
        <v>QRCODE</v>
      </c>
      <c r="C1178" t="s">
        <v>5273</v>
      </c>
      <c r="D1178" t="s">
        <v>532</v>
      </c>
      <c r="E1178" t="s">
        <v>532</v>
      </c>
      <c r="F1178" t="s">
        <v>21</v>
      </c>
      <c r="G1178" t="s">
        <v>4316</v>
      </c>
      <c r="H1178">
        <v>0</v>
      </c>
      <c r="I1178">
        <v>1</v>
      </c>
      <c r="J1178">
        <v>0</v>
      </c>
      <c r="K1178">
        <v>0</v>
      </c>
      <c r="L1178">
        <v>0</v>
      </c>
    </row>
    <row r="1179" spans="1:12">
      <c r="A1179" t="str">
        <f>HYPERLINK("http://bombeiros.sp.gov.br/hidrantes/03individual/17729.html","17729")</f>
        <v>17729</v>
      </c>
      <c r="B1179" t="str">
        <f>HYPERLINK("http://bombeiros.sp.gov.br/hidrantes/08bsg/qrcodeBSG.html?id=17729&amp;lat=-23.59763&amp;long=-46.44063&amp;tipo=S","QRCODE")</f>
        <v>QRCODE</v>
      </c>
      <c r="C1179" t="s">
        <v>5273</v>
      </c>
      <c r="D1179" t="s">
        <v>532</v>
      </c>
      <c r="E1179" t="s">
        <v>532</v>
      </c>
      <c r="F1179" t="s">
        <v>21</v>
      </c>
      <c r="G1179" t="s">
        <v>3349</v>
      </c>
      <c r="H1179">
        <v>1</v>
      </c>
      <c r="I1179">
        <v>1</v>
      </c>
      <c r="J1179">
        <v>0</v>
      </c>
      <c r="K1179">
        <v>0</v>
      </c>
      <c r="L1179">
        <v>0</v>
      </c>
    </row>
    <row r="1180" spans="1:12">
      <c r="A1180" t="str">
        <f>HYPERLINK("http://bombeiros.sp.gov.br/hidrantes/03individual/26849.html","26849")</f>
        <v>26849</v>
      </c>
      <c r="B1180" t="str">
        <f>HYPERLINK("http://bombeiros.sp.gov.br/hidrantes/08bsg/qrcodeBSG.html?id=26849&amp;lat=-23.59581&amp;long=-46.43659&amp;tipo=S","QRCODE")</f>
        <v>QRCODE</v>
      </c>
      <c r="C1180" t="s">
        <v>5273</v>
      </c>
      <c r="D1180" t="s">
        <v>532</v>
      </c>
      <c r="E1180" t="s">
        <v>532</v>
      </c>
      <c r="F1180" t="s">
        <v>21</v>
      </c>
      <c r="G1180" t="s">
        <v>3426</v>
      </c>
      <c r="H1180">
        <v>0</v>
      </c>
      <c r="I1180">
        <v>1</v>
      </c>
      <c r="J1180">
        <v>0</v>
      </c>
      <c r="K1180">
        <v>0</v>
      </c>
      <c r="L1180">
        <v>0</v>
      </c>
    </row>
    <row r="1181" spans="1:12">
      <c r="A1181" t="str">
        <f>HYPERLINK("http://bombeiros.sp.gov.br/hidrantes/03individual/2109.html","2109")</f>
        <v>2109</v>
      </c>
      <c r="B1181" t="str">
        <f>HYPERLINK("http://bombeiros.sp.gov.br/hidrantes/08bsg/qrcodeBSG.html?id=2109&amp;lat=-23.59818&amp;long=-46.45325&amp;tipo=C","QRCODE")</f>
        <v>QRCODE</v>
      </c>
      <c r="C1181" t="s">
        <v>5273</v>
      </c>
      <c r="D1181" t="s">
        <v>532</v>
      </c>
      <c r="E1181" t="s">
        <v>41</v>
      </c>
      <c r="F1181" t="s">
        <v>12</v>
      </c>
      <c r="G1181" t="s">
        <v>4314</v>
      </c>
      <c r="H1181">
        <v>0</v>
      </c>
      <c r="I1181">
        <v>1</v>
      </c>
      <c r="J1181">
        <v>0</v>
      </c>
      <c r="K1181">
        <v>0</v>
      </c>
      <c r="L1181">
        <v>0</v>
      </c>
    </row>
    <row r="1182" spans="1:12">
      <c r="A1182" t="str">
        <f>HYPERLINK("http://bombeiros.sp.gov.br/hidrantes/03individual/3819.html","3819")</f>
        <v>3819</v>
      </c>
      <c r="B1182" t="str">
        <f>HYPERLINK("http://bombeiros.sp.gov.br/hidrantes/08bsg/qrcodeBSG.html?id=3819&amp;lat=-23.60756&amp;long=-46.44699&amp;tipo=C","QRCODE")</f>
        <v>QRCODE</v>
      </c>
      <c r="C1182" t="s">
        <v>5273</v>
      </c>
      <c r="D1182" t="s">
        <v>532</v>
      </c>
      <c r="E1182" t="s">
        <v>41</v>
      </c>
      <c r="F1182" t="s">
        <v>12</v>
      </c>
      <c r="G1182" t="s">
        <v>73</v>
      </c>
      <c r="H1182">
        <v>0</v>
      </c>
      <c r="I1182">
        <v>2</v>
      </c>
      <c r="J1182">
        <v>0</v>
      </c>
      <c r="K1182">
        <v>0</v>
      </c>
      <c r="L1182">
        <v>0</v>
      </c>
    </row>
    <row r="1183" spans="1:12">
      <c r="A1183" t="str">
        <f>HYPERLINK("http://bombeiros.sp.gov.br/hidrantes/03individual/3820.html","3820")</f>
        <v>3820</v>
      </c>
      <c r="B1183" t="str">
        <f>HYPERLINK("http://bombeiros.sp.gov.br/hidrantes/08bsg/qrcodeBSG.html?id=3820&amp;lat=-23.60945&amp;long=-46.45184&amp;tipo=C","QRCODE")</f>
        <v>QRCODE</v>
      </c>
      <c r="C1183" t="s">
        <v>5273</v>
      </c>
      <c r="D1183" t="s">
        <v>532</v>
      </c>
      <c r="E1183" t="s">
        <v>41</v>
      </c>
      <c r="F1183" t="s">
        <v>12</v>
      </c>
      <c r="G1183" t="s">
        <v>3452</v>
      </c>
      <c r="H1183">
        <v>0</v>
      </c>
      <c r="I1183">
        <v>2</v>
      </c>
      <c r="J1183">
        <v>0</v>
      </c>
      <c r="K1183">
        <v>0</v>
      </c>
      <c r="L1183">
        <v>0</v>
      </c>
    </row>
    <row r="1184" spans="1:12">
      <c r="A1184" t="str">
        <f>HYPERLINK("http://bombeiros.sp.gov.br/hidrantes/03individual/17728.html","17728")</f>
        <v>17728</v>
      </c>
      <c r="B1184" t="str">
        <f>HYPERLINK("http://bombeiros.sp.gov.br/hidrantes/08bsg/qrcodeBSG.html?id=17728&amp;lat=-23.60284&amp;long=-46.44792&amp;tipo=C","QRCODE")</f>
        <v>QRCODE</v>
      </c>
      <c r="C1184" t="s">
        <v>5273</v>
      </c>
      <c r="D1184" t="s">
        <v>532</v>
      </c>
      <c r="E1184" t="s">
        <v>41</v>
      </c>
      <c r="F1184" t="s">
        <v>12</v>
      </c>
      <c r="G1184" t="s">
        <v>40</v>
      </c>
      <c r="H1184">
        <v>1</v>
      </c>
      <c r="I1184">
        <v>2</v>
      </c>
      <c r="J1184">
        <v>0</v>
      </c>
      <c r="K1184">
        <v>0</v>
      </c>
      <c r="L1184">
        <v>0</v>
      </c>
    </row>
    <row r="1185" spans="1:12">
      <c r="A1185" t="str">
        <f>HYPERLINK("http://bombeiros.sp.gov.br/hidrantes/03individual/27081.html","27081")</f>
        <v>27081</v>
      </c>
      <c r="B1185" t="str">
        <f>HYPERLINK("http://bombeiros.sp.gov.br/hidrantes/08bsg/qrcodeBSG.html?id=27081&amp;lat=-23.60293&amp;long=-46.45424&amp;tipo=C","QRCODE")</f>
        <v>QRCODE</v>
      </c>
      <c r="C1185" t="s">
        <v>5273</v>
      </c>
      <c r="D1185" t="s">
        <v>532</v>
      </c>
      <c r="E1185" t="s">
        <v>41</v>
      </c>
      <c r="F1185" t="s">
        <v>12</v>
      </c>
      <c r="G1185" t="s">
        <v>3434</v>
      </c>
      <c r="H1185">
        <v>0</v>
      </c>
      <c r="I1185">
        <v>1</v>
      </c>
      <c r="J1185">
        <v>0</v>
      </c>
      <c r="K1185">
        <v>0</v>
      </c>
      <c r="L1185">
        <v>0</v>
      </c>
    </row>
    <row r="1186" spans="1:12">
      <c r="A1186" t="str">
        <f>HYPERLINK("http://bombeiros.sp.gov.br/hidrantes/03individual/27082.html","27082")</f>
        <v>27082</v>
      </c>
      <c r="B1186" t="str">
        <f>HYPERLINK("http://bombeiros.sp.gov.br/hidrantes/08bsg/qrcodeBSG.html?id=27082&amp;lat=-23.60349&amp;long=-46.45254&amp;tipo=C","QRCODE")</f>
        <v>QRCODE</v>
      </c>
      <c r="C1186" t="s">
        <v>5273</v>
      </c>
      <c r="D1186" t="s">
        <v>532</v>
      </c>
      <c r="E1186" t="s">
        <v>41</v>
      </c>
      <c r="F1186" t="s">
        <v>12</v>
      </c>
      <c r="G1186" t="s">
        <v>3919</v>
      </c>
      <c r="H1186">
        <v>0</v>
      </c>
      <c r="I1186">
        <v>1</v>
      </c>
      <c r="J1186">
        <v>0</v>
      </c>
      <c r="K1186">
        <v>0</v>
      </c>
      <c r="L1186">
        <v>0</v>
      </c>
    </row>
    <row r="1187" spans="1:12">
      <c r="A1187" t="str">
        <f>HYPERLINK("http://bombeiros.sp.gov.br/hidrantes/03individual/3336.html","3336")</f>
        <v>3336</v>
      </c>
      <c r="B1187" t="str">
        <f>HYPERLINK("http://bombeiros.sp.gov.br/hidrantes/08bsg/qrcodeBSG.html?id=3336&amp;lat=-23.59913&amp;long=-46.44765&amp;tipo=S","QRCODE")</f>
        <v>QRCODE</v>
      </c>
      <c r="C1187" t="s">
        <v>5273</v>
      </c>
      <c r="D1187" t="s">
        <v>532</v>
      </c>
      <c r="E1187" t="s">
        <v>41</v>
      </c>
      <c r="F1187" t="s">
        <v>21</v>
      </c>
      <c r="G1187" t="s">
        <v>56</v>
      </c>
      <c r="H1187">
        <v>0</v>
      </c>
      <c r="I1187">
        <v>2</v>
      </c>
      <c r="J1187">
        <v>0</v>
      </c>
      <c r="K1187">
        <v>0</v>
      </c>
      <c r="L1187">
        <v>0</v>
      </c>
    </row>
    <row r="1188" spans="1:12">
      <c r="A1188" t="str">
        <f>HYPERLINK("http://bombeiros.sp.gov.br/hidrantes/03individual/2081.html","2081")</f>
        <v>2081</v>
      </c>
      <c r="B1188" t="str">
        <f>HYPERLINK("http://bombeiros.sp.gov.br/hidrantes/08bsg/qrcodeBSG.html?id=2081&amp;lat=-23.62305&amp;long=-46.41469&amp;tipo=C","QRCODE")</f>
        <v>QRCODE</v>
      </c>
      <c r="C1188" t="s">
        <v>5273</v>
      </c>
      <c r="D1188" t="s">
        <v>532</v>
      </c>
      <c r="E1188" t="s">
        <v>1435</v>
      </c>
      <c r="F1188" t="s">
        <v>12</v>
      </c>
      <c r="G1188" t="s">
        <v>1434</v>
      </c>
      <c r="H1188">
        <v>0</v>
      </c>
      <c r="I1188">
        <v>2</v>
      </c>
      <c r="J1188">
        <v>0</v>
      </c>
      <c r="K1188">
        <v>0</v>
      </c>
      <c r="L1188">
        <v>0</v>
      </c>
    </row>
    <row r="1189" spans="1:12">
      <c r="A1189" t="str">
        <f>HYPERLINK("http://bombeiros.sp.gov.br/hidrantes/03individual/3854.html","3854")</f>
        <v>3854</v>
      </c>
      <c r="B1189" t="str">
        <f>HYPERLINK("http://bombeiros.sp.gov.br/hidrantes/08bsg/qrcodeBSG.html?id=3854&amp;lat=-23.61868&amp;long=-46.42352&amp;tipo=C","QRCODE")</f>
        <v>QRCODE</v>
      </c>
      <c r="C1189" t="s">
        <v>5273</v>
      </c>
      <c r="D1189" t="s">
        <v>532</v>
      </c>
      <c r="E1189" t="s">
        <v>1435</v>
      </c>
      <c r="F1189" t="s">
        <v>12</v>
      </c>
      <c r="G1189" t="s">
        <v>3945</v>
      </c>
      <c r="H1189">
        <v>0</v>
      </c>
      <c r="I1189">
        <v>1</v>
      </c>
      <c r="J1189">
        <v>0</v>
      </c>
      <c r="K1189">
        <v>0</v>
      </c>
      <c r="L1189">
        <v>0</v>
      </c>
    </row>
    <row r="1190" spans="1:12">
      <c r="A1190" t="str">
        <f>HYPERLINK("http://bombeiros.sp.gov.br/hidrantes/03individual/3907.html","3907")</f>
        <v>3907</v>
      </c>
      <c r="B1190" t="str">
        <f>HYPERLINK("http://bombeiros.sp.gov.br/hidrantes/08bsg/qrcodeBSG.html?id=3907&amp;lat=-23.62323&amp;long=-46.43040&amp;tipo=C","QRCODE")</f>
        <v>QRCODE</v>
      </c>
      <c r="C1190" t="s">
        <v>5273</v>
      </c>
      <c r="D1190" t="s">
        <v>532</v>
      </c>
      <c r="E1190" t="s">
        <v>1435</v>
      </c>
      <c r="F1190" t="s">
        <v>12</v>
      </c>
      <c r="G1190" t="s">
        <v>3453</v>
      </c>
      <c r="H1190">
        <v>0</v>
      </c>
      <c r="I1190">
        <v>1</v>
      </c>
      <c r="J1190">
        <v>0</v>
      </c>
      <c r="K1190">
        <v>0</v>
      </c>
      <c r="L1190">
        <v>0</v>
      </c>
    </row>
    <row r="1191" spans="1:12">
      <c r="A1191" t="str">
        <f>HYPERLINK("http://bombeiros.sp.gov.br/hidrantes/03individual/16561.html","16561")</f>
        <v>16561</v>
      </c>
      <c r="B1191" t="str">
        <f>HYPERLINK("http://bombeiros.sp.gov.br/hidrantes/08bsg/qrcodeBSG.html?id=16561&amp;lat=-23.59326&amp;long=-46.41854&amp;tipo=C","QRCODE")</f>
        <v>QRCODE</v>
      </c>
      <c r="C1191" t="s">
        <v>5273</v>
      </c>
      <c r="D1191" t="s">
        <v>532</v>
      </c>
      <c r="E1191" t="s">
        <v>1435</v>
      </c>
      <c r="F1191" t="s">
        <v>12</v>
      </c>
      <c r="G1191" t="s">
        <v>4983</v>
      </c>
      <c r="H1191">
        <v>0</v>
      </c>
      <c r="I1191">
        <v>1</v>
      </c>
      <c r="J1191">
        <v>0</v>
      </c>
      <c r="K1191">
        <v>0</v>
      </c>
      <c r="L1191">
        <v>0</v>
      </c>
    </row>
    <row r="1192" spans="1:12">
      <c r="A1192" t="str">
        <f>HYPERLINK("http://bombeiros.sp.gov.br/hidrantes/03individual/4196.html","4196")</f>
        <v>4196</v>
      </c>
      <c r="B1192" t="str">
        <f>HYPERLINK("http://bombeiros.sp.gov.br/hidrantes/08bsg/qrcodeBSG.html?id=4196&amp;lat=-23.61672&amp;long=-46.42229&amp;tipo=S","QRCODE")</f>
        <v>QRCODE</v>
      </c>
      <c r="C1192" t="s">
        <v>5273</v>
      </c>
      <c r="D1192" t="s">
        <v>532</v>
      </c>
      <c r="E1192" t="s">
        <v>1435</v>
      </c>
      <c r="F1192" t="s">
        <v>21</v>
      </c>
      <c r="G1192" t="s">
        <v>1450</v>
      </c>
      <c r="H1192">
        <v>0</v>
      </c>
      <c r="I1192">
        <v>2</v>
      </c>
      <c r="J1192">
        <v>0</v>
      </c>
      <c r="K1192">
        <v>0</v>
      </c>
      <c r="L1192">
        <v>0</v>
      </c>
    </row>
    <row r="1193" spans="1:12">
      <c r="A1193" t="str">
        <f>HYPERLINK("http://bombeiros.sp.gov.br/hidrantes/03individual/4421.html","4421")</f>
        <v>4421</v>
      </c>
      <c r="B1193" t="str">
        <f>HYPERLINK("http://bombeiros.sp.gov.br/hidrantes/08bsg/qrcodeBSG.html?id=4421&amp;lat=-23.61229&amp;long=-46.41609&amp;tipo=S","QRCODE")</f>
        <v>QRCODE</v>
      </c>
      <c r="C1193" t="s">
        <v>5273</v>
      </c>
      <c r="D1193" t="s">
        <v>532</v>
      </c>
      <c r="E1193" t="s">
        <v>1435</v>
      </c>
      <c r="F1193" t="s">
        <v>21</v>
      </c>
      <c r="G1193" t="s">
        <v>1461</v>
      </c>
      <c r="H1193">
        <v>0</v>
      </c>
      <c r="I1193">
        <v>2</v>
      </c>
      <c r="J1193">
        <v>0</v>
      </c>
      <c r="K1193">
        <v>0</v>
      </c>
      <c r="L1193">
        <v>0</v>
      </c>
    </row>
    <row r="1194" spans="1:12">
      <c r="A1194" t="str">
        <f>HYPERLINK("http://bombeiros.sp.gov.br/hidrantes/03individual/17784.html","17784")</f>
        <v>17784</v>
      </c>
      <c r="B1194" t="str">
        <f>HYPERLINK("http://bombeiros.sp.gov.br/hidrantes/08bsg/qrcodeBSG.html?id=17784&amp;lat=-23.62250&amp;long=-46.42714&amp;tipo=S","QRCODE")</f>
        <v>QRCODE</v>
      </c>
      <c r="C1194" t="s">
        <v>5273</v>
      </c>
      <c r="D1194" t="s">
        <v>532</v>
      </c>
      <c r="E1194" t="s">
        <v>1435</v>
      </c>
      <c r="F1194" t="s">
        <v>21</v>
      </c>
      <c r="G1194" t="s">
        <v>1495</v>
      </c>
      <c r="H1194">
        <v>0</v>
      </c>
      <c r="I1194">
        <v>2</v>
      </c>
      <c r="J1194">
        <v>0</v>
      </c>
      <c r="K1194">
        <v>0</v>
      </c>
      <c r="L1194">
        <v>0</v>
      </c>
    </row>
    <row r="1195" spans="1:12">
      <c r="A1195" t="str">
        <f>HYPERLINK("http://bombeiros.sp.gov.br/hidrantes/03individual/3771.html","3771")</f>
        <v>3771</v>
      </c>
      <c r="B1195" t="str">
        <f>HYPERLINK("http://bombeiros.sp.gov.br/hidrantes/08bsg/qrcodeBSG.html?id=3771&amp;lat=-23.50841&amp;long=-46.37272&amp;tipo=C","QRCODE")</f>
        <v>QRCODE</v>
      </c>
      <c r="C1195" t="s">
        <v>5273</v>
      </c>
      <c r="D1195" t="s">
        <v>309</v>
      </c>
      <c r="E1195" t="s">
        <v>1627</v>
      </c>
      <c r="F1195" t="s">
        <v>12</v>
      </c>
      <c r="G1195" t="s">
        <v>3161</v>
      </c>
      <c r="H1195">
        <v>1</v>
      </c>
      <c r="I1195">
        <v>2</v>
      </c>
      <c r="J1195">
        <v>0</v>
      </c>
      <c r="K1195">
        <v>0</v>
      </c>
      <c r="L1195">
        <v>0</v>
      </c>
    </row>
    <row r="1196" spans="1:12">
      <c r="A1196" t="str">
        <f>HYPERLINK("http://bombeiros.sp.gov.br/hidrantes/03individual/3822.html","3822")</f>
        <v>3822</v>
      </c>
      <c r="B1196" t="str">
        <f>HYPERLINK("http://bombeiros.sp.gov.br/hidrantes/08bsg/qrcodeBSG.html?id=3822&amp;lat=-23.51185&amp;long=-46.37888&amp;tipo=C","QRCODE")</f>
        <v>QRCODE</v>
      </c>
      <c r="C1196" t="s">
        <v>5273</v>
      </c>
      <c r="D1196" t="s">
        <v>309</v>
      </c>
      <c r="E1196" t="s">
        <v>1627</v>
      </c>
      <c r="F1196" t="s">
        <v>12</v>
      </c>
      <c r="G1196" t="s">
        <v>2142</v>
      </c>
      <c r="H1196">
        <v>0</v>
      </c>
      <c r="I1196">
        <v>2</v>
      </c>
      <c r="J1196">
        <v>0</v>
      </c>
      <c r="K1196">
        <v>0</v>
      </c>
      <c r="L1196">
        <v>0</v>
      </c>
    </row>
    <row r="1197" spans="1:12">
      <c r="A1197" t="str">
        <f>HYPERLINK("http://bombeiros.sp.gov.br/hidrantes/03individual/3900.html","3900")</f>
        <v>3900</v>
      </c>
      <c r="B1197" t="str">
        <f>HYPERLINK("http://bombeiros.sp.gov.br/hidrantes/08bsg/qrcodeBSG.html?id=3900&amp;lat=-23.51934&amp;long=-46.38933&amp;tipo=C","QRCODE")</f>
        <v>QRCODE</v>
      </c>
      <c r="C1197" t="s">
        <v>5273</v>
      </c>
      <c r="D1197" t="s">
        <v>309</v>
      </c>
      <c r="E1197" t="s">
        <v>1627</v>
      </c>
      <c r="F1197" t="s">
        <v>12</v>
      </c>
      <c r="G1197" t="s">
        <v>3376</v>
      </c>
      <c r="H1197">
        <v>0</v>
      </c>
      <c r="I1197">
        <v>2</v>
      </c>
      <c r="J1197">
        <v>0</v>
      </c>
      <c r="K1197">
        <v>0</v>
      </c>
      <c r="L1197">
        <v>0</v>
      </c>
    </row>
    <row r="1198" spans="1:12">
      <c r="A1198" t="str">
        <f>HYPERLINK("http://bombeiros.sp.gov.br/hidrantes/03individual/4369.html","4369")</f>
        <v>4369</v>
      </c>
      <c r="B1198" t="str">
        <f>HYPERLINK("http://bombeiros.sp.gov.br/hidrantes/08bsg/qrcodeBSG.html?id=4369&amp;lat=-23.50499&amp;long=-46.37723&amp;tipo=C","QRCODE")</f>
        <v>QRCODE</v>
      </c>
      <c r="C1198" t="s">
        <v>5273</v>
      </c>
      <c r="D1198" t="s">
        <v>309</v>
      </c>
      <c r="E1198" t="s">
        <v>1627</v>
      </c>
      <c r="F1198" t="s">
        <v>12</v>
      </c>
      <c r="G1198" t="s">
        <v>3164</v>
      </c>
      <c r="H1198">
        <v>1</v>
      </c>
      <c r="I1198">
        <v>2</v>
      </c>
      <c r="J1198">
        <v>0</v>
      </c>
      <c r="K1198">
        <v>0</v>
      </c>
      <c r="L1198">
        <v>0</v>
      </c>
    </row>
    <row r="1199" spans="1:12">
      <c r="A1199" t="str">
        <f>HYPERLINK("http://bombeiros.sp.gov.br/hidrantes/03individual/17874.html","17874")</f>
        <v>17874</v>
      </c>
      <c r="B1199" t="str">
        <f>HYPERLINK("http://bombeiros.sp.gov.br/hidrantes/08bsg/qrcodeBSG.html?id=17874&amp;lat=-23.50855&amp;long=-46.37784&amp;tipo=C","QRCODE")</f>
        <v>QRCODE</v>
      </c>
      <c r="C1199" t="s">
        <v>5273</v>
      </c>
      <c r="D1199" t="s">
        <v>309</v>
      </c>
      <c r="E1199" t="s">
        <v>1627</v>
      </c>
      <c r="F1199" t="s">
        <v>12</v>
      </c>
      <c r="G1199" t="s">
        <v>1685</v>
      </c>
      <c r="H1199">
        <v>1</v>
      </c>
      <c r="I1199">
        <v>2</v>
      </c>
      <c r="J1199">
        <v>0</v>
      </c>
      <c r="K1199">
        <v>0</v>
      </c>
      <c r="L1199">
        <v>0</v>
      </c>
    </row>
    <row r="1200" spans="1:12">
      <c r="A1200" t="str">
        <f>HYPERLINK("http://bombeiros.sp.gov.br/hidrantes/03individual/26975.html","26975")</f>
        <v>26975</v>
      </c>
      <c r="B1200" t="str">
        <f>HYPERLINK("http://bombeiros.sp.gov.br/hidrantes/08bsg/qrcodeBSG.html?id=26975&amp;lat=-23.50564&amp;long=-46.37688&amp;tipo=C","QRCODE")</f>
        <v>QRCODE</v>
      </c>
      <c r="C1200" t="s">
        <v>5273</v>
      </c>
      <c r="D1200" t="s">
        <v>309</v>
      </c>
      <c r="E1200" t="s">
        <v>1627</v>
      </c>
      <c r="F1200" t="s">
        <v>12</v>
      </c>
      <c r="G1200" t="s">
        <v>3925</v>
      </c>
      <c r="H1200">
        <v>0</v>
      </c>
      <c r="I1200">
        <v>1</v>
      </c>
      <c r="J1200">
        <v>0</v>
      </c>
      <c r="K1200">
        <v>0</v>
      </c>
      <c r="L1200">
        <v>0</v>
      </c>
    </row>
    <row r="1201" spans="1:12">
      <c r="A1201" t="str">
        <f>HYPERLINK("http://bombeiros.sp.gov.br/hidrantes/03individual/27090.html","27090")</f>
        <v>27090</v>
      </c>
      <c r="B1201" t="str">
        <f>HYPERLINK("http://bombeiros.sp.gov.br/hidrantes/08bsg/qrcodeBSG.html?id=27090&amp;lat=-23.50261&amp;long=-46.37087&amp;tipo=C","QRCODE")</f>
        <v>QRCODE</v>
      </c>
      <c r="C1201" t="s">
        <v>5273</v>
      </c>
      <c r="D1201" t="s">
        <v>309</v>
      </c>
      <c r="E1201" t="s">
        <v>1627</v>
      </c>
      <c r="F1201" t="s">
        <v>12</v>
      </c>
      <c r="G1201" t="s">
        <v>4098</v>
      </c>
      <c r="H1201">
        <v>0</v>
      </c>
      <c r="I1201">
        <v>1</v>
      </c>
      <c r="J1201">
        <v>0</v>
      </c>
      <c r="K1201">
        <v>0</v>
      </c>
      <c r="L1201">
        <v>0</v>
      </c>
    </row>
    <row r="1202" spans="1:12">
      <c r="A1202" t="str">
        <f>HYPERLINK("http://bombeiros.sp.gov.br/hidrantes/03individual/27149.html","27149")</f>
        <v>27149</v>
      </c>
      <c r="B1202" t="str">
        <f>HYPERLINK("http://bombeiros.sp.gov.br/hidrantes/08bsg/qrcodeBSG.html?id=27149&amp;lat=-23.51028&amp;long=-46.38349&amp;tipo=C","QRCODE")</f>
        <v>QRCODE</v>
      </c>
      <c r="C1202" t="s">
        <v>5273</v>
      </c>
      <c r="D1202" t="s">
        <v>309</v>
      </c>
      <c r="E1202" t="s">
        <v>1627</v>
      </c>
      <c r="F1202" t="s">
        <v>12</v>
      </c>
      <c r="G1202" t="s">
        <v>5305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>
      <c r="A1203" t="str">
        <f>HYPERLINK("http://bombeiros.sp.gov.br/hidrantes/03individual/27330.html","27330")</f>
        <v>27330</v>
      </c>
      <c r="B1203" t="str">
        <f>HYPERLINK("http://bombeiros.sp.gov.br/hidrantes/08bsg/qrcodeBSG.html?id=27330&amp;lat=-23.51115&amp;long=-46.38453&amp;tipo=C","QRCODE")</f>
        <v>QRCODE</v>
      </c>
      <c r="C1203" t="s">
        <v>5273</v>
      </c>
      <c r="D1203" t="s">
        <v>309</v>
      </c>
      <c r="E1203" t="s">
        <v>1627</v>
      </c>
      <c r="F1203" t="s">
        <v>12</v>
      </c>
      <c r="G1203" t="s">
        <v>5306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>
      <c r="A1204" t="str">
        <f>HYPERLINK("http://bombeiros.sp.gov.br/hidrantes/03individual/1969.html","1969")</f>
        <v>1969</v>
      </c>
      <c r="B1204" t="str">
        <f>HYPERLINK("http://bombeiros.sp.gov.br/hidrantes/08bsg/qrcodeBSG.html?id=1969&amp;lat=-23.51460&amp;long=-46.39574&amp;tipo=S","QRCODE")</f>
        <v>QRCODE</v>
      </c>
      <c r="C1204" t="s">
        <v>5273</v>
      </c>
      <c r="D1204" t="s">
        <v>309</v>
      </c>
      <c r="E1204" t="s">
        <v>1627</v>
      </c>
      <c r="F1204" t="s">
        <v>21</v>
      </c>
      <c r="G1204" t="s">
        <v>1626</v>
      </c>
      <c r="H1204">
        <v>0</v>
      </c>
      <c r="I1204">
        <v>3</v>
      </c>
      <c r="J1204">
        <v>0</v>
      </c>
      <c r="K1204">
        <v>0</v>
      </c>
      <c r="L1204">
        <v>0</v>
      </c>
    </row>
    <row r="1205" spans="1:12">
      <c r="A1205" t="str">
        <f>HYPERLINK("http://bombeiros.sp.gov.br/hidrantes/03individual/2059.html","2059")</f>
        <v>2059</v>
      </c>
      <c r="B1205" t="str">
        <f>HYPERLINK("http://bombeiros.sp.gov.br/hidrantes/08bsg/qrcodeBSG.html?id=2059&amp;lat=-23.51215&amp;long=-46.38285&amp;tipo=S","QRCODE")</f>
        <v>QRCODE</v>
      </c>
      <c r="C1205" t="s">
        <v>5273</v>
      </c>
      <c r="D1205" t="s">
        <v>309</v>
      </c>
      <c r="E1205" t="s">
        <v>1627</v>
      </c>
      <c r="F1205" t="s">
        <v>21</v>
      </c>
      <c r="G1205" t="s">
        <v>1628</v>
      </c>
      <c r="H1205">
        <v>2</v>
      </c>
      <c r="I1205">
        <v>2</v>
      </c>
      <c r="J1205">
        <v>0</v>
      </c>
      <c r="K1205">
        <v>0</v>
      </c>
      <c r="L1205">
        <v>0</v>
      </c>
    </row>
    <row r="1206" spans="1:12">
      <c r="A1206" t="str">
        <f>HYPERLINK("http://bombeiros.sp.gov.br/hidrantes/03individual/2077.html","2077")</f>
        <v>2077</v>
      </c>
      <c r="B1206" t="str">
        <f>HYPERLINK("http://bombeiros.sp.gov.br/hidrantes/08bsg/qrcodeBSG.html?id=2077&amp;lat=-23.50131&amp;long=-46.36778&amp;tipo=S","QRCODE")</f>
        <v>QRCODE</v>
      </c>
      <c r="C1206" t="s">
        <v>5273</v>
      </c>
      <c r="D1206" t="s">
        <v>309</v>
      </c>
      <c r="E1206" t="s">
        <v>1627</v>
      </c>
      <c r="F1206" t="s">
        <v>21</v>
      </c>
      <c r="G1206" t="s">
        <v>4143</v>
      </c>
      <c r="H1206">
        <v>0</v>
      </c>
      <c r="I1206">
        <v>1</v>
      </c>
      <c r="J1206">
        <v>0</v>
      </c>
      <c r="K1206">
        <v>0</v>
      </c>
      <c r="L1206">
        <v>0</v>
      </c>
    </row>
    <row r="1207" spans="1:12">
      <c r="A1207" t="str">
        <f>HYPERLINK("http://bombeiros.sp.gov.br/hidrantes/03individual/3764.html","3764")</f>
        <v>3764</v>
      </c>
      <c r="B1207" t="str">
        <f>HYPERLINK("http://bombeiros.sp.gov.br/hidrantes/08bsg/qrcodeBSG.html?id=3764&amp;lat=-23.51998&amp;long=-46.39438&amp;tipo=S","QRCODE")</f>
        <v>QRCODE</v>
      </c>
      <c r="C1207" t="s">
        <v>5273</v>
      </c>
      <c r="D1207" t="s">
        <v>309</v>
      </c>
      <c r="E1207" t="s">
        <v>1627</v>
      </c>
      <c r="F1207" t="s">
        <v>21</v>
      </c>
      <c r="G1207" t="s">
        <v>3160</v>
      </c>
      <c r="H1207">
        <v>1</v>
      </c>
      <c r="I1207">
        <v>2</v>
      </c>
      <c r="J1207">
        <v>0</v>
      </c>
      <c r="K1207">
        <v>0</v>
      </c>
      <c r="L1207">
        <v>0</v>
      </c>
    </row>
    <row r="1208" spans="1:12">
      <c r="A1208" t="str">
        <f>HYPERLINK("http://bombeiros.sp.gov.br/hidrantes/03individual/4414.html","4414")</f>
        <v>4414</v>
      </c>
      <c r="B1208" t="str">
        <f>HYPERLINK("http://bombeiros.sp.gov.br/hidrantes/08bsg/qrcodeBSG.html?id=4414&amp;lat=-23.51008&amp;long=-46.38555&amp;tipo=S","QRCODE")</f>
        <v>QRCODE</v>
      </c>
      <c r="C1208" t="s">
        <v>5273</v>
      </c>
      <c r="D1208" t="s">
        <v>309</v>
      </c>
      <c r="E1208" t="s">
        <v>1627</v>
      </c>
      <c r="F1208" t="s">
        <v>21</v>
      </c>
      <c r="G1208" t="s">
        <v>3938</v>
      </c>
      <c r="H1208">
        <v>0</v>
      </c>
      <c r="I1208">
        <v>1</v>
      </c>
      <c r="J1208">
        <v>0</v>
      </c>
      <c r="K1208">
        <v>0</v>
      </c>
      <c r="L1208">
        <v>0</v>
      </c>
    </row>
    <row r="1209" spans="1:12">
      <c r="A1209" t="str">
        <f>HYPERLINK("http://bombeiros.sp.gov.br/hidrantes/03individual/3747.html","3747")</f>
        <v>3747</v>
      </c>
      <c r="B1209" t="str">
        <f>HYPERLINK("http://bombeiros.sp.gov.br/hidrantes/08bsg/qrcodeBSG.html?id=3747&amp;lat=-23.51121&amp;long=-46.38911&amp;tipo=C","QRCODE")</f>
        <v>QRCODE</v>
      </c>
      <c r="C1209" t="s">
        <v>5273</v>
      </c>
      <c r="D1209" t="s">
        <v>309</v>
      </c>
      <c r="E1209" t="s">
        <v>309</v>
      </c>
      <c r="F1209" t="s">
        <v>12</v>
      </c>
      <c r="G1209" t="s">
        <v>2139</v>
      </c>
      <c r="H1209">
        <v>0</v>
      </c>
      <c r="I1209">
        <v>2</v>
      </c>
      <c r="J1209">
        <v>0</v>
      </c>
      <c r="K1209">
        <v>0</v>
      </c>
      <c r="L1209">
        <v>0</v>
      </c>
    </row>
    <row r="1210" spans="1:12">
      <c r="A1210" t="str">
        <f>HYPERLINK("http://bombeiros.sp.gov.br/hidrantes/03individual/26279.html","26279")</f>
        <v>26279</v>
      </c>
      <c r="B1210" t="str">
        <f>HYPERLINK("http://bombeiros.sp.gov.br/hidrantes/08bsg/qrcodeBSG.html?id=26279&amp;lat=-23.50569&amp;long=-46.39446&amp;tipo=C","QRCODE")</f>
        <v>QRCODE</v>
      </c>
      <c r="C1210" t="s">
        <v>5273</v>
      </c>
      <c r="D1210" t="s">
        <v>309</v>
      </c>
      <c r="E1210" t="s">
        <v>309</v>
      </c>
      <c r="F1210" t="s">
        <v>12</v>
      </c>
      <c r="G1210" t="s">
        <v>4076</v>
      </c>
      <c r="H1210">
        <v>0</v>
      </c>
      <c r="I1210">
        <v>1</v>
      </c>
      <c r="J1210">
        <v>0</v>
      </c>
      <c r="K1210">
        <v>0</v>
      </c>
      <c r="L1210">
        <v>0</v>
      </c>
    </row>
    <row r="1211" spans="1:12">
      <c r="A1211" t="str">
        <f>HYPERLINK("http://bombeiros.sp.gov.br/hidrantes/03individual/27389.html","27389")</f>
        <v>27389</v>
      </c>
      <c r="B1211" t="str">
        <f>HYPERLINK("http://bombeiros.sp.gov.br/hidrantes/08bsg/qrcodeBSG.html?id=27389&amp;lat=-23.50615&amp;long=-46.39562&amp;tipo=C","QRCODE")</f>
        <v>QRCODE</v>
      </c>
      <c r="C1211" t="s">
        <v>5273</v>
      </c>
      <c r="D1211" t="s">
        <v>309</v>
      </c>
      <c r="E1211" t="s">
        <v>309</v>
      </c>
      <c r="F1211" t="s">
        <v>12</v>
      </c>
      <c r="G1211" t="s">
        <v>5307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>
      <c r="A1212" t="str">
        <f>HYPERLINK("http://bombeiros.sp.gov.br/hidrantes/03individual/1939.html","1939")</f>
        <v>1939</v>
      </c>
      <c r="B1212" t="str">
        <f>HYPERLINK("http://bombeiros.sp.gov.br/hidrantes/08bsg/qrcodeBSG.html?id=1939&amp;lat=-23.50432&amp;long=-46.39659&amp;tipo=S","QRCODE")</f>
        <v>QRCODE</v>
      </c>
      <c r="C1212" t="s">
        <v>5273</v>
      </c>
      <c r="D1212" t="s">
        <v>309</v>
      </c>
      <c r="E1212" t="s">
        <v>309</v>
      </c>
      <c r="F1212" t="s">
        <v>21</v>
      </c>
      <c r="G1212" t="s">
        <v>2116</v>
      </c>
      <c r="H1212">
        <v>0</v>
      </c>
      <c r="I1212">
        <v>2</v>
      </c>
      <c r="J1212">
        <v>0</v>
      </c>
      <c r="K1212">
        <v>0</v>
      </c>
      <c r="L1212">
        <v>0</v>
      </c>
    </row>
    <row r="1213" spans="1:12">
      <c r="A1213" t="str">
        <f>HYPERLINK("http://bombeiros.sp.gov.br/hidrantes/03individual/1966.html","1966")</f>
        <v>1966</v>
      </c>
      <c r="B1213" t="str">
        <f>HYPERLINK("http://bombeiros.sp.gov.br/hidrantes/08bsg/qrcodeBSG.html?id=1966&amp;lat=-23.50294&amp;long=-46.40265&amp;tipo=S","QRCODE")</f>
        <v>QRCODE</v>
      </c>
      <c r="C1213" t="s">
        <v>5273</v>
      </c>
      <c r="D1213" t="s">
        <v>309</v>
      </c>
      <c r="E1213" t="s">
        <v>309</v>
      </c>
      <c r="F1213" t="s">
        <v>21</v>
      </c>
      <c r="G1213" t="s">
        <v>2110</v>
      </c>
      <c r="H1213">
        <v>0</v>
      </c>
      <c r="I1213">
        <v>2</v>
      </c>
      <c r="J1213">
        <v>0</v>
      </c>
      <c r="K1213">
        <v>0</v>
      </c>
      <c r="L1213">
        <v>0</v>
      </c>
    </row>
    <row r="1214" spans="1:12">
      <c r="A1214" t="str">
        <f>HYPERLINK("http://bombeiros.sp.gov.br/hidrantes/03individual/1967.html","1967")</f>
        <v>1967</v>
      </c>
      <c r="B1214" t="str">
        <f>HYPERLINK("http://bombeiros.sp.gov.br/hidrantes/08bsg/qrcodeBSG.html?id=1967&amp;lat=-23.50184&amp;long=-46.39771&amp;tipo=S","QRCODE")</f>
        <v>QRCODE</v>
      </c>
      <c r="C1214" t="s">
        <v>5273</v>
      </c>
      <c r="D1214" t="s">
        <v>309</v>
      </c>
      <c r="E1214" t="s">
        <v>309</v>
      </c>
      <c r="F1214" t="s">
        <v>21</v>
      </c>
      <c r="G1214" t="s">
        <v>3968</v>
      </c>
      <c r="H1214">
        <v>1</v>
      </c>
      <c r="I1214">
        <v>1</v>
      </c>
      <c r="J1214">
        <v>0</v>
      </c>
      <c r="K1214">
        <v>0</v>
      </c>
      <c r="L1214">
        <v>0</v>
      </c>
    </row>
    <row r="1215" spans="1:12">
      <c r="A1215" t="str">
        <f>HYPERLINK("http://bombeiros.sp.gov.br/hidrantes/03individual/1968.html","1968")</f>
        <v>1968</v>
      </c>
      <c r="B1215" t="str">
        <f>HYPERLINK("http://bombeiros.sp.gov.br/hidrantes/08bsg/qrcodeBSG.html?id=1968&amp;lat=-23.49400&amp;long=-46.39786&amp;tipo=S","QRCODE")</f>
        <v>QRCODE</v>
      </c>
      <c r="C1215" t="s">
        <v>5273</v>
      </c>
      <c r="D1215" t="s">
        <v>309</v>
      </c>
      <c r="E1215" t="s">
        <v>309</v>
      </c>
      <c r="F1215" t="s">
        <v>21</v>
      </c>
      <c r="G1215" t="s">
        <v>5029</v>
      </c>
      <c r="H1215">
        <v>0</v>
      </c>
      <c r="I1215">
        <v>1</v>
      </c>
      <c r="J1215">
        <v>0</v>
      </c>
      <c r="K1215">
        <v>0</v>
      </c>
      <c r="L1215">
        <v>0</v>
      </c>
    </row>
    <row r="1216" spans="1:12">
      <c r="A1216" t="str">
        <f>HYPERLINK("http://bombeiros.sp.gov.br/hidrantes/03individual/1971.html","1971")</f>
        <v>1971</v>
      </c>
      <c r="B1216" t="str">
        <f>HYPERLINK("http://bombeiros.sp.gov.br/hidrantes/08bsg/qrcodeBSG.html?id=1971&amp;lat=-23.50819&amp;long=-46.40046&amp;tipo=S","QRCODE")</f>
        <v>QRCODE</v>
      </c>
      <c r="C1216" t="s">
        <v>5273</v>
      </c>
      <c r="D1216" t="s">
        <v>309</v>
      </c>
      <c r="E1216" t="s">
        <v>309</v>
      </c>
      <c r="F1216" t="s">
        <v>21</v>
      </c>
      <c r="G1216" t="s">
        <v>2109</v>
      </c>
      <c r="H1216">
        <v>0</v>
      </c>
      <c r="I1216">
        <v>2</v>
      </c>
      <c r="J1216">
        <v>0</v>
      </c>
      <c r="K1216">
        <v>0</v>
      </c>
      <c r="L1216">
        <v>0</v>
      </c>
    </row>
    <row r="1217" spans="1:12">
      <c r="A1217" t="str">
        <f>HYPERLINK("http://bombeiros.sp.gov.br/hidrantes/03individual/1972.html","1972")</f>
        <v>1972</v>
      </c>
      <c r="B1217" t="str">
        <f>HYPERLINK("http://bombeiros.sp.gov.br/hidrantes/08bsg/qrcodeBSG.html?id=1972&amp;lat=-23.50277&amp;long=-46.40044&amp;tipo=S","QRCODE")</f>
        <v>QRCODE</v>
      </c>
      <c r="C1217" t="s">
        <v>5273</v>
      </c>
      <c r="D1217" t="s">
        <v>309</v>
      </c>
      <c r="E1217" t="s">
        <v>309</v>
      </c>
      <c r="F1217" t="s">
        <v>21</v>
      </c>
      <c r="G1217" t="s">
        <v>324</v>
      </c>
      <c r="H1217">
        <v>1</v>
      </c>
      <c r="I1217">
        <v>2</v>
      </c>
      <c r="J1217">
        <v>0</v>
      </c>
      <c r="K1217">
        <v>0</v>
      </c>
      <c r="L1217">
        <v>0</v>
      </c>
    </row>
    <row r="1218" spans="1:12">
      <c r="A1218" t="str">
        <f>HYPERLINK("http://bombeiros.sp.gov.br/hidrantes/03individual/1975.html","1975")</f>
        <v>1975</v>
      </c>
      <c r="B1218" t="str">
        <f>HYPERLINK("http://bombeiros.sp.gov.br/hidrantes/08bsg/qrcodeBSG.html?id=1975&amp;lat=-23.49919&amp;long=-46.39485&amp;tipo=S","QRCODE")</f>
        <v>QRCODE</v>
      </c>
      <c r="C1218" t="s">
        <v>5273</v>
      </c>
      <c r="D1218" t="s">
        <v>309</v>
      </c>
      <c r="E1218" t="s">
        <v>309</v>
      </c>
      <c r="F1218" t="s">
        <v>21</v>
      </c>
      <c r="G1218" t="s">
        <v>3967</v>
      </c>
      <c r="H1218">
        <v>1</v>
      </c>
      <c r="I1218">
        <v>1</v>
      </c>
      <c r="J1218">
        <v>0</v>
      </c>
      <c r="K1218">
        <v>0</v>
      </c>
      <c r="L1218">
        <v>0</v>
      </c>
    </row>
    <row r="1219" spans="1:12">
      <c r="A1219" t="str">
        <f>HYPERLINK("http://bombeiros.sp.gov.br/hidrantes/03individual/3471.html","3471")</f>
        <v>3471</v>
      </c>
      <c r="B1219" t="str">
        <f>HYPERLINK("http://bombeiros.sp.gov.br/hidrantes/08bsg/qrcodeBSG.html?id=3471&amp;lat=-23.49937&amp;long=-46.40032&amp;tipo=S","QRCODE")</f>
        <v>QRCODE</v>
      </c>
      <c r="C1219" t="s">
        <v>5273</v>
      </c>
      <c r="D1219" t="s">
        <v>309</v>
      </c>
      <c r="E1219" t="s">
        <v>309</v>
      </c>
      <c r="F1219" t="s">
        <v>21</v>
      </c>
      <c r="G1219" t="s">
        <v>308</v>
      </c>
      <c r="H1219">
        <v>1</v>
      </c>
      <c r="I1219">
        <v>2</v>
      </c>
      <c r="J1219">
        <v>0</v>
      </c>
      <c r="K1219">
        <v>0</v>
      </c>
      <c r="L1219">
        <v>0</v>
      </c>
    </row>
    <row r="1220" spans="1:12">
      <c r="A1220" t="str">
        <f>HYPERLINK("http://bombeiros.sp.gov.br/hidrantes/03individual/4202.html","4202")</f>
        <v>4202</v>
      </c>
      <c r="B1220" t="str">
        <f>HYPERLINK("http://bombeiros.sp.gov.br/hidrantes/08bsg/qrcodeBSG.html?id=4202&amp;lat=-23.50761&amp;long=-46.39267&amp;tipo=S","QRCODE")</f>
        <v>QRCODE</v>
      </c>
      <c r="C1220" t="s">
        <v>5273</v>
      </c>
      <c r="D1220" t="s">
        <v>309</v>
      </c>
      <c r="E1220" t="s">
        <v>309</v>
      </c>
      <c r="F1220" t="s">
        <v>21</v>
      </c>
      <c r="G1220" t="s">
        <v>5086</v>
      </c>
      <c r="H1220">
        <v>1</v>
      </c>
      <c r="I1220">
        <v>1</v>
      </c>
      <c r="J1220">
        <v>0</v>
      </c>
      <c r="K1220">
        <v>0</v>
      </c>
      <c r="L1220">
        <v>0</v>
      </c>
    </row>
    <row r="1221" spans="1:12">
      <c r="A1221" t="str">
        <f>HYPERLINK("http://bombeiros.sp.gov.br/hidrantes/03individual/17853.html","17853")</f>
        <v>17853</v>
      </c>
      <c r="B1221" t="str">
        <f>HYPERLINK("http://bombeiros.sp.gov.br/hidrantes/08bsg/qrcodeBSG.html?id=17853&amp;lat=-23.51040&amp;long=-46.39771&amp;tipo=S","QRCODE")</f>
        <v>QRCODE</v>
      </c>
      <c r="C1221" t="s">
        <v>5273</v>
      </c>
      <c r="D1221" t="s">
        <v>309</v>
      </c>
      <c r="E1221" t="s">
        <v>309</v>
      </c>
      <c r="F1221" t="s">
        <v>21</v>
      </c>
      <c r="G1221" t="s">
        <v>1690</v>
      </c>
      <c r="H1221">
        <v>1</v>
      </c>
      <c r="I1221">
        <v>2</v>
      </c>
      <c r="J1221">
        <v>0</v>
      </c>
      <c r="K1221">
        <v>0</v>
      </c>
      <c r="L1221">
        <v>0</v>
      </c>
    </row>
    <row r="1222" spans="1:12">
      <c r="A1222" t="str">
        <f>HYPERLINK("http://bombeiros.sp.gov.br/hidrantes/03individual/911.html","911")</f>
        <v>911</v>
      </c>
      <c r="B1222" t="str">
        <f>HYPERLINK("http://bombeiros.sp.gov.br/hidrantes/08bsg/qrcodeBSG.html?id=911&amp;lat=-23.49366&amp;long=-46.38578&amp;tipo=C","QRCODE")</f>
        <v>QRCODE</v>
      </c>
      <c r="C1222" t="s">
        <v>5273</v>
      </c>
      <c r="D1222" t="s">
        <v>309</v>
      </c>
      <c r="E1222" t="s">
        <v>252</v>
      </c>
      <c r="F1222" t="s">
        <v>12</v>
      </c>
      <c r="G1222" t="s">
        <v>2260</v>
      </c>
      <c r="H1222">
        <v>0</v>
      </c>
      <c r="I1222">
        <v>2</v>
      </c>
      <c r="J1222">
        <v>0</v>
      </c>
      <c r="K1222">
        <v>0</v>
      </c>
      <c r="L1222">
        <v>0</v>
      </c>
    </row>
    <row r="1223" spans="1:12">
      <c r="A1223" t="str">
        <f>HYPERLINK("http://bombeiros.sp.gov.br/hidrantes/03individual/2038.html","2038")</f>
        <v>2038</v>
      </c>
      <c r="B1223" t="str">
        <f>HYPERLINK("http://bombeiros.sp.gov.br/hidrantes/08bsg/qrcodeBSG.html?id=2038&amp;lat=-23.49387&amp;long=-46.37969&amp;tipo=C","QRCODE")</f>
        <v>QRCODE</v>
      </c>
      <c r="C1223" t="s">
        <v>5273</v>
      </c>
      <c r="D1223" t="s">
        <v>309</v>
      </c>
      <c r="E1223" t="s">
        <v>252</v>
      </c>
      <c r="F1223" t="s">
        <v>12</v>
      </c>
      <c r="G1223" t="s">
        <v>321</v>
      </c>
      <c r="H1223">
        <v>1</v>
      </c>
      <c r="I1223">
        <v>3</v>
      </c>
      <c r="J1223">
        <v>0</v>
      </c>
      <c r="K1223">
        <v>0</v>
      </c>
      <c r="L1223">
        <v>0</v>
      </c>
    </row>
    <row r="1224" spans="1:12">
      <c r="A1224" t="str">
        <f>HYPERLINK("http://bombeiros.sp.gov.br/hidrantes/03individual/3715.html","3715")</f>
        <v>3715</v>
      </c>
      <c r="B1224" t="str">
        <f>HYPERLINK("http://bombeiros.sp.gov.br/hidrantes/08bsg/qrcodeBSG.html?id=3715&amp;lat=-23.50118&amp;long=-46.39158&amp;tipo=C","QRCODE")</f>
        <v>QRCODE</v>
      </c>
      <c r="C1224" t="s">
        <v>5273</v>
      </c>
      <c r="D1224" t="s">
        <v>309</v>
      </c>
      <c r="E1224" t="s">
        <v>252</v>
      </c>
      <c r="F1224" t="s">
        <v>12</v>
      </c>
      <c r="G1224" t="s">
        <v>307</v>
      </c>
      <c r="H1224">
        <v>1</v>
      </c>
      <c r="I1224">
        <v>2</v>
      </c>
      <c r="J1224">
        <v>0</v>
      </c>
      <c r="K1224">
        <v>0</v>
      </c>
      <c r="L1224">
        <v>0</v>
      </c>
    </row>
    <row r="1225" spans="1:12">
      <c r="A1225" t="str">
        <f>HYPERLINK("http://bombeiros.sp.gov.br/hidrantes/03individual/4349.html","4349")</f>
        <v>4349</v>
      </c>
      <c r="B1225" t="str">
        <f>HYPERLINK("http://bombeiros.sp.gov.br/hidrantes/08bsg/qrcodeBSG.html?id=4349&amp;lat=-23.49013&amp;long=-46.38495&amp;tipo=C","QRCODE")</f>
        <v>QRCODE</v>
      </c>
      <c r="C1225" t="s">
        <v>5273</v>
      </c>
      <c r="D1225" t="s">
        <v>309</v>
      </c>
      <c r="E1225" t="s">
        <v>252</v>
      </c>
      <c r="F1225" t="s">
        <v>12</v>
      </c>
      <c r="G1225" t="s">
        <v>3401</v>
      </c>
      <c r="H1225">
        <v>0</v>
      </c>
      <c r="I1225">
        <v>2</v>
      </c>
      <c r="J1225">
        <v>0</v>
      </c>
      <c r="K1225">
        <v>0</v>
      </c>
      <c r="L1225">
        <v>0</v>
      </c>
    </row>
    <row r="1226" spans="1:12">
      <c r="A1226" t="str">
        <f>HYPERLINK("http://bombeiros.sp.gov.br/hidrantes/03individual/1991.html","1991")</f>
        <v>1991</v>
      </c>
      <c r="B1226" t="str">
        <f>HYPERLINK("http://bombeiros.sp.gov.br/hidrantes/08bsg/qrcodeBSG.html?id=1991&amp;lat=-23.50148&amp;long=-46.38501&amp;tipo=S","QRCODE")</f>
        <v>QRCODE</v>
      </c>
      <c r="C1226" t="s">
        <v>5273</v>
      </c>
      <c r="D1226" t="s">
        <v>309</v>
      </c>
      <c r="E1226" t="s">
        <v>252</v>
      </c>
      <c r="F1226" t="s">
        <v>21</v>
      </c>
      <c r="G1226" t="s">
        <v>2266</v>
      </c>
      <c r="H1226">
        <v>0</v>
      </c>
      <c r="I1226">
        <v>2</v>
      </c>
      <c r="J1226">
        <v>0</v>
      </c>
      <c r="K1226">
        <v>0</v>
      </c>
      <c r="L1226">
        <v>0</v>
      </c>
    </row>
    <row r="1227" spans="1:12">
      <c r="A1227" t="str">
        <f>HYPERLINK("http://bombeiros.sp.gov.br/hidrantes/03individual/2047.html","2047")</f>
        <v>2047</v>
      </c>
      <c r="B1227" t="str">
        <f>HYPERLINK("http://bombeiros.sp.gov.br/hidrantes/08bsg/qrcodeBSG.html?id=2047&amp;lat=-23.49646&amp;long=-46.37885&amp;tipo=S","QRCODE")</f>
        <v>QRCODE</v>
      </c>
      <c r="C1227" t="s">
        <v>5273</v>
      </c>
      <c r="D1227" t="s">
        <v>309</v>
      </c>
      <c r="E1227" t="s">
        <v>252</v>
      </c>
      <c r="F1227" t="s">
        <v>21</v>
      </c>
      <c r="G1227" t="s">
        <v>2263</v>
      </c>
      <c r="H1227">
        <v>0</v>
      </c>
      <c r="I1227">
        <v>2</v>
      </c>
      <c r="J1227">
        <v>0</v>
      </c>
      <c r="K1227">
        <v>0</v>
      </c>
      <c r="L1227">
        <v>0</v>
      </c>
    </row>
    <row r="1228" spans="1:12">
      <c r="A1228" t="str">
        <f>HYPERLINK("http://bombeiros.sp.gov.br/hidrantes/03individual/2049.html","2049")</f>
        <v>2049</v>
      </c>
      <c r="B1228" t="str">
        <f>HYPERLINK("http://bombeiros.sp.gov.br/hidrantes/08bsg/qrcodeBSG.html?id=2049&amp;lat=-23.49626&amp;long=-46.38055&amp;tipo=S","QRCODE")</f>
        <v>QRCODE</v>
      </c>
      <c r="C1228" t="s">
        <v>5273</v>
      </c>
      <c r="D1228" t="s">
        <v>309</v>
      </c>
      <c r="E1228" t="s">
        <v>252</v>
      </c>
      <c r="F1228" t="s">
        <v>21</v>
      </c>
      <c r="G1228" t="s">
        <v>2264</v>
      </c>
      <c r="H1228">
        <v>0</v>
      </c>
      <c r="I1228">
        <v>2</v>
      </c>
      <c r="J1228">
        <v>0</v>
      </c>
      <c r="K1228">
        <v>0</v>
      </c>
      <c r="L1228">
        <v>0</v>
      </c>
    </row>
    <row r="1229" spans="1:12">
      <c r="A1229" t="str">
        <f>HYPERLINK("http://bombeiros.sp.gov.br/hidrantes/03individual/2076.html","2076")</f>
        <v>2076</v>
      </c>
      <c r="B1229" t="str">
        <f>HYPERLINK("http://bombeiros.sp.gov.br/hidrantes/08bsg/qrcodeBSG.html?id=2076&amp;lat=-23.49739&amp;long=-46.37093&amp;tipo=S","QRCODE")</f>
        <v>QRCODE</v>
      </c>
      <c r="C1229" t="s">
        <v>5273</v>
      </c>
      <c r="D1229" t="s">
        <v>309</v>
      </c>
      <c r="E1229" t="s">
        <v>252</v>
      </c>
      <c r="F1229" t="s">
        <v>21</v>
      </c>
      <c r="G1229" t="s">
        <v>2262</v>
      </c>
      <c r="H1229">
        <v>0</v>
      </c>
      <c r="I1229">
        <v>2</v>
      </c>
      <c r="J1229">
        <v>0</v>
      </c>
      <c r="K1229">
        <v>0</v>
      </c>
      <c r="L1229">
        <v>0</v>
      </c>
    </row>
    <row r="1230" spans="1:12">
      <c r="A1230" t="str">
        <f>HYPERLINK("http://bombeiros.sp.gov.br/hidrantes/03individual/2094.html","2094")</f>
        <v>2094</v>
      </c>
      <c r="B1230" t="str">
        <f>HYPERLINK("http://bombeiros.sp.gov.br/hidrantes/08bsg/qrcodeBSG.html?id=2094&amp;lat=-23.49377&amp;long=-46.37333&amp;tipo=S","QRCODE")</f>
        <v>QRCODE</v>
      </c>
      <c r="C1230" t="s">
        <v>5273</v>
      </c>
      <c r="D1230" t="s">
        <v>309</v>
      </c>
      <c r="E1230" t="s">
        <v>252</v>
      </c>
      <c r="F1230" t="s">
        <v>21</v>
      </c>
      <c r="G1230" t="s">
        <v>2261</v>
      </c>
      <c r="H1230">
        <v>0</v>
      </c>
      <c r="I1230">
        <v>2</v>
      </c>
      <c r="J1230">
        <v>0</v>
      </c>
      <c r="K1230">
        <v>0</v>
      </c>
      <c r="L1230">
        <v>0</v>
      </c>
    </row>
    <row r="1231" spans="1:12">
      <c r="A1231" t="str">
        <f>HYPERLINK("http://bombeiros.sp.gov.br/hidrantes/03individual/3713.html","3713")</f>
        <v>3713</v>
      </c>
      <c r="B1231" t="str">
        <f>HYPERLINK("http://bombeiros.sp.gov.br/hidrantes/08bsg/qrcodeBSG.html?id=3713&amp;lat=-23.49974&amp;long=-46.38562&amp;tipo=S","QRCODE")</f>
        <v>QRCODE</v>
      </c>
      <c r="C1231" t="s">
        <v>5273</v>
      </c>
      <c r="D1231" t="s">
        <v>309</v>
      </c>
      <c r="E1231" t="s">
        <v>252</v>
      </c>
      <c r="F1231" t="s">
        <v>21</v>
      </c>
      <c r="G1231" t="s">
        <v>2273</v>
      </c>
      <c r="H1231">
        <v>0</v>
      </c>
      <c r="I1231">
        <v>2</v>
      </c>
      <c r="J1231">
        <v>0</v>
      </c>
      <c r="K1231">
        <v>0</v>
      </c>
      <c r="L1231">
        <v>0</v>
      </c>
    </row>
    <row r="1232" spans="1:12">
      <c r="A1232" t="str">
        <f>HYPERLINK("http://bombeiros.sp.gov.br/hidrantes/03individual/3714.html","3714")</f>
        <v>3714</v>
      </c>
      <c r="B1232" t="str">
        <f>HYPERLINK("http://bombeiros.sp.gov.br/hidrantes/08bsg/qrcodeBSG.html?id=3714&amp;lat=-23.49799&amp;long=-46.38233&amp;tipo=S","QRCODE")</f>
        <v>QRCODE</v>
      </c>
      <c r="C1232" t="s">
        <v>5273</v>
      </c>
      <c r="D1232" t="s">
        <v>309</v>
      </c>
      <c r="E1232" t="s">
        <v>252</v>
      </c>
      <c r="F1232" t="s">
        <v>21</v>
      </c>
      <c r="G1232" t="s">
        <v>306</v>
      </c>
      <c r="H1232">
        <v>0</v>
      </c>
      <c r="I1232">
        <v>2</v>
      </c>
      <c r="J1232">
        <v>0</v>
      </c>
      <c r="K1232">
        <v>0</v>
      </c>
      <c r="L1232">
        <v>0</v>
      </c>
    </row>
    <row r="1233" spans="1:12">
      <c r="A1233" t="str">
        <f>HYPERLINK("http://bombeiros.sp.gov.br/hidrantes/03individual/3716.html","3716")</f>
        <v>3716</v>
      </c>
      <c r="B1233" t="str">
        <f>HYPERLINK("http://bombeiros.sp.gov.br/hidrantes/08bsg/qrcodeBSG.html?id=3716&amp;lat=-23.49816&amp;long=-46.37997&amp;tipo=S","QRCODE")</f>
        <v>QRCODE</v>
      </c>
      <c r="C1233" t="s">
        <v>5273</v>
      </c>
      <c r="D1233" t="s">
        <v>309</v>
      </c>
      <c r="E1233" t="s">
        <v>252</v>
      </c>
      <c r="F1233" t="s">
        <v>21</v>
      </c>
      <c r="G1233" t="s">
        <v>2272</v>
      </c>
      <c r="H1233">
        <v>0</v>
      </c>
      <c r="I1233">
        <v>2</v>
      </c>
      <c r="J1233">
        <v>0</v>
      </c>
      <c r="K1233">
        <v>0</v>
      </c>
      <c r="L1233">
        <v>0</v>
      </c>
    </row>
    <row r="1234" spans="1:12">
      <c r="A1234" t="str">
        <f>HYPERLINK("http://bombeiros.sp.gov.br/hidrantes/03individual/4201.html","4201")</f>
        <v>4201</v>
      </c>
      <c r="B1234" t="str">
        <f>HYPERLINK("http://bombeiros.sp.gov.br/hidrantes/08bsg/qrcodeBSG.html?id=4201&amp;lat=-23.49668&amp;long=-46.38799&amp;tipo=S","QRCODE")</f>
        <v>QRCODE</v>
      </c>
      <c r="C1234" t="s">
        <v>5273</v>
      </c>
      <c r="D1234" t="s">
        <v>309</v>
      </c>
      <c r="E1234" t="s">
        <v>252</v>
      </c>
      <c r="F1234" t="s">
        <v>21</v>
      </c>
      <c r="G1234" t="s">
        <v>2288</v>
      </c>
      <c r="H1234">
        <v>0</v>
      </c>
      <c r="I1234">
        <v>2</v>
      </c>
      <c r="J1234">
        <v>0</v>
      </c>
      <c r="K1234">
        <v>0</v>
      </c>
      <c r="L1234">
        <v>0</v>
      </c>
    </row>
    <row r="1235" spans="1:12">
      <c r="A1235" t="str">
        <f>HYPERLINK("http://bombeiros.sp.gov.br/hidrantes/03individual/4350.html","4350")</f>
        <v>4350</v>
      </c>
      <c r="B1235" t="str">
        <f>HYPERLINK("http://bombeiros.sp.gov.br/hidrantes/08bsg/qrcodeBSG.html?id=4350&amp;lat=-23.49128&amp;long=-46.38077&amp;tipo=S","QRCODE")</f>
        <v>QRCODE</v>
      </c>
      <c r="C1235" t="s">
        <v>5273</v>
      </c>
      <c r="D1235" t="s">
        <v>309</v>
      </c>
      <c r="E1235" t="s">
        <v>252</v>
      </c>
      <c r="F1235" t="s">
        <v>21</v>
      </c>
      <c r="G1235" t="s">
        <v>2303</v>
      </c>
      <c r="H1235">
        <v>0</v>
      </c>
      <c r="I1235">
        <v>2</v>
      </c>
      <c r="J1235">
        <v>0</v>
      </c>
      <c r="K1235">
        <v>0</v>
      </c>
      <c r="L1235">
        <v>0</v>
      </c>
    </row>
    <row r="1236" spans="1:12">
      <c r="A1236" t="str">
        <f>HYPERLINK("http://bombeiros.sp.gov.br/hidrantes/03individual/6785.html","6785")</f>
        <v>6785</v>
      </c>
      <c r="B1236" t="str">
        <f>HYPERLINK("http://bombeiros.sp.gov.br/hidrantes/08bsg/qrcodeBSG.html?id=6785&amp;lat=-23.49689&amp;long=-46.37548&amp;tipo=S","QRCODE")</f>
        <v>QRCODE</v>
      </c>
      <c r="C1236" t="s">
        <v>5273</v>
      </c>
      <c r="D1236" t="s">
        <v>309</v>
      </c>
      <c r="E1236" t="s">
        <v>252</v>
      </c>
      <c r="F1236" t="s">
        <v>21</v>
      </c>
      <c r="G1236" t="s">
        <v>1658</v>
      </c>
      <c r="H1236">
        <v>0</v>
      </c>
      <c r="I1236">
        <v>2</v>
      </c>
      <c r="J1236">
        <v>0</v>
      </c>
      <c r="K1236">
        <v>0</v>
      </c>
      <c r="L1236">
        <v>0</v>
      </c>
    </row>
    <row r="1237" spans="1:12">
      <c r="A1237" t="str">
        <f>HYPERLINK("http://bombeiros.sp.gov.br/hidrantes/03individual/14922.html","14922")</f>
        <v>14922</v>
      </c>
      <c r="B1237" t="str">
        <f>HYPERLINK("http://bombeiros.sp.gov.br/hidrantes/08bsg/qrcodeBSG.html?id=14922&amp;lat=-23.49032&amp;long=-46.37573&amp;tipo=S","QRCODE")</f>
        <v>QRCODE</v>
      </c>
      <c r="C1237" t="s">
        <v>5273</v>
      </c>
      <c r="D1237" t="s">
        <v>309</v>
      </c>
      <c r="E1237" t="s">
        <v>252</v>
      </c>
      <c r="F1237" t="s">
        <v>21</v>
      </c>
      <c r="G1237" t="s">
        <v>251</v>
      </c>
      <c r="H1237">
        <v>0</v>
      </c>
      <c r="I1237">
        <v>2</v>
      </c>
      <c r="J1237">
        <v>0</v>
      </c>
      <c r="K1237">
        <v>0</v>
      </c>
      <c r="L1237">
        <v>0</v>
      </c>
    </row>
    <row r="1238" spans="1:12">
      <c r="A1238" t="str">
        <f>HYPERLINK("http://bombeiros.sp.gov.br/hidrantes/03individual/17897.html","17897")</f>
        <v>17897</v>
      </c>
      <c r="B1238" t="str">
        <f>HYPERLINK("http://bombeiros.sp.gov.br/hidrantes/08bsg/qrcodeBSG.html?id=17897&amp;lat=-23.49803&amp;long=-46.38697&amp;tipo=S","QRCODE")</f>
        <v>QRCODE</v>
      </c>
      <c r="C1238" t="s">
        <v>5273</v>
      </c>
      <c r="D1238" t="s">
        <v>309</v>
      </c>
      <c r="E1238" t="s">
        <v>252</v>
      </c>
      <c r="F1238" t="s">
        <v>21</v>
      </c>
      <c r="G1238" t="s">
        <v>260</v>
      </c>
      <c r="H1238">
        <v>1</v>
      </c>
      <c r="I1238">
        <v>2</v>
      </c>
      <c r="J1238">
        <v>0</v>
      </c>
      <c r="K1238">
        <v>0</v>
      </c>
      <c r="L1238">
        <v>0</v>
      </c>
    </row>
    <row r="1239" spans="1:12">
      <c r="A1239" t="str">
        <f>HYPERLINK("http://bombeiros.sp.gov.br/hidrantes/03individual/3411.html","3411")</f>
        <v>3411</v>
      </c>
      <c r="B1239" t="str">
        <f>HYPERLINK("http://bombeiros.sp.gov.br/hidrantes/08bsg/qrcodeBSG.html?id=3411&amp;lat=-23.52403&amp;long=-46.47055&amp;tipo=C","QRCODE")</f>
        <v>QRCODE</v>
      </c>
      <c r="C1239" t="s">
        <v>5273</v>
      </c>
      <c r="D1239" t="s">
        <v>48</v>
      </c>
      <c r="E1239" t="s">
        <v>1623</v>
      </c>
      <c r="F1239" t="s">
        <v>12</v>
      </c>
      <c r="G1239" t="s">
        <v>4322</v>
      </c>
      <c r="H1239">
        <v>0</v>
      </c>
      <c r="I1239">
        <v>1</v>
      </c>
      <c r="J1239">
        <v>0</v>
      </c>
      <c r="K1239">
        <v>0</v>
      </c>
      <c r="L1239">
        <v>0</v>
      </c>
    </row>
    <row r="1240" spans="1:12">
      <c r="A1240" t="str">
        <f>HYPERLINK("http://bombeiros.sp.gov.br/hidrantes/03individual/3449.html","3449")</f>
        <v>3449</v>
      </c>
      <c r="B1240" t="str">
        <f>HYPERLINK("http://bombeiros.sp.gov.br/hidrantes/08bsg/qrcodeBSG.html?id=3449&amp;lat=-23.52252&amp;long=-46.46756&amp;tipo=C","QRCODE")</f>
        <v>QRCODE</v>
      </c>
      <c r="C1240" t="s">
        <v>5273</v>
      </c>
      <c r="D1240" t="s">
        <v>48</v>
      </c>
      <c r="E1240" t="s">
        <v>1623</v>
      </c>
      <c r="F1240" t="s">
        <v>12</v>
      </c>
      <c r="G1240" t="s">
        <v>4023</v>
      </c>
      <c r="H1240">
        <v>0</v>
      </c>
      <c r="I1240">
        <v>1</v>
      </c>
      <c r="J1240">
        <v>0</v>
      </c>
      <c r="K1240">
        <v>0</v>
      </c>
      <c r="L1240">
        <v>0</v>
      </c>
    </row>
    <row r="1241" spans="1:12">
      <c r="A1241" t="str">
        <f>HYPERLINK("http://bombeiros.sp.gov.br/hidrantes/03individual/1918.html","1918")</f>
        <v>1918</v>
      </c>
      <c r="B1241" t="str">
        <f>HYPERLINK("http://bombeiros.sp.gov.br/hidrantes/08bsg/qrcodeBSG.html?id=1918&amp;lat=-23.51614&amp;long=-46.46646&amp;tipo=S","QRCODE")</f>
        <v>QRCODE</v>
      </c>
      <c r="C1241" t="s">
        <v>5273</v>
      </c>
      <c r="D1241" t="s">
        <v>48</v>
      </c>
      <c r="E1241" t="s">
        <v>1623</v>
      </c>
      <c r="F1241" t="s">
        <v>21</v>
      </c>
      <c r="G1241" t="s">
        <v>1622</v>
      </c>
      <c r="H1241">
        <v>0</v>
      </c>
      <c r="I1241">
        <v>2</v>
      </c>
      <c r="J1241">
        <v>0</v>
      </c>
      <c r="K1241">
        <v>0</v>
      </c>
      <c r="L1241">
        <v>0</v>
      </c>
    </row>
    <row r="1242" spans="1:12">
      <c r="A1242" t="str">
        <f>HYPERLINK("http://bombeiros.sp.gov.br/hidrantes/03individual/3460.html","3460")</f>
        <v>3460</v>
      </c>
      <c r="B1242" t="str">
        <f>HYPERLINK("http://bombeiros.sp.gov.br/hidrantes/08bsg/qrcodeBSG.html?id=3460&amp;lat=-23.51935&amp;long=-46.46993&amp;tipo=S","QRCODE")</f>
        <v>QRCODE</v>
      </c>
      <c r="C1242" t="s">
        <v>5273</v>
      </c>
      <c r="D1242" t="s">
        <v>48</v>
      </c>
      <c r="E1242" t="s">
        <v>1623</v>
      </c>
      <c r="F1242" t="s">
        <v>21</v>
      </c>
      <c r="G1242" t="s">
        <v>1677</v>
      </c>
      <c r="H1242">
        <v>0</v>
      </c>
      <c r="I1242">
        <v>2</v>
      </c>
      <c r="J1242">
        <v>0</v>
      </c>
      <c r="K1242">
        <v>0</v>
      </c>
      <c r="L1242">
        <v>0</v>
      </c>
    </row>
    <row r="1243" spans="1:12">
      <c r="A1243" t="str">
        <f>HYPERLINK("http://bombeiros.sp.gov.br/hidrantes/03individual/5634.html","5634")</f>
        <v>5634</v>
      </c>
      <c r="B1243" t="str">
        <f>HYPERLINK("http://bombeiros.sp.gov.br/hidrantes/08bsg/qrcodeBSG.html?id=5634&amp;lat=-23.51871&amp;long=-46.47579&amp;tipo=S","QRCODE")</f>
        <v>QRCODE</v>
      </c>
      <c r="C1243" t="s">
        <v>5273</v>
      </c>
      <c r="D1243" t="s">
        <v>48</v>
      </c>
      <c r="E1243" t="s">
        <v>1623</v>
      </c>
      <c r="F1243" t="s">
        <v>21</v>
      </c>
      <c r="G1243" t="s">
        <v>5308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>
      <c r="A1244" t="str">
        <f>HYPERLINK("http://bombeiros.sp.gov.br/hidrantes/03individual/3402.html","3402")</f>
        <v>3402</v>
      </c>
      <c r="B1244" t="str">
        <f>HYPERLINK("http://bombeiros.sp.gov.br/hidrantes/08bsg/qrcodeBSG.html?id=3402&amp;lat=-23.54576&amp;long=-46.47174&amp;tipo=C","QRCODE")</f>
        <v>QRCODE</v>
      </c>
      <c r="C1244" t="s">
        <v>5273</v>
      </c>
      <c r="D1244" t="s">
        <v>48</v>
      </c>
      <c r="E1244" t="s">
        <v>2160</v>
      </c>
      <c r="F1244" t="s">
        <v>12</v>
      </c>
      <c r="G1244" t="s">
        <v>2161</v>
      </c>
      <c r="H1244">
        <v>0</v>
      </c>
      <c r="I1244">
        <v>2</v>
      </c>
      <c r="J1244">
        <v>0</v>
      </c>
      <c r="K1244">
        <v>0</v>
      </c>
      <c r="L1244">
        <v>0</v>
      </c>
    </row>
    <row r="1245" spans="1:12">
      <c r="A1245" t="str">
        <f>HYPERLINK("http://bombeiros.sp.gov.br/hidrantes/03individual/3407.html","3407")</f>
        <v>3407</v>
      </c>
      <c r="B1245" t="str">
        <f>HYPERLINK("http://bombeiros.sp.gov.br/hidrantes/08bsg/qrcodeBSG.html?id=3407&amp;lat=-23.54480&amp;long=-46.46723&amp;tipo=C","QRCODE")</f>
        <v>QRCODE</v>
      </c>
      <c r="C1245" t="s">
        <v>5273</v>
      </c>
      <c r="D1245" t="s">
        <v>48</v>
      </c>
      <c r="E1245" t="s">
        <v>2160</v>
      </c>
      <c r="F1245" t="s">
        <v>12</v>
      </c>
      <c r="G1245" t="s">
        <v>2159</v>
      </c>
      <c r="H1245">
        <v>0</v>
      </c>
      <c r="I1245">
        <v>2</v>
      </c>
      <c r="J1245">
        <v>0</v>
      </c>
      <c r="K1245">
        <v>0</v>
      </c>
      <c r="L1245">
        <v>0</v>
      </c>
    </row>
    <row r="1246" spans="1:12">
      <c r="A1246" t="str">
        <f>HYPERLINK("http://bombeiros.sp.gov.br/hidrantes/03individual/5524.html","5524")</f>
        <v>5524</v>
      </c>
      <c r="B1246" t="str">
        <f>HYPERLINK("http://bombeiros.sp.gov.br/hidrantes/08bsg/qrcodeBSG.html?id=5524&amp;lat=-23.54532&amp;long=-46.46248&amp;tipo=C","QRCODE")</f>
        <v>QRCODE</v>
      </c>
      <c r="C1246" t="s">
        <v>5273</v>
      </c>
      <c r="D1246" t="s">
        <v>48</v>
      </c>
      <c r="E1246" t="s">
        <v>2160</v>
      </c>
      <c r="F1246" t="s">
        <v>12</v>
      </c>
      <c r="G1246" t="s">
        <v>4327</v>
      </c>
      <c r="H1246">
        <v>0</v>
      </c>
      <c r="I1246">
        <v>1</v>
      </c>
      <c r="J1246">
        <v>0</v>
      </c>
      <c r="K1246">
        <v>0</v>
      </c>
      <c r="L1246">
        <v>0</v>
      </c>
    </row>
    <row r="1247" spans="1:12">
      <c r="A1247" t="str">
        <f>HYPERLINK("http://bombeiros.sp.gov.br/hidrantes/03individual/27158.html","27158")</f>
        <v>27158</v>
      </c>
      <c r="B1247" t="str">
        <f>HYPERLINK("http://bombeiros.sp.gov.br/hidrantes/08bsg/qrcodeBSG.html?id=27158&amp;lat=-23.54127&amp;long=-46.47299&amp;tipo=C","QRCODE")</f>
        <v>QRCODE</v>
      </c>
      <c r="C1247" t="s">
        <v>5273</v>
      </c>
      <c r="D1247" t="s">
        <v>48</v>
      </c>
      <c r="E1247" t="s">
        <v>2160</v>
      </c>
      <c r="F1247" t="s">
        <v>12</v>
      </c>
      <c r="G1247" t="s">
        <v>3408</v>
      </c>
      <c r="H1247">
        <v>0</v>
      </c>
      <c r="I1247">
        <v>1</v>
      </c>
      <c r="J1247">
        <v>0</v>
      </c>
      <c r="K1247">
        <v>0</v>
      </c>
      <c r="L1247">
        <v>0</v>
      </c>
    </row>
    <row r="1248" spans="1:12">
      <c r="A1248" t="str">
        <f>HYPERLINK("http://bombeiros.sp.gov.br/hidrantes/03individual/3376.html","3376")</f>
        <v>3376</v>
      </c>
      <c r="B1248" t="str">
        <f>HYPERLINK("http://bombeiros.sp.gov.br/hidrantes/08bsg/qrcodeBSG.html?id=3376&amp;lat=-23.54004&amp;long=-46.45534&amp;tipo=C","QRCODE")</f>
        <v>QRCODE</v>
      </c>
      <c r="C1248" t="s">
        <v>5273</v>
      </c>
      <c r="D1248" t="s">
        <v>48</v>
      </c>
      <c r="E1248" t="s">
        <v>48</v>
      </c>
      <c r="F1248" t="s">
        <v>12</v>
      </c>
      <c r="G1248" t="s">
        <v>4522</v>
      </c>
      <c r="H1248">
        <v>0</v>
      </c>
      <c r="I1248">
        <v>2</v>
      </c>
      <c r="J1248">
        <v>0</v>
      </c>
      <c r="K1248">
        <v>0</v>
      </c>
      <c r="L1248">
        <v>0</v>
      </c>
    </row>
    <row r="1249" spans="1:12">
      <c r="A1249" t="str">
        <f>HYPERLINK("http://bombeiros.sp.gov.br/hidrantes/03individual/3381.html","3381")</f>
        <v>3381</v>
      </c>
      <c r="B1249" t="str">
        <f>HYPERLINK("http://bombeiros.sp.gov.br/hidrantes/08bsg/qrcodeBSG.html?id=3381&amp;lat=-23.54207&amp;long=-46.45793&amp;tipo=C","QRCODE")</f>
        <v>QRCODE</v>
      </c>
      <c r="C1249" t="s">
        <v>5273</v>
      </c>
      <c r="D1249" t="s">
        <v>48</v>
      </c>
      <c r="E1249" t="s">
        <v>48</v>
      </c>
      <c r="F1249" t="s">
        <v>12</v>
      </c>
      <c r="G1249" t="s">
        <v>4320</v>
      </c>
      <c r="H1249">
        <v>0</v>
      </c>
      <c r="I1249">
        <v>1</v>
      </c>
      <c r="J1249">
        <v>0</v>
      </c>
      <c r="K1249">
        <v>0</v>
      </c>
      <c r="L1249">
        <v>0</v>
      </c>
    </row>
    <row r="1250" spans="1:12">
      <c r="A1250" t="str">
        <f>HYPERLINK("http://bombeiros.sp.gov.br/hidrantes/03individual/2052.html","2052")</f>
        <v>2052</v>
      </c>
      <c r="B1250" t="str">
        <f>HYPERLINK("http://bombeiros.sp.gov.br/hidrantes/08bsg/qrcodeBSG.html?id=2052&amp;lat=-23.54250&amp;long=-46.45248&amp;tipo=S","QRCODE")</f>
        <v>QRCODE</v>
      </c>
      <c r="C1250" t="s">
        <v>5273</v>
      </c>
      <c r="D1250" t="s">
        <v>48</v>
      </c>
      <c r="E1250" t="s">
        <v>48</v>
      </c>
      <c r="F1250" t="s">
        <v>21</v>
      </c>
      <c r="G1250" t="s">
        <v>4475</v>
      </c>
      <c r="H1250">
        <v>0</v>
      </c>
      <c r="I1250">
        <v>2</v>
      </c>
      <c r="J1250">
        <v>0</v>
      </c>
      <c r="K1250">
        <v>0</v>
      </c>
      <c r="L1250">
        <v>0</v>
      </c>
    </row>
    <row r="1251" spans="1:12">
      <c r="A1251" t="str">
        <f>HYPERLINK("http://bombeiros.sp.gov.br/hidrantes/03individual/2056.html","2056")</f>
        <v>2056</v>
      </c>
      <c r="B1251" t="str">
        <f>HYPERLINK("http://bombeiros.sp.gov.br/hidrantes/08bsg/qrcodeBSG.html?id=2056&amp;lat=-23.54134&amp;long=-46.45520&amp;tipo=S","QRCODE")</f>
        <v>QRCODE</v>
      </c>
      <c r="C1251" t="s">
        <v>5273</v>
      </c>
      <c r="D1251" t="s">
        <v>48</v>
      </c>
      <c r="E1251" t="s">
        <v>48</v>
      </c>
      <c r="F1251" t="s">
        <v>21</v>
      </c>
      <c r="G1251" t="s">
        <v>3383</v>
      </c>
      <c r="H1251">
        <v>0</v>
      </c>
      <c r="I1251">
        <v>2</v>
      </c>
      <c r="J1251">
        <v>0</v>
      </c>
      <c r="K1251">
        <v>0</v>
      </c>
      <c r="L1251">
        <v>0</v>
      </c>
    </row>
    <row r="1252" spans="1:12">
      <c r="A1252" t="str">
        <f>HYPERLINK("http://bombeiros.sp.gov.br/hidrantes/03individual/2089.html","2089")</f>
        <v>2089</v>
      </c>
      <c r="B1252" t="str">
        <f>HYPERLINK("http://bombeiros.sp.gov.br/hidrantes/08bsg/qrcodeBSG.html?id=2089&amp;lat=-23.54515&amp;long=-46.45024&amp;tipo=S","QRCODE")</f>
        <v>QRCODE</v>
      </c>
      <c r="C1252" t="s">
        <v>5273</v>
      </c>
      <c r="D1252" t="s">
        <v>48</v>
      </c>
      <c r="E1252" t="s">
        <v>48</v>
      </c>
      <c r="F1252" t="s">
        <v>21</v>
      </c>
      <c r="G1252" t="s">
        <v>4476</v>
      </c>
      <c r="H1252">
        <v>0</v>
      </c>
      <c r="I1252">
        <v>2</v>
      </c>
      <c r="J1252">
        <v>0</v>
      </c>
      <c r="K1252">
        <v>0</v>
      </c>
      <c r="L1252">
        <v>0</v>
      </c>
    </row>
    <row r="1253" spans="1:12">
      <c r="A1253" t="str">
        <f>HYPERLINK("http://bombeiros.sp.gov.br/hidrantes/03individual/2091.html","2091")</f>
        <v>2091</v>
      </c>
      <c r="B1253" t="str">
        <f>HYPERLINK("http://bombeiros.sp.gov.br/hidrantes/08bsg/qrcodeBSG.html?id=2091&amp;lat=-23.55143&amp;long=-46.44931&amp;tipo=S","QRCODE")</f>
        <v>QRCODE</v>
      </c>
      <c r="C1253" t="s">
        <v>5273</v>
      </c>
      <c r="D1253" t="s">
        <v>48</v>
      </c>
      <c r="E1253" t="s">
        <v>48</v>
      </c>
      <c r="F1253" t="s">
        <v>21</v>
      </c>
      <c r="G1253" t="s">
        <v>2699</v>
      </c>
      <c r="H1253">
        <v>0</v>
      </c>
      <c r="I1253">
        <v>2</v>
      </c>
      <c r="J1253">
        <v>0</v>
      </c>
      <c r="K1253">
        <v>0</v>
      </c>
      <c r="L1253">
        <v>0</v>
      </c>
    </row>
    <row r="1254" spans="1:12">
      <c r="A1254" t="str">
        <f>HYPERLINK("http://bombeiros.sp.gov.br/hidrantes/03individual/3372.html","3372")</f>
        <v>3372</v>
      </c>
      <c r="B1254" t="str">
        <f>HYPERLINK("http://bombeiros.sp.gov.br/hidrantes/08bsg/qrcodeBSG.html?id=3372&amp;lat=-23.53812&amp;long=-46.45350&amp;tipo=S","QRCODE")</f>
        <v>QRCODE</v>
      </c>
      <c r="C1254" t="s">
        <v>5273</v>
      </c>
      <c r="D1254" t="s">
        <v>48</v>
      </c>
      <c r="E1254" t="s">
        <v>48</v>
      </c>
      <c r="F1254" t="s">
        <v>21</v>
      </c>
      <c r="G1254" t="s">
        <v>4988</v>
      </c>
      <c r="H1254">
        <v>0</v>
      </c>
      <c r="I1254">
        <v>1</v>
      </c>
      <c r="J1254">
        <v>0</v>
      </c>
      <c r="K1254">
        <v>0</v>
      </c>
      <c r="L1254">
        <v>0</v>
      </c>
    </row>
    <row r="1255" spans="1:12">
      <c r="A1255" t="str">
        <f>HYPERLINK("http://bombeiros.sp.gov.br/hidrantes/03individual/3373.html","3373")</f>
        <v>3373</v>
      </c>
      <c r="B1255" t="str">
        <f>HYPERLINK("http://bombeiros.sp.gov.br/hidrantes/08bsg/qrcodeBSG.html?id=3373&amp;lat=-23.53925&amp;long=-46.45696&amp;tipo=S","QRCODE")</f>
        <v>QRCODE</v>
      </c>
      <c r="C1255" t="s">
        <v>5273</v>
      </c>
      <c r="D1255" t="s">
        <v>48</v>
      </c>
      <c r="E1255" t="s">
        <v>48</v>
      </c>
      <c r="F1255" t="s">
        <v>21</v>
      </c>
      <c r="G1255" t="s">
        <v>2742</v>
      </c>
      <c r="H1255">
        <v>0</v>
      </c>
      <c r="I1255">
        <v>2</v>
      </c>
      <c r="J1255">
        <v>0</v>
      </c>
      <c r="K1255">
        <v>0</v>
      </c>
      <c r="L1255">
        <v>0</v>
      </c>
    </row>
    <row r="1256" spans="1:12">
      <c r="A1256" t="str">
        <f>HYPERLINK("http://bombeiros.sp.gov.br/hidrantes/03individual/3379.html","3379")</f>
        <v>3379</v>
      </c>
      <c r="B1256" t="str">
        <f>HYPERLINK("http://bombeiros.sp.gov.br/hidrantes/08bsg/qrcodeBSG.html?id=3379&amp;lat=-23.54776&amp;long=-46.44841&amp;tipo=S","QRCODE")</f>
        <v>QRCODE</v>
      </c>
      <c r="C1256" t="s">
        <v>5273</v>
      </c>
      <c r="D1256" t="s">
        <v>48</v>
      </c>
      <c r="E1256" t="s">
        <v>48</v>
      </c>
      <c r="F1256" t="s">
        <v>21</v>
      </c>
      <c r="G1256" t="s">
        <v>4511</v>
      </c>
      <c r="H1256">
        <v>0</v>
      </c>
      <c r="I1256">
        <v>2</v>
      </c>
      <c r="J1256">
        <v>0</v>
      </c>
      <c r="K1256">
        <v>0</v>
      </c>
      <c r="L1256">
        <v>0</v>
      </c>
    </row>
    <row r="1257" spans="1:12">
      <c r="A1257" t="str">
        <f>HYPERLINK("http://bombeiros.sp.gov.br/hidrantes/03individual/4320.html","4320")</f>
        <v>4320</v>
      </c>
      <c r="B1257" t="str">
        <f>HYPERLINK("http://bombeiros.sp.gov.br/hidrantes/08bsg/qrcodeBSG.html?id=4320&amp;lat=-23.54340&amp;long=-46.45758&amp;tipo=S","QRCODE")</f>
        <v>QRCODE</v>
      </c>
      <c r="C1257" t="s">
        <v>5273</v>
      </c>
      <c r="D1257" t="s">
        <v>48</v>
      </c>
      <c r="E1257" t="s">
        <v>48</v>
      </c>
      <c r="F1257" t="s">
        <v>21</v>
      </c>
      <c r="G1257" t="s">
        <v>2734</v>
      </c>
      <c r="H1257">
        <v>0</v>
      </c>
      <c r="I1257">
        <v>2</v>
      </c>
      <c r="J1257">
        <v>0</v>
      </c>
      <c r="K1257">
        <v>0</v>
      </c>
      <c r="L1257">
        <v>0</v>
      </c>
    </row>
    <row r="1258" spans="1:12">
      <c r="A1258" t="str">
        <f>HYPERLINK("http://bombeiros.sp.gov.br/hidrantes/03individual/27291.html","27291")</f>
        <v>27291</v>
      </c>
      <c r="B1258" t="str">
        <f>HYPERLINK("http://bombeiros.sp.gov.br/hidrantes/08bsg/qrcodeBSG.html?id=27291&amp;lat=-23.54953&amp;long=-46.46105&amp;tipo=S","QRCODE")</f>
        <v>QRCODE</v>
      </c>
      <c r="C1258" t="s">
        <v>5273</v>
      </c>
      <c r="D1258" t="s">
        <v>48</v>
      </c>
      <c r="E1258" t="s">
        <v>48</v>
      </c>
      <c r="F1258" t="s">
        <v>21</v>
      </c>
      <c r="G1258" t="s">
        <v>1502</v>
      </c>
      <c r="H1258">
        <v>0</v>
      </c>
      <c r="I1258">
        <v>1</v>
      </c>
      <c r="J1258">
        <v>0</v>
      </c>
      <c r="K1258">
        <v>0</v>
      </c>
      <c r="L1258">
        <v>0</v>
      </c>
    </row>
    <row r="1259" spans="1:12">
      <c r="A1259" t="str">
        <f>HYPERLINK("http://bombeiros.sp.gov.br/hidrantes/03individual/3342.html","3342")</f>
        <v>3342</v>
      </c>
      <c r="B1259" t="str">
        <f>HYPERLINK("http://bombeiros.sp.gov.br/hidrantes/08bsg/qrcodeBSG.html?id=3342&amp;lat=-23.53023&amp;long=-46.44439&amp;tipo=C","QRCODE")</f>
        <v>QRCODE</v>
      </c>
      <c r="C1259" t="s">
        <v>5273</v>
      </c>
      <c r="D1259" t="s">
        <v>48</v>
      </c>
      <c r="E1259" t="s">
        <v>2563</v>
      </c>
      <c r="F1259" t="s">
        <v>12</v>
      </c>
      <c r="G1259" t="s">
        <v>4520</v>
      </c>
      <c r="H1259">
        <v>0</v>
      </c>
      <c r="I1259">
        <v>2</v>
      </c>
      <c r="J1259">
        <v>0</v>
      </c>
      <c r="K1259">
        <v>0</v>
      </c>
      <c r="L1259">
        <v>0</v>
      </c>
    </row>
    <row r="1260" spans="1:12">
      <c r="A1260" t="str">
        <f>HYPERLINK("http://bombeiros.sp.gov.br/hidrantes/03individual/3343.html","3343")</f>
        <v>3343</v>
      </c>
      <c r="B1260" t="str">
        <f>HYPERLINK("http://bombeiros.sp.gov.br/hidrantes/08bsg/qrcodeBSG.html?id=3343&amp;lat=-23.53637&amp;long=-46.44998&amp;tipo=C","QRCODE")</f>
        <v>QRCODE</v>
      </c>
      <c r="C1260" t="s">
        <v>5273</v>
      </c>
      <c r="D1260" t="s">
        <v>48</v>
      </c>
      <c r="E1260" t="s">
        <v>2563</v>
      </c>
      <c r="F1260" t="s">
        <v>12</v>
      </c>
      <c r="G1260" t="s">
        <v>4699</v>
      </c>
      <c r="H1260">
        <v>1</v>
      </c>
      <c r="I1260">
        <v>1</v>
      </c>
      <c r="J1260">
        <v>0</v>
      </c>
      <c r="K1260">
        <v>0</v>
      </c>
      <c r="L1260">
        <v>0</v>
      </c>
    </row>
    <row r="1261" spans="1:12">
      <c r="A1261" t="str">
        <f>HYPERLINK("http://bombeiros.sp.gov.br/hidrantes/03individual/3347.html","3347")</f>
        <v>3347</v>
      </c>
      <c r="B1261" t="str">
        <f>HYPERLINK("http://bombeiros.sp.gov.br/hidrantes/08bsg/qrcodeBSG.html?id=3347&amp;lat=-23.53694&amp;long=-46.44263&amp;tipo=C","QRCODE")</f>
        <v>QRCODE</v>
      </c>
      <c r="C1261" t="s">
        <v>5273</v>
      </c>
      <c r="D1261" t="s">
        <v>48</v>
      </c>
      <c r="E1261" t="s">
        <v>2563</v>
      </c>
      <c r="F1261" t="s">
        <v>12</v>
      </c>
      <c r="G1261" t="s">
        <v>5139</v>
      </c>
      <c r="H1261">
        <v>0</v>
      </c>
      <c r="I1261">
        <v>1</v>
      </c>
      <c r="J1261">
        <v>0</v>
      </c>
      <c r="K1261">
        <v>0</v>
      </c>
      <c r="L1261">
        <v>0</v>
      </c>
    </row>
    <row r="1262" spans="1:12">
      <c r="A1262" t="str">
        <f>HYPERLINK("http://bombeiros.sp.gov.br/hidrantes/03individual/3348.html","3348")</f>
        <v>3348</v>
      </c>
      <c r="B1262" t="str">
        <f>HYPERLINK("http://bombeiros.sp.gov.br/hidrantes/08bsg/qrcodeBSG.html?id=3348&amp;lat=-23.53816&amp;long=-46.44858&amp;tipo=C","QRCODE")</f>
        <v>QRCODE</v>
      </c>
      <c r="C1262" t="s">
        <v>5273</v>
      </c>
      <c r="D1262" t="s">
        <v>48</v>
      </c>
      <c r="E1262" t="s">
        <v>2563</v>
      </c>
      <c r="F1262" t="s">
        <v>12</v>
      </c>
      <c r="G1262" t="s">
        <v>4700</v>
      </c>
      <c r="H1262">
        <v>1</v>
      </c>
      <c r="I1262">
        <v>1</v>
      </c>
      <c r="J1262">
        <v>0</v>
      </c>
      <c r="K1262">
        <v>0</v>
      </c>
      <c r="L1262">
        <v>0</v>
      </c>
    </row>
    <row r="1263" spans="1:12">
      <c r="A1263" t="str">
        <f>HYPERLINK("http://bombeiros.sp.gov.br/hidrantes/03individual/3368.html","3368")</f>
        <v>3368</v>
      </c>
      <c r="B1263" t="str">
        <f>HYPERLINK("http://bombeiros.sp.gov.br/hidrantes/08bsg/qrcodeBSG.html?id=3368&amp;lat=-23.53379&amp;long=-46.45171&amp;tipo=C","QRCODE")</f>
        <v>QRCODE</v>
      </c>
      <c r="C1263" t="s">
        <v>5273</v>
      </c>
      <c r="D1263" t="s">
        <v>48</v>
      </c>
      <c r="E1263" t="s">
        <v>2563</v>
      </c>
      <c r="F1263" t="s">
        <v>12</v>
      </c>
      <c r="G1263" t="s">
        <v>4521</v>
      </c>
      <c r="H1263">
        <v>0</v>
      </c>
      <c r="I1263">
        <v>2</v>
      </c>
      <c r="J1263">
        <v>0</v>
      </c>
      <c r="K1263">
        <v>0</v>
      </c>
      <c r="L1263">
        <v>0</v>
      </c>
    </row>
    <row r="1264" spans="1:12">
      <c r="A1264" t="str">
        <f>HYPERLINK("http://bombeiros.sp.gov.br/hidrantes/03individual/3424.html","3424")</f>
        <v>3424</v>
      </c>
      <c r="B1264" t="str">
        <f>HYPERLINK("http://bombeiros.sp.gov.br/hidrantes/08bsg/qrcodeBSG.html?id=3424&amp;lat=-23.53955&amp;long=-46.44719&amp;tipo=C","QRCODE")</f>
        <v>QRCODE</v>
      </c>
      <c r="C1264" t="s">
        <v>5273</v>
      </c>
      <c r="D1264" t="s">
        <v>48</v>
      </c>
      <c r="E1264" t="s">
        <v>2563</v>
      </c>
      <c r="F1264" t="s">
        <v>12</v>
      </c>
      <c r="G1264" t="s">
        <v>4508</v>
      </c>
      <c r="H1264">
        <v>0</v>
      </c>
      <c r="I1264">
        <v>2</v>
      </c>
      <c r="J1264">
        <v>0</v>
      </c>
      <c r="K1264">
        <v>0</v>
      </c>
      <c r="L1264">
        <v>0</v>
      </c>
    </row>
    <row r="1265" spans="1:12">
      <c r="A1265" t="str">
        <f>HYPERLINK("http://bombeiros.sp.gov.br/hidrantes/03individual/1951.html","1951")</f>
        <v>1951</v>
      </c>
      <c r="B1265" t="str">
        <f>HYPERLINK("http://bombeiros.sp.gov.br/hidrantes/08bsg/qrcodeBSG.html?id=1951&amp;lat=-23.53461&amp;long=-46.43773&amp;tipo=S","QRCODE")</f>
        <v>QRCODE</v>
      </c>
      <c r="C1265" t="s">
        <v>5273</v>
      </c>
      <c r="D1265" t="s">
        <v>48</v>
      </c>
      <c r="E1265" t="s">
        <v>2563</v>
      </c>
      <c r="F1265" t="s">
        <v>21</v>
      </c>
      <c r="G1265" t="s">
        <v>4144</v>
      </c>
      <c r="H1265">
        <v>0</v>
      </c>
      <c r="I1265">
        <v>3</v>
      </c>
      <c r="J1265">
        <v>0</v>
      </c>
      <c r="K1265">
        <v>0</v>
      </c>
      <c r="L1265">
        <v>0</v>
      </c>
    </row>
    <row r="1266" spans="1:12">
      <c r="A1266" t="str">
        <f>HYPERLINK("http://bombeiros.sp.gov.br/hidrantes/03individual/3344.html","3344")</f>
        <v>3344</v>
      </c>
      <c r="B1266" t="str">
        <f>HYPERLINK("http://bombeiros.sp.gov.br/hidrantes/08bsg/qrcodeBSG.html?id=3344&amp;lat=-23.54439&amp;long=-46.44437&amp;tipo=S","QRCODE")</f>
        <v>QRCODE</v>
      </c>
      <c r="C1266" t="s">
        <v>5273</v>
      </c>
      <c r="D1266" t="s">
        <v>48</v>
      </c>
      <c r="E1266" t="s">
        <v>2563</v>
      </c>
      <c r="F1266" t="s">
        <v>21</v>
      </c>
      <c r="G1266" t="s">
        <v>4519</v>
      </c>
      <c r="H1266">
        <v>0</v>
      </c>
      <c r="I1266">
        <v>2</v>
      </c>
      <c r="J1266">
        <v>0</v>
      </c>
      <c r="K1266">
        <v>0</v>
      </c>
      <c r="L1266">
        <v>0</v>
      </c>
    </row>
    <row r="1267" spans="1:12">
      <c r="A1267" t="str">
        <f>HYPERLINK("http://bombeiros.sp.gov.br/hidrantes/03individual/4192.html","4192")</f>
        <v>4192</v>
      </c>
      <c r="B1267" t="str">
        <f>HYPERLINK("http://bombeiros.sp.gov.br/hidrantes/08bsg/qrcodeBSG.html?id=4192&amp;lat=-23.53187&amp;long=-46.43997&amp;tipo=S","QRCODE")</f>
        <v>QRCODE</v>
      </c>
      <c r="C1267" t="s">
        <v>5273</v>
      </c>
      <c r="D1267" t="s">
        <v>48</v>
      </c>
      <c r="E1267" t="s">
        <v>2563</v>
      </c>
      <c r="F1267" t="s">
        <v>21</v>
      </c>
      <c r="G1267" t="s">
        <v>4496</v>
      </c>
      <c r="H1267">
        <v>0</v>
      </c>
      <c r="I1267">
        <v>2</v>
      </c>
      <c r="J1267">
        <v>0</v>
      </c>
      <c r="K1267">
        <v>0</v>
      </c>
      <c r="L1267">
        <v>0</v>
      </c>
    </row>
    <row r="1268" spans="1:12">
      <c r="A1268" t="str">
        <f>HYPERLINK("http://bombeiros.sp.gov.br/hidrantes/03individual/4195.html","4195")</f>
        <v>4195</v>
      </c>
      <c r="B1268" t="str">
        <f>HYPERLINK("http://bombeiros.sp.gov.br/hidrantes/08bsg/qrcodeBSG.html?id=4195&amp;lat=-23.53273&amp;long=-46.43255&amp;tipo=S","QRCODE")</f>
        <v>QRCODE</v>
      </c>
      <c r="C1268" t="s">
        <v>5273</v>
      </c>
      <c r="D1268" t="s">
        <v>48</v>
      </c>
      <c r="E1268" t="s">
        <v>2563</v>
      </c>
      <c r="F1268" t="s">
        <v>21</v>
      </c>
      <c r="G1268" t="s">
        <v>2731</v>
      </c>
      <c r="H1268">
        <v>0</v>
      </c>
      <c r="I1268">
        <v>2</v>
      </c>
      <c r="J1268">
        <v>0</v>
      </c>
      <c r="K1268">
        <v>0</v>
      </c>
      <c r="L1268">
        <v>0</v>
      </c>
    </row>
    <row r="1269" spans="1:12">
      <c r="A1269" t="str">
        <f>HYPERLINK("http://bombeiros.sp.gov.br/hidrantes/03individual/4313.html","4313")</f>
        <v>4313</v>
      </c>
      <c r="B1269" t="str">
        <f>HYPERLINK("http://bombeiros.sp.gov.br/hidrantes/08bsg/qrcodeBSG.html?id=4313&amp;lat=-23.53351&amp;long=-46.44517&amp;tipo=S","QRCODE")</f>
        <v>QRCODE</v>
      </c>
      <c r="C1269" t="s">
        <v>5273</v>
      </c>
      <c r="D1269" t="s">
        <v>48</v>
      </c>
      <c r="E1269" t="s">
        <v>2563</v>
      </c>
      <c r="F1269" t="s">
        <v>21</v>
      </c>
      <c r="G1269" t="s">
        <v>4499</v>
      </c>
      <c r="H1269">
        <v>0</v>
      </c>
      <c r="I1269">
        <v>2</v>
      </c>
      <c r="J1269">
        <v>0</v>
      </c>
      <c r="K1269">
        <v>0</v>
      </c>
      <c r="L1269">
        <v>0</v>
      </c>
    </row>
    <row r="1270" spans="1:12">
      <c r="A1270" t="str">
        <f>HYPERLINK("http://bombeiros.sp.gov.br/hidrantes/03individual/4314.html","4314")</f>
        <v>4314</v>
      </c>
      <c r="B1270" t="str">
        <f>HYPERLINK("http://bombeiros.sp.gov.br/hidrantes/08bsg/qrcodeBSG.html?id=4314&amp;lat=-23.53629&amp;long=-46.45004&amp;tipo=S","QRCODE")</f>
        <v>QRCODE</v>
      </c>
      <c r="C1270" t="s">
        <v>5273</v>
      </c>
      <c r="D1270" t="s">
        <v>48</v>
      </c>
      <c r="E1270" t="s">
        <v>2563</v>
      </c>
      <c r="F1270" t="s">
        <v>21</v>
      </c>
      <c r="G1270" t="s">
        <v>4500</v>
      </c>
      <c r="H1270">
        <v>0</v>
      </c>
      <c r="I1270">
        <v>2</v>
      </c>
      <c r="J1270">
        <v>0</v>
      </c>
      <c r="K1270">
        <v>0</v>
      </c>
      <c r="L1270">
        <v>0</v>
      </c>
    </row>
    <row r="1271" spans="1:12">
      <c r="A1271" t="str">
        <f>HYPERLINK("http://bombeiros.sp.gov.br/hidrantes/03individual/4315.html","4315")</f>
        <v>4315</v>
      </c>
      <c r="B1271" t="str">
        <f>HYPERLINK("http://bombeiros.sp.gov.br/hidrantes/08bsg/qrcodeBSG.html?id=4315&amp;lat=-23.53777&amp;long=-46.44643&amp;tipo=S","QRCODE")</f>
        <v>QRCODE</v>
      </c>
      <c r="C1271" t="s">
        <v>5273</v>
      </c>
      <c r="D1271" t="s">
        <v>48</v>
      </c>
      <c r="E1271" t="s">
        <v>2563</v>
      </c>
      <c r="F1271" t="s">
        <v>21</v>
      </c>
      <c r="G1271" t="s">
        <v>4675</v>
      </c>
      <c r="H1271">
        <v>1</v>
      </c>
      <c r="I1271">
        <v>1</v>
      </c>
      <c r="J1271">
        <v>0</v>
      </c>
      <c r="K1271">
        <v>0</v>
      </c>
      <c r="L1271">
        <v>0</v>
      </c>
    </row>
    <row r="1272" spans="1:12">
      <c r="A1272" t="str">
        <f>HYPERLINK("http://bombeiros.sp.gov.br/hidrantes/03individual/5250.html","5250")</f>
        <v>5250</v>
      </c>
      <c r="B1272" t="str">
        <f>HYPERLINK("http://bombeiros.sp.gov.br/hidrantes/08bsg/qrcodeBSG.html?id=5250&amp;lat=-23.53649&amp;long=-46.45435&amp;tipo=S","QRCODE")</f>
        <v>QRCODE</v>
      </c>
      <c r="C1272" t="s">
        <v>5273</v>
      </c>
      <c r="D1272" t="s">
        <v>48</v>
      </c>
      <c r="E1272" t="s">
        <v>2563</v>
      </c>
      <c r="F1272" t="s">
        <v>21</v>
      </c>
      <c r="G1272" t="s">
        <v>2562</v>
      </c>
      <c r="H1272">
        <v>0</v>
      </c>
      <c r="I1272">
        <v>2</v>
      </c>
      <c r="J1272">
        <v>0</v>
      </c>
      <c r="K1272">
        <v>0</v>
      </c>
      <c r="L1272">
        <v>0</v>
      </c>
    </row>
    <row r="1273" spans="1:12">
      <c r="A1273" t="str">
        <f>HYPERLINK("http://bombeiros.sp.gov.br/hidrantes/03individual/3382.html","3382")</f>
        <v>3382</v>
      </c>
      <c r="B1273" t="str">
        <f>HYPERLINK("http://bombeiros.sp.gov.br/hidrantes/08bsg/qrcodeBSG.html?id=3382&amp;lat=-23.52631&amp;long=-46.45944&amp;tipo=C","QRCODE")</f>
        <v>QRCODE</v>
      </c>
      <c r="C1273" t="s">
        <v>5273</v>
      </c>
      <c r="D1273" t="s">
        <v>48</v>
      </c>
      <c r="E1273" t="s">
        <v>2736</v>
      </c>
      <c r="F1273" t="s">
        <v>12</v>
      </c>
      <c r="G1273" t="s">
        <v>4510</v>
      </c>
      <c r="H1273">
        <v>0</v>
      </c>
      <c r="I1273">
        <v>2</v>
      </c>
      <c r="J1273">
        <v>0</v>
      </c>
      <c r="K1273">
        <v>0</v>
      </c>
      <c r="L1273">
        <v>0</v>
      </c>
    </row>
    <row r="1274" spans="1:12">
      <c r="A1274" t="str">
        <f>HYPERLINK("http://bombeiros.sp.gov.br/hidrantes/03individual/3406.html","3406")</f>
        <v>3406</v>
      </c>
      <c r="B1274" t="str">
        <f>HYPERLINK("http://bombeiros.sp.gov.br/hidrantes/08bsg/qrcodeBSG.html?id=3406&amp;lat=-23.52802&amp;long=-46.45999&amp;tipo=C","QRCODE")</f>
        <v>QRCODE</v>
      </c>
      <c r="C1274" t="s">
        <v>5273</v>
      </c>
      <c r="D1274" t="s">
        <v>48</v>
      </c>
      <c r="E1274" t="s">
        <v>2736</v>
      </c>
      <c r="F1274" t="s">
        <v>12</v>
      </c>
      <c r="G1274" t="s">
        <v>4509</v>
      </c>
      <c r="H1274">
        <v>0</v>
      </c>
      <c r="I1274">
        <v>2</v>
      </c>
      <c r="J1274">
        <v>0</v>
      </c>
      <c r="K1274">
        <v>0</v>
      </c>
      <c r="L1274">
        <v>0</v>
      </c>
    </row>
    <row r="1275" spans="1:12">
      <c r="A1275" t="str">
        <f>HYPERLINK("http://bombeiros.sp.gov.br/hidrantes/03individual/4412.html","4412")</f>
        <v>4412</v>
      </c>
      <c r="B1275" t="str">
        <f>HYPERLINK("http://bombeiros.sp.gov.br/hidrantes/08bsg/qrcodeBSG.html?id=4412&amp;lat=-23.52514&amp;long=-46.45937&amp;tipo=C","QRCODE")</f>
        <v>QRCODE</v>
      </c>
      <c r="C1275" t="s">
        <v>5273</v>
      </c>
      <c r="D1275" t="s">
        <v>48</v>
      </c>
      <c r="E1275" t="s">
        <v>2736</v>
      </c>
      <c r="F1275" t="s">
        <v>12</v>
      </c>
      <c r="G1275" t="s">
        <v>2735</v>
      </c>
      <c r="H1275">
        <v>0</v>
      </c>
      <c r="I1275">
        <v>2</v>
      </c>
      <c r="J1275">
        <v>0</v>
      </c>
      <c r="K1275">
        <v>0</v>
      </c>
      <c r="L1275">
        <v>0</v>
      </c>
    </row>
    <row r="1276" spans="1:12">
      <c r="A1276" t="str">
        <f>HYPERLINK("http://bombeiros.sp.gov.br/hidrantes/03individual/2006.html","2006")</f>
        <v>2006</v>
      </c>
      <c r="B1276" t="str">
        <f>HYPERLINK("http://bombeiros.sp.gov.br/hidrantes/08bsg/qrcodeBSG.html?id=2006&amp;lat=-23.52815&amp;long=-46.44886&amp;tipo=C","QRCODE")</f>
        <v>QRCODE</v>
      </c>
      <c r="C1276" t="s">
        <v>5273</v>
      </c>
      <c r="D1276" t="s">
        <v>48</v>
      </c>
      <c r="E1276" t="s">
        <v>1729</v>
      </c>
      <c r="F1276" t="s">
        <v>12</v>
      </c>
      <c r="G1276" t="s">
        <v>4992</v>
      </c>
      <c r="H1276">
        <v>0</v>
      </c>
      <c r="I1276">
        <v>1</v>
      </c>
      <c r="J1276">
        <v>0</v>
      </c>
      <c r="K1276">
        <v>0</v>
      </c>
      <c r="L1276">
        <v>0</v>
      </c>
    </row>
    <row r="1277" spans="1:12">
      <c r="A1277" t="str">
        <f>HYPERLINK("http://bombeiros.sp.gov.br/hidrantes/03individual/3369.html","3369")</f>
        <v>3369</v>
      </c>
      <c r="B1277" t="str">
        <f>HYPERLINK("http://bombeiros.sp.gov.br/hidrantes/08bsg/qrcodeBSG.html?id=3369&amp;lat=-23.53318&amp;long=-46.45368&amp;tipo=C","QRCODE")</f>
        <v>QRCODE</v>
      </c>
      <c r="C1277" t="s">
        <v>5273</v>
      </c>
      <c r="D1277" t="s">
        <v>48</v>
      </c>
      <c r="E1277" t="s">
        <v>1729</v>
      </c>
      <c r="F1277" t="s">
        <v>12</v>
      </c>
      <c r="G1277" t="s">
        <v>4796</v>
      </c>
      <c r="H1277">
        <v>0</v>
      </c>
      <c r="I1277">
        <v>1</v>
      </c>
      <c r="J1277">
        <v>0</v>
      </c>
      <c r="K1277">
        <v>0</v>
      </c>
      <c r="L1277">
        <v>0</v>
      </c>
    </row>
    <row r="1278" spans="1:12">
      <c r="A1278" t="str">
        <f>HYPERLINK("http://bombeiros.sp.gov.br/hidrantes/03individual/1953.html","1953")</f>
        <v>1953</v>
      </c>
      <c r="B1278" t="str">
        <f>HYPERLINK("http://bombeiros.sp.gov.br/hidrantes/08bsg/qrcodeBSG.html?id=1953&amp;lat=-23.52906&amp;long=-46.45563&amp;tipo=S","QRCODE")</f>
        <v>QRCODE</v>
      </c>
      <c r="C1278" t="s">
        <v>5273</v>
      </c>
      <c r="D1278" t="s">
        <v>48</v>
      </c>
      <c r="E1278" t="s">
        <v>1729</v>
      </c>
      <c r="F1278" t="s">
        <v>21</v>
      </c>
      <c r="G1278" t="s">
        <v>4993</v>
      </c>
      <c r="H1278">
        <v>0</v>
      </c>
      <c r="I1278">
        <v>1</v>
      </c>
      <c r="J1278">
        <v>0</v>
      </c>
      <c r="K1278">
        <v>0</v>
      </c>
      <c r="L1278">
        <v>0</v>
      </c>
    </row>
    <row r="1279" spans="1:12">
      <c r="A1279" t="str">
        <f>HYPERLINK("http://bombeiros.sp.gov.br/hidrantes/03individual/2022.html","2022")</f>
        <v>2022</v>
      </c>
      <c r="B1279" t="str">
        <f>HYPERLINK("http://bombeiros.sp.gov.br/hidrantes/08bsg/qrcodeBSG.html?id=2022&amp;lat=-23.52021&amp;long=-46.45269&amp;tipo=S","QRCODE")</f>
        <v>QRCODE</v>
      </c>
      <c r="C1279" t="s">
        <v>5273</v>
      </c>
      <c r="D1279" t="s">
        <v>48</v>
      </c>
      <c r="E1279" t="s">
        <v>1729</v>
      </c>
      <c r="F1279" t="s">
        <v>21</v>
      </c>
      <c r="G1279" t="s">
        <v>4799</v>
      </c>
      <c r="H1279">
        <v>0</v>
      </c>
      <c r="I1279">
        <v>1</v>
      </c>
      <c r="J1279">
        <v>0</v>
      </c>
      <c r="K1279">
        <v>0</v>
      </c>
      <c r="L1279">
        <v>0</v>
      </c>
    </row>
    <row r="1280" spans="1:12">
      <c r="A1280" t="str">
        <f>HYPERLINK("http://bombeiros.sp.gov.br/hidrantes/03individual/2026.html","2026")</f>
        <v>2026</v>
      </c>
      <c r="B1280" t="str">
        <f>HYPERLINK("http://bombeiros.sp.gov.br/hidrantes/08bsg/qrcodeBSG.html?id=2026&amp;lat=-23.52690&amp;long=-46.45315&amp;tipo=S","QRCODE")</f>
        <v>QRCODE</v>
      </c>
      <c r="C1280" t="s">
        <v>5273</v>
      </c>
      <c r="D1280" t="s">
        <v>48</v>
      </c>
      <c r="E1280" t="s">
        <v>1729</v>
      </c>
      <c r="F1280" t="s">
        <v>21</v>
      </c>
      <c r="G1280" t="s">
        <v>4479</v>
      </c>
      <c r="H1280">
        <v>0</v>
      </c>
      <c r="I1280">
        <v>2</v>
      </c>
      <c r="J1280">
        <v>0</v>
      </c>
      <c r="K1280">
        <v>0</v>
      </c>
      <c r="L1280">
        <v>0</v>
      </c>
    </row>
    <row r="1281" spans="1:12">
      <c r="A1281" t="str">
        <f>HYPERLINK("http://bombeiros.sp.gov.br/hidrantes/03individual/3380.html","3380")</f>
        <v>3380</v>
      </c>
      <c r="B1281" t="str">
        <f>HYPERLINK("http://bombeiros.sp.gov.br/hidrantes/08bsg/qrcodeBSG.html?id=3380&amp;lat=-23.53081&amp;long=-46.45485&amp;tipo=S","QRCODE")</f>
        <v>QRCODE</v>
      </c>
      <c r="C1281" t="s">
        <v>5273</v>
      </c>
      <c r="D1281" t="s">
        <v>48</v>
      </c>
      <c r="E1281" t="s">
        <v>1729</v>
      </c>
      <c r="F1281" t="s">
        <v>21</v>
      </c>
      <c r="G1281" t="s">
        <v>4989</v>
      </c>
      <c r="H1281">
        <v>0</v>
      </c>
      <c r="I1281">
        <v>1</v>
      </c>
      <c r="J1281">
        <v>0</v>
      </c>
      <c r="K1281">
        <v>0</v>
      </c>
      <c r="L1281">
        <v>0</v>
      </c>
    </row>
    <row r="1282" spans="1:12">
      <c r="A1282" t="str">
        <f>HYPERLINK("http://bombeiros.sp.gov.br/hidrantes/03individual/3384.html","3384")</f>
        <v>3384</v>
      </c>
      <c r="B1282" t="str">
        <f>HYPERLINK("http://bombeiros.sp.gov.br/hidrantes/08bsg/qrcodeBSG.html?id=3384&amp;lat=-23.52503&amp;long=-46.45456&amp;tipo=S","QRCODE")</f>
        <v>QRCODE</v>
      </c>
      <c r="C1282" t="s">
        <v>5273</v>
      </c>
      <c r="D1282" t="s">
        <v>48</v>
      </c>
      <c r="E1282" t="s">
        <v>1729</v>
      </c>
      <c r="F1282" t="s">
        <v>21</v>
      </c>
      <c r="G1282" t="s">
        <v>4513</v>
      </c>
      <c r="H1282">
        <v>0</v>
      </c>
      <c r="I1282">
        <v>2</v>
      </c>
      <c r="J1282">
        <v>0</v>
      </c>
      <c r="K1282">
        <v>0</v>
      </c>
      <c r="L1282">
        <v>0</v>
      </c>
    </row>
    <row r="1283" spans="1:12">
      <c r="A1283" t="str">
        <f>HYPERLINK("http://bombeiros.sp.gov.br/hidrantes/03individual/3388.html","3388")</f>
        <v>3388</v>
      </c>
      <c r="B1283" t="str">
        <f>HYPERLINK("http://bombeiros.sp.gov.br/hidrantes/08bsg/qrcodeBSG.html?id=3388&amp;lat=-23.52423&amp;long=-46.45221&amp;tipo=S","QRCODE")</f>
        <v>QRCODE</v>
      </c>
      <c r="C1283" t="s">
        <v>5273</v>
      </c>
      <c r="D1283" t="s">
        <v>48</v>
      </c>
      <c r="E1283" t="s">
        <v>1729</v>
      </c>
      <c r="F1283" t="s">
        <v>21</v>
      </c>
      <c r="G1283" t="s">
        <v>4514</v>
      </c>
      <c r="H1283">
        <v>1</v>
      </c>
      <c r="I1283">
        <v>1</v>
      </c>
      <c r="J1283">
        <v>0</v>
      </c>
      <c r="K1283">
        <v>0</v>
      </c>
      <c r="L1283">
        <v>0</v>
      </c>
    </row>
    <row r="1284" spans="1:12">
      <c r="A1284" t="str">
        <f>HYPERLINK("http://bombeiros.sp.gov.br/hidrantes/03individual/3389.html","3389")</f>
        <v>3389</v>
      </c>
      <c r="B1284" t="str">
        <f>HYPERLINK("http://bombeiros.sp.gov.br/hidrantes/08bsg/qrcodeBSG.html?id=3389&amp;lat=-23.52003&amp;long=-46.44438&amp;tipo=S","QRCODE")</f>
        <v>QRCODE</v>
      </c>
      <c r="C1284" t="s">
        <v>5273</v>
      </c>
      <c r="D1284" t="s">
        <v>48</v>
      </c>
      <c r="E1284" t="s">
        <v>1729</v>
      </c>
      <c r="F1284" t="s">
        <v>21</v>
      </c>
      <c r="G1284" t="s">
        <v>3095</v>
      </c>
      <c r="H1284">
        <v>0</v>
      </c>
      <c r="I1284">
        <v>3</v>
      </c>
      <c r="J1284">
        <v>0</v>
      </c>
      <c r="K1284">
        <v>0</v>
      </c>
      <c r="L1284">
        <v>0</v>
      </c>
    </row>
    <row r="1285" spans="1:12">
      <c r="A1285" t="str">
        <f>HYPERLINK("http://bombeiros.sp.gov.br/hidrantes/03individual/4321.html","4321")</f>
        <v>4321</v>
      </c>
      <c r="B1285" t="str">
        <f>HYPERLINK("http://bombeiros.sp.gov.br/hidrantes/08bsg/qrcodeBSG.html?id=4321&amp;lat=-23.51695&amp;long=-46.45036&amp;tipo=S","QRCODE")</f>
        <v>QRCODE</v>
      </c>
      <c r="C1285" t="s">
        <v>5273</v>
      </c>
      <c r="D1285" t="s">
        <v>48</v>
      </c>
      <c r="E1285" t="s">
        <v>1729</v>
      </c>
      <c r="F1285" t="s">
        <v>21</v>
      </c>
      <c r="G1285" t="s">
        <v>1728</v>
      </c>
      <c r="H1285">
        <v>0</v>
      </c>
      <c r="I1285">
        <v>2</v>
      </c>
      <c r="J1285">
        <v>0</v>
      </c>
      <c r="K1285">
        <v>0</v>
      </c>
      <c r="L1285">
        <v>0</v>
      </c>
    </row>
    <row r="1286" spans="1:12">
      <c r="A1286" t="str">
        <f>HYPERLINK("http://bombeiros.sp.gov.br/hidrantes/03individual/3422.html","3422")</f>
        <v>3422</v>
      </c>
      <c r="B1286" t="str">
        <f>HYPERLINK("http://bombeiros.sp.gov.br/hidrantes/08bsg/qrcodeBSG.html?id=3422&amp;lat=-23.53809&amp;long=-46.47393&amp;tipo=C","QRCODE")</f>
        <v>QRCODE</v>
      </c>
      <c r="C1286" t="s">
        <v>5273</v>
      </c>
      <c r="D1286" t="s">
        <v>48</v>
      </c>
      <c r="E1286" t="s">
        <v>1636</v>
      </c>
      <c r="F1286" t="s">
        <v>12</v>
      </c>
      <c r="G1286" t="s">
        <v>4067</v>
      </c>
      <c r="H1286">
        <v>0</v>
      </c>
      <c r="I1286">
        <v>1</v>
      </c>
      <c r="J1286">
        <v>0</v>
      </c>
      <c r="K1286">
        <v>0</v>
      </c>
      <c r="L1286">
        <v>0</v>
      </c>
    </row>
    <row r="1287" spans="1:12">
      <c r="A1287" t="str">
        <f>HYPERLINK("http://bombeiros.sp.gov.br/hidrantes/03individual/3427.html","3427")</f>
        <v>3427</v>
      </c>
      <c r="B1287" t="str">
        <f>HYPERLINK("http://bombeiros.sp.gov.br/hidrantes/08bsg/qrcodeBSG.html?id=3427&amp;lat=-23.53878&amp;long=-46.47132&amp;tipo=C","QRCODE")</f>
        <v>QRCODE</v>
      </c>
      <c r="C1287" t="s">
        <v>5273</v>
      </c>
      <c r="D1287" t="s">
        <v>48</v>
      </c>
      <c r="E1287" t="s">
        <v>1636</v>
      </c>
      <c r="F1287" t="s">
        <v>12</v>
      </c>
      <c r="G1287" t="s">
        <v>4069</v>
      </c>
      <c r="H1287">
        <v>0</v>
      </c>
      <c r="I1287">
        <v>1</v>
      </c>
      <c r="J1287">
        <v>0</v>
      </c>
      <c r="K1287">
        <v>0</v>
      </c>
      <c r="L1287">
        <v>0</v>
      </c>
    </row>
    <row r="1288" spans="1:12">
      <c r="A1288" t="str">
        <f>HYPERLINK("http://bombeiros.sp.gov.br/hidrantes/03individual/3463.html","3463")</f>
        <v>3463</v>
      </c>
      <c r="B1288" t="str">
        <f>HYPERLINK("http://bombeiros.sp.gov.br/hidrantes/08bsg/qrcodeBSG.html?id=3463&amp;lat=-23.53990&amp;long=-46.46613&amp;tipo=C","QRCODE")</f>
        <v>QRCODE</v>
      </c>
      <c r="C1288" t="s">
        <v>5273</v>
      </c>
      <c r="D1288" t="s">
        <v>48</v>
      </c>
      <c r="E1288" t="s">
        <v>1636</v>
      </c>
      <c r="F1288" t="s">
        <v>12</v>
      </c>
      <c r="G1288" t="s">
        <v>4064</v>
      </c>
      <c r="H1288">
        <v>0</v>
      </c>
      <c r="I1288">
        <v>1</v>
      </c>
      <c r="J1288">
        <v>0</v>
      </c>
      <c r="K1288">
        <v>0</v>
      </c>
      <c r="L1288">
        <v>0</v>
      </c>
    </row>
    <row r="1289" spans="1:12">
      <c r="A1289" t="str">
        <f>HYPERLINK("http://bombeiros.sp.gov.br/hidrantes/03individual/3465.html","3465")</f>
        <v>3465</v>
      </c>
      <c r="B1289" t="str">
        <f>HYPERLINK("http://bombeiros.sp.gov.br/hidrantes/08bsg/qrcodeBSG.html?id=3465&amp;lat=-23.53598&amp;long=-46.46781&amp;tipo=C","QRCODE")</f>
        <v>QRCODE</v>
      </c>
      <c r="C1289" t="s">
        <v>5273</v>
      </c>
      <c r="D1289" t="s">
        <v>48</v>
      </c>
      <c r="E1289" t="s">
        <v>1636</v>
      </c>
      <c r="F1289" t="s">
        <v>12</v>
      </c>
      <c r="G1289" t="s">
        <v>5237</v>
      </c>
      <c r="H1289">
        <v>1</v>
      </c>
      <c r="I1289">
        <v>0</v>
      </c>
      <c r="J1289">
        <v>0</v>
      </c>
      <c r="K1289">
        <v>0</v>
      </c>
      <c r="L1289">
        <v>0</v>
      </c>
    </row>
    <row r="1290" spans="1:12">
      <c r="A1290" t="str">
        <f>HYPERLINK("http://bombeiros.sp.gov.br/hidrantes/03individual/1879.html","1879")</f>
        <v>1879</v>
      </c>
      <c r="B1290" t="str">
        <f>HYPERLINK("http://bombeiros.sp.gov.br/hidrantes/08bsg/qrcodeBSG.html?id=1879&amp;lat=-23.53174&amp;long=-46.47268&amp;tipo=S","QRCODE")</f>
        <v>QRCODE</v>
      </c>
      <c r="C1290" t="s">
        <v>5273</v>
      </c>
      <c r="D1290" t="s">
        <v>48</v>
      </c>
      <c r="E1290" t="s">
        <v>1636</v>
      </c>
      <c r="F1290" t="s">
        <v>21</v>
      </c>
      <c r="G1290" t="s">
        <v>1635</v>
      </c>
      <c r="H1290">
        <v>0</v>
      </c>
      <c r="I1290">
        <v>2</v>
      </c>
      <c r="J1290">
        <v>0</v>
      </c>
      <c r="K1290">
        <v>0</v>
      </c>
      <c r="L1290">
        <v>0</v>
      </c>
    </row>
    <row r="1291" spans="1:12">
      <c r="A1291" t="str">
        <f>HYPERLINK("http://bombeiros.sp.gov.br/hidrantes/03individual/3425.html","3425")</f>
        <v>3425</v>
      </c>
      <c r="B1291" t="str">
        <f>HYPERLINK("http://bombeiros.sp.gov.br/hidrantes/08bsg/qrcodeBSG.html?id=3425&amp;lat=-23.53716&amp;long=-46.46003&amp;tipo=S","QRCODE")</f>
        <v>QRCODE</v>
      </c>
      <c r="C1291" t="s">
        <v>5273</v>
      </c>
      <c r="D1291" t="s">
        <v>48</v>
      </c>
      <c r="E1291" t="s">
        <v>1636</v>
      </c>
      <c r="F1291" t="s">
        <v>21</v>
      </c>
      <c r="G1291" t="s">
        <v>4507</v>
      </c>
      <c r="H1291">
        <v>0</v>
      </c>
      <c r="I1291">
        <v>2</v>
      </c>
      <c r="J1291">
        <v>0</v>
      </c>
      <c r="K1291">
        <v>0</v>
      </c>
      <c r="L1291">
        <v>0</v>
      </c>
    </row>
    <row r="1292" spans="1:12">
      <c r="A1292" t="str">
        <f>HYPERLINK("http://bombeiros.sp.gov.br/hidrantes/03individual/3426.html","3426")</f>
        <v>3426</v>
      </c>
      <c r="B1292" t="str">
        <f>HYPERLINK("http://bombeiros.sp.gov.br/hidrantes/08bsg/qrcodeBSG.html?id=3426&amp;lat=-23.53641&amp;long=-46.46179&amp;tipo=S","QRCODE")</f>
        <v>QRCODE</v>
      </c>
      <c r="C1292" t="s">
        <v>5273</v>
      </c>
      <c r="D1292" t="s">
        <v>48</v>
      </c>
      <c r="E1292" t="s">
        <v>1636</v>
      </c>
      <c r="F1292" t="s">
        <v>21</v>
      </c>
      <c r="G1292" t="s">
        <v>4068</v>
      </c>
      <c r="H1292">
        <v>0</v>
      </c>
      <c r="I1292">
        <v>1</v>
      </c>
      <c r="J1292">
        <v>0</v>
      </c>
      <c r="K1292">
        <v>0</v>
      </c>
      <c r="L1292">
        <v>0</v>
      </c>
    </row>
    <row r="1293" spans="1:12">
      <c r="A1293" t="str">
        <f>HYPERLINK("http://bombeiros.sp.gov.br/hidrantes/03individual/3444.html","3444")</f>
        <v>3444</v>
      </c>
      <c r="B1293" t="str">
        <f>HYPERLINK("http://bombeiros.sp.gov.br/hidrantes/08bsg/qrcodeBSG.html?id=3444&amp;lat=-23.53837&amp;long=-46.46255&amp;tipo=S","QRCODE")</f>
        <v>QRCODE</v>
      </c>
      <c r="C1293" t="s">
        <v>5273</v>
      </c>
      <c r="D1293" t="s">
        <v>48</v>
      </c>
      <c r="E1293" t="s">
        <v>1636</v>
      </c>
      <c r="F1293" t="s">
        <v>21</v>
      </c>
      <c r="G1293" t="s">
        <v>4065</v>
      </c>
      <c r="H1293">
        <v>0</v>
      </c>
      <c r="I1293">
        <v>1</v>
      </c>
      <c r="J1293">
        <v>0</v>
      </c>
      <c r="K1293">
        <v>0</v>
      </c>
      <c r="L1293">
        <v>0</v>
      </c>
    </row>
    <row r="1294" spans="1:12">
      <c r="A1294" t="str">
        <f>HYPERLINK("http://bombeiros.sp.gov.br/hidrantes/03individual/2044.html","2044")</f>
        <v>2044</v>
      </c>
      <c r="B1294" t="str">
        <f>HYPERLINK("http://bombeiros.sp.gov.br/hidrantes/08bsg/qrcodeBSG.html?id=2044&amp;lat=-23.48851&amp;long=-46.43248&amp;tipo=C","QRCODE")</f>
        <v>QRCODE</v>
      </c>
      <c r="C1294" t="s">
        <v>5273</v>
      </c>
      <c r="D1294" t="s">
        <v>1708</v>
      </c>
      <c r="E1294" t="s">
        <v>1708</v>
      </c>
      <c r="F1294" t="s">
        <v>12</v>
      </c>
      <c r="G1294" t="s">
        <v>3597</v>
      </c>
      <c r="H1294">
        <v>1</v>
      </c>
      <c r="I1294">
        <v>1</v>
      </c>
      <c r="J1294">
        <v>0</v>
      </c>
      <c r="K1294">
        <v>0</v>
      </c>
      <c r="L1294">
        <v>0</v>
      </c>
    </row>
    <row r="1295" spans="1:12">
      <c r="A1295" t="str">
        <f>HYPERLINK("http://bombeiros.sp.gov.br/hidrantes/03individual/2092.html","2092")</f>
        <v>2092</v>
      </c>
      <c r="B1295" t="str">
        <f>HYPERLINK("http://bombeiros.sp.gov.br/hidrantes/08bsg/qrcodeBSG.html?id=2092&amp;lat=-23.48177&amp;long=-46.41833&amp;tipo=C","QRCODE")</f>
        <v>QRCODE</v>
      </c>
      <c r="C1295" t="s">
        <v>5273</v>
      </c>
      <c r="D1295" t="s">
        <v>1708</v>
      </c>
      <c r="E1295" t="s">
        <v>1708</v>
      </c>
      <c r="F1295" t="s">
        <v>12</v>
      </c>
      <c r="G1295" t="s">
        <v>3966</v>
      </c>
      <c r="H1295">
        <v>1</v>
      </c>
      <c r="I1295">
        <v>1</v>
      </c>
      <c r="J1295">
        <v>0</v>
      </c>
      <c r="K1295">
        <v>0</v>
      </c>
      <c r="L1295">
        <v>0</v>
      </c>
    </row>
    <row r="1296" spans="1:12">
      <c r="A1296" t="str">
        <f>HYPERLINK("http://bombeiros.sp.gov.br/hidrantes/03individual/2100.html","2100")</f>
        <v>2100</v>
      </c>
      <c r="B1296" t="str">
        <f>HYPERLINK("http://bombeiros.sp.gov.br/hidrantes/08bsg/qrcodeBSG.html?id=2100&amp;lat=-23.49156&amp;long=-46.42284&amp;tipo=C","QRCODE")</f>
        <v>QRCODE</v>
      </c>
      <c r="C1296" t="s">
        <v>5273</v>
      </c>
      <c r="D1296" t="s">
        <v>1708</v>
      </c>
      <c r="E1296" t="s">
        <v>1708</v>
      </c>
      <c r="F1296" t="s">
        <v>12</v>
      </c>
      <c r="G1296" t="s">
        <v>3596</v>
      </c>
      <c r="H1296">
        <v>1</v>
      </c>
      <c r="I1296">
        <v>1</v>
      </c>
      <c r="J1296">
        <v>0</v>
      </c>
      <c r="K1296">
        <v>0</v>
      </c>
      <c r="L1296">
        <v>0</v>
      </c>
    </row>
    <row r="1297" spans="1:12">
      <c r="A1297" t="str">
        <f>HYPERLINK("http://bombeiros.sp.gov.br/hidrantes/03individual/2070.html","2070")</f>
        <v>2070</v>
      </c>
      <c r="B1297" t="str">
        <f>HYPERLINK("http://bombeiros.sp.gov.br/hidrantes/08bsg/qrcodeBSG.html?id=2070&amp;lat=-23.48436&amp;long=-46.42115&amp;tipo=S","QRCODE")</f>
        <v>QRCODE</v>
      </c>
      <c r="C1297" t="s">
        <v>5273</v>
      </c>
      <c r="D1297" t="s">
        <v>1708</v>
      </c>
      <c r="E1297" t="s">
        <v>1708</v>
      </c>
      <c r="F1297" t="s">
        <v>21</v>
      </c>
      <c r="G1297" t="s">
        <v>4798</v>
      </c>
      <c r="H1297">
        <v>0</v>
      </c>
      <c r="I1297">
        <v>2</v>
      </c>
      <c r="J1297">
        <v>0</v>
      </c>
      <c r="K1297">
        <v>0</v>
      </c>
      <c r="L1297">
        <v>0</v>
      </c>
    </row>
    <row r="1298" spans="1:12">
      <c r="A1298" t="str">
        <f>HYPERLINK("http://bombeiros.sp.gov.br/hidrantes/03individual/2073.html","2073")</f>
        <v>2073</v>
      </c>
      <c r="B1298" t="str">
        <f>HYPERLINK("http://bombeiros.sp.gov.br/hidrantes/08bsg/qrcodeBSG.html?id=2073&amp;lat=-23.47537&amp;long=-46.42476&amp;tipo=S","QRCODE")</f>
        <v>QRCODE</v>
      </c>
      <c r="C1298" t="s">
        <v>5273</v>
      </c>
      <c r="D1298" t="s">
        <v>1708</v>
      </c>
      <c r="E1298" t="s">
        <v>1708</v>
      </c>
      <c r="F1298" t="s">
        <v>21</v>
      </c>
      <c r="G1298" t="s">
        <v>5030</v>
      </c>
      <c r="H1298">
        <v>0</v>
      </c>
      <c r="I1298">
        <v>1</v>
      </c>
      <c r="J1298">
        <v>0</v>
      </c>
      <c r="K1298">
        <v>0</v>
      </c>
      <c r="L1298">
        <v>0</v>
      </c>
    </row>
    <row r="1299" spans="1:12">
      <c r="A1299" t="str">
        <f>HYPERLINK("http://bombeiros.sp.gov.br/hidrantes/03individual/3502.html","3502")</f>
        <v>3502</v>
      </c>
      <c r="B1299" t="str">
        <f>HYPERLINK("http://bombeiros.sp.gov.br/hidrantes/08bsg/qrcodeBSG.html?id=3502&amp;lat=-23.47781&amp;long=-46.42160&amp;tipo=S","QRCODE")</f>
        <v>QRCODE</v>
      </c>
      <c r="C1299" t="s">
        <v>5273</v>
      </c>
      <c r="D1299" t="s">
        <v>1708</v>
      </c>
      <c r="E1299" t="s">
        <v>1708</v>
      </c>
      <c r="F1299" t="s">
        <v>21</v>
      </c>
      <c r="G1299" t="s">
        <v>4950</v>
      </c>
      <c r="H1299">
        <v>0</v>
      </c>
      <c r="I1299">
        <v>1</v>
      </c>
      <c r="J1299">
        <v>0</v>
      </c>
      <c r="K1299">
        <v>0</v>
      </c>
      <c r="L1299">
        <v>0</v>
      </c>
    </row>
    <row r="1300" spans="1:12">
      <c r="A1300" t="str">
        <f>HYPERLINK("http://bombeiros.sp.gov.br/hidrantes/03individual/3508.html","3508")</f>
        <v>3508</v>
      </c>
      <c r="B1300" t="str">
        <f>HYPERLINK("http://bombeiros.sp.gov.br/hidrantes/08bsg/qrcodeBSG.html?id=3508&amp;lat=-23.49008&amp;long=-46.41555&amp;tipo=S","QRCODE")</f>
        <v>QRCODE</v>
      </c>
      <c r="C1300" t="s">
        <v>5273</v>
      </c>
      <c r="D1300" t="s">
        <v>1708</v>
      </c>
      <c r="E1300" t="s">
        <v>1708</v>
      </c>
      <c r="F1300" t="s">
        <v>21</v>
      </c>
      <c r="G1300" t="s">
        <v>1707</v>
      </c>
      <c r="H1300">
        <v>0</v>
      </c>
      <c r="I1300">
        <v>2</v>
      </c>
      <c r="J1300">
        <v>0</v>
      </c>
      <c r="K1300">
        <v>0</v>
      </c>
      <c r="L1300">
        <v>0</v>
      </c>
    </row>
    <row r="1301" spans="1:12">
      <c r="A1301" t="str">
        <f>HYPERLINK("http://bombeiros.sp.gov.br/hidrantes/03individual/3550.html","3550")</f>
        <v>3550</v>
      </c>
      <c r="B1301" t="str">
        <f>HYPERLINK("http://bombeiros.sp.gov.br/hidrantes/08bsg/qrcodeBSG.html?id=3550&amp;lat=-23.48446&amp;long=-46.42695&amp;tipo=S","QRCODE")</f>
        <v>QRCODE</v>
      </c>
      <c r="C1301" t="s">
        <v>5273</v>
      </c>
      <c r="D1301" t="s">
        <v>1708</v>
      </c>
      <c r="E1301" t="s">
        <v>1708</v>
      </c>
      <c r="F1301" t="s">
        <v>21</v>
      </c>
      <c r="G1301" t="s">
        <v>4126</v>
      </c>
      <c r="H1301">
        <v>0</v>
      </c>
      <c r="I1301">
        <v>1</v>
      </c>
      <c r="J1301">
        <v>0</v>
      </c>
      <c r="K1301">
        <v>0</v>
      </c>
      <c r="L1301">
        <v>0</v>
      </c>
    </row>
    <row r="1302" spans="1:12">
      <c r="A1302" t="str">
        <f>HYPERLINK("http://bombeiros.sp.gov.br/hidrantes/03individual/3552.html","3552")</f>
        <v>3552</v>
      </c>
      <c r="B1302" t="str">
        <f>HYPERLINK("http://bombeiros.sp.gov.br/hidrantes/08bsg/qrcodeBSG.html?id=3552&amp;lat=-23.48708&amp;long=-46.42670&amp;tipo=S","QRCODE")</f>
        <v>QRCODE</v>
      </c>
      <c r="C1302" t="s">
        <v>5273</v>
      </c>
      <c r="D1302" t="s">
        <v>1708</v>
      </c>
      <c r="E1302" t="s">
        <v>1708</v>
      </c>
      <c r="F1302" t="s">
        <v>21</v>
      </c>
      <c r="G1302" t="s">
        <v>4127</v>
      </c>
      <c r="H1302">
        <v>0</v>
      </c>
      <c r="I1302">
        <v>1</v>
      </c>
      <c r="J1302">
        <v>0</v>
      </c>
      <c r="K1302">
        <v>0</v>
      </c>
      <c r="L1302">
        <v>0</v>
      </c>
    </row>
    <row r="1303" spans="1:12">
      <c r="A1303" t="str">
        <f>HYPERLINK("http://bombeiros.sp.gov.br/hidrantes/03individual/4205.html","4205")</f>
        <v>4205</v>
      </c>
      <c r="B1303" t="str">
        <f>HYPERLINK("http://bombeiros.sp.gov.br/hidrantes/08bsg/qrcodeBSG.html?id=4205&amp;lat=-23.48554&amp;long=-46.43288&amp;tipo=S","QRCODE")</f>
        <v>QRCODE</v>
      </c>
      <c r="C1303" t="s">
        <v>5273</v>
      </c>
      <c r="D1303" t="s">
        <v>1708</v>
      </c>
      <c r="E1303" t="s">
        <v>1708</v>
      </c>
      <c r="F1303" t="s">
        <v>21</v>
      </c>
      <c r="G1303" t="s">
        <v>4117</v>
      </c>
      <c r="H1303">
        <v>0</v>
      </c>
      <c r="I1303">
        <v>1</v>
      </c>
      <c r="J1303">
        <v>0</v>
      </c>
      <c r="K1303">
        <v>0</v>
      </c>
      <c r="L1303">
        <v>0</v>
      </c>
    </row>
    <row r="1304" spans="1:12">
      <c r="A1304" t="str">
        <f>HYPERLINK("http://bombeiros.sp.gov.br/hidrantes/03individual/4207.html","4207")</f>
        <v>4207</v>
      </c>
      <c r="B1304" t="str">
        <f>HYPERLINK("http://bombeiros.sp.gov.br/hidrantes/08bsg/qrcodeBSG.html?id=4207&amp;lat=-23.48006&amp;long=-46.42879&amp;tipo=S","QRCODE")</f>
        <v>QRCODE</v>
      </c>
      <c r="C1304" t="s">
        <v>5273</v>
      </c>
      <c r="D1304" t="s">
        <v>1708</v>
      </c>
      <c r="E1304" t="s">
        <v>1708</v>
      </c>
      <c r="F1304" t="s">
        <v>21</v>
      </c>
      <c r="G1304" t="s">
        <v>2557</v>
      </c>
      <c r="H1304">
        <v>0</v>
      </c>
      <c r="I1304">
        <v>2</v>
      </c>
      <c r="J1304">
        <v>0</v>
      </c>
      <c r="K1304">
        <v>0</v>
      </c>
      <c r="L1304">
        <v>0</v>
      </c>
    </row>
    <row r="1305" spans="1:12">
      <c r="A1305" t="str">
        <f>HYPERLINK("http://bombeiros.sp.gov.br/hidrantes/03individual/17861.html","17861")</f>
        <v>17861</v>
      </c>
      <c r="B1305" t="str">
        <f>HYPERLINK("http://bombeiros.sp.gov.br/hidrantes/08bsg/qrcodeBSG.html?id=17861&amp;lat=-23.48226&amp;long=-46.43106&amp;tipo=S","QRCODE")</f>
        <v>QRCODE</v>
      </c>
      <c r="C1305" t="s">
        <v>5273</v>
      </c>
      <c r="D1305" t="s">
        <v>1708</v>
      </c>
      <c r="E1305" t="s">
        <v>1708</v>
      </c>
      <c r="F1305" t="s">
        <v>21</v>
      </c>
      <c r="G1305" t="s">
        <v>2586</v>
      </c>
      <c r="H1305">
        <v>0</v>
      </c>
      <c r="I1305">
        <v>2</v>
      </c>
      <c r="J1305">
        <v>0</v>
      </c>
      <c r="K1305">
        <v>0</v>
      </c>
      <c r="L1305">
        <v>0</v>
      </c>
    </row>
    <row r="1306" spans="1:12">
      <c r="A1306" t="str">
        <f>HYPERLINK("http://bombeiros.sp.gov.br/hidrantes/03individual/17862.html","17862")</f>
        <v>17862</v>
      </c>
      <c r="B1306" t="str">
        <f>HYPERLINK("http://bombeiros.sp.gov.br/hidrantes/08bsg/qrcodeBSG.html?id=17862&amp;lat=-23.48074&amp;long=-46.43285&amp;tipo=S","QRCODE")</f>
        <v>QRCODE</v>
      </c>
      <c r="C1306" t="s">
        <v>5273</v>
      </c>
      <c r="D1306" t="s">
        <v>1708</v>
      </c>
      <c r="E1306" t="s">
        <v>1708</v>
      </c>
      <c r="F1306" t="s">
        <v>21</v>
      </c>
      <c r="G1306" t="s">
        <v>4107</v>
      </c>
      <c r="H1306">
        <v>0</v>
      </c>
      <c r="I1306">
        <v>1</v>
      </c>
      <c r="J1306">
        <v>0</v>
      </c>
      <c r="K1306">
        <v>0</v>
      </c>
      <c r="L1306">
        <v>0</v>
      </c>
    </row>
    <row r="1307" spans="1:12">
      <c r="A1307" t="str">
        <f>HYPERLINK("http://bombeiros.sp.gov.br/hidrantes/03individual/2058.html","2058")</f>
        <v>2058</v>
      </c>
      <c r="B1307" t="str">
        <f>HYPERLINK("http://bombeiros.sp.gov.br/hidrantes/08bsg/qrcodeBSG.html?id=2058&amp;lat=-23.48167&amp;long=-46.37980&amp;tipo=S","QRCODE")</f>
        <v>QRCODE</v>
      </c>
      <c r="C1307" t="s">
        <v>5273</v>
      </c>
      <c r="D1307" t="s">
        <v>1708</v>
      </c>
      <c r="E1307" t="s">
        <v>3429</v>
      </c>
      <c r="F1307" t="s">
        <v>21</v>
      </c>
      <c r="G1307" t="s">
        <v>3504</v>
      </c>
      <c r="H1307">
        <v>1</v>
      </c>
      <c r="I1307">
        <v>1</v>
      </c>
      <c r="J1307">
        <v>0</v>
      </c>
      <c r="K1307">
        <v>0</v>
      </c>
      <c r="L1307">
        <v>0</v>
      </c>
    </row>
    <row r="1308" spans="1:12">
      <c r="A1308" t="str">
        <f>HYPERLINK("http://bombeiros.sp.gov.br/hidrantes/03individual/17864.html","17864")</f>
        <v>17864</v>
      </c>
      <c r="B1308" t="str">
        <f>HYPERLINK("http://bombeiros.sp.gov.br/hidrantes/08bsg/qrcodeBSG.html?id=17864&amp;lat=-23.48434&amp;long=-46.39091&amp;tipo=S","QRCODE")</f>
        <v>QRCODE</v>
      </c>
      <c r="C1308" t="s">
        <v>5273</v>
      </c>
      <c r="D1308" t="s">
        <v>1708</v>
      </c>
      <c r="E1308" t="s">
        <v>3429</v>
      </c>
      <c r="F1308" t="s">
        <v>21</v>
      </c>
      <c r="G1308" t="s">
        <v>3428</v>
      </c>
      <c r="H1308">
        <v>0</v>
      </c>
      <c r="I1308">
        <v>1</v>
      </c>
      <c r="J1308">
        <v>0</v>
      </c>
      <c r="K1308">
        <v>0</v>
      </c>
      <c r="L1308">
        <v>0</v>
      </c>
    </row>
    <row r="1309" spans="1:12">
      <c r="A1309" t="str">
        <f>HYPERLINK("http://bombeiros.sp.gov.br/hidrantes/03individual/17898.html","17898")</f>
        <v>17898</v>
      </c>
      <c r="B1309" t="str">
        <f>HYPERLINK("http://bombeiros.sp.gov.br/hidrantes/08bsg/qrcodeBSG.html?id=17898&amp;lat=-23.48345&amp;long=-46.38330&amp;tipo=S","QRCODE")</f>
        <v>QRCODE</v>
      </c>
      <c r="C1309" t="s">
        <v>5273</v>
      </c>
      <c r="D1309" t="s">
        <v>1708</v>
      </c>
      <c r="E1309" t="s">
        <v>3429</v>
      </c>
      <c r="F1309" t="s">
        <v>21</v>
      </c>
      <c r="G1309" t="s">
        <v>4174</v>
      </c>
      <c r="H1309">
        <v>0</v>
      </c>
      <c r="I1309">
        <v>1</v>
      </c>
      <c r="J1309">
        <v>0</v>
      </c>
      <c r="K1309">
        <v>0</v>
      </c>
      <c r="L1309">
        <v>0</v>
      </c>
    </row>
    <row r="1310" spans="1:12">
      <c r="A1310" t="str">
        <f>HYPERLINK("http://bombeiros.sp.gov.br/hidrantes/03individual/27170.html","27170")</f>
        <v>27170</v>
      </c>
      <c r="B1310" t="str">
        <f>HYPERLINK("http://bombeiros.sp.gov.br/hidrantes/08bsg/qrcodeBSG.html?id=27170&amp;lat=-23.48184&amp;long=-46.37974&amp;tipo=S","QRCODE")</f>
        <v>QRCODE</v>
      </c>
      <c r="C1310" t="s">
        <v>5273</v>
      </c>
      <c r="D1310" t="s">
        <v>1708</v>
      </c>
      <c r="E1310" t="s">
        <v>3429</v>
      </c>
      <c r="F1310" t="s">
        <v>21</v>
      </c>
      <c r="G1310" t="s">
        <v>3504</v>
      </c>
      <c r="H1310">
        <v>0</v>
      </c>
      <c r="I1310">
        <v>1</v>
      </c>
      <c r="J1310">
        <v>0</v>
      </c>
      <c r="K1310">
        <v>0</v>
      </c>
      <c r="L1310">
        <v>0</v>
      </c>
    </row>
    <row r="1311" spans="1:12">
      <c r="A1311" t="str">
        <f>HYPERLINK("http://bombeiros.sp.gov.br/hidrantes/03individual/1015.html","1015")</f>
        <v>1015</v>
      </c>
      <c r="B1311" t="str">
        <f>HYPERLINK("http://bombeiros.sp.gov.br/hidrantes/08bsg/qrcodeBSG.html?id=1015&amp;lat=-23.58358&amp;long=-46.41760&amp;tipo=C","QRCODE")</f>
        <v>QRCODE</v>
      </c>
      <c r="C1311" t="s">
        <v>5273</v>
      </c>
      <c r="D1311" t="s">
        <v>2702</v>
      </c>
      <c r="E1311" t="s">
        <v>1993</v>
      </c>
      <c r="F1311" t="s">
        <v>12</v>
      </c>
      <c r="G1311" t="s">
        <v>2976</v>
      </c>
      <c r="H1311">
        <v>0</v>
      </c>
      <c r="I1311">
        <v>1</v>
      </c>
      <c r="J1311">
        <v>0</v>
      </c>
      <c r="K1311">
        <v>0</v>
      </c>
      <c r="L1311">
        <v>0</v>
      </c>
    </row>
    <row r="1312" spans="1:12">
      <c r="A1312" t="str">
        <f>HYPERLINK("http://bombeiros.sp.gov.br/hidrantes/03individual/3397.html","3397")</f>
        <v>3397</v>
      </c>
      <c r="B1312" t="str">
        <f>HYPERLINK("http://bombeiros.sp.gov.br/hidrantes/08bsg/qrcodeBSG.html?id=3397&amp;lat=-23.55836&amp;long=-46.44006&amp;tipo=C","QRCODE")</f>
        <v>QRCODE</v>
      </c>
      <c r="C1312" t="s">
        <v>5273</v>
      </c>
      <c r="D1312" t="s">
        <v>2702</v>
      </c>
      <c r="E1312" t="s">
        <v>1993</v>
      </c>
      <c r="F1312" t="s">
        <v>12</v>
      </c>
      <c r="G1312" t="s">
        <v>4166</v>
      </c>
      <c r="H1312">
        <v>0</v>
      </c>
      <c r="I1312">
        <v>1</v>
      </c>
      <c r="J1312">
        <v>0</v>
      </c>
      <c r="K1312">
        <v>0</v>
      </c>
      <c r="L1312">
        <v>0</v>
      </c>
    </row>
    <row r="1313" spans="1:12">
      <c r="A1313" t="str">
        <f>HYPERLINK("http://bombeiros.sp.gov.br/hidrantes/03individual/6781.html","6781")</f>
        <v>6781</v>
      </c>
      <c r="B1313" t="str">
        <f>HYPERLINK("http://bombeiros.sp.gov.br/hidrantes/08bsg/qrcodeBSG.html?id=6781&amp;lat=-23.58745&amp;long=-46.42203&amp;tipo=C","QRCODE")</f>
        <v>QRCODE</v>
      </c>
      <c r="C1313" t="s">
        <v>5273</v>
      </c>
      <c r="D1313" t="s">
        <v>2702</v>
      </c>
      <c r="E1313" t="s">
        <v>1993</v>
      </c>
      <c r="F1313" t="s">
        <v>12</v>
      </c>
      <c r="G1313" t="s">
        <v>1992</v>
      </c>
      <c r="H1313">
        <v>1</v>
      </c>
      <c r="I1313">
        <v>2</v>
      </c>
      <c r="J1313">
        <v>0</v>
      </c>
      <c r="K1313">
        <v>0</v>
      </c>
      <c r="L1313">
        <v>0</v>
      </c>
    </row>
    <row r="1314" spans="1:12">
      <c r="A1314" t="str">
        <f>HYPERLINK("http://bombeiros.sp.gov.br/hidrantes/03individual/26991.html","26991")</f>
        <v>26991</v>
      </c>
      <c r="B1314" t="str">
        <f>HYPERLINK("http://bombeiros.sp.gov.br/hidrantes/08bsg/qrcodeBSG.html?id=26991&amp;lat=-23.56294&amp;long=-46.43109&amp;tipo=C","QRCODE")</f>
        <v>QRCODE</v>
      </c>
      <c r="C1314" t="s">
        <v>5273</v>
      </c>
      <c r="D1314" t="s">
        <v>2702</v>
      </c>
      <c r="E1314" t="s">
        <v>1993</v>
      </c>
      <c r="F1314" t="s">
        <v>12</v>
      </c>
      <c r="G1314" t="s">
        <v>3786</v>
      </c>
      <c r="H1314">
        <v>0</v>
      </c>
      <c r="I1314">
        <v>1</v>
      </c>
      <c r="J1314">
        <v>0</v>
      </c>
      <c r="K1314">
        <v>0</v>
      </c>
      <c r="L1314">
        <v>0</v>
      </c>
    </row>
    <row r="1315" spans="1:12">
      <c r="A1315" t="str">
        <f>HYPERLINK("http://bombeiros.sp.gov.br/hidrantes/03individual/27079.html","27079")</f>
        <v>27079</v>
      </c>
      <c r="B1315" t="str">
        <f>HYPERLINK("http://bombeiros.sp.gov.br/hidrantes/08bsg/qrcodeBSG.html?id=27079&amp;lat=-23.57878&amp;long=-46.43193&amp;tipo=C","QRCODE")</f>
        <v>QRCODE</v>
      </c>
      <c r="C1315" t="s">
        <v>5273</v>
      </c>
      <c r="D1315" t="s">
        <v>2702</v>
      </c>
      <c r="E1315" t="s">
        <v>1993</v>
      </c>
      <c r="F1315" t="s">
        <v>12</v>
      </c>
      <c r="G1315" t="s">
        <v>3433</v>
      </c>
      <c r="H1315">
        <v>0</v>
      </c>
      <c r="I1315">
        <v>1</v>
      </c>
      <c r="J1315">
        <v>0</v>
      </c>
      <c r="K1315">
        <v>0</v>
      </c>
      <c r="L1315">
        <v>0</v>
      </c>
    </row>
    <row r="1316" spans="1:12">
      <c r="A1316" t="str">
        <f>HYPERLINK("http://bombeiros.sp.gov.br/hidrantes/03individual/27156.html","27156")</f>
        <v>27156</v>
      </c>
      <c r="B1316" t="str">
        <f>HYPERLINK("http://bombeiros.sp.gov.br/hidrantes/08bsg/qrcodeBSG.html?id=27156&amp;lat=-23.55981&amp;long=-46.43506&amp;tipo=C","QRCODE")</f>
        <v>QRCODE</v>
      </c>
      <c r="C1316" t="s">
        <v>5273</v>
      </c>
      <c r="D1316" t="s">
        <v>2702</v>
      </c>
      <c r="E1316" t="s">
        <v>1993</v>
      </c>
      <c r="F1316" t="s">
        <v>12</v>
      </c>
      <c r="G1316" t="s">
        <v>5309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>
      <c r="A1317" t="str">
        <f>HYPERLINK("http://bombeiros.sp.gov.br/hidrantes/03individual/27197.html","27197")</f>
        <v>27197</v>
      </c>
      <c r="B1317" t="str">
        <f>HYPERLINK("http://bombeiros.sp.gov.br/hidrantes/08bsg/qrcodeBSG.html?id=27197&amp;lat=-23.57752&amp;long=-46.43912&amp;tipo=C","QRCODE")</f>
        <v>QRCODE</v>
      </c>
      <c r="C1317" t="s">
        <v>5273</v>
      </c>
      <c r="D1317" t="s">
        <v>2702</v>
      </c>
      <c r="E1317" t="s">
        <v>1993</v>
      </c>
      <c r="F1317" t="s">
        <v>12</v>
      </c>
      <c r="G1317" t="s">
        <v>5310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>
      <c r="A1318" t="str">
        <f>HYPERLINK("http://bombeiros.sp.gov.br/hidrantes/03individual/10056.html","10056")</f>
        <v>10056</v>
      </c>
      <c r="B1318" t="str">
        <f>HYPERLINK("http://bombeiros.sp.gov.br/hidrantes/08bsg/qrcodeBSG.html?id=10056&amp;lat=-23.54138&amp;long=-46.43929&amp;tipo=B","QRCODE")</f>
        <v>QRCODE</v>
      </c>
      <c r="C1318" t="s">
        <v>5273</v>
      </c>
      <c r="D1318" t="s">
        <v>2702</v>
      </c>
      <c r="E1318" t="s">
        <v>2702</v>
      </c>
      <c r="F1318" t="s">
        <v>1719</v>
      </c>
      <c r="G1318" t="s">
        <v>5311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>
      <c r="A1319" t="str">
        <f>HYPERLINK("http://bombeiros.sp.gov.br/hidrantes/03individual/3357.html","3357")</f>
        <v>3357</v>
      </c>
      <c r="B1319" t="str">
        <f>HYPERLINK("http://bombeiros.sp.gov.br/hidrantes/08bsg/qrcodeBSG.html?id=3357&amp;lat=-23.55268&amp;long=-46.42577&amp;tipo=C","QRCODE")</f>
        <v>QRCODE</v>
      </c>
      <c r="C1319" t="s">
        <v>5273</v>
      </c>
      <c r="D1319" t="s">
        <v>2702</v>
      </c>
      <c r="E1319" t="s">
        <v>2702</v>
      </c>
      <c r="F1319" t="s">
        <v>12</v>
      </c>
      <c r="G1319" t="s">
        <v>4168</v>
      </c>
      <c r="H1319">
        <v>0</v>
      </c>
      <c r="I1319">
        <v>1</v>
      </c>
      <c r="J1319">
        <v>0</v>
      </c>
      <c r="K1319">
        <v>0</v>
      </c>
      <c r="L1319">
        <v>0</v>
      </c>
    </row>
    <row r="1320" spans="1:12">
      <c r="A1320" t="str">
        <f>HYPERLINK("http://bombeiros.sp.gov.br/hidrantes/03individual/3383.html","3383")</f>
        <v>3383</v>
      </c>
      <c r="B1320" t="str">
        <f>HYPERLINK("http://bombeiros.sp.gov.br/hidrantes/08bsg/qrcodeBSG.html?id=3383&amp;lat=-23.54046&amp;long=-46.43804&amp;tipo=C","QRCODE")</f>
        <v>QRCODE</v>
      </c>
      <c r="C1320" t="s">
        <v>5273</v>
      </c>
      <c r="D1320" t="s">
        <v>2702</v>
      </c>
      <c r="E1320" t="s">
        <v>2702</v>
      </c>
      <c r="F1320" t="s">
        <v>12</v>
      </c>
      <c r="G1320" t="s">
        <v>4512</v>
      </c>
      <c r="H1320">
        <v>0</v>
      </c>
      <c r="I1320">
        <v>2</v>
      </c>
      <c r="J1320">
        <v>0</v>
      </c>
      <c r="K1320">
        <v>0</v>
      </c>
      <c r="L1320">
        <v>0</v>
      </c>
    </row>
    <row r="1321" spans="1:12">
      <c r="A1321" t="str">
        <f>HYPERLINK("http://bombeiros.sp.gov.br/hidrantes/03individual/3385.html","3385")</f>
        <v>3385</v>
      </c>
      <c r="B1321" t="str">
        <f>HYPERLINK("http://bombeiros.sp.gov.br/hidrantes/08bsg/qrcodeBSG.html?id=3385&amp;lat=-23.54002&amp;long=-46.43594&amp;tipo=C","QRCODE")</f>
        <v>QRCODE</v>
      </c>
      <c r="C1321" t="s">
        <v>5273</v>
      </c>
      <c r="D1321" t="s">
        <v>2702</v>
      </c>
      <c r="E1321" t="s">
        <v>2702</v>
      </c>
      <c r="F1321" t="s">
        <v>12</v>
      </c>
      <c r="G1321" t="s">
        <v>2751</v>
      </c>
      <c r="H1321">
        <v>0</v>
      </c>
      <c r="I1321">
        <v>2</v>
      </c>
      <c r="J1321">
        <v>0</v>
      </c>
      <c r="K1321">
        <v>0</v>
      </c>
      <c r="L1321">
        <v>0</v>
      </c>
    </row>
    <row r="1322" spans="1:12">
      <c r="A1322" t="str">
        <f>HYPERLINK("http://bombeiros.sp.gov.br/hidrantes/03individual/3412.html","3412")</f>
        <v>3412</v>
      </c>
      <c r="B1322" t="str">
        <f>HYPERLINK("http://bombeiros.sp.gov.br/hidrantes/08bsg/qrcodeBSG.html?id=3412&amp;lat=-23.54957&amp;long=-46.44046&amp;tipo=C","QRCODE")</f>
        <v>QRCODE</v>
      </c>
      <c r="C1322" t="s">
        <v>5273</v>
      </c>
      <c r="D1322" t="s">
        <v>2702</v>
      </c>
      <c r="E1322" t="s">
        <v>2702</v>
      </c>
      <c r="F1322" t="s">
        <v>12</v>
      </c>
      <c r="G1322" t="s">
        <v>2747</v>
      </c>
      <c r="H1322">
        <v>0</v>
      </c>
      <c r="I1322">
        <v>2</v>
      </c>
      <c r="J1322">
        <v>0</v>
      </c>
      <c r="K1322">
        <v>0</v>
      </c>
      <c r="L1322">
        <v>0</v>
      </c>
    </row>
    <row r="1323" spans="1:12">
      <c r="A1323" t="str">
        <f>HYPERLINK("http://bombeiros.sp.gov.br/hidrantes/03individual/3413.html","3413")</f>
        <v>3413</v>
      </c>
      <c r="B1323" t="str">
        <f>HYPERLINK("http://bombeiros.sp.gov.br/hidrantes/08bsg/qrcodeBSG.html?id=3413&amp;lat=-23.55202&amp;long=-46.44258&amp;tipo=C","QRCODE")</f>
        <v>QRCODE</v>
      </c>
      <c r="C1323" t="s">
        <v>5273</v>
      </c>
      <c r="D1323" t="s">
        <v>2702</v>
      </c>
      <c r="E1323" t="s">
        <v>2702</v>
      </c>
      <c r="F1323" t="s">
        <v>12</v>
      </c>
      <c r="G1323" t="s">
        <v>3929</v>
      </c>
      <c r="H1323">
        <v>0</v>
      </c>
      <c r="I1323">
        <v>1</v>
      </c>
      <c r="J1323">
        <v>0</v>
      </c>
      <c r="K1323">
        <v>0</v>
      </c>
      <c r="L1323">
        <v>0</v>
      </c>
    </row>
    <row r="1324" spans="1:12">
      <c r="A1324" t="str">
        <f>HYPERLINK("http://bombeiros.sp.gov.br/hidrantes/03individual/3414.html","3414")</f>
        <v>3414</v>
      </c>
      <c r="B1324" t="str">
        <f>HYPERLINK("http://bombeiros.sp.gov.br/hidrantes/08bsg/qrcodeBSG.html?id=3414&amp;lat=-23.54866&amp;long=-46.43751&amp;tipo=C","QRCODE")</f>
        <v>QRCODE</v>
      </c>
      <c r="C1324" t="s">
        <v>5273</v>
      </c>
      <c r="D1324" t="s">
        <v>2702</v>
      </c>
      <c r="E1324" t="s">
        <v>2702</v>
      </c>
      <c r="F1324" t="s">
        <v>12</v>
      </c>
      <c r="G1324" t="s">
        <v>2748</v>
      </c>
      <c r="H1324">
        <v>0</v>
      </c>
      <c r="I1324">
        <v>2</v>
      </c>
      <c r="J1324">
        <v>0</v>
      </c>
      <c r="K1324">
        <v>0</v>
      </c>
      <c r="L1324">
        <v>0</v>
      </c>
    </row>
    <row r="1325" spans="1:12">
      <c r="A1325" t="str">
        <f>HYPERLINK("http://bombeiros.sp.gov.br/hidrantes/03individual/3423.html","3423")</f>
        <v>3423</v>
      </c>
      <c r="B1325" t="str">
        <f>HYPERLINK("http://bombeiros.sp.gov.br/hidrantes/08bsg/qrcodeBSG.html?id=3423&amp;lat=-23.55424&amp;long=-46.43050&amp;tipo=C","QRCODE")</f>
        <v>QRCODE</v>
      </c>
      <c r="C1325" t="s">
        <v>5273</v>
      </c>
      <c r="D1325" t="s">
        <v>2702</v>
      </c>
      <c r="E1325" t="s">
        <v>2702</v>
      </c>
      <c r="F1325" t="s">
        <v>12</v>
      </c>
      <c r="G1325" t="s">
        <v>4165</v>
      </c>
      <c r="H1325">
        <v>0</v>
      </c>
      <c r="I1325">
        <v>1</v>
      </c>
      <c r="J1325">
        <v>0</v>
      </c>
      <c r="K1325">
        <v>0</v>
      </c>
      <c r="L1325">
        <v>0</v>
      </c>
    </row>
    <row r="1326" spans="1:12">
      <c r="A1326" t="str">
        <f>HYPERLINK("http://bombeiros.sp.gov.br/hidrantes/03individual/4316.html","4316")</f>
        <v>4316</v>
      </c>
      <c r="B1326" t="str">
        <f>HYPERLINK("http://bombeiros.sp.gov.br/hidrantes/08bsg/qrcodeBSG.html?id=4316&amp;lat=-23.55350&amp;long=-46.42757&amp;tipo=C","QRCODE")</f>
        <v>QRCODE</v>
      </c>
      <c r="C1326" t="s">
        <v>5273</v>
      </c>
      <c r="D1326" t="s">
        <v>2702</v>
      </c>
      <c r="E1326" t="s">
        <v>2702</v>
      </c>
      <c r="F1326" t="s">
        <v>12</v>
      </c>
      <c r="G1326" t="s">
        <v>3971</v>
      </c>
      <c r="H1326">
        <v>1</v>
      </c>
      <c r="I1326">
        <v>1</v>
      </c>
      <c r="J1326">
        <v>0</v>
      </c>
      <c r="K1326">
        <v>0</v>
      </c>
      <c r="L1326">
        <v>0</v>
      </c>
    </row>
    <row r="1327" spans="1:12">
      <c r="A1327" t="str">
        <f>HYPERLINK("http://bombeiros.sp.gov.br/hidrantes/03individual/4330.html","4330")</f>
        <v>4330</v>
      </c>
      <c r="B1327" t="str">
        <f>HYPERLINK("http://bombeiros.sp.gov.br/hidrantes/08bsg/qrcodeBSG.html?id=4330&amp;lat=-23.54690&amp;long=-46.43939&amp;tipo=C","QRCODE")</f>
        <v>QRCODE</v>
      </c>
      <c r="C1327" t="s">
        <v>5273</v>
      </c>
      <c r="D1327" t="s">
        <v>2702</v>
      </c>
      <c r="E1327" t="s">
        <v>2702</v>
      </c>
      <c r="F1327" t="s">
        <v>12</v>
      </c>
      <c r="G1327" t="s">
        <v>5137</v>
      </c>
      <c r="H1327">
        <v>0</v>
      </c>
      <c r="I1327">
        <v>1</v>
      </c>
      <c r="J1327">
        <v>0</v>
      </c>
      <c r="K1327">
        <v>0</v>
      </c>
      <c r="L1327">
        <v>0</v>
      </c>
    </row>
    <row r="1328" spans="1:12">
      <c r="A1328" t="str">
        <f>HYPERLINK("http://bombeiros.sp.gov.br/hidrantes/03individual/14977.html","14977")</f>
        <v>14977</v>
      </c>
      <c r="B1328" t="str">
        <f>HYPERLINK("http://bombeiros.sp.gov.br/hidrantes/08bsg/qrcodeBSG.html?id=14977&amp;lat=-23.55304&amp;long=-46.42490&amp;tipo=C","QRCODE")</f>
        <v>QRCODE</v>
      </c>
      <c r="C1328" t="s">
        <v>5273</v>
      </c>
      <c r="D1328" t="s">
        <v>2702</v>
      </c>
      <c r="E1328" t="s">
        <v>2702</v>
      </c>
      <c r="F1328" t="s">
        <v>12</v>
      </c>
      <c r="G1328" t="s">
        <v>3988</v>
      </c>
      <c r="H1328">
        <v>1</v>
      </c>
      <c r="I1328">
        <v>1</v>
      </c>
      <c r="J1328">
        <v>0</v>
      </c>
      <c r="K1328">
        <v>0</v>
      </c>
      <c r="L1328">
        <v>0</v>
      </c>
    </row>
    <row r="1329" spans="1:12">
      <c r="A1329" t="str">
        <f>HYPERLINK("http://bombeiros.sp.gov.br/hidrantes/03individual/1906.html","1906")</f>
        <v>1906</v>
      </c>
      <c r="B1329" t="str">
        <f>HYPERLINK("http://bombeiros.sp.gov.br/hidrantes/08bsg/qrcodeBSG.html?id=1906&amp;lat=-23.54461&amp;long=-46.43792&amp;tipo=S","QRCODE")</f>
        <v>QRCODE</v>
      </c>
      <c r="C1329" t="s">
        <v>5273</v>
      </c>
      <c r="D1329" t="s">
        <v>2702</v>
      </c>
      <c r="E1329" t="s">
        <v>2702</v>
      </c>
      <c r="F1329" t="s">
        <v>21</v>
      </c>
      <c r="G1329" t="s">
        <v>4477</v>
      </c>
      <c r="H1329">
        <v>0</v>
      </c>
      <c r="I1329">
        <v>2</v>
      </c>
      <c r="J1329">
        <v>0</v>
      </c>
      <c r="K1329">
        <v>0</v>
      </c>
      <c r="L1329">
        <v>0</v>
      </c>
    </row>
    <row r="1330" spans="1:12">
      <c r="A1330" t="str">
        <f>HYPERLINK("http://bombeiros.sp.gov.br/hidrantes/03individual/1961.html","1961")</f>
        <v>1961</v>
      </c>
      <c r="B1330" t="str">
        <f>HYPERLINK("http://bombeiros.sp.gov.br/hidrantes/08bsg/qrcodeBSG.html?id=1961&amp;lat=-23.55401&amp;long=-46.43344&amp;tipo=S","QRCODE")</f>
        <v>QRCODE</v>
      </c>
      <c r="C1330" t="s">
        <v>5273</v>
      </c>
      <c r="D1330" t="s">
        <v>2702</v>
      </c>
      <c r="E1330" t="s">
        <v>2702</v>
      </c>
      <c r="F1330" t="s">
        <v>21</v>
      </c>
      <c r="G1330" t="s">
        <v>4996</v>
      </c>
      <c r="H1330">
        <v>0</v>
      </c>
      <c r="I1330">
        <v>1</v>
      </c>
      <c r="J1330">
        <v>0</v>
      </c>
      <c r="K1330">
        <v>0</v>
      </c>
      <c r="L1330">
        <v>0</v>
      </c>
    </row>
    <row r="1331" spans="1:12">
      <c r="A1331" t="str">
        <f>HYPERLINK("http://bombeiros.sp.gov.br/hidrantes/03individual/1963.html","1963")</f>
        <v>1963</v>
      </c>
      <c r="B1331" t="str">
        <f>HYPERLINK("http://bombeiros.sp.gov.br/hidrantes/08bsg/qrcodeBSG.html?id=1963&amp;lat=-23.54724&amp;long=-46.43386&amp;tipo=S","QRCODE")</f>
        <v>QRCODE</v>
      </c>
      <c r="C1331" t="s">
        <v>5273</v>
      </c>
      <c r="D1331" t="s">
        <v>2702</v>
      </c>
      <c r="E1331" t="s">
        <v>2702</v>
      </c>
      <c r="F1331" t="s">
        <v>21</v>
      </c>
      <c r="G1331" t="s">
        <v>2701</v>
      </c>
      <c r="H1331">
        <v>0</v>
      </c>
      <c r="I1331">
        <v>2</v>
      </c>
      <c r="J1331">
        <v>0</v>
      </c>
      <c r="K1331">
        <v>0</v>
      </c>
      <c r="L1331">
        <v>0</v>
      </c>
    </row>
    <row r="1332" spans="1:12">
      <c r="A1332" t="str">
        <f>HYPERLINK("http://bombeiros.sp.gov.br/hidrantes/03individual/1965.html","1965")</f>
        <v>1965</v>
      </c>
      <c r="B1332" t="str">
        <f>HYPERLINK("http://bombeiros.sp.gov.br/hidrantes/08bsg/qrcodeBSG.html?id=1965&amp;lat=-23.55723&amp;long=-46.43277&amp;tipo=S","QRCODE")</f>
        <v>QRCODE</v>
      </c>
      <c r="C1332" t="s">
        <v>5273</v>
      </c>
      <c r="D1332" t="s">
        <v>2702</v>
      </c>
      <c r="E1332" t="s">
        <v>2702</v>
      </c>
      <c r="F1332" t="s">
        <v>21</v>
      </c>
      <c r="G1332" t="s">
        <v>3232</v>
      </c>
      <c r="H1332">
        <v>0</v>
      </c>
      <c r="I1332">
        <v>2</v>
      </c>
      <c r="J1332">
        <v>0</v>
      </c>
      <c r="K1332">
        <v>0</v>
      </c>
      <c r="L1332">
        <v>0</v>
      </c>
    </row>
    <row r="1333" spans="1:12">
      <c r="A1333" t="str">
        <f>HYPERLINK("http://bombeiros.sp.gov.br/hidrantes/03individual/4193.html","4193")</f>
        <v>4193</v>
      </c>
      <c r="B1333" t="str">
        <f>HYPERLINK("http://bombeiros.sp.gov.br/hidrantes/08bsg/qrcodeBSG.html?id=4193&amp;lat=-23.54963&amp;long=-46.43340&amp;tipo=S","QRCODE")</f>
        <v>QRCODE</v>
      </c>
      <c r="C1333" t="s">
        <v>5273</v>
      </c>
      <c r="D1333" t="s">
        <v>2702</v>
      </c>
      <c r="E1333" t="s">
        <v>2702</v>
      </c>
      <c r="F1333" t="s">
        <v>21</v>
      </c>
      <c r="G1333" t="s">
        <v>4999</v>
      </c>
      <c r="H1333">
        <v>0</v>
      </c>
      <c r="I1333">
        <v>1</v>
      </c>
      <c r="J1333">
        <v>0</v>
      </c>
      <c r="K1333">
        <v>0</v>
      </c>
      <c r="L1333">
        <v>0</v>
      </c>
    </row>
    <row r="1334" spans="1:12">
      <c r="A1334" t="str">
        <f>HYPERLINK("http://bombeiros.sp.gov.br/hidrantes/03individual/4198.html","4198")</f>
        <v>4198</v>
      </c>
      <c r="B1334" t="str">
        <f>HYPERLINK("http://bombeiros.sp.gov.br/hidrantes/08bsg/qrcodeBSG.html?id=4198&amp;lat=-23.54447&amp;long=-46.43335&amp;tipo=S","QRCODE")</f>
        <v>QRCODE</v>
      </c>
      <c r="C1334" t="s">
        <v>5273</v>
      </c>
      <c r="D1334" t="s">
        <v>2702</v>
      </c>
      <c r="E1334" t="s">
        <v>2702</v>
      </c>
      <c r="F1334" t="s">
        <v>21</v>
      </c>
      <c r="G1334" t="s">
        <v>2730</v>
      </c>
      <c r="H1334">
        <v>0</v>
      </c>
      <c r="I1334">
        <v>2</v>
      </c>
      <c r="J1334">
        <v>0</v>
      </c>
      <c r="K1334">
        <v>0</v>
      </c>
      <c r="L1334">
        <v>0</v>
      </c>
    </row>
    <row r="1335" spans="1:12">
      <c r="A1335" t="str">
        <f>HYPERLINK("http://bombeiros.sp.gov.br/hidrantes/03individual/4199.html","4199")</f>
        <v>4199</v>
      </c>
      <c r="B1335" t="str">
        <f>HYPERLINK("http://bombeiros.sp.gov.br/hidrantes/08bsg/qrcodeBSG.html?id=4199&amp;lat=-23.54677&amp;long=-46.43171&amp;tipo=S","QRCODE")</f>
        <v>QRCODE</v>
      </c>
      <c r="C1335" t="s">
        <v>5273</v>
      </c>
      <c r="D1335" t="s">
        <v>2702</v>
      </c>
      <c r="E1335" t="s">
        <v>2702</v>
      </c>
      <c r="F1335" t="s">
        <v>21</v>
      </c>
      <c r="G1335" t="s">
        <v>3360</v>
      </c>
      <c r="H1335">
        <v>1</v>
      </c>
      <c r="I1335">
        <v>1</v>
      </c>
      <c r="J1335">
        <v>0</v>
      </c>
      <c r="K1335">
        <v>0</v>
      </c>
      <c r="L1335">
        <v>0</v>
      </c>
    </row>
    <row r="1336" spans="1:12">
      <c r="A1336" t="str">
        <f>HYPERLINK("http://bombeiros.sp.gov.br/hidrantes/03individual/4204.html","4204")</f>
        <v>4204</v>
      </c>
      <c r="B1336" t="str">
        <f>HYPERLINK("http://bombeiros.sp.gov.br/hidrantes/08bsg/qrcodeBSG.html?id=4204&amp;lat=-23.54174&amp;long=-46.42790&amp;tipo=S","QRCODE")</f>
        <v>QRCODE</v>
      </c>
      <c r="C1336" t="s">
        <v>5273</v>
      </c>
      <c r="D1336" t="s">
        <v>2702</v>
      </c>
      <c r="E1336" t="s">
        <v>2702</v>
      </c>
      <c r="F1336" t="s">
        <v>21</v>
      </c>
      <c r="G1336" t="s">
        <v>3972</v>
      </c>
      <c r="H1336">
        <v>1</v>
      </c>
      <c r="I1336">
        <v>1</v>
      </c>
      <c r="J1336">
        <v>0</v>
      </c>
      <c r="K1336">
        <v>0</v>
      </c>
      <c r="L1336">
        <v>0</v>
      </c>
    </row>
    <row r="1337" spans="1:12">
      <c r="A1337" t="str">
        <f>HYPERLINK("http://bombeiros.sp.gov.br/hidrantes/03individual/4322.html","4322")</f>
        <v>4322</v>
      </c>
      <c r="B1337" t="str">
        <f>HYPERLINK("http://bombeiros.sp.gov.br/hidrantes/08bsg/qrcodeBSG.html?id=4322&amp;lat=-23.53981&amp;long=-46.43020&amp;tipo=S","QRCODE")</f>
        <v>QRCODE</v>
      </c>
      <c r="C1337" t="s">
        <v>5273</v>
      </c>
      <c r="D1337" t="s">
        <v>2702</v>
      </c>
      <c r="E1337" t="s">
        <v>2702</v>
      </c>
      <c r="F1337" t="s">
        <v>21</v>
      </c>
      <c r="G1337" t="s">
        <v>2733</v>
      </c>
      <c r="H1337">
        <v>0</v>
      </c>
      <c r="I1337">
        <v>2</v>
      </c>
      <c r="J1337">
        <v>0</v>
      </c>
      <c r="K1337">
        <v>0</v>
      </c>
      <c r="L1337">
        <v>0</v>
      </c>
    </row>
    <row r="1338" spans="1:12">
      <c r="A1338" t="str">
        <f>HYPERLINK("http://bombeiros.sp.gov.br/hidrantes/03individual/17790.html","17790")</f>
        <v>17790</v>
      </c>
      <c r="B1338" t="str">
        <f>HYPERLINK("http://bombeiros.sp.gov.br/hidrantes/08bsg/qrcodeBSG.html?id=17790&amp;lat=-23.55110&amp;long=-46.43626&amp;tipo=S","QRCODE")</f>
        <v>QRCODE</v>
      </c>
      <c r="C1338" t="s">
        <v>5273</v>
      </c>
      <c r="D1338" t="s">
        <v>2702</v>
      </c>
      <c r="E1338" t="s">
        <v>2702</v>
      </c>
      <c r="F1338" t="s">
        <v>21</v>
      </c>
      <c r="G1338" t="s">
        <v>3352</v>
      </c>
      <c r="H1338">
        <v>1</v>
      </c>
      <c r="I1338">
        <v>1</v>
      </c>
      <c r="J1338">
        <v>0</v>
      </c>
      <c r="K1338">
        <v>0</v>
      </c>
      <c r="L1338">
        <v>0</v>
      </c>
    </row>
    <row r="1339" spans="1:12">
      <c r="A1339" t="str">
        <f>HYPERLINK("http://bombeiros.sp.gov.br/hidrantes/03individual/26959.html","26959")</f>
        <v>26959</v>
      </c>
      <c r="B1339" t="str">
        <f>HYPERLINK("http://bombeiros.sp.gov.br/hidrantes/08bsg/qrcodeBSG.html?id=26959&amp;lat=-23.52128&amp;long=-46.38679&amp;tipo=C","QRCODE")</f>
        <v>QRCODE</v>
      </c>
      <c r="C1339" t="s">
        <v>5273</v>
      </c>
      <c r="D1339" t="s">
        <v>47</v>
      </c>
      <c r="E1339" t="s">
        <v>1627</v>
      </c>
      <c r="F1339" t="s">
        <v>12</v>
      </c>
      <c r="G1339" t="s">
        <v>3924</v>
      </c>
      <c r="H1339">
        <v>0</v>
      </c>
      <c r="I1339">
        <v>1</v>
      </c>
      <c r="J1339">
        <v>0</v>
      </c>
      <c r="K1339">
        <v>0</v>
      </c>
      <c r="L1339">
        <v>0</v>
      </c>
    </row>
    <row r="1340" spans="1:12">
      <c r="A1340" t="str">
        <f>HYPERLINK("http://bombeiros.sp.gov.br/hidrantes/03individual/3399.html","3399")</f>
        <v>3399</v>
      </c>
      <c r="B1340" t="str">
        <f>HYPERLINK("http://bombeiros.sp.gov.br/hidrantes/08bsg/qrcodeBSG.html?id=3399&amp;lat=-23.51951&amp;long=-46.42680&amp;tipo=C","QRCODE")</f>
        <v>QRCODE</v>
      </c>
      <c r="C1340" t="s">
        <v>5273</v>
      </c>
      <c r="D1340" t="s">
        <v>47</v>
      </c>
      <c r="E1340" t="s">
        <v>47</v>
      </c>
      <c r="F1340" t="s">
        <v>12</v>
      </c>
      <c r="G1340" t="s">
        <v>1669</v>
      </c>
      <c r="H1340">
        <v>0</v>
      </c>
      <c r="I1340">
        <v>2</v>
      </c>
      <c r="J1340">
        <v>0</v>
      </c>
      <c r="K1340">
        <v>0</v>
      </c>
      <c r="L1340">
        <v>0</v>
      </c>
    </row>
    <row r="1341" spans="1:12">
      <c r="A1341" t="str">
        <f>HYPERLINK("http://bombeiros.sp.gov.br/hidrantes/03individual/3408.html","3408")</f>
        <v>3408</v>
      </c>
      <c r="B1341" t="str">
        <f>HYPERLINK("http://bombeiros.sp.gov.br/hidrantes/08bsg/qrcodeBSG.html?id=3408&amp;lat=-23.53316&amp;long=-46.42256&amp;tipo=C","QRCODE")</f>
        <v>QRCODE</v>
      </c>
      <c r="C1341" t="s">
        <v>5273</v>
      </c>
      <c r="D1341" t="s">
        <v>47</v>
      </c>
      <c r="E1341" t="s">
        <v>47</v>
      </c>
      <c r="F1341" t="s">
        <v>12</v>
      </c>
      <c r="G1341" t="s">
        <v>1670</v>
      </c>
      <c r="H1341">
        <v>0</v>
      </c>
      <c r="I1341">
        <v>2</v>
      </c>
      <c r="J1341">
        <v>0</v>
      </c>
      <c r="K1341">
        <v>0</v>
      </c>
      <c r="L1341">
        <v>0</v>
      </c>
    </row>
    <row r="1342" spans="1:12">
      <c r="A1342" t="str">
        <f>HYPERLINK("http://bombeiros.sp.gov.br/hidrantes/03individual/3415.html","3415")</f>
        <v>3415</v>
      </c>
      <c r="B1342" t="str">
        <f>HYPERLINK("http://bombeiros.sp.gov.br/hidrantes/08bsg/qrcodeBSG.html?id=3415&amp;lat=-23.52835&amp;long=-46.42814&amp;tipo=C","QRCODE")</f>
        <v>QRCODE</v>
      </c>
      <c r="C1342" t="s">
        <v>5273</v>
      </c>
      <c r="D1342" t="s">
        <v>47</v>
      </c>
      <c r="E1342" t="s">
        <v>47</v>
      </c>
      <c r="F1342" t="s">
        <v>12</v>
      </c>
      <c r="G1342" t="s">
        <v>3171</v>
      </c>
      <c r="H1342">
        <v>0</v>
      </c>
      <c r="I1342">
        <v>1</v>
      </c>
      <c r="J1342">
        <v>0</v>
      </c>
      <c r="K1342">
        <v>0</v>
      </c>
      <c r="L1342">
        <v>0</v>
      </c>
    </row>
    <row r="1343" spans="1:12">
      <c r="A1343" t="str">
        <f>HYPERLINK("http://bombeiros.sp.gov.br/hidrantes/03individual/4327.html","4327")</f>
        <v>4327</v>
      </c>
      <c r="B1343" t="str">
        <f>HYPERLINK("http://bombeiros.sp.gov.br/hidrantes/08bsg/qrcodeBSG.html?id=4327&amp;lat=-23.52613&amp;long=-46.42910&amp;tipo=C","QRCODE")</f>
        <v>QRCODE</v>
      </c>
      <c r="C1343" t="s">
        <v>5273</v>
      </c>
      <c r="D1343" t="s">
        <v>47</v>
      </c>
      <c r="E1343" t="s">
        <v>47</v>
      </c>
      <c r="F1343" t="s">
        <v>12</v>
      </c>
      <c r="G1343" t="s">
        <v>1652</v>
      </c>
      <c r="H1343">
        <v>0</v>
      </c>
      <c r="I1343">
        <v>2</v>
      </c>
      <c r="J1343">
        <v>0</v>
      </c>
      <c r="K1343">
        <v>0</v>
      </c>
      <c r="L1343">
        <v>0</v>
      </c>
    </row>
    <row r="1344" spans="1:12">
      <c r="A1344" t="str">
        <f>HYPERLINK("http://bombeiros.sp.gov.br/hidrantes/03individual/15082.html","15082")</f>
        <v>15082</v>
      </c>
      <c r="B1344" t="str">
        <f>HYPERLINK("http://bombeiros.sp.gov.br/hidrantes/08bsg/qrcodeBSG.html?id=15082&amp;lat=-23.52971&amp;long=-46.42614&amp;tipo=C","QRCODE")</f>
        <v>QRCODE</v>
      </c>
      <c r="C1344" t="s">
        <v>5273</v>
      </c>
      <c r="D1344" t="s">
        <v>47</v>
      </c>
      <c r="E1344" t="s">
        <v>47</v>
      </c>
      <c r="F1344" t="s">
        <v>12</v>
      </c>
      <c r="G1344" t="s">
        <v>4183</v>
      </c>
      <c r="H1344">
        <v>0</v>
      </c>
      <c r="I1344">
        <v>1</v>
      </c>
      <c r="J1344">
        <v>0</v>
      </c>
      <c r="K1344">
        <v>0</v>
      </c>
      <c r="L1344">
        <v>0</v>
      </c>
    </row>
    <row r="1345" spans="1:12">
      <c r="A1345" t="str">
        <f>HYPERLINK("http://bombeiros.sp.gov.br/hidrantes/03individual/17875.html","17875")</f>
        <v>17875</v>
      </c>
      <c r="B1345" t="str">
        <f>HYPERLINK("http://bombeiros.sp.gov.br/hidrantes/08bsg/qrcodeBSG.html?id=17875&amp;lat=-23.52829&amp;long=-46.42511&amp;tipo=C","QRCODE")</f>
        <v>QRCODE</v>
      </c>
      <c r="C1345" t="s">
        <v>5273</v>
      </c>
      <c r="D1345" t="s">
        <v>47</v>
      </c>
      <c r="E1345" t="s">
        <v>47</v>
      </c>
      <c r="F1345" t="s">
        <v>12</v>
      </c>
      <c r="G1345" t="s">
        <v>46</v>
      </c>
      <c r="H1345">
        <v>0</v>
      </c>
      <c r="I1345">
        <v>2</v>
      </c>
      <c r="J1345">
        <v>0</v>
      </c>
      <c r="K1345">
        <v>0</v>
      </c>
      <c r="L1345">
        <v>0</v>
      </c>
    </row>
    <row r="1346" spans="1:12">
      <c r="A1346" t="str">
        <f>HYPERLINK("http://bombeiros.sp.gov.br/hidrantes/03individual/2037.html","2037")</f>
        <v>2037</v>
      </c>
      <c r="B1346" t="str">
        <f>HYPERLINK("http://bombeiros.sp.gov.br/hidrantes/08bsg/qrcodeBSG.html?id=2037&amp;lat=-23.53951&amp;long=-46.41796&amp;tipo=S","QRCODE")</f>
        <v>QRCODE</v>
      </c>
      <c r="C1346" t="s">
        <v>5273</v>
      </c>
      <c r="D1346" t="s">
        <v>47</v>
      </c>
      <c r="E1346" t="s">
        <v>47</v>
      </c>
      <c r="F1346" t="s">
        <v>21</v>
      </c>
      <c r="G1346" t="s">
        <v>86</v>
      </c>
      <c r="H1346">
        <v>0</v>
      </c>
      <c r="I1346">
        <v>2</v>
      </c>
      <c r="J1346">
        <v>0</v>
      </c>
      <c r="K1346">
        <v>0</v>
      </c>
      <c r="L1346">
        <v>0</v>
      </c>
    </row>
    <row r="1347" spans="1:12">
      <c r="A1347" t="str">
        <f>HYPERLINK("http://bombeiros.sp.gov.br/hidrantes/03individual/3450.html","3450")</f>
        <v>3450</v>
      </c>
      <c r="B1347" t="str">
        <f>HYPERLINK("http://bombeiros.sp.gov.br/hidrantes/08bsg/qrcodeBSG.html?id=3450&amp;lat=-23.53336&amp;long=-46.42372&amp;tipo=S","QRCODE")</f>
        <v>QRCODE</v>
      </c>
      <c r="C1347" t="s">
        <v>5273</v>
      </c>
      <c r="D1347" t="s">
        <v>47</v>
      </c>
      <c r="E1347" t="s">
        <v>47</v>
      </c>
      <c r="F1347" t="s">
        <v>21</v>
      </c>
      <c r="G1347" t="s">
        <v>57</v>
      </c>
      <c r="H1347">
        <v>0</v>
      </c>
      <c r="I1347">
        <v>2</v>
      </c>
      <c r="J1347">
        <v>0</v>
      </c>
      <c r="K1347">
        <v>0</v>
      </c>
      <c r="L1347">
        <v>0</v>
      </c>
    </row>
    <row r="1348" spans="1:12">
      <c r="A1348" t="str">
        <f>HYPERLINK("http://bombeiros.sp.gov.br/hidrantes/03individual/4328.html","4328")</f>
        <v>4328</v>
      </c>
      <c r="B1348" t="str">
        <f>HYPERLINK("http://bombeiros.sp.gov.br/hidrantes/08bsg/qrcodeBSG.html?id=4328&amp;lat=-23.52329&amp;long=-46.43018&amp;tipo=S","QRCODE")</f>
        <v>QRCODE</v>
      </c>
      <c r="C1348" t="s">
        <v>5273</v>
      </c>
      <c r="D1348" t="s">
        <v>47</v>
      </c>
      <c r="E1348" t="s">
        <v>47</v>
      </c>
      <c r="F1348" t="s">
        <v>21</v>
      </c>
      <c r="G1348" t="s">
        <v>3109</v>
      </c>
      <c r="H1348">
        <v>0</v>
      </c>
      <c r="I1348">
        <v>3</v>
      </c>
      <c r="J1348">
        <v>0</v>
      </c>
      <c r="K1348">
        <v>0</v>
      </c>
      <c r="L1348">
        <v>0</v>
      </c>
    </row>
    <row r="1349" spans="1:12">
      <c r="A1349" t="str">
        <f>HYPERLINK("http://bombeiros.sp.gov.br/hidrantes/03individual/1591.html","1591")</f>
        <v>1591</v>
      </c>
      <c r="B1349" t="str">
        <f>HYPERLINK("http://bombeiros.sp.gov.br/hidrantes/08bsg/qrcodeBSG.html?id=1591&amp;lat=-23.56471&amp;long=-46.58959&amp;tipo=C","QRCODE")</f>
        <v>QRCODE</v>
      </c>
      <c r="C1349" t="s">
        <v>5273</v>
      </c>
      <c r="D1349" t="s">
        <v>30</v>
      </c>
      <c r="E1349" t="s">
        <v>291</v>
      </c>
      <c r="F1349" t="s">
        <v>12</v>
      </c>
      <c r="G1349" t="s">
        <v>5148</v>
      </c>
      <c r="H1349">
        <v>0</v>
      </c>
      <c r="I1349">
        <v>1</v>
      </c>
      <c r="J1349">
        <v>0</v>
      </c>
      <c r="K1349">
        <v>0</v>
      </c>
      <c r="L1349">
        <v>0</v>
      </c>
    </row>
    <row r="1350" spans="1:12">
      <c r="A1350" t="str">
        <f>HYPERLINK("http://bombeiros.sp.gov.br/hidrantes/03individual/1629.html","1629")</f>
        <v>1629</v>
      </c>
      <c r="B1350" t="str">
        <f>HYPERLINK("http://bombeiros.sp.gov.br/hidrantes/08bsg/qrcodeBSG.html?id=1629&amp;lat=-23.56672&amp;long=-46.58791&amp;tipo=C","QRCODE")</f>
        <v>QRCODE</v>
      </c>
      <c r="C1350" t="s">
        <v>5273</v>
      </c>
      <c r="D1350" t="s">
        <v>30</v>
      </c>
      <c r="E1350" t="s">
        <v>291</v>
      </c>
      <c r="F1350" t="s">
        <v>12</v>
      </c>
      <c r="G1350" t="s">
        <v>4881</v>
      </c>
      <c r="H1350">
        <v>1</v>
      </c>
      <c r="I1350">
        <v>1</v>
      </c>
      <c r="J1350">
        <v>0</v>
      </c>
      <c r="K1350">
        <v>0</v>
      </c>
      <c r="L1350">
        <v>0</v>
      </c>
    </row>
    <row r="1351" spans="1:12">
      <c r="A1351" t="str">
        <f>HYPERLINK("http://bombeiros.sp.gov.br/hidrantes/03individual/3189.html","3189")</f>
        <v>3189</v>
      </c>
      <c r="B1351" t="str">
        <f>HYPERLINK("http://bombeiros.sp.gov.br/hidrantes/08bsg/qrcodeBSG.html?id=3189&amp;lat=-23.56028&amp;long=-46.59143&amp;tipo=C","QRCODE")</f>
        <v>QRCODE</v>
      </c>
      <c r="C1351" t="s">
        <v>5273</v>
      </c>
      <c r="D1351" t="s">
        <v>30</v>
      </c>
      <c r="E1351" t="s">
        <v>291</v>
      </c>
      <c r="F1351" t="s">
        <v>12</v>
      </c>
      <c r="G1351" t="s">
        <v>293</v>
      </c>
      <c r="H1351">
        <v>0</v>
      </c>
      <c r="I1351">
        <v>3</v>
      </c>
      <c r="J1351">
        <v>0</v>
      </c>
      <c r="K1351">
        <v>0</v>
      </c>
      <c r="L1351">
        <v>0</v>
      </c>
    </row>
    <row r="1352" spans="1:12">
      <c r="A1352" t="str">
        <f>HYPERLINK("http://bombeiros.sp.gov.br/hidrantes/03individual/3195.html","3195")</f>
        <v>3195</v>
      </c>
      <c r="B1352" t="str">
        <f>HYPERLINK("http://bombeiros.sp.gov.br/hidrantes/08bsg/qrcodeBSG.html?id=3195&amp;lat=-23.56516&amp;long=-46.59487&amp;tipo=C","QRCODE")</f>
        <v>QRCODE</v>
      </c>
      <c r="C1352" t="s">
        <v>5273</v>
      </c>
      <c r="D1352" t="s">
        <v>30</v>
      </c>
      <c r="E1352" t="s">
        <v>291</v>
      </c>
      <c r="F1352" t="s">
        <v>12</v>
      </c>
      <c r="G1352" t="s">
        <v>4864</v>
      </c>
      <c r="H1352">
        <v>1</v>
      </c>
      <c r="I1352">
        <v>1</v>
      </c>
      <c r="J1352">
        <v>0</v>
      </c>
      <c r="K1352">
        <v>0</v>
      </c>
      <c r="L1352">
        <v>0</v>
      </c>
    </row>
    <row r="1353" spans="1:12">
      <c r="A1353" t="str">
        <f>HYPERLINK("http://bombeiros.sp.gov.br/hidrantes/03individual/1462.html","1462")</f>
        <v>1462</v>
      </c>
      <c r="B1353" t="str">
        <f>HYPERLINK("http://bombeiros.sp.gov.br/hidrantes/08bsg/qrcodeBSG.html?id=1462&amp;lat=-23.55860&amp;long=-46.59454&amp;tipo=S","QRCODE")</f>
        <v>QRCODE</v>
      </c>
      <c r="C1353" t="s">
        <v>5273</v>
      </c>
      <c r="D1353" t="s">
        <v>30</v>
      </c>
      <c r="E1353" t="s">
        <v>291</v>
      </c>
      <c r="F1353" t="s">
        <v>21</v>
      </c>
      <c r="G1353" t="s">
        <v>3132</v>
      </c>
      <c r="H1353">
        <v>1</v>
      </c>
      <c r="I1353">
        <v>1</v>
      </c>
      <c r="J1353">
        <v>0</v>
      </c>
      <c r="K1353">
        <v>0</v>
      </c>
      <c r="L1353">
        <v>0</v>
      </c>
    </row>
    <row r="1354" spans="1:12">
      <c r="A1354" t="str">
        <f>HYPERLINK("http://bombeiros.sp.gov.br/hidrantes/03individual/1464.html","1464")</f>
        <v>1464</v>
      </c>
      <c r="B1354" t="str">
        <f>HYPERLINK("http://bombeiros.sp.gov.br/hidrantes/08bsg/qrcodeBSG.html?id=1464&amp;lat=-23.56096&amp;long=-46.59315&amp;tipo=S","QRCODE")</f>
        <v>QRCODE</v>
      </c>
      <c r="C1354" t="s">
        <v>5273</v>
      </c>
      <c r="D1354" t="s">
        <v>30</v>
      </c>
      <c r="E1354" t="s">
        <v>291</v>
      </c>
      <c r="F1354" t="s">
        <v>21</v>
      </c>
      <c r="G1354" t="s">
        <v>3131</v>
      </c>
      <c r="H1354">
        <v>1</v>
      </c>
      <c r="I1354">
        <v>1</v>
      </c>
      <c r="J1354">
        <v>0</v>
      </c>
      <c r="K1354">
        <v>0</v>
      </c>
      <c r="L1354">
        <v>0</v>
      </c>
    </row>
    <row r="1355" spans="1:12">
      <c r="A1355" t="str">
        <f>HYPERLINK("http://bombeiros.sp.gov.br/hidrantes/03individual/3172.html","3172")</f>
        <v>3172</v>
      </c>
      <c r="B1355" t="str">
        <f>HYPERLINK("http://bombeiros.sp.gov.br/hidrantes/08bsg/qrcodeBSG.html?id=3172&amp;lat=-23.57717&amp;long=-46.58691&amp;tipo=S","QRCODE")</f>
        <v>QRCODE</v>
      </c>
      <c r="C1355" t="s">
        <v>5273</v>
      </c>
      <c r="D1355" t="s">
        <v>30</v>
      </c>
      <c r="E1355" t="s">
        <v>291</v>
      </c>
      <c r="F1355" t="s">
        <v>21</v>
      </c>
      <c r="G1355" t="s">
        <v>2343</v>
      </c>
      <c r="H1355">
        <v>1</v>
      </c>
      <c r="I1355">
        <v>2</v>
      </c>
      <c r="J1355">
        <v>0</v>
      </c>
      <c r="K1355">
        <v>0</v>
      </c>
      <c r="L1355">
        <v>0</v>
      </c>
    </row>
    <row r="1356" spans="1:12">
      <c r="A1356" t="str">
        <f>HYPERLINK("http://bombeiros.sp.gov.br/hidrantes/03individual/3178.html","3178")</f>
        <v>3178</v>
      </c>
      <c r="B1356" t="str">
        <f>HYPERLINK("http://bombeiros.sp.gov.br/hidrantes/08bsg/qrcodeBSG.html?id=3178&amp;lat=-23.56190&amp;long=-46.59675&amp;tipo=S","QRCODE")</f>
        <v>QRCODE</v>
      </c>
      <c r="C1356" t="s">
        <v>5273</v>
      </c>
      <c r="D1356" t="s">
        <v>30</v>
      </c>
      <c r="E1356" t="s">
        <v>291</v>
      </c>
      <c r="F1356" t="s">
        <v>21</v>
      </c>
      <c r="G1356" t="s">
        <v>2424</v>
      </c>
      <c r="H1356">
        <v>0</v>
      </c>
      <c r="I1356">
        <v>2</v>
      </c>
      <c r="J1356">
        <v>0</v>
      </c>
      <c r="K1356">
        <v>0</v>
      </c>
      <c r="L1356">
        <v>0</v>
      </c>
    </row>
    <row r="1357" spans="1:12">
      <c r="A1357" t="str">
        <f>HYPERLINK("http://bombeiros.sp.gov.br/hidrantes/03individual/3185.html","3185")</f>
        <v>3185</v>
      </c>
      <c r="B1357" t="str">
        <f>HYPERLINK("http://bombeiros.sp.gov.br/hidrantes/08bsg/qrcodeBSG.html?id=3185&amp;lat=-23.55940&amp;long=-46.59338&amp;tipo=S","QRCODE")</f>
        <v>QRCODE</v>
      </c>
      <c r="C1357" t="s">
        <v>5273</v>
      </c>
      <c r="D1357" t="s">
        <v>30</v>
      </c>
      <c r="E1357" t="s">
        <v>291</v>
      </c>
      <c r="F1357" t="s">
        <v>21</v>
      </c>
      <c r="G1357" t="s">
        <v>290</v>
      </c>
      <c r="H1357">
        <v>0</v>
      </c>
      <c r="I1357">
        <v>3</v>
      </c>
      <c r="J1357">
        <v>0</v>
      </c>
      <c r="K1357">
        <v>0</v>
      </c>
      <c r="L1357">
        <v>0</v>
      </c>
    </row>
    <row r="1358" spans="1:12">
      <c r="A1358" t="str">
        <f>HYPERLINK("http://bombeiros.sp.gov.br/hidrantes/03individual/3191.html","3191")</f>
        <v>3191</v>
      </c>
      <c r="B1358" t="str">
        <f>HYPERLINK("http://bombeiros.sp.gov.br/hidrantes/08bsg/qrcodeBSG.html?id=3191&amp;lat=-23.56347&amp;long=-46.59400&amp;tipo=S","QRCODE")</f>
        <v>QRCODE</v>
      </c>
      <c r="C1358" t="s">
        <v>5273</v>
      </c>
      <c r="D1358" t="s">
        <v>30</v>
      </c>
      <c r="E1358" t="s">
        <v>291</v>
      </c>
      <c r="F1358" t="s">
        <v>21</v>
      </c>
      <c r="G1358" t="s">
        <v>2349</v>
      </c>
      <c r="H1358">
        <v>0</v>
      </c>
      <c r="I1358">
        <v>2</v>
      </c>
      <c r="J1358">
        <v>0</v>
      </c>
      <c r="K1358">
        <v>0</v>
      </c>
      <c r="L1358">
        <v>0</v>
      </c>
    </row>
    <row r="1359" spans="1:12">
      <c r="A1359" t="str">
        <f>HYPERLINK("http://bombeiros.sp.gov.br/hidrantes/03individual/3192.html","3192")</f>
        <v>3192</v>
      </c>
      <c r="B1359" t="str">
        <f>HYPERLINK("http://bombeiros.sp.gov.br/hidrantes/08bsg/qrcodeBSG.html?id=3192&amp;lat=-23.56508&amp;long=-46.59511&amp;tipo=S","QRCODE")</f>
        <v>QRCODE</v>
      </c>
      <c r="C1359" t="s">
        <v>5273</v>
      </c>
      <c r="D1359" t="s">
        <v>30</v>
      </c>
      <c r="E1359" t="s">
        <v>291</v>
      </c>
      <c r="F1359" t="s">
        <v>21</v>
      </c>
      <c r="G1359" t="s">
        <v>2345</v>
      </c>
      <c r="H1359">
        <v>0</v>
      </c>
      <c r="I1359">
        <v>2</v>
      </c>
      <c r="J1359">
        <v>0</v>
      </c>
      <c r="K1359">
        <v>0</v>
      </c>
      <c r="L1359">
        <v>0</v>
      </c>
    </row>
    <row r="1360" spans="1:12">
      <c r="A1360" t="str">
        <f>HYPERLINK("http://bombeiros.sp.gov.br/hidrantes/03individual/3204.html","3204")</f>
        <v>3204</v>
      </c>
      <c r="B1360" t="str">
        <f>HYPERLINK("http://bombeiros.sp.gov.br/hidrantes/08bsg/qrcodeBSG.html?id=3204&amp;lat=-23.57159&amp;long=-46.58733&amp;tipo=S","QRCODE")</f>
        <v>QRCODE</v>
      </c>
      <c r="C1360" t="s">
        <v>5273</v>
      </c>
      <c r="D1360" t="s">
        <v>30</v>
      </c>
      <c r="E1360" t="s">
        <v>291</v>
      </c>
      <c r="F1360" t="s">
        <v>21</v>
      </c>
      <c r="G1360" t="s">
        <v>3091</v>
      </c>
      <c r="H1360">
        <v>1</v>
      </c>
      <c r="I1360">
        <v>1</v>
      </c>
      <c r="J1360">
        <v>0</v>
      </c>
      <c r="K1360">
        <v>0</v>
      </c>
      <c r="L1360">
        <v>0</v>
      </c>
    </row>
    <row r="1361" spans="1:12">
      <c r="A1361" t="str">
        <f>HYPERLINK("http://bombeiros.sp.gov.br/hidrantes/03individual/3598.html","3598")</f>
        <v>3598</v>
      </c>
      <c r="B1361" t="str">
        <f>HYPERLINK("http://bombeiros.sp.gov.br/hidrantes/08bsg/qrcodeBSG.html?id=3598&amp;lat=-23.56115&amp;long=-46.59462&amp;tipo=S","QRCODE")</f>
        <v>QRCODE</v>
      </c>
      <c r="C1361" t="s">
        <v>5273</v>
      </c>
      <c r="D1361" t="s">
        <v>30</v>
      </c>
      <c r="E1361" t="s">
        <v>291</v>
      </c>
      <c r="F1361" t="s">
        <v>21</v>
      </c>
      <c r="G1361" t="s">
        <v>2361</v>
      </c>
      <c r="H1361">
        <v>0</v>
      </c>
      <c r="I1361">
        <v>2</v>
      </c>
      <c r="J1361">
        <v>0</v>
      </c>
      <c r="K1361">
        <v>0</v>
      </c>
      <c r="L1361">
        <v>0</v>
      </c>
    </row>
    <row r="1362" spans="1:12">
      <c r="A1362" t="str">
        <f>HYPERLINK("http://bombeiros.sp.gov.br/hidrantes/03individual/1509.html","1509")</f>
        <v>1509</v>
      </c>
      <c r="B1362" t="str">
        <f>HYPERLINK("http://bombeiros.sp.gov.br/hidrantes/08bsg/qrcodeBSG.html?id=1509&amp;lat=-23.54943&amp;long=-46.60566&amp;tipo=C","QRCODE")</f>
        <v>QRCODE</v>
      </c>
      <c r="C1362" t="s">
        <v>5273</v>
      </c>
      <c r="D1362" t="s">
        <v>30</v>
      </c>
      <c r="E1362" t="s">
        <v>30</v>
      </c>
      <c r="F1362" t="s">
        <v>12</v>
      </c>
      <c r="G1362" t="s">
        <v>332</v>
      </c>
      <c r="H1362">
        <v>1</v>
      </c>
      <c r="I1362">
        <v>1</v>
      </c>
      <c r="J1362">
        <v>0</v>
      </c>
      <c r="K1362">
        <v>0</v>
      </c>
      <c r="L1362">
        <v>0</v>
      </c>
    </row>
    <row r="1363" spans="1:12">
      <c r="A1363" t="str">
        <f>HYPERLINK("http://bombeiros.sp.gov.br/hidrantes/03individual/1530.html","1530")</f>
        <v>1530</v>
      </c>
      <c r="B1363" t="str">
        <f>HYPERLINK("http://bombeiros.sp.gov.br/hidrantes/08bsg/qrcodeBSG.html?id=1530&amp;lat=-23.54535&amp;long=-46.59553&amp;tipo=C","QRCODE")</f>
        <v>QRCODE</v>
      </c>
      <c r="C1363" t="s">
        <v>5273</v>
      </c>
      <c r="D1363" t="s">
        <v>30</v>
      </c>
      <c r="E1363" t="s">
        <v>30</v>
      </c>
      <c r="F1363" t="s">
        <v>12</v>
      </c>
      <c r="G1363" t="s">
        <v>1911</v>
      </c>
      <c r="H1363">
        <v>1</v>
      </c>
      <c r="I1363">
        <v>2</v>
      </c>
      <c r="J1363">
        <v>0</v>
      </c>
      <c r="K1363">
        <v>0</v>
      </c>
      <c r="L1363">
        <v>0</v>
      </c>
    </row>
    <row r="1364" spans="1:12">
      <c r="A1364" t="str">
        <f>HYPERLINK("http://bombeiros.sp.gov.br/hidrantes/03individual/1954.html","1954")</f>
        <v>1954</v>
      </c>
      <c r="B1364" t="str">
        <f>HYPERLINK("http://bombeiros.sp.gov.br/hidrantes/08bsg/qrcodeBSG.html?id=1954&amp;lat=-23.54852&amp;long=-46.61240&amp;tipo=C","QRCODE")</f>
        <v>QRCODE</v>
      </c>
      <c r="C1364" t="s">
        <v>5273</v>
      </c>
      <c r="D1364" t="s">
        <v>30</v>
      </c>
      <c r="E1364" t="s">
        <v>30</v>
      </c>
      <c r="F1364" t="s">
        <v>12</v>
      </c>
      <c r="G1364" t="s">
        <v>4919</v>
      </c>
      <c r="H1364">
        <v>0</v>
      </c>
      <c r="I1364">
        <v>1</v>
      </c>
      <c r="J1364">
        <v>0</v>
      </c>
      <c r="K1364">
        <v>0</v>
      </c>
      <c r="L1364">
        <v>0</v>
      </c>
    </row>
    <row r="1365" spans="1:12">
      <c r="A1365" t="str">
        <f>HYPERLINK("http://bombeiros.sp.gov.br/hidrantes/03individual/3044.html","3044")</f>
        <v>3044</v>
      </c>
      <c r="B1365" t="str">
        <f>HYPERLINK("http://bombeiros.sp.gov.br/hidrantes/08bsg/qrcodeBSG.html?id=3044&amp;lat=-23.54609&amp;long=-46.59220&amp;tipo=C","QRCODE")</f>
        <v>QRCODE</v>
      </c>
      <c r="C1365" t="s">
        <v>5273</v>
      </c>
      <c r="D1365" t="s">
        <v>30</v>
      </c>
      <c r="E1365" t="s">
        <v>30</v>
      </c>
      <c r="F1365" t="s">
        <v>12</v>
      </c>
      <c r="G1365" t="s">
        <v>881</v>
      </c>
      <c r="H1365">
        <v>0</v>
      </c>
      <c r="I1365">
        <v>5</v>
      </c>
      <c r="J1365">
        <v>0</v>
      </c>
      <c r="K1365">
        <v>0</v>
      </c>
      <c r="L1365">
        <v>0</v>
      </c>
    </row>
    <row r="1366" spans="1:12">
      <c r="A1366" t="str">
        <f>HYPERLINK("http://bombeiros.sp.gov.br/hidrantes/03individual/3125.html","3125")</f>
        <v>3125</v>
      </c>
      <c r="B1366" t="str">
        <f>HYPERLINK("http://bombeiros.sp.gov.br/hidrantes/08bsg/qrcodeBSG.html?id=3125&amp;lat=-23.55413&amp;long=-46.58962&amp;tipo=C","QRCODE")</f>
        <v>QRCODE</v>
      </c>
      <c r="C1366" t="s">
        <v>5273</v>
      </c>
      <c r="D1366" t="s">
        <v>30</v>
      </c>
      <c r="E1366" t="s">
        <v>30</v>
      </c>
      <c r="F1366" t="s">
        <v>12</v>
      </c>
      <c r="G1366" t="s">
        <v>705</v>
      </c>
      <c r="H1366">
        <v>1</v>
      </c>
      <c r="I1366">
        <v>2</v>
      </c>
      <c r="J1366">
        <v>0</v>
      </c>
      <c r="K1366">
        <v>0</v>
      </c>
      <c r="L1366">
        <v>0</v>
      </c>
    </row>
    <row r="1367" spans="1:12">
      <c r="A1367" t="str">
        <f>HYPERLINK("http://bombeiros.sp.gov.br/hidrantes/03individual/3127.html","3127")</f>
        <v>3127</v>
      </c>
      <c r="B1367" t="str">
        <f>HYPERLINK("http://bombeiros.sp.gov.br/hidrantes/08bsg/qrcodeBSG.html?id=3127&amp;lat=-23.55106&amp;long=-46.59665&amp;tipo=C","QRCODE")</f>
        <v>QRCODE</v>
      </c>
      <c r="C1367" t="s">
        <v>5273</v>
      </c>
      <c r="D1367" t="s">
        <v>30</v>
      </c>
      <c r="E1367" t="s">
        <v>30</v>
      </c>
      <c r="F1367" t="s">
        <v>12</v>
      </c>
      <c r="G1367" t="s">
        <v>878</v>
      </c>
      <c r="H1367">
        <v>0</v>
      </c>
      <c r="I1367">
        <v>2</v>
      </c>
      <c r="J1367">
        <v>0</v>
      </c>
      <c r="K1367">
        <v>0</v>
      </c>
      <c r="L1367">
        <v>0</v>
      </c>
    </row>
    <row r="1368" spans="1:12">
      <c r="A1368" t="str">
        <f>HYPERLINK("http://bombeiros.sp.gov.br/hidrantes/03individual/3201.html","3201")</f>
        <v>3201</v>
      </c>
      <c r="B1368" t="str">
        <f>HYPERLINK("http://bombeiros.sp.gov.br/hidrantes/08bsg/qrcodeBSG.html?id=3201&amp;lat=-23.55621&amp;long=-46.58844&amp;tipo=C","QRCODE")</f>
        <v>QRCODE</v>
      </c>
      <c r="C1368" t="s">
        <v>5273</v>
      </c>
      <c r="D1368" t="s">
        <v>30</v>
      </c>
      <c r="E1368" t="s">
        <v>30</v>
      </c>
      <c r="F1368" t="s">
        <v>12</v>
      </c>
      <c r="G1368" t="s">
        <v>2350</v>
      </c>
      <c r="H1368">
        <v>0</v>
      </c>
      <c r="I1368">
        <v>2</v>
      </c>
      <c r="J1368">
        <v>0</v>
      </c>
      <c r="K1368">
        <v>0</v>
      </c>
      <c r="L1368">
        <v>0</v>
      </c>
    </row>
    <row r="1369" spans="1:12">
      <c r="A1369" t="str">
        <f>HYPERLINK("http://bombeiros.sp.gov.br/hidrantes/03individual/5608.html","5608")</f>
        <v>5608</v>
      </c>
      <c r="B1369" t="str">
        <f>HYPERLINK("http://bombeiros.sp.gov.br/hidrantes/08bsg/qrcodeBSG.html?id=5608&amp;lat=-23.54648&amp;long=-46.59766&amp;tipo=C","QRCODE")</f>
        <v>QRCODE</v>
      </c>
      <c r="C1369" t="s">
        <v>5273</v>
      </c>
      <c r="D1369" t="s">
        <v>30</v>
      </c>
      <c r="E1369" t="s">
        <v>30</v>
      </c>
      <c r="F1369" t="s">
        <v>12</v>
      </c>
      <c r="G1369" t="s">
        <v>316</v>
      </c>
      <c r="H1369">
        <v>0</v>
      </c>
      <c r="I1369">
        <v>2</v>
      </c>
      <c r="J1369">
        <v>0</v>
      </c>
      <c r="K1369">
        <v>0</v>
      </c>
      <c r="L1369">
        <v>0</v>
      </c>
    </row>
    <row r="1370" spans="1:12">
      <c r="A1370" t="str">
        <f>HYPERLINK("http://bombeiros.sp.gov.br/hidrantes/03individual/1466.html","1466")</f>
        <v>1466</v>
      </c>
      <c r="B1370" t="str">
        <f>HYPERLINK("http://bombeiros.sp.gov.br/hidrantes/08bsg/qrcodeBSG.html?id=1466&amp;lat=-23.54610&amp;long=-46.60480&amp;tipo=S","QRCODE")</f>
        <v>QRCODE</v>
      </c>
      <c r="C1370" t="s">
        <v>5273</v>
      </c>
      <c r="D1370" t="s">
        <v>30</v>
      </c>
      <c r="E1370" t="s">
        <v>30</v>
      </c>
      <c r="F1370" t="s">
        <v>21</v>
      </c>
      <c r="G1370" t="s">
        <v>1915</v>
      </c>
      <c r="H1370">
        <v>0</v>
      </c>
      <c r="I1370">
        <v>2</v>
      </c>
      <c r="J1370">
        <v>0</v>
      </c>
      <c r="K1370">
        <v>0</v>
      </c>
      <c r="L1370">
        <v>0</v>
      </c>
    </row>
    <row r="1371" spans="1:12">
      <c r="A1371" t="str">
        <f>HYPERLINK("http://bombeiros.sp.gov.br/hidrantes/03individual/1489.html","1489")</f>
        <v>1489</v>
      </c>
      <c r="B1371" t="str">
        <f>HYPERLINK("http://bombeiros.sp.gov.br/hidrantes/08bsg/qrcodeBSG.html?id=1489&amp;lat=-23.55108&amp;long=-46.60165&amp;tipo=S","QRCODE")</f>
        <v>QRCODE</v>
      </c>
      <c r="C1371" t="s">
        <v>5273</v>
      </c>
      <c r="D1371" t="s">
        <v>30</v>
      </c>
      <c r="E1371" t="s">
        <v>30</v>
      </c>
      <c r="F1371" t="s">
        <v>21</v>
      </c>
      <c r="G1371" t="s">
        <v>3123</v>
      </c>
      <c r="H1371">
        <v>1</v>
      </c>
      <c r="I1371">
        <v>1</v>
      </c>
      <c r="J1371">
        <v>0</v>
      </c>
      <c r="K1371">
        <v>0</v>
      </c>
      <c r="L1371">
        <v>0</v>
      </c>
    </row>
    <row r="1372" spans="1:12">
      <c r="A1372" t="str">
        <f>HYPERLINK("http://bombeiros.sp.gov.br/hidrantes/03individual/1504.html","1504")</f>
        <v>1504</v>
      </c>
      <c r="B1372" t="str">
        <f>HYPERLINK("http://bombeiros.sp.gov.br/hidrantes/08bsg/qrcodeBSG.html?id=1504&amp;lat=-23.55213&amp;long=-46.60308&amp;tipo=S","QRCODE")</f>
        <v>QRCODE</v>
      </c>
      <c r="C1372" t="s">
        <v>5273</v>
      </c>
      <c r="D1372" t="s">
        <v>30</v>
      </c>
      <c r="E1372" t="s">
        <v>30</v>
      </c>
      <c r="F1372" t="s">
        <v>21</v>
      </c>
      <c r="G1372" t="s">
        <v>3124</v>
      </c>
      <c r="H1372">
        <v>2</v>
      </c>
      <c r="I1372">
        <v>1</v>
      </c>
      <c r="J1372">
        <v>0</v>
      </c>
      <c r="K1372">
        <v>0</v>
      </c>
      <c r="L1372">
        <v>0</v>
      </c>
    </row>
    <row r="1373" spans="1:12">
      <c r="A1373" t="str">
        <f>HYPERLINK("http://bombeiros.sp.gov.br/hidrantes/03individual/1507.html","1507")</f>
        <v>1507</v>
      </c>
      <c r="B1373" t="str">
        <f>HYPERLINK("http://bombeiros.sp.gov.br/hidrantes/08bsg/qrcodeBSG.html?id=1507&amp;lat=-23.55067&amp;long=-46.60470&amp;tipo=S","QRCODE")</f>
        <v>QRCODE</v>
      </c>
      <c r="C1373" t="s">
        <v>5273</v>
      </c>
      <c r="D1373" t="s">
        <v>30</v>
      </c>
      <c r="E1373" t="s">
        <v>30</v>
      </c>
      <c r="F1373" t="s">
        <v>21</v>
      </c>
      <c r="G1373" t="s">
        <v>331</v>
      </c>
      <c r="H1373">
        <v>1</v>
      </c>
      <c r="I1373">
        <v>1</v>
      </c>
      <c r="J1373">
        <v>0</v>
      </c>
      <c r="K1373">
        <v>0</v>
      </c>
      <c r="L1373">
        <v>0</v>
      </c>
    </row>
    <row r="1374" spans="1:12">
      <c r="A1374" t="str">
        <f>HYPERLINK("http://bombeiros.sp.gov.br/hidrantes/03individual/1511.html","1511")</f>
        <v>1511</v>
      </c>
      <c r="B1374" t="str">
        <f>HYPERLINK("http://bombeiros.sp.gov.br/hidrantes/08bsg/qrcodeBSG.html?id=1511&amp;lat=-23.54769&amp;long=-46.60494&amp;tipo=S","QRCODE")</f>
        <v>QRCODE</v>
      </c>
      <c r="C1374" t="s">
        <v>5273</v>
      </c>
      <c r="D1374" t="s">
        <v>30</v>
      </c>
      <c r="E1374" t="s">
        <v>30</v>
      </c>
      <c r="F1374" t="s">
        <v>21</v>
      </c>
      <c r="G1374" t="s">
        <v>333</v>
      </c>
      <c r="H1374">
        <v>0</v>
      </c>
      <c r="I1374">
        <v>2</v>
      </c>
      <c r="J1374">
        <v>0</v>
      </c>
      <c r="K1374">
        <v>0</v>
      </c>
      <c r="L1374">
        <v>0</v>
      </c>
    </row>
    <row r="1375" spans="1:12">
      <c r="A1375" t="str">
        <f>HYPERLINK("http://bombeiros.sp.gov.br/hidrantes/03individual/1515.html","1515")</f>
        <v>1515</v>
      </c>
      <c r="B1375" t="str">
        <f>HYPERLINK("http://bombeiros.sp.gov.br/hidrantes/08bsg/qrcodeBSG.html?id=1515&amp;lat=-23.54696&amp;long=-46.60399&amp;tipo=S","QRCODE")</f>
        <v>QRCODE</v>
      </c>
      <c r="C1375" t="s">
        <v>5273</v>
      </c>
      <c r="D1375" t="s">
        <v>30</v>
      </c>
      <c r="E1375" t="s">
        <v>30</v>
      </c>
      <c r="F1375" t="s">
        <v>21</v>
      </c>
      <c r="G1375" t="s">
        <v>336</v>
      </c>
      <c r="H1375">
        <v>1</v>
      </c>
      <c r="I1375">
        <v>1</v>
      </c>
      <c r="J1375">
        <v>0</v>
      </c>
      <c r="K1375">
        <v>0</v>
      </c>
      <c r="L1375">
        <v>0</v>
      </c>
    </row>
    <row r="1376" spans="1:12">
      <c r="A1376" t="str">
        <f>HYPERLINK("http://bombeiros.sp.gov.br/hidrantes/03individual/1521.html","1521")</f>
        <v>1521</v>
      </c>
      <c r="B1376" t="str">
        <f>HYPERLINK("http://bombeiros.sp.gov.br/hidrantes/08bsg/qrcodeBSG.html?id=1521&amp;lat=-23.54806&amp;long=-46.60306&amp;tipo=S","QRCODE")</f>
        <v>QRCODE</v>
      </c>
      <c r="C1376" t="s">
        <v>5273</v>
      </c>
      <c r="D1376" t="s">
        <v>30</v>
      </c>
      <c r="E1376" t="s">
        <v>30</v>
      </c>
      <c r="F1376" t="s">
        <v>21</v>
      </c>
      <c r="G1376" t="s">
        <v>2374</v>
      </c>
      <c r="H1376">
        <v>0</v>
      </c>
      <c r="I1376">
        <v>2</v>
      </c>
      <c r="J1376">
        <v>0</v>
      </c>
      <c r="K1376">
        <v>0</v>
      </c>
      <c r="L1376">
        <v>0</v>
      </c>
    </row>
    <row r="1377" spans="1:12">
      <c r="A1377" t="str">
        <f>HYPERLINK("http://bombeiros.sp.gov.br/hidrantes/03individual/1589.html","1589")</f>
        <v>1589</v>
      </c>
      <c r="B1377" t="str">
        <f>HYPERLINK("http://bombeiros.sp.gov.br/hidrantes/08bsg/qrcodeBSG.html?id=1589&amp;lat=-23.54775&amp;long=-46.59188&amp;tipo=S","QRCODE")</f>
        <v>QRCODE</v>
      </c>
      <c r="C1377" t="s">
        <v>5273</v>
      </c>
      <c r="D1377" t="s">
        <v>30</v>
      </c>
      <c r="E1377" t="s">
        <v>30</v>
      </c>
      <c r="F1377" t="s">
        <v>21</v>
      </c>
      <c r="G1377" t="s">
        <v>341</v>
      </c>
      <c r="H1377">
        <v>0</v>
      </c>
      <c r="I1377">
        <v>2</v>
      </c>
      <c r="J1377">
        <v>0</v>
      </c>
      <c r="K1377">
        <v>0</v>
      </c>
      <c r="L1377">
        <v>0</v>
      </c>
    </row>
    <row r="1378" spans="1:12">
      <c r="A1378" t="str">
        <f>HYPERLINK("http://bombeiros.sp.gov.br/hidrantes/03individual/1608.html","1608")</f>
        <v>1608</v>
      </c>
      <c r="B1378" t="str">
        <f>HYPERLINK("http://bombeiros.sp.gov.br/hidrantes/08bsg/qrcodeBSG.html?id=1608&amp;lat=-23.54744&amp;long=-46.60708&amp;tipo=S","QRCODE")</f>
        <v>QRCODE</v>
      </c>
      <c r="C1378" t="s">
        <v>5273</v>
      </c>
      <c r="D1378" t="s">
        <v>30</v>
      </c>
      <c r="E1378" t="s">
        <v>30</v>
      </c>
      <c r="F1378" t="s">
        <v>21</v>
      </c>
      <c r="G1378" t="s">
        <v>1907</v>
      </c>
      <c r="H1378">
        <v>0</v>
      </c>
      <c r="I1378">
        <v>2</v>
      </c>
      <c r="J1378">
        <v>0</v>
      </c>
      <c r="K1378">
        <v>0</v>
      </c>
      <c r="L1378">
        <v>0</v>
      </c>
    </row>
    <row r="1379" spans="1:12">
      <c r="A1379" t="str">
        <f>HYPERLINK("http://bombeiros.sp.gov.br/hidrantes/03individual/1617.html","1617")</f>
        <v>1617</v>
      </c>
      <c r="B1379" t="str">
        <f>HYPERLINK("http://bombeiros.sp.gov.br/hidrantes/08bsg/qrcodeBSG.html?id=1617&amp;lat=-23.55295&amp;long=-46.60271&amp;tipo=S","QRCODE")</f>
        <v>QRCODE</v>
      </c>
      <c r="C1379" t="s">
        <v>5273</v>
      </c>
      <c r="D1379" t="s">
        <v>30</v>
      </c>
      <c r="E1379" t="s">
        <v>30</v>
      </c>
      <c r="F1379" t="s">
        <v>21</v>
      </c>
      <c r="G1379" t="s">
        <v>342</v>
      </c>
      <c r="H1379">
        <v>0</v>
      </c>
      <c r="I1379">
        <v>2</v>
      </c>
      <c r="J1379">
        <v>0</v>
      </c>
      <c r="K1379">
        <v>0</v>
      </c>
      <c r="L1379">
        <v>0</v>
      </c>
    </row>
    <row r="1380" spans="1:12">
      <c r="A1380" t="str">
        <f>HYPERLINK("http://bombeiros.sp.gov.br/hidrantes/03individual/1627.html","1627")</f>
        <v>1627</v>
      </c>
      <c r="B1380" t="str">
        <f>HYPERLINK("http://bombeiros.sp.gov.br/hidrantes/08bsg/qrcodeBSG.html?id=1627&amp;lat=-23.55858&amp;long=-46.58750&amp;tipo=S","QRCODE")</f>
        <v>QRCODE</v>
      </c>
      <c r="C1380" t="s">
        <v>5273</v>
      </c>
      <c r="D1380" t="s">
        <v>30</v>
      </c>
      <c r="E1380" t="s">
        <v>30</v>
      </c>
      <c r="F1380" t="s">
        <v>21</v>
      </c>
      <c r="G1380" t="s">
        <v>4880</v>
      </c>
      <c r="H1380">
        <v>2</v>
      </c>
      <c r="I1380">
        <v>2</v>
      </c>
      <c r="J1380">
        <v>0</v>
      </c>
      <c r="K1380">
        <v>0</v>
      </c>
      <c r="L1380">
        <v>0</v>
      </c>
    </row>
    <row r="1381" spans="1:12">
      <c r="A1381" t="str">
        <f>HYPERLINK("http://bombeiros.sp.gov.br/hidrantes/03individual/1650.html","1650")</f>
        <v>1650</v>
      </c>
      <c r="B1381" t="str">
        <f>HYPERLINK("http://bombeiros.sp.gov.br/hidrantes/08bsg/qrcodeBSG.html?id=1650&amp;lat=-23.54916&amp;long=-46.59032&amp;tipo=S","QRCODE")</f>
        <v>QRCODE</v>
      </c>
      <c r="C1381" t="s">
        <v>5273</v>
      </c>
      <c r="D1381" t="s">
        <v>30</v>
      </c>
      <c r="E1381" t="s">
        <v>30</v>
      </c>
      <c r="F1381" t="s">
        <v>21</v>
      </c>
      <c r="G1381" t="s">
        <v>2379</v>
      </c>
      <c r="H1381">
        <v>1</v>
      </c>
      <c r="I1381">
        <v>2</v>
      </c>
      <c r="J1381">
        <v>0</v>
      </c>
      <c r="K1381">
        <v>0</v>
      </c>
      <c r="L1381">
        <v>0</v>
      </c>
    </row>
    <row r="1382" spans="1:12">
      <c r="A1382" t="str">
        <f>HYPERLINK("http://bombeiros.sp.gov.br/hidrantes/03individual/1652.html","1652")</f>
        <v>1652</v>
      </c>
      <c r="B1382" t="str">
        <f>HYPERLINK("http://bombeiros.sp.gov.br/hidrantes/08bsg/qrcodeBSG.html?id=1652&amp;lat=-23.55903&amp;long=-46.58732&amp;tipo=S","QRCODE")</f>
        <v>QRCODE</v>
      </c>
      <c r="C1382" t="s">
        <v>5273</v>
      </c>
      <c r="D1382" t="s">
        <v>30</v>
      </c>
      <c r="E1382" t="s">
        <v>30</v>
      </c>
      <c r="F1382" t="s">
        <v>21</v>
      </c>
      <c r="G1382" t="s">
        <v>4870</v>
      </c>
      <c r="H1382">
        <v>1</v>
      </c>
      <c r="I1382">
        <v>3</v>
      </c>
      <c r="J1382">
        <v>0</v>
      </c>
      <c r="K1382">
        <v>0</v>
      </c>
      <c r="L1382">
        <v>0</v>
      </c>
    </row>
    <row r="1383" spans="1:12">
      <c r="A1383" t="str">
        <f>HYPERLINK("http://bombeiros.sp.gov.br/hidrantes/03individual/3109.html","3109")</f>
        <v>3109</v>
      </c>
      <c r="B1383" t="str">
        <f>HYPERLINK("http://bombeiros.sp.gov.br/hidrantes/08bsg/qrcodeBSG.html?id=3109&amp;lat=-23.55982&amp;long=-46.58703&amp;tipo=S","QRCODE")</f>
        <v>QRCODE</v>
      </c>
      <c r="C1383" t="s">
        <v>5273</v>
      </c>
      <c r="D1383" t="s">
        <v>30</v>
      </c>
      <c r="E1383" t="s">
        <v>30</v>
      </c>
      <c r="F1383" t="s">
        <v>21</v>
      </c>
      <c r="G1383" t="s">
        <v>303</v>
      </c>
      <c r="H1383">
        <v>0</v>
      </c>
      <c r="I1383">
        <v>4</v>
      </c>
      <c r="J1383">
        <v>0</v>
      </c>
      <c r="K1383">
        <v>0</v>
      </c>
      <c r="L1383">
        <v>0</v>
      </c>
    </row>
    <row r="1384" spans="1:12">
      <c r="A1384" t="str">
        <f>HYPERLINK("http://bombeiros.sp.gov.br/hidrantes/03individual/3114.html","3114")</f>
        <v>3114</v>
      </c>
      <c r="B1384" t="str">
        <f>HYPERLINK("http://bombeiros.sp.gov.br/hidrantes/08bsg/qrcodeBSG.html?id=3114&amp;lat=-23.55880&amp;long=-46.58891&amp;tipo=S","QRCODE")</f>
        <v>QRCODE</v>
      </c>
      <c r="C1384" t="s">
        <v>5273</v>
      </c>
      <c r="D1384" t="s">
        <v>30</v>
      </c>
      <c r="E1384" t="s">
        <v>30</v>
      </c>
      <c r="F1384" t="s">
        <v>21</v>
      </c>
      <c r="G1384" t="s">
        <v>707</v>
      </c>
      <c r="H1384">
        <v>1</v>
      </c>
      <c r="I1384">
        <v>2</v>
      </c>
      <c r="J1384">
        <v>0</v>
      </c>
      <c r="K1384">
        <v>0</v>
      </c>
      <c r="L1384">
        <v>0</v>
      </c>
    </row>
    <row r="1385" spans="1:12">
      <c r="A1385" t="str">
        <f>HYPERLINK("http://bombeiros.sp.gov.br/hidrantes/03individual/3115.html","3115")</f>
        <v>3115</v>
      </c>
      <c r="B1385" t="str">
        <f>HYPERLINK("http://bombeiros.sp.gov.br/hidrantes/08bsg/qrcodeBSG.html?id=3115&amp;lat=-23.55620&amp;long=-46.59255&amp;tipo=S","QRCODE")</f>
        <v>QRCODE</v>
      </c>
      <c r="C1385" t="s">
        <v>5273</v>
      </c>
      <c r="D1385" t="s">
        <v>30</v>
      </c>
      <c r="E1385" t="s">
        <v>30</v>
      </c>
      <c r="F1385" t="s">
        <v>21</v>
      </c>
      <c r="G1385" t="s">
        <v>2333</v>
      </c>
      <c r="H1385">
        <v>0</v>
      </c>
      <c r="I1385">
        <v>3</v>
      </c>
      <c r="J1385">
        <v>0</v>
      </c>
      <c r="K1385">
        <v>0</v>
      </c>
      <c r="L1385">
        <v>0</v>
      </c>
    </row>
    <row r="1386" spans="1:12">
      <c r="A1386" t="str">
        <f>HYPERLINK("http://bombeiros.sp.gov.br/hidrantes/03individual/3118.html","3118")</f>
        <v>3118</v>
      </c>
      <c r="B1386" t="str">
        <f>HYPERLINK("http://bombeiros.sp.gov.br/hidrantes/08bsg/qrcodeBSG.html?id=3118&amp;lat=-23.55552&amp;long=-46.59482&amp;tipo=S","QRCODE")</f>
        <v>QRCODE</v>
      </c>
      <c r="C1386" t="s">
        <v>5273</v>
      </c>
      <c r="D1386" t="s">
        <v>30</v>
      </c>
      <c r="E1386" t="s">
        <v>30</v>
      </c>
      <c r="F1386" t="s">
        <v>21</v>
      </c>
      <c r="G1386" t="s">
        <v>304</v>
      </c>
      <c r="H1386">
        <v>0</v>
      </c>
      <c r="I1386">
        <v>2</v>
      </c>
      <c r="J1386">
        <v>0</v>
      </c>
      <c r="K1386">
        <v>0</v>
      </c>
      <c r="L1386">
        <v>0</v>
      </c>
    </row>
    <row r="1387" spans="1:12">
      <c r="A1387" t="str">
        <f>HYPERLINK("http://bombeiros.sp.gov.br/hidrantes/03individual/3126.html","3126")</f>
        <v>3126</v>
      </c>
      <c r="B1387" t="str">
        <f>HYPERLINK("http://bombeiros.sp.gov.br/hidrantes/08bsg/qrcodeBSG.html?id=3126&amp;lat=-23.55190&amp;long=-46.59614&amp;tipo=S","QRCODE")</f>
        <v>QRCODE</v>
      </c>
      <c r="C1387" t="s">
        <v>5273</v>
      </c>
      <c r="D1387" t="s">
        <v>30</v>
      </c>
      <c r="E1387" t="s">
        <v>30</v>
      </c>
      <c r="F1387" t="s">
        <v>21</v>
      </c>
      <c r="G1387" t="s">
        <v>877</v>
      </c>
      <c r="H1387">
        <v>0</v>
      </c>
      <c r="I1387">
        <v>2</v>
      </c>
      <c r="J1387">
        <v>0</v>
      </c>
      <c r="K1387">
        <v>0</v>
      </c>
      <c r="L1387">
        <v>0</v>
      </c>
    </row>
    <row r="1388" spans="1:12">
      <c r="A1388" t="str">
        <f>HYPERLINK("http://bombeiros.sp.gov.br/hidrantes/03individual/3128.html","3128")</f>
        <v>3128</v>
      </c>
      <c r="B1388" t="str">
        <f>HYPERLINK("http://bombeiros.sp.gov.br/hidrantes/08bsg/qrcodeBSG.html?id=3128&amp;lat=-23.54976&amp;long=-46.59606&amp;tipo=S","QRCODE")</f>
        <v>QRCODE</v>
      </c>
      <c r="C1388" t="s">
        <v>5273</v>
      </c>
      <c r="D1388" t="s">
        <v>30</v>
      </c>
      <c r="E1388" t="s">
        <v>30</v>
      </c>
      <c r="F1388" t="s">
        <v>21</v>
      </c>
      <c r="G1388" t="s">
        <v>879</v>
      </c>
      <c r="H1388">
        <v>0</v>
      </c>
      <c r="I1388">
        <v>2</v>
      </c>
      <c r="J1388">
        <v>0</v>
      </c>
      <c r="K1388">
        <v>0</v>
      </c>
      <c r="L1388">
        <v>0</v>
      </c>
    </row>
    <row r="1389" spans="1:12">
      <c r="A1389" t="str">
        <f>HYPERLINK("http://bombeiros.sp.gov.br/hidrantes/03individual/3202.html","3202")</f>
        <v>3202</v>
      </c>
      <c r="B1389" t="str">
        <f>HYPERLINK("http://bombeiros.sp.gov.br/hidrantes/08bsg/qrcodeBSG.html?id=3202&amp;lat=-23.55662&amp;long=-46.58550&amp;tipo=S","QRCODE")</f>
        <v>QRCODE</v>
      </c>
      <c r="C1389" t="s">
        <v>5273</v>
      </c>
      <c r="D1389" t="s">
        <v>30</v>
      </c>
      <c r="E1389" t="s">
        <v>30</v>
      </c>
      <c r="F1389" t="s">
        <v>21</v>
      </c>
      <c r="G1389" t="s">
        <v>295</v>
      </c>
      <c r="H1389">
        <v>0</v>
      </c>
      <c r="I1389">
        <v>4</v>
      </c>
      <c r="J1389">
        <v>0</v>
      </c>
      <c r="K1389">
        <v>0</v>
      </c>
      <c r="L1389">
        <v>0</v>
      </c>
    </row>
    <row r="1390" spans="1:12">
      <c r="A1390" t="str">
        <f>HYPERLINK("http://bombeiros.sp.gov.br/hidrantes/03individual/17900.html","17900")</f>
        <v>17900</v>
      </c>
      <c r="B1390" t="str">
        <f>HYPERLINK("http://bombeiros.sp.gov.br/hidrantes/08bsg/qrcodeBSG.html?id=17900&amp;lat=-23.54855&amp;long=-46.59481&amp;tipo=S","QRCODE")</f>
        <v>QRCODE</v>
      </c>
      <c r="C1390" t="s">
        <v>5273</v>
      </c>
      <c r="D1390" t="s">
        <v>30</v>
      </c>
      <c r="E1390" t="s">
        <v>30</v>
      </c>
      <c r="F1390" t="s">
        <v>21</v>
      </c>
      <c r="G1390" t="s">
        <v>923</v>
      </c>
      <c r="H1390">
        <v>0</v>
      </c>
      <c r="I1390">
        <v>2</v>
      </c>
      <c r="J1390">
        <v>0</v>
      </c>
      <c r="K1390">
        <v>0</v>
      </c>
      <c r="L1390">
        <v>0</v>
      </c>
    </row>
    <row r="1391" spans="1:12">
      <c r="A1391" t="str">
        <f>HYPERLINK("http://bombeiros.sp.gov.br/hidrantes/03individual/26740.html","26740")</f>
        <v>26740</v>
      </c>
      <c r="B1391" t="str">
        <f>HYPERLINK("http://bombeiros.sp.gov.br/hidrantes/08bsg/qrcodeBSG.html?id=26740&amp;lat=-23.55403&amp;long=-46.58383&amp;tipo=S","QRCODE")</f>
        <v>QRCODE</v>
      </c>
      <c r="C1391" t="s">
        <v>5273</v>
      </c>
      <c r="D1391" t="s">
        <v>30</v>
      </c>
      <c r="E1391" t="s">
        <v>30</v>
      </c>
      <c r="F1391" t="s">
        <v>21</v>
      </c>
      <c r="G1391" t="s">
        <v>266</v>
      </c>
      <c r="H1391">
        <v>1</v>
      </c>
      <c r="I1391">
        <v>3</v>
      </c>
      <c r="J1391">
        <v>0</v>
      </c>
      <c r="K1391">
        <v>0</v>
      </c>
      <c r="L1391">
        <v>0</v>
      </c>
    </row>
    <row r="1392" spans="1:12">
      <c r="A1392" t="str">
        <f>HYPERLINK("http://bombeiros.sp.gov.br/hidrantes/03individual/27212.html","27212")</f>
        <v>27212</v>
      </c>
      <c r="B1392" t="str">
        <f>HYPERLINK("http://bombeiros.sp.gov.br/hidrantes/08bsg/qrcodeBSG.html?id=27212&amp;lat=-23.54823&amp;long=-46.60637&amp;tipo=S","QRCODE")</f>
        <v>QRCODE</v>
      </c>
      <c r="C1392" t="s">
        <v>5273</v>
      </c>
      <c r="D1392" t="s">
        <v>30</v>
      </c>
      <c r="E1392" t="s">
        <v>30</v>
      </c>
      <c r="F1392" t="s">
        <v>21</v>
      </c>
      <c r="G1392" t="s">
        <v>5312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>
      <c r="A1393" t="str">
        <f>HYPERLINK("http://bombeiros.sp.gov.br/hidrantes/03individual/27413.html","27413")</f>
        <v>27413</v>
      </c>
      <c r="B1393" t="str">
        <f>HYPERLINK("http://bombeiros.sp.gov.br/hidrantes/08bsg/qrcodeBSG.html?id=27413&amp;lat=-23.55096&amp;long=-46.61091&amp;tipo=S","QRCODE")</f>
        <v>QRCODE</v>
      </c>
      <c r="C1393" t="s">
        <v>5273</v>
      </c>
      <c r="D1393" t="s">
        <v>30</v>
      </c>
      <c r="E1393" t="s">
        <v>30</v>
      </c>
      <c r="F1393" t="s">
        <v>21</v>
      </c>
      <c r="G1393" t="s">
        <v>5313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>
      <c r="A1394" t="str">
        <f>HYPERLINK("http://bombeiros.sp.gov.br/hidrantes/03individual/2958.html","2958")</f>
        <v>2958</v>
      </c>
      <c r="B1394" t="str">
        <f>HYPERLINK("http://bombeiros.sp.gov.br/hidrantes/08bsg/qrcodeBSG.html?id=2958&amp;lat=-23.58190&amp;long=-46.59017&amp;tipo=S","QRCODE")</f>
        <v>QRCODE</v>
      </c>
      <c r="C1394" t="s">
        <v>5273</v>
      </c>
      <c r="D1394" t="s">
        <v>30</v>
      </c>
      <c r="E1394" t="s">
        <v>895</v>
      </c>
      <c r="F1394" t="s">
        <v>21</v>
      </c>
      <c r="G1394" t="s">
        <v>4929</v>
      </c>
      <c r="H1394">
        <v>0</v>
      </c>
      <c r="I1394">
        <v>1</v>
      </c>
      <c r="J1394">
        <v>0</v>
      </c>
      <c r="K1394">
        <v>0</v>
      </c>
      <c r="L1394">
        <v>0</v>
      </c>
    </row>
    <row r="1395" spans="1:12">
      <c r="A1395" t="str">
        <f>HYPERLINK("http://bombeiros.sp.gov.br/hidrantes/03individual/1675.html","1675")</f>
        <v>1675</v>
      </c>
      <c r="B1395" t="str">
        <f>HYPERLINK("http://bombeiros.sp.gov.br/hidrantes/08bsg/qrcodeBSG.html?id=1675&amp;lat=-23.55657&amp;long=-46.60760&amp;tipo=C","QRCODE")</f>
        <v>QRCODE</v>
      </c>
      <c r="C1395" t="s">
        <v>5273</v>
      </c>
      <c r="D1395" t="s">
        <v>30</v>
      </c>
      <c r="E1395" t="s">
        <v>318</v>
      </c>
      <c r="F1395" t="s">
        <v>12</v>
      </c>
      <c r="G1395" t="s">
        <v>1918</v>
      </c>
      <c r="H1395">
        <v>0</v>
      </c>
      <c r="I1395">
        <v>2</v>
      </c>
      <c r="J1395">
        <v>0</v>
      </c>
      <c r="K1395">
        <v>0</v>
      </c>
      <c r="L1395">
        <v>0</v>
      </c>
    </row>
    <row r="1396" spans="1:12">
      <c r="A1396" t="str">
        <f>HYPERLINK("http://bombeiros.sp.gov.br/hidrantes/03individual/1950.html","1950")</f>
        <v>1950</v>
      </c>
      <c r="B1396" t="str">
        <f>HYPERLINK("http://bombeiros.sp.gov.br/hidrantes/08bsg/qrcodeBSG.html?id=1950&amp;lat=-23.56024&amp;long=-46.60588&amp;tipo=C","QRCODE")</f>
        <v>QRCODE</v>
      </c>
      <c r="C1396" t="s">
        <v>5273</v>
      </c>
      <c r="D1396" t="s">
        <v>30</v>
      </c>
      <c r="E1396" t="s">
        <v>318</v>
      </c>
      <c r="F1396" t="s">
        <v>12</v>
      </c>
      <c r="G1396" t="s">
        <v>3860</v>
      </c>
      <c r="H1396">
        <v>0</v>
      </c>
      <c r="I1396">
        <v>1</v>
      </c>
      <c r="J1396">
        <v>0</v>
      </c>
      <c r="K1396">
        <v>0</v>
      </c>
      <c r="L1396">
        <v>0</v>
      </c>
    </row>
    <row r="1397" spans="1:12">
      <c r="A1397" t="str">
        <f>HYPERLINK("http://bombeiros.sp.gov.br/hidrantes/03individual/3206.html","3206")</f>
        <v>3206</v>
      </c>
      <c r="B1397" t="str">
        <f>HYPERLINK("http://bombeiros.sp.gov.br/hidrantes/08bsg/qrcodeBSG.html?id=3206&amp;lat=-23.57320&amp;long=-46.58869&amp;tipo=C","QRCODE")</f>
        <v>QRCODE</v>
      </c>
      <c r="C1397" t="s">
        <v>5273</v>
      </c>
      <c r="D1397" t="s">
        <v>30</v>
      </c>
      <c r="E1397" t="s">
        <v>318</v>
      </c>
      <c r="F1397" t="s">
        <v>12</v>
      </c>
      <c r="G1397" t="s">
        <v>5002</v>
      </c>
      <c r="H1397">
        <v>0</v>
      </c>
      <c r="I1397">
        <v>1</v>
      </c>
      <c r="J1397">
        <v>0</v>
      </c>
      <c r="K1397">
        <v>0</v>
      </c>
      <c r="L1397">
        <v>0</v>
      </c>
    </row>
    <row r="1398" spans="1:12">
      <c r="A1398" t="str">
        <f>HYPERLINK("http://bombeiros.sp.gov.br/hidrantes/03individual/27014.html","27014")</f>
        <v>27014</v>
      </c>
      <c r="B1398" t="str">
        <f>HYPERLINK("http://bombeiros.sp.gov.br/hidrantes/08bsg/qrcodeBSG.html?id=27014&amp;lat=-23.55690&amp;long=-46.60455&amp;tipo=C","QRCODE")</f>
        <v>QRCODE</v>
      </c>
      <c r="C1398" t="s">
        <v>5273</v>
      </c>
      <c r="D1398" t="s">
        <v>30</v>
      </c>
      <c r="E1398" t="s">
        <v>318</v>
      </c>
      <c r="F1398" t="s">
        <v>12</v>
      </c>
      <c r="G1398" t="s">
        <v>2441</v>
      </c>
      <c r="H1398">
        <v>0</v>
      </c>
      <c r="I1398">
        <v>2</v>
      </c>
      <c r="J1398">
        <v>0</v>
      </c>
      <c r="K1398">
        <v>0</v>
      </c>
      <c r="L1398">
        <v>0</v>
      </c>
    </row>
    <row r="1399" spans="1:12">
      <c r="A1399" t="str">
        <f>HYPERLINK("http://bombeiros.sp.gov.br/hidrantes/03individual/27412.html","27412")</f>
        <v>27412</v>
      </c>
      <c r="B1399" t="str">
        <f>HYPERLINK("http://bombeiros.sp.gov.br/hidrantes/08bsg/qrcodeBSG.html?id=27412&amp;lat=-23.56055&amp;long=-46.60453&amp;tipo=C","QRCODE")</f>
        <v>QRCODE</v>
      </c>
      <c r="C1399" t="s">
        <v>5273</v>
      </c>
      <c r="D1399" t="s">
        <v>30</v>
      </c>
      <c r="E1399" t="s">
        <v>318</v>
      </c>
      <c r="F1399" t="s">
        <v>12</v>
      </c>
      <c r="G1399" t="s">
        <v>5314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>
      <c r="A1400" t="str">
        <f>HYPERLINK("http://bombeiros.sp.gov.br/hidrantes/03individual/1337.html","1337")</f>
        <v>1337</v>
      </c>
      <c r="B1400" t="str">
        <f>HYPERLINK("http://bombeiros.sp.gov.br/hidrantes/08bsg/qrcodeBSG.html?id=1337&amp;lat=-23.55354&amp;long=-46.60978&amp;tipo=S","QRCODE")</f>
        <v>QRCODE</v>
      </c>
      <c r="C1400" t="s">
        <v>5273</v>
      </c>
      <c r="D1400" t="s">
        <v>30</v>
      </c>
      <c r="E1400" t="s">
        <v>318</v>
      </c>
      <c r="F1400" t="s">
        <v>21</v>
      </c>
      <c r="G1400" t="s">
        <v>3553</v>
      </c>
      <c r="H1400">
        <v>0</v>
      </c>
      <c r="I1400">
        <v>2</v>
      </c>
      <c r="J1400">
        <v>0</v>
      </c>
      <c r="K1400">
        <v>0</v>
      </c>
      <c r="L1400">
        <v>0</v>
      </c>
    </row>
    <row r="1401" spans="1:12">
      <c r="A1401" t="str">
        <f>HYPERLINK("http://bombeiros.sp.gov.br/hidrantes/03individual/1338.html","1338")</f>
        <v>1338</v>
      </c>
      <c r="B1401" t="str">
        <f>HYPERLINK("http://bombeiros.sp.gov.br/hidrantes/08bsg/qrcodeBSG.html?id=1338&amp;lat=-23.55321&amp;long=-46.60246&amp;tipo=S","QRCODE")</f>
        <v>QRCODE</v>
      </c>
      <c r="C1401" t="s">
        <v>5273</v>
      </c>
      <c r="D1401" t="s">
        <v>30</v>
      </c>
      <c r="E1401" t="s">
        <v>318</v>
      </c>
      <c r="F1401" t="s">
        <v>21</v>
      </c>
      <c r="G1401" t="s">
        <v>2375</v>
      </c>
      <c r="H1401">
        <v>0</v>
      </c>
      <c r="I1401">
        <v>2</v>
      </c>
      <c r="J1401">
        <v>0</v>
      </c>
      <c r="K1401">
        <v>0</v>
      </c>
      <c r="L1401">
        <v>0</v>
      </c>
    </row>
    <row r="1402" spans="1:12">
      <c r="A1402" t="str">
        <f>HYPERLINK("http://bombeiros.sp.gov.br/hidrantes/03individual/1344.html","1344")</f>
        <v>1344</v>
      </c>
      <c r="B1402" t="str">
        <f>HYPERLINK("http://bombeiros.sp.gov.br/hidrantes/08bsg/qrcodeBSG.html?id=1344&amp;lat=-23.56237&amp;long=-46.60356&amp;tipo=S","QRCODE")</f>
        <v>QRCODE</v>
      </c>
      <c r="C1402" t="s">
        <v>5273</v>
      </c>
      <c r="D1402" t="s">
        <v>30</v>
      </c>
      <c r="E1402" t="s">
        <v>318</v>
      </c>
      <c r="F1402" t="s">
        <v>21</v>
      </c>
      <c r="G1402" t="s">
        <v>747</v>
      </c>
      <c r="H1402">
        <v>1</v>
      </c>
      <c r="I1402">
        <v>2</v>
      </c>
      <c r="J1402">
        <v>0</v>
      </c>
      <c r="K1402">
        <v>0</v>
      </c>
      <c r="L1402">
        <v>0</v>
      </c>
    </row>
    <row r="1403" spans="1:12">
      <c r="A1403" t="str">
        <f>HYPERLINK("http://bombeiros.sp.gov.br/hidrantes/03individual/1460.html","1460")</f>
        <v>1460</v>
      </c>
      <c r="B1403" t="str">
        <f>HYPERLINK("http://bombeiros.sp.gov.br/hidrantes/08bsg/qrcodeBSG.html?id=1460&amp;lat=-23.56647&amp;long=-46.59877&amp;tipo=S","QRCODE")</f>
        <v>QRCODE</v>
      </c>
      <c r="C1403" t="s">
        <v>5273</v>
      </c>
      <c r="D1403" t="s">
        <v>30</v>
      </c>
      <c r="E1403" t="s">
        <v>318</v>
      </c>
      <c r="F1403" t="s">
        <v>21</v>
      </c>
      <c r="G1403" t="s">
        <v>572</v>
      </c>
      <c r="H1403">
        <v>0</v>
      </c>
      <c r="I1403">
        <v>2</v>
      </c>
      <c r="J1403">
        <v>0</v>
      </c>
      <c r="K1403">
        <v>0</v>
      </c>
      <c r="L1403">
        <v>0</v>
      </c>
    </row>
    <row r="1404" spans="1:12">
      <c r="A1404" t="str">
        <f>HYPERLINK("http://bombeiros.sp.gov.br/hidrantes/03individual/1526.html","1526")</f>
        <v>1526</v>
      </c>
      <c r="B1404" t="str">
        <f>HYPERLINK("http://bombeiros.sp.gov.br/hidrantes/08bsg/qrcodeBSG.html?id=1526&amp;lat=-23.55372&amp;long=-46.59814&amp;tipo=S","QRCODE")</f>
        <v>QRCODE</v>
      </c>
      <c r="C1404" t="s">
        <v>5273</v>
      </c>
      <c r="D1404" t="s">
        <v>30</v>
      </c>
      <c r="E1404" t="s">
        <v>318</v>
      </c>
      <c r="F1404" t="s">
        <v>21</v>
      </c>
      <c r="G1404" t="s">
        <v>860</v>
      </c>
      <c r="H1404">
        <v>0</v>
      </c>
      <c r="I1404">
        <v>2</v>
      </c>
      <c r="J1404">
        <v>0</v>
      </c>
      <c r="K1404">
        <v>0</v>
      </c>
      <c r="L1404">
        <v>0</v>
      </c>
    </row>
    <row r="1405" spans="1:12">
      <c r="A1405" t="str">
        <f>HYPERLINK("http://bombeiros.sp.gov.br/hidrantes/03individual/1532.html","1532")</f>
        <v>1532</v>
      </c>
      <c r="B1405" t="str">
        <f>HYPERLINK("http://bombeiros.sp.gov.br/hidrantes/08bsg/qrcodeBSG.html?id=1532&amp;lat=-23.56723&amp;long=-46.59609&amp;tipo=S","QRCODE")</f>
        <v>QRCODE</v>
      </c>
      <c r="C1405" t="s">
        <v>5273</v>
      </c>
      <c r="D1405" t="s">
        <v>30</v>
      </c>
      <c r="E1405" t="s">
        <v>318</v>
      </c>
      <c r="F1405" t="s">
        <v>21</v>
      </c>
      <c r="G1405" t="s">
        <v>3122</v>
      </c>
      <c r="H1405">
        <v>1</v>
      </c>
      <c r="I1405">
        <v>1</v>
      </c>
      <c r="J1405">
        <v>0</v>
      </c>
      <c r="K1405">
        <v>0</v>
      </c>
      <c r="L1405">
        <v>0</v>
      </c>
    </row>
    <row r="1406" spans="1:12">
      <c r="A1406" t="str">
        <f>HYPERLINK("http://bombeiros.sp.gov.br/hidrantes/03individual/1633.html","1633")</f>
        <v>1633</v>
      </c>
      <c r="B1406" t="str">
        <f>HYPERLINK("http://bombeiros.sp.gov.br/hidrantes/08bsg/qrcodeBSG.html?id=1633&amp;lat=-23.55536&amp;long=-46.60032&amp;tipo=S","QRCODE")</f>
        <v>QRCODE</v>
      </c>
      <c r="C1406" t="s">
        <v>5273</v>
      </c>
      <c r="D1406" t="s">
        <v>30</v>
      </c>
      <c r="E1406" t="s">
        <v>318</v>
      </c>
      <c r="F1406" t="s">
        <v>21</v>
      </c>
      <c r="G1406" t="s">
        <v>3120</v>
      </c>
      <c r="H1406">
        <v>1</v>
      </c>
      <c r="I1406">
        <v>1</v>
      </c>
      <c r="J1406">
        <v>0</v>
      </c>
      <c r="K1406">
        <v>0</v>
      </c>
      <c r="L1406">
        <v>0</v>
      </c>
    </row>
    <row r="1407" spans="1:12">
      <c r="A1407" t="str">
        <f>HYPERLINK("http://bombeiros.sp.gov.br/hidrantes/03individual/1635.html","1635")</f>
        <v>1635</v>
      </c>
      <c r="B1407" t="str">
        <f>HYPERLINK("http://bombeiros.sp.gov.br/hidrantes/08bsg/qrcodeBSG.html?id=1635&amp;lat=-23.55344&amp;long=-46.60010&amp;tipo=S","QRCODE")</f>
        <v>QRCODE</v>
      </c>
      <c r="C1407" t="s">
        <v>5273</v>
      </c>
      <c r="D1407" t="s">
        <v>30</v>
      </c>
      <c r="E1407" t="s">
        <v>318</v>
      </c>
      <c r="F1407" t="s">
        <v>21</v>
      </c>
      <c r="G1407" t="s">
        <v>4788</v>
      </c>
      <c r="H1407">
        <v>1</v>
      </c>
      <c r="I1407">
        <v>1</v>
      </c>
      <c r="J1407">
        <v>0</v>
      </c>
      <c r="K1407">
        <v>0</v>
      </c>
      <c r="L1407">
        <v>0</v>
      </c>
    </row>
    <row r="1408" spans="1:12">
      <c r="A1408" t="str">
        <f>HYPERLINK("http://bombeiros.sp.gov.br/hidrantes/03individual/1649.html","1649")</f>
        <v>1649</v>
      </c>
      <c r="B1408" t="str">
        <f>HYPERLINK("http://bombeiros.sp.gov.br/hidrantes/08bsg/qrcodeBSG.html?id=1649&amp;lat=-23.57910&amp;long=-46.58947&amp;tipo=S","QRCODE")</f>
        <v>QRCODE</v>
      </c>
      <c r="C1408" t="s">
        <v>5273</v>
      </c>
      <c r="D1408" t="s">
        <v>30</v>
      </c>
      <c r="E1408" t="s">
        <v>318</v>
      </c>
      <c r="F1408" t="s">
        <v>21</v>
      </c>
      <c r="G1408" t="s">
        <v>4879</v>
      </c>
      <c r="H1408">
        <v>1</v>
      </c>
      <c r="I1408">
        <v>1</v>
      </c>
      <c r="J1408">
        <v>0</v>
      </c>
      <c r="K1408">
        <v>0</v>
      </c>
      <c r="L1408">
        <v>0</v>
      </c>
    </row>
    <row r="1409" spans="1:12">
      <c r="A1409" t="str">
        <f>HYPERLINK("http://bombeiros.sp.gov.br/hidrantes/03individual/1673.html","1673")</f>
        <v>1673</v>
      </c>
      <c r="B1409" t="str">
        <f>HYPERLINK("http://bombeiros.sp.gov.br/hidrantes/08bsg/qrcodeBSG.html?id=1673&amp;lat=-23.55506&amp;long=-46.60597&amp;tipo=S","QRCODE")</f>
        <v>QRCODE</v>
      </c>
      <c r="C1409" t="s">
        <v>5273</v>
      </c>
      <c r="D1409" t="s">
        <v>30</v>
      </c>
      <c r="E1409" t="s">
        <v>318</v>
      </c>
      <c r="F1409" t="s">
        <v>21</v>
      </c>
      <c r="G1409" t="s">
        <v>327</v>
      </c>
      <c r="H1409">
        <v>0</v>
      </c>
      <c r="I1409">
        <v>2</v>
      </c>
      <c r="J1409">
        <v>0</v>
      </c>
      <c r="K1409">
        <v>0</v>
      </c>
      <c r="L1409">
        <v>0</v>
      </c>
    </row>
    <row r="1410" spans="1:12">
      <c r="A1410" t="str">
        <f>HYPERLINK("http://bombeiros.sp.gov.br/hidrantes/03individual/1690.html","1690")</f>
        <v>1690</v>
      </c>
      <c r="B1410" t="str">
        <f>HYPERLINK("http://bombeiros.sp.gov.br/hidrantes/08bsg/qrcodeBSG.html?id=1690&amp;lat=-23.55796&amp;long=-46.60476&amp;tipo=S","QRCODE")</f>
        <v>QRCODE</v>
      </c>
      <c r="C1410" t="s">
        <v>5273</v>
      </c>
      <c r="D1410" t="s">
        <v>30</v>
      </c>
      <c r="E1410" t="s">
        <v>318</v>
      </c>
      <c r="F1410" t="s">
        <v>21</v>
      </c>
      <c r="G1410" t="s">
        <v>4787</v>
      </c>
      <c r="H1410">
        <v>1</v>
      </c>
      <c r="I1410">
        <v>1</v>
      </c>
      <c r="J1410">
        <v>0</v>
      </c>
      <c r="K1410">
        <v>0</v>
      </c>
      <c r="L1410">
        <v>0</v>
      </c>
    </row>
    <row r="1411" spans="1:12">
      <c r="A1411" t="str">
        <f>HYPERLINK("http://bombeiros.sp.gov.br/hidrantes/03individual/1696.html","1696")</f>
        <v>1696</v>
      </c>
      <c r="B1411" t="str">
        <f>HYPERLINK("http://bombeiros.sp.gov.br/hidrantes/08bsg/qrcodeBSG.html?id=1696&amp;lat=-23.55816&amp;long=-46.60692&amp;tipo=S","QRCODE")</f>
        <v>QRCODE</v>
      </c>
      <c r="C1411" t="s">
        <v>5273</v>
      </c>
      <c r="D1411" t="s">
        <v>30</v>
      </c>
      <c r="E1411" t="s">
        <v>318</v>
      </c>
      <c r="F1411" t="s">
        <v>21</v>
      </c>
      <c r="G1411" t="s">
        <v>4786</v>
      </c>
      <c r="H1411">
        <v>1</v>
      </c>
      <c r="I1411">
        <v>1</v>
      </c>
      <c r="J1411">
        <v>0</v>
      </c>
      <c r="K1411">
        <v>0</v>
      </c>
      <c r="L1411">
        <v>0</v>
      </c>
    </row>
    <row r="1412" spans="1:12">
      <c r="A1412" t="str">
        <f>HYPERLINK("http://bombeiros.sp.gov.br/hidrantes/03individual/1715.html","1715")</f>
        <v>1715</v>
      </c>
      <c r="B1412" t="str">
        <f>HYPERLINK("http://bombeiros.sp.gov.br/hidrantes/08bsg/qrcodeBSG.html?id=1715&amp;lat=-23.56399&amp;long=-46.60409&amp;tipo=S","QRCODE")</f>
        <v>QRCODE</v>
      </c>
      <c r="C1412" t="s">
        <v>5273</v>
      </c>
      <c r="D1412" t="s">
        <v>30</v>
      </c>
      <c r="E1412" t="s">
        <v>318</v>
      </c>
      <c r="F1412" t="s">
        <v>21</v>
      </c>
      <c r="G1412" t="s">
        <v>5151</v>
      </c>
      <c r="H1412">
        <v>0</v>
      </c>
      <c r="I1412">
        <v>1</v>
      </c>
      <c r="J1412">
        <v>0</v>
      </c>
      <c r="K1412">
        <v>0</v>
      </c>
      <c r="L1412">
        <v>0</v>
      </c>
    </row>
    <row r="1413" spans="1:12">
      <c r="A1413" t="str">
        <f>HYPERLINK("http://bombeiros.sp.gov.br/hidrantes/03individual/1728.html","1728")</f>
        <v>1728</v>
      </c>
      <c r="B1413" t="str">
        <f>HYPERLINK("http://bombeiros.sp.gov.br/hidrantes/08bsg/qrcodeBSG.html?id=1728&amp;lat=-23.56667&amp;long=-46.60239&amp;tipo=S","QRCODE")</f>
        <v>QRCODE</v>
      </c>
      <c r="C1413" t="s">
        <v>5273</v>
      </c>
      <c r="D1413" t="s">
        <v>30</v>
      </c>
      <c r="E1413" t="s">
        <v>318</v>
      </c>
      <c r="F1413" t="s">
        <v>21</v>
      </c>
      <c r="G1413" t="s">
        <v>2402</v>
      </c>
      <c r="H1413">
        <v>0</v>
      </c>
      <c r="I1413">
        <v>2</v>
      </c>
      <c r="J1413">
        <v>0</v>
      </c>
      <c r="K1413">
        <v>0</v>
      </c>
      <c r="L1413">
        <v>0</v>
      </c>
    </row>
    <row r="1414" spans="1:12">
      <c r="A1414" t="str">
        <f>HYPERLINK("http://bombeiros.sp.gov.br/hidrantes/03individual/1730.html","1730")</f>
        <v>1730</v>
      </c>
      <c r="B1414" t="str">
        <f>HYPERLINK("http://bombeiros.sp.gov.br/hidrantes/08bsg/qrcodeBSG.html?id=1730&amp;lat=-23.56661&amp;long=-46.60215&amp;tipo=S","QRCODE")</f>
        <v>QRCODE</v>
      </c>
      <c r="C1414" t="s">
        <v>5273</v>
      </c>
      <c r="D1414" t="s">
        <v>30</v>
      </c>
      <c r="E1414" t="s">
        <v>318</v>
      </c>
      <c r="F1414" t="s">
        <v>21</v>
      </c>
      <c r="G1414" t="s">
        <v>5092</v>
      </c>
      <c r="H1414">
        <v>0</v>
      </c>
      <c r="I1414">
        <v>1</v>
      </c>
      <c r="J1414">
        <v>0</v>
      </c>
      <c r="K1414">
        <v>0</v>
      </c>
      <c r="L1414">
        <v>0</v>
      </c>
    </row>
    <row r="1415" spans="1:12">
      <c r="A1415" t="str">
        <f>HYPERLINK("http://bombeiros.sp.gov.br/hidrantes/03individual/3119.html","3119")</f>
        <v>3119</v>
      </c>
      <c r="B1415" t="str">
        <f>HYPERLINK("http://bombeiros.sp.gov.br/hidrantes/08bsg/qrcodeBSG.html?id=3119&amp;lat=-23.55569&amp;long=-46.59705&amp;tipo=S","QRCODE")</f>
        <v>QRCODE</v>
      </c>
      <c r="C1415" t="s">
        <v>5273</v>
      </c>
      <c r="D1415" t="s">
        <v>30</v>
      </c>
      <c r="E1415" t="s">
        <v>318</v>
      </c>
      <c r="F1415" t="s">
        <v>21</v>
      </c>
      <c r="G1415" t="s">
        <v>706</v>
      </c>
      <c r="H1415">
        <v>1</v>
      </c>
      <c r="I1415">
        <v>2</v>
      </c>
      <c r="J1415">
        <v>0</v>
      </c>
      <c r="K1415">
        <v>0</v>
      </c>
      <c r="L1415">
        <v>0</v>
      </c>
    </row>
    <row r="1416" spans="1:12">
      <c r="A1416" t="str">
        <f>HYPERLINK("http://bombeiros.sp.gov.br/hidrantes/03individual/3124.html","3124")</f>
        <v>3124</v>
      </c>
      <c r="B1416" t="str">
        <f>HYPERLINK("http://bombeiros.sp.gov.br/hidrantes/08bsg/qrcodeBSG.html?id=3124&amp;lat=-23.55391&amp;long=-46.59687&amp;tipo=S","QRCODE")</f>
        <v>QRCODE</v>
      </c>
      <c r="C1416" t="s">
        <v>5273</v>
      </c>
      <c r="D1416" t="s">
        <v>30</v>
      </c>
      <c r="E1416" t="s">
        <v>318</v>
      </c>
      <c r="F1416" t="s">
        <v>21</v>
      </c>
      <c r="G1416" t="s">
        <v>875</v>
      </c>
      <c r="H1416">
        <v>0</v>
      </c>
      <c r="I1416">
        <v>2</v>
      </c>
      <c r="J1416">
        <v>0</v>
      </c>
      <c r="K1416">
        <v>0</v>
      </c>
      <c r="L1416">
        <v>0</v>
      </c>
    </row>
    <row r="1417" spans="1:12">
      <c r="A1417" t="str">
        <f>HYPERLINK("http://bombeiros.sp.gov.br/hidrantes/03individual/3166.html","3166")</f>
        <v>3166</v>
      </c>
      <c r="B1417" t="str">
        <f>HYPERLINK("http://bombeiros.sp.gov.br/hidrantes/08bsg/qrcodeBSG.html?id=3166&amp;lat=-23.57740&amp;long=-46.59237&amp;tipo=S","QRCODE")</f>
        <v>QRCODE</v>
      </c>
      <c r="C1417" t="s">
        <v>5273</v>
      </c>
      <c r="D1417" t="s">
        <v>30</v>
      </c>
      <c r="E1417" t="s">
        <v>318</v>
      </c>
      <c r="F1417" t="s">
        <v>21</v>
      </c>
      <c r="G1417" t="s">
        <v>5003</v>
      </c>
      <c r="H1417">
        <v>0</v>
      </c>
      <c r="I1417">
        <v>1</v>
      </c>
      <c r="J1417">
        <v>0</v>
      </c>
      <c r="K1417">
        <v>0</v>
      </c>
      <c r="L1417">
        <v>0</v>
      </c>
    </row>
    <row r="1418" spans="1:12">
      <c r="A1418" t="str">
        <f>HYPERLINK("http://bombeiros.sp.gov.br/hidrantes/03individual/5633.html","5633")</f>
        <v>5633</v>
      </c>
      <c r="B1418" t="str">
        <f>HYPERLINK("http://bombeiros.sp.gov.br/hidrantes/08bsg/qrcodeBSG.html?id=5633&amp;lat=-23.55778&amp;long=-46.59970&amp;tipo=S","QRCODE")</f>
        <v>QRCODE</v>
      </c>
      <c r="C1418" t="s">
        <v>5273</v>
      </c>
      <c r="D1418" t="s">
        <v>30</v>
      </c>
      <c r="E1418" t="s">
        <v>318</v>
      </c>
      <c r="F1418" t="s">
        <v>21</v>
      </c>
      <c r="G1418" t="s">
        <v>317</v>
      </c>
      <c r="H1418">
        <v>0</v>
      </c>
      <c r="I1418">
        <v>2</v>
      </c>
      <c r="J1418">
        <v>0</v>
      </c>
      <c r="K1418">
        <v>0</v>
      </c>
      <c r="L1418">
        <v>0</v>
      </c>
    </row>
    <row r="1419" spans="1:12">
      <c r="A1419" t="str">
        <f>HYPERLINK("http://bombeiros.sp.gov.br/hidrantes/03individual/5636.html","5636")</f>
        <v>5636</v>
      </c>
      <c r="B1419" t="str">
        <f>HYPERLINK("http://bombeiros.sp.gov.br/hidrantes/08bsg/qrcodeBSG.html?id=5636&amp;lat=-23.57256&amp;long=-46.59946&amp;tipo=S","QRCODE")</f>
        <v>QRCODE</v>
      </c>
      <c r="C1419" t="s">
        <v>5273</v>
      </c>
      <c r="D1419" t="s">
        <v>30</v>
      </c>
      <c r="E1419" t="s">
        <v>318</v>
      </c>
      <c r="F1419" t="s">
        <v>21</v>
      </c>
      <c r="G1419" t="s">
        <v>5089</v>
      </c>
      <c r="H1419">
        <v>0</v>
      </c>
      <c r="I1419">
        <v>1</v>
      </c>
      <c r="J1419">
        <v>0</v>
      </c>
      <c r="K1419">
        <v>0</v>
      </c>
      <c r="L1419">
        <v>0</v>
      </c>
    </row>
    <row r="1420" spans="1:12">
      <c r="A1420" t="str">
        <f>HYPERLINK("http://bombeiros.sp.gov.br/hidrantes/03individual/16591.html","16591")</f>
        <v>16591</v>
      </c>
      <c r="B1420" t="str">
        <f>HYPERLINK("http://bombeiros.sp.gov.br/hidrantes/08bsg/qrcodeBSG.html?id=16591&amp;lat=-23.55637&amp;long=-46.59533&amp;tipo=S","QRCODE")</f>
        <v>QRCODE</v>
      </c>
      <c r="C1420" t="s">
        <v>5273</v>
      </c>
      <c r="D1420" t="s">
        <v>30</v>
      </c>
      <c r="E1420" t="s">
        <v>318</v>
      </c>
      <c r="F1420" t="s">
        <v>21</v>
      </c>
      <c r="G1420" t="s">
        <v>661</v>
      </c>
      <c r="H1420">
        <v>1</v>
      </c>
      <c r="I1420">
        <v>2</v>
      </c>
      <c r="J1420">
        <v>0</v>
      </c>
      <c r="K1420">
        <v>0</v>
      </c>
      <c r="L1420">
        <v>0</v>
      </c>
    </row>
    <row r="1421" spans="1:12">
      <c r="A1421" t="str">
        <f>HYPERLINK("http://bombeiros.sp.gov.br/hidrantes/03individual/17690.html","17690")</f>
        <v>17690</v>
      </c>
      <c r="B1421" t="str">
        <f>HYPERLINK("http://bombeiros.sp.gov.br/hidrantes/08bsg/qrcodeBSG.html?id=17690&amp;lat=-23.55373&amp;long=-46.59776&amp;tipo=S","QRCODE")</f>
        <v>QRCODE</v>
      </c>
      <c r="C1421" t="s">
        <v>5273</v>
      </c>
      <c r="D1421" t="s">
        <v>30</v>
      </c>
      <c r="E1421" t="s">
        <v>318</v>
      </c>
      <c r="F1421" t="s">
        <v>21</v>
      </c>
      <c r="G1421" t="s">
        <v>925</v>
      </c>
      <c r="H1421">
        <v>1</v>
      </c>
      <c r="I1421">
        <v>2</v>
      </c>
      <c r="J1421">
        <v>0</v>
      </c>
      <c r="K1421">
        <v>0</v>
      </c>
      <c r="L1421">
        <v>0</v>
      </c>
    </row>
    <row r="1422" spans="1:12">
      <c r="A1422" t="str">
        <f>HYPERLINK("http://bombeiros.sp.gov.br/hidrantes/03individual/17720.html","17720")</f>
        <v>17720</v>
      </c>
      <c r="B1422" t="str">
        <f>HYPERLINK("http://bombeiros.sp.gov.br/hidrantes/08bsg/qrcodeBSG.html?id=17720&amp;lat=-23.56911&amp;long=-46.59200&amp;tipo=S","QRCODE")</f>
        <v>QRCODE</v>
      </c>
      <c r="C1422" t="s">
        <v>5273</v>
      </c>
      <c r="D1422" t="s">
        <v>30</v>
      </c>
      <c r="E1422" t="s">
        <v>318</v>
      </c>
      <c r="F1422" t="s">
        <v>21</v>
      </c>
      <c r="G1422" t="s">
        <v>2322</v>
      </c>
      <c r="H1422">
        <v>0</v>
      </c>
      <c r="I1422">
        <v>2</v>
      </c>
      <c r="J1422">
        <v>0</v>
      </c>
      <c r="K1422">
        <v>0</v>
      </c>
      <c r="L1422">
        <v>0</v>
      </c>
    </row>
    <row r="1423" spans="1:12">
      <c r="A1423" t="str">
        <f>HYPERLINK("http://bombeiros.sp.gov.br/hidrantes/03individual/27297.html","27297")</f>
        <v>27297</v>
      </c>
      <c r="B1423" t="str">
        <f>HYPERLINK("http://bombeiros.sp.gov.br/hidrantes/08bsg/qrcodeBSG.html?id=27297&amp;lat=-23.55942&amp;long=-46.60377&amp;tipo=S","QRCODE")</f>
        <v>QRCODE</v>
      </c>
      <c r="C1423" t="s">
        <v>5273</v>
      </c>
      <c r="D1423" t="s">
        <v>30</v>
      </c>
      <c r="E1423" t="s">
        <v>318</v>
      </c>
      <c r="F1423" t="s">
        <v>21</v>
      </c>
      <c r="G1423" t="s">
        <v>5315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2">
      <c r="A1424" t="str">
        <f>HYPERLINK("http://bombeiros.sp.gov.br/hidrantes/03individual/27298.html","27298")</f>
        <v>27298</v>
      </c>
      <c r="B1424" t="str">
        <f>HYPERLINK("http://bombeiros.sp.gov.br/hidrantes/08bsg/qrcodeBSG.html?id=27298&amp;lat=-23.55894&amp;long=-46.60260&amp;tipo=S","QRCODE")</f>
        <v>QRCODE</v>
      </c>
      <c r="C1424" t="s">
        <v>5273</v>
      </c>
      <c r="D1424" t="s">
        <v>30</v>
      </c>
      <c r="E1424" t="s">
        <v>318</v>
      </c>
      <c r="F1424" t="s">
        <v>21</v>
      </c>
      <c r="G1424" t="s">
        <v>5316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>
      <c r="A1425" t="str">
        <f>HYPERLINK("http://bombeiros.sp.gov.br/hidrantes/03individual/3047.html","3047")</f>
        <v>3047</v>
      </c>
      <c r="B1425" t="str">
        <f>HYPERLINK("http://bombeiros.sp.gov.br/hidrantes/08bsg/qrcodeBSG.html?id=3047&amp;lat=-23.54609&amp;long=-46.59213&amp;tipo=S","QRCODE")</f>
        <v>QRCODE</v>
      </c>
      <c r="C1425" t="s">
        <v>5273</v>
      </c>
      <c r="D1425" t="s">
        <v>30</v>
      </c>
      <c r="E1425" t="s">
        <v>691</v>
      </c>
      <c r="F1425" t="s">
        <v>21</v>
      </c>
      <c r="G1425" t="s">
        <v>882</v>
      </c>
      <c r="H1425">
        <v>0</v>
      </c>
      <c r="I1425">
        <v>3</v>
      </c>
      <c r="J1425">
        <v>0</v>
      </c>
      <c r="K1425">
        <v>0</v>
      </c>
      <c r="L1425">
        <v>0</v>
      </c>
    </row>
    <row r="1426" spans="1:12">
      <c r="A1426" t="str">
        <f>HYPERLINK("http://bombeiros.sp.gov.br/hidrantes/03individual/996.html","996")</f>
        <v>996</v>
      </c>
      <c r="B1426" t="str">
        <f>HYPERLINK("http://bombeiros.sp.gov.br/hidrantes/08bsg/qrcodeBSG.html?id=996&amp;lat=-23.52524&amp;long=-46.60665&amp;tipo=C","QRCODE")</f>
        <v>QRCODE</v>
      </c>
      <c r="C1426" t="s">
        <v>5273</v>
      </c>
      <c r="D1426" t="s">
        <v>345</v>
      </c>
      <c r="E1426" t="s">
        <v>743</v>
      </c>
      <c r="F1426" t="s">
        <v>12</v>
      </c>
      <c r="G1426" t="s">
        <v>2384</v>
      </c>
      <c r="H1426">
        <v>0</v>
      </c>
      <c r="I1426">
        <v>2</v>
      </c>
      <c r="J1426">
        <v>0</v>
      </c>
      <c r="K1426">
        <v>0</v>
      </c>
      <c r="L1426">
        <v>0</v>
      </c>
    </row>
    <row r="1427" spans="1:12">
      <c r="A1427" t="str">
        <f>HYPERLINK("http://bombeiros.sp.gov.br/hidrantes/03individual/1002.html","1002")</f>
        <v>1002</v>
      </c>
      <c r="B1427" t="str">
        <f>HYPERLINK("http://bombeiros.sp.gov.br/hidrantes/08bsg/qrcodeBSG.html?id=1002&amp;lat=-23.52910&amp;long=-46.60819&amp;tipo=C","QRCODE")</f>
        <v>QRCODE</v>
      </c>
      <c r="C1427" t="s">
        <v>5273</v>
      </c>
      <c r="D1427" t="s">
        <v>345</v>
      </c>
      <c r="E1427" t="s">
        <v>743</v>
      </c>
      <c r="F1427" t="s">
        <v>12</v>
      </c>
      <c r="G1427" t="s">
        <v>796</v>
      </c>
      <c r="H1427">
        <v>2</v>
      </c>
      <c r="I1427">
        <v>2</v>
      </c>
      <c r="J1427">
        <v>0</v>
      </c>
      <c r="K1427">
        <v>0</v>
      </c>
      <c r="L1427">
        <v>0</v>
      </c>
    </row>
    <row r="1428" spans="1:12">
      <c r="A1428" t="str">
        <f>HYPERLINK("http://bombeiros.sp.gov.br/hidrantes/03individual/695.html","695")</f>
        <v>695</v>
      </c>
      <c r="B1428" t="str">
        <f>HYPERLINK("http://bombeiros.sp.gov.br/hidrantes/08bsg/qrcodeBSG.html?id=695&amp;lat=-23.52415&amp;long=-46.60860&amp;tipo=S","QRCODE")</f>
        <v>QRCODE</v>
      </c>
      <c r="C1428" t="s">
        <v>5273</v>
      </c>
      <c r="D1428" t="s">
        <v>345</v>
      </c>
      <c r="E1428" t="s">
        <v>743</v>
      </c>
      <c r="F1428" t="s">
        <v>21</v>
      </c>
      <c r="G1428" t="s">
        <v>2390</v>
      </c>
      <c r="H1428">
        <v>0</v>
      </c>
      <c r="I1428">
        <v>2</v>
      </c>
      <c r="J1428">
        <v>0</v>
      </c>
      <c r="K1428">
        <v>0</v>
      </c>
      <c r="L1428">
        <v>0</v>
      </c>
    </row>
    <row r="1429" spans="1:12">
      <c r="A1429" t="str">
        <f>HYPERLINK("http://bombeiros.sp.gov.br/hidrantes/03individual/791.html","791")</f>
        <v>791</v>
      </c>
      <c r="B1429" t="str">
        <f>HYPERLINK("http://bombeiros.sp.gov.br/hidrantes/08bsg/qrcodeBSG.html?id=791&amp;lat=-23.52786&amp;long=-46.60858&amp;tipo=S","QRCODE")</f>
        <v>QRCODE</v>
      </c>
      <c r="C1429" t="s">
        <v>5273</v>
      </c>
      <c r="D1429" t="s">
        <v>345</v>
      </c>
      <c r="E1429" t="s">
        <v>743</v>
      </c>
      <c r="F1429" t="s">
        <v>21</v>
      </c>
      <c r="G1429" t="s">
        <v>4883</v>
      </c>
      <c r="H1429">
        <v>0</v>
      </c>
      <c r="I1429">
        <v>3</v>
      </c>
      <c r="J1429">
        <v>0</v>
      </c>
      <c r="K1429">
        <v>0</v>
      </c>
      <c r="L1429">
        <v>0</v>
      </c>
    </row>
    <row r="1430" spans="1:12">
      <c r="A1430" t="str">
        <f>HYPERLINK("http://bombeiros.sp.gov.br/hidrantes/03individual/1349.html","1349")</f>
        <v>1349</v>
      </c>
      <c r="B1430" t="str">
        <f>HYPERLINK("http://bombeiros.sp.gov.br/hidrantes/08bsg/qrcodeBSG.html?id=1349&amp;lat=-23.52785&amp;long=-46.60700&amp;tipo=S","QRCODE")</f>
        <v>QRCODE</v>
      </c>
      <c r="C1430" t="s">
        <v>5273</v>
      </c>
      <c r="D1430" t="s">
        <v>345</v>
      </c>
      <c r="E1430" t="s">
        <v>743</v>
      </c>
      <c r="F1430" t="s">
        <v>21</v>
      </c>
      <c r="G1430" t="s">
        <v>742</v>
      </c>
      <c r="H1430">
        <v>1</v>
      </c>
      <c r="I1430">
        <v>3</v>
      </c>
      <c r="J1430">
        <v>0</v>
      </c>
      <c r="K1430">
        <v>0</v>
      </c>
      <c r="L1430">
        <v>0</v>
      </c>
    </row>
    <row r="1431" spans="1:12">
      <c r="A1431" t="str">
        <f>HYPERLINK("http://bombeiros.sp.gov.br/hidrantes/03individual/16632.html","16632")</f>
        <v>16632</v>
      </c>
      <c r="B1431" t="str">
        <f>HYPERLINK("http://bombeiros.sp.gov.br/hidrantes/08bsg/qrcodeBSG.html?id=16632&amp;lat=-23.52700&amp;long=-46.61233&amp;tipo=S","QRCODE")</f>
        <v>QRCODE</v>
      </c>
      <c r="C1431" t="s">
        <v>5273</v>
      </c>
      <c r="D1431" t="s">
        <v>345</v>
      </c>
      <c r="E1431" t="s">
        <v>743</v>
      </c>
      <c r="F1431" t="s">
        <v>21</v>
      </c>
      <c r="G1431" t="s">
        <v>4898</v>
      </c>
      <c r="H1431">
        <v>1</v>
      </c>
      <c r="I1431">
        <v>1</v>
      </c>
      <c r="J1431">
        <v>0</v>
      </c>
      <c r="K1431">
        <v>0</v>
      </c>
      <c r="L1431">
        <v>0</v>
      </c>
    </row>
    <row r="1432" spans="1:12">
      <c r="A1432" t="str">
        <f>HYPERLINK("http://bombeiros.sp.gov.br/hidrantes/03individual/17775.html","17775")</f>
        <v>17775</v>
      </c>
      <c r="B1432" t="str">
        <f>HYPERLINK("http://bombeiros.sp.gov.br/hidrantes/08bsg/qrcodeBSG.html?id=17775&amp;lat=-23.52276&amp;long=-46.61436&amp;tipo=S","QRCODE")</f>
        <v>QRCODE</v>
      </c>
      <c r="C1432" t="s">
        <v>5273</v>
      </c>
      <c r="D1432" t="s">
        <v>345</v>
      </c>
      <c r="E1432" t="s">
        <v>743</v>
      </c>
      <c r="F1432" t="s">
        <v>21</v>
      </c>
      <c r="G1432" t="s">
        <v>2015</v>
      </c>
      <c r="H1432">
        <v>0</v>
      </c>
      <c r="I1432">
        <v>2</v>
      </c>
      <c r="J1432">
        <v>0</v>
      </c>
      <c r="K1432">
        <v>0</v>
      </c>
      <c r="L1432">
        <v>0</v>
      </c>
    </row>
    <row r="1433" spans="1:12">
      <c r="A1433" t="str">
        <f>HYPERLINK("http://bombeiros.sp.gov.br/hidrantes/03individual/27167.html","27167")</f>
        <v>27167</v>
      </c>
      <c r="B1433" t="str">
        <f>HYPERLINK("http://bombeiros.sp.gov.br/hidrantes/08bsg/qrcodeBSG.html?id=27167&amp;lat=-23.52623&amp;long=-46.60926&amp;tipo=S","QRCODE")</f>
        <v>QRCODE</v>
      </c>
      <c r="C1433" t="s">
        <v>5273</v>
      </c>
      <c r="D1433" t="s">
        <v>345</v>
      </c>
      <c r="E1433" t="s">
        <v>743</v>
      </c>
      <c r="F1433" t="s">
        <v>21</v>
      </c>
      <c r="G1433" t="s">
        <v>3355</v>
      </c>
      <c r="H1433">
        <v>0</v>
      </c>
      <c r="I1433">
        <v>1</v>
      </c>
      <c r="J1433">
        <v>0</v>
      </c>
      <c r="K1433">
        <v>0</v>
      </c>
      <c r="L1433">
        <v>0</v>
      </c>
    </row>
    <row r="1434" spans="1:12">
      <c r="A1434" t="str">
        <f>HYPERLINK("http://bombeiros.sp.gov.br/hidrantes/03individual/1000.html","1000")</f>
        <v>1000</v>
      </c>
      <c r="B1434" t="str">
        <f>HYPERLINK("http://bombeiros.sp.gov.br/hidrantes/08bsg/qrcodeBSG.html?id=1000&amp;lat=-23.52409&amp;long=-46.61975&amp;tipo=C","QRCODE")</f>
        <v>QRCODE</v>
      </c>
      <c r="C1434" t="s">
        <v>5273</v>
      </c>
      <c r="D1434" t="s">
        <v>345</v>
      </c>
      <c r="E1434" t="s">
        <v>569</v>
      </c>
      <c r="F1434" t="s">
        <v>12</v>
      </c>
      <c r="G1434" t="s">
        <v>1967</v>
      </c>
      <c r="H1434">
        <v>0</v>
      </c>
      <c r="I1434">
        <v>3</v>
      </c>
      <c r="J1434">
        <v>0</v>
      </c>
      <c r="K1434">
        <v>0</v>
      </c>
      <c r="L1434">
        <v>0</v>
      </c>
    </row>
    <row r="1435" spans="1:12">
      <c r="A1435" t="str">
        <f>HYPERLINK("http://bombeiros.sp.gov.br/hidrantes/03individual/1001.html","1001")</f>
        <v>1001</v>
      </c>
      <c r="B1435" t="str">
        <f>HYPERLINK("http://bombeiros.sp.gov.br/hidrantes/08bsg/qrcodeBSG.html?id=1001&amp;lat=-23.52562&amp;long=-46.62307&amp;tipo=C","QRCODE")</f>
        <v>QRCODE</v>
      </c>
      <c r="C1435" t="s">
        <v>5273</v>
      </c>
      <c r="D1435" t="s">
        <v>345</v>
      </c>
      <c r="E1435" t="s">
        <v>569</v>
      </c>
      <c r="F1435" t="s">
        <v>12</v>
      </c>
      <c r="G1435" t="s">
        <v>2515</v>
      </c>
      <c r="H1435">
        <v>0</v>
      </c>
      <c r="I1435">
        <v>2</v>
      </c>
      <c r="J1435">
        <v>0</v>
      </c>
      <c r="K1435">
        <v>0</v>
      </c>
      <c r="L1435">
        <v>0</v>
      </c>
    </row>
    <row r="1436" spans="1:12">
      <c r="A1436" t="str">
        <f>HYPERLINK("http://bombeiros.sp.gov.br/hidrantes/03individual/1743.html","1743")</f>
        <v>1743</v>
      </c>
      <c r="B1436" t="str">
        <f>HYPERLINK("http://bombeiros.sp.gov.br/hidrantes/08bsg/qrcodeBSG.html?id=1743&amp;lat=-23.52897&amp;long=-46.62518&amp;tipo=C","QRCODE")</f>
        <v>QRCODE</v>
      </c>
      <c r="C1436" t="s">
        <v>5273</v>
      </c>
      <c r="D1436" t="s">
        <v>345</v>
      </c>
      <c r="E1436" t="s">
        <v>569</v>
      </c>
      <c r="F1436" t="s">
        <v>12</v>
      </c>
      <c r="G1436" t="s">
        <v>568</v>
      </c>
      <c r="H1436">
        <v>0</v>
      </c>
      <c r="I1436">
        <v>2</v>
      </c>
      <c r="J1436">
        <v>0</v>
      </c>
      <c r="K1436">
        <v>0</v>
      </c>
      <c r="L1436">
        <v>0</v>
      </c>
    </row>
    <row r="1437" spans="1:12">
      <c r="A1437" t="str">
        <f>HYPERLINK("http://bombeiros.sp.gov.br/hidrantes/03individual/529.html","529")</f>
        <v>529</v>
      </c>
      <c r="B1437" t="str">
        <f>HYPERLINK("http://bombeiros.sp.gov.br/hidrantes/08bsg/qrcodeBSG.html?id=529&amp;lat=-23.52324&amp;long=-46.62029&amp;tipo=S","QRCODE")</f>
        <v>QRCODE</v>
      </c>
      <c r="C1437" t="s">
        <v>5273</v>
      </c>
      <c r="D1437" t="s">
        <v>345</v>
      </c>
      <c r="E1437" t="s">
        <v>569</v>
      </c>
      <c r="F1437" t="s">
        <v>21</v>
      </c>
      <c r="G1437" t="s">
        <v>4303</v>
      </c>
      <c r="H1437">
        <v>0</v>
      </c>
      <c r="I1437">
        <v>1</v>
      </c>
      <c r="J1437">
        <v>0</v>
      </c>
      <c r="K1437">
        <v>0</v>
      </c>
      <c r="L1437">
        <v>0</v>
      </c>
    </row>
    <row r="1438" spans="1:12">
      <c r="A1438" t="str">
        <f>HYPERLINK("http://bombeiros.sp.gov.br/hidrantes/03individual/512.html","512")</f>
        <v>512</v>
      </c>
      <c r="B1438" t="str">
        <f>HYPERLINK("http://bombeiros.sp.gov.br/hidrantes/08bsg/qrcodeBSG.html?id=512&amp;lat=-23.53094&amp;long=-46.62425&amp;tipo=C","QRCODE")</f>
        <v>QRCODE</v>
      </c>
      <c r="C1438" t="s">
        <v>5273</v>
      </c>
      <c r="D1438" t="s">
        <v>345</v>
      </c>
      <c r="E1438" t="s">
        <v>345</v>
      </c>
      <c r="F1438" t="s">
        <v>12</v>
      </c>
      <c r="G1438" t="s">
        <v>344</v>
      </c>
      <c r="H1438">
        <v>1</v>
      </c>
      <c r="I1438">
        <v>3</v>
      </c>
      <c r="J1438">
        <v>0</v>
      </c>
      <c r="K1438">
        <v>0</v>
      </c>
      <c r="L1438">
        <v>0</v>
      </c>
    </row>
    <row r="1439" spans="1:12">
      <c r="A1439" t="str">
        <f>HYPERLINK("http://bombeiros.sp.gov.br/hidrantes/03individual/1356.html","1356")</f>
        <v>1356</v>
      </c>
      <c r="B1439" t="str">
        <f>HYPERLINK("http://bombeiros.sp.gov.br/hidrantes/08bsg/qrcodeBSG.html?id=1356&amp;lat=-23.52867&amp;long=-46.61395&amp;tipo=C","QRCODE")</f>
        <v>QRCODE</v>
      </c>
      <c r="C1439" t="s">
        <v>5273</v>
      </c>
      <c r="D1439" t="s">
        <v>345</v>
      </c>
      <c r="E1439" t="s">
        <v>345</v>
      </c>
      <c r="F1439" t="s">
        <v>12</v>
      </c>
      <c r="G1439" t="s">
        <v>2551</v>
      </c>
      <c r="H1439">
        <v>0</v>
      </c>
      <c r="I1439">
        <v>2</v>
      </c>
      <c r="J1439">
        <v>0</v>
      </c>
      <c r="K1439">
        <v>0</v>
      </c>
      <c r="L1439">
        <v>0</v>
      </c>
    </row>
    <row r="1440" spans="1:12">
      <c r="A1440" t="str">
        <f>HYPERLINK("http://bombeiros.sp.gov.br/hidrantes/03individual/2041.html","2041")</f>
        <v>2041</v>
      </c>
      <c r="B1440" t="str">
        <f>HYPERLINK("http://bombeiros.sp.gov.br/hidrantes/08bsg/qrcodeBSG.html?id=2041&amp;lat=-23.53229&amp;long=-46.61899&amp;tipo=C","QRCODE")</f>
        <v>QRCODE</v>
      </c>
      <c r="C1440" t="s">
        <v>5273</v>
      </c>
      <c r="D1440" t="s">
        <v>345</v>
      </c>
      <c r="E1440" t="s">
        <v>345</v>
      </c>
      <c r="F1440" t="s">
        <v>12</v>
      </c>
      <c r="G1440" t="s">
        <v>5026</v>
      </c>
      <c r="H1440">
        <v>0</v>
      </c>
      <c r="I1440">
        <v>1</v>
      </c>
      <c r="J1440">
        <v>0</v>
      </c>
      <c r="K1440">
        <v>0</v>
      </c>
      <c r="L1440">
        <v>0</v>
      </c>
    </row>
    <row r="1441" spans="1:12">
      <c r="A1441" t="str">
        <f>HYPERLINK("http://bombeiros.sp.gov.br/hidrantes/03individual/268.html","268")</f>
        <v>268</v>
      </c>
      <c r="B1441" t="str">
        <f>HYPERLINK("http://bombeiros.sp.gov.br/hidrantes/08bsg/qrcodeBSG.html?id=268&amp;lat=-23.53189&amp;long=-46.61574&amp;tipo=S","QRCODE")</f>
        <v>QRCODE</v>
      </c>
      <c r="C1441" t="s">
        <v>5273</v>
      </c>
      <c r="D1441" t="s">
        <v>345</v>
      </c>
      <c r="E1441" t="s">
        <v>345</v>
      </c>
      <c r="F1441" t="s">
        <v>21</v>
      </c>
      <c r="G1441" t="s">
        <v>4889</v>
      </c>
      <c r="H1441">
        <v>2</v>
      </c>
      <c r="I1441">
        <v>1</v>
      </c>
      <c r="J1441">
        <v>0</v>
      </c>
      <c r="K1441">
        <v>0</v>
      </c>
      <c r="L1441">
        <v>0</v>
      </c>
    </row>
    <row r="1442" spans="1:12">
      <c r="A1442" t="str">
        <f>HYPERLINK("http://bombeiros.sp.gov.br/hidrantes/03individual/507.html","507")</f>
        <v>507</v>
      </c>
      <c r="B1442" t="str">
        <f>HYPERLINK("http://bombeiros.sp.gov.br/hidrantes/08bsg/qrcodeBSG.html?id=507&amp;lat=-23.53145&amp;long=-46.62111&amp;tipo=S","QRCODE")</f>
        <v>QRCODE</v>
      </c>
      <c r="C1442" t="s">
        <v>5273</v>
      </c>
      <c r="D1442" t="s">
        <v>345</v>
      </c>
      <c r="E1442" t="s">
        <v>345</v>
      </c>
      <c r="F1442" t="s">
        <v>21</v>
      </c>
      <c r="G1442" t="s">
        <v>1949</v>
      </c>
      <c r="H1442">
        <v>0</v>
      </c>
      <c r="I1442">
        <v>2</v>
      </c>
      <c r="J1442">
        <v>0</v>
      </c>
      <c r="K1442">
        <v>0</v>
      </c>
      <c r="L1442">
        <v>0</v>
      </c>
    </row>
    <row r="1443" spans="1:12">
      <c r="A1443" t="str">
        <f>HYPERLINK("http://bombeiros.sp.gov.br/hidrantes/03individual/558.html","558")</f>
        <v>558</v>
      </c>
      <c r="B1443" t="str">
        <f>HYPERLINK("http://bombeiros.sp.gov.br/hidrantes/08bsg/qrcodeBSG.html?id=558&amp;lat=-23.52691&amp;long=-46.61152&amp;tipo=S","QRCODE")</f>
        <v>QRCODE</v>
      </c>
      <c r="C1443" t="s">
        <v>5273</v>
      </c>
      <c r="D1443" t="s">
        <v>345</v>
      </c>
      <c r="E1443" t="s">
        <v>345</v>
      </c>
      <c r="F1443" t="s">
        <v>21</v>
      </c>
      <c r="G1443" t="s">
        <v>1959</v>
      </c>
      <c r="H1443">
        <v>0</v>
      </c>
      <c r="I1443">
        <v>2</v>
      </c>
      <c r="J1443">
        <v>0</v>
      </c>
      <c r="K1443">
        <v>0</v>
      </c>
      <c r="L1443">
        <v>0</v>
      </c>
    </row>
    <row r="1444" spans="1:12">
      <c r="A1444" t="str">
        <f>HYPERLINK("http://bombeiros.sp.gov.br/hidrantes/03individual/561.html","561")</f>
        <v>561</v>
      </c>
      <c r="B1444" t="str">
        <f>HYPERLINK("http://bombeiros.sp.gov.br/hidrantes/08bsg/qrcodeBSG.html?id=561&amp;lat=-23.53218&amp;long=-46.62382&amp;tipo=S","QRCODE")</f>
        <v>QRCODE</v>
      </c>
      <c r="C1444" t="s">
        <v>5273</v>
      </c>
      <c r="D1444" t="s">
        <v>345</v>
      </c>
      <c r="E1444" t="s">
        <v>345</v>
      </c>
      <c r="F1444" t="s">
        <v>21</v>
      </c>
      <c r="G1444" t="s">
        <v>2839</v>
      </c>
      <c r="H1444">
        <v>0</v>
      </c>
      <c r="I1444">
        <v>2</v>
      </c>
      <c r="J1444">
        <v>0</v>
      </c>
      <c r="K1444">
        <v>0</v>
      </c>
      <c r="L1444">
        <v>0</v>
      </c>
    </row>
    <row r="1445" spans="1:12">
      <c r="A1445" t="str">
        <f>HYPERLINK("http://bombeiros.sp.gov.br/hidrantes/03individual/607.html","607")</f>
        <v>607</v>
      </c>
      <c r="B1445" t="str">
        <f>HYPERLINK("http://bombeiros.sp.gov.br/hidrantes/08bsg/qrcodeBSG.html?id=607&amp;lat=-23.53049&amp;long=-46.62193&amp;tipo=S","QRCODE")</f>
        <v>QRCODE</v>
      </c>
      <c r="C1445" t="s">
        <v>5273</v>
      </c>
      <c r="D1445" t="s">
        <v>345</v>
      </c>
      <c r="E1445" t="s">
        <v>345</v>
      </c>
      <c r="F1445" t="s">
        <v>21</v>
      </c>
      <c r="G1445" t="s">
        <v>596</v>
      </c>
      <c r="H1445">
        <v>0</v>
      </c>
      <c r="I1445">
        <v>2</v>
      </c>
      <c r="J1445">
        <v>0</v>
      </c>
      <c r="K1445">
        <v>0</v>
      </c>
      <c r="L1445">
        <v>0</v>
      </c>
    </row>
    <row r="1446" spans="1:12">
      <c r="A1446" t="str">
        <f>HYPERLINK("http://bombeiros.sp.gov.br/hidrantes/03individual/608.html","608")</f>
        <v>608</v>
      </c>
      <c r="B1446" t="str">
        <f>HYPERLINK("http://bombeiros.sp.gov.br/hidrantes/08bsg/qrcodeBSG.html?id=608&amp;lat=-23.52824&amp;long=-46.62239&amp;tipo=S","QRCODE")</f>
        <v>QRCODE</v>
      </c>
      <c r="C1446" t="s">
        <v>5273</v>
      </c>
      <c r="D1446" t="s">
        <v>345</v>
      </c>
      <c r="E1446" t="s">
        <v>345</v>
      </c>
      <c r="F1446" t="s">
        <v>21</v>
      </c>
      <c r="G1446" t="s">
        <v>2526</v>
      </c>
      <c r="H1446">
        <v>0</v>
      </c>
      <c r="I1446">
        <v>2</v>
      </c>
      <c r="J1446">
        <v>0</v>
      </c>
      <c r="K1446">
        <v>0</v>
      </c>
      <c r="L1446">
        <v>0</v>
      </c>
    </row>
    <row r="1447" spans="1:12">
      <c r="A1447" t="str">
        <f>HYPERLINK("http://bombeiros.sp.gov.br/hidrantes/03individual/612.html","612")</f>
        <v>612</v>
      </c>
      <c r="B1447" t="str">
        <f>HYPERLINK("http://bombeiros.sp.gov.br/hidrantes/08bsg/qrcodeBSG.html?id=612&amp;lat=-23.52754&amp;long=-46.62096&amp;tipo=S","QRCODE")</f>
        <v>QRCODE</v>
      </c>
      <c r="C1447" t="s">
        <v>5273</v>
      </c>
      <c r="D1447" t="s">
        <v>345</v>
      </c>
      <c r="E1447" t="s">
        <v>345</v>
      </c>
      <c r="F1447" t="s">
        <v>21</v>
      </c>
      <c r="G1447" t="s">
        <v>4910</v>
      </c>
      <c r="H1447">
        <v>0</v>
      </c>
      <c r="I1447">
        <v>2</v>
      </c>
      <c r="J1447">
        <v>0</v>
      </c>
      <c r="K1447">
        <v>0</v>
      </c>
      <c r="L1447">
        <v>0</v>
      </c>
    </row>
    <row r="1448" spans="1:12">
      <c r="A1448" t="str">
        <f>HYPERLINK("http://bombeiros.sp.gov.br/hidrantes/03individual/622.html","622")</f>
        <v>622</v>
      </c>
      <c r="B1448" t="str">
        <f>HYPERLINK("http://bombeiros.sp.gov.br/hidrantes/08bsg/qrcodeBSG.html?id=622&amp;lat=-23.52931&amp;long=-46.62180&amp;tipo=S","QRCODE")</f>
        <v>QRCODE</v>
      </c>
      <c r="C1448" t="s">
        <v>5273</v>
      </c>
      <c r="D1448" t="s">
        <v>345</v>
      </c>
      <c r="E1448" t="s">
        <v>345</v>
      </c>
      <c r="F1448" t="s">
        <v>21</v>
      </c>
      <c r="G1448" t="s">
        <v>1957</v>
      </c>
      <c r="H1448">
        <v>0</v>
      </c>
      <c r="I1448">
        <v>2</v>
      </c>
      <c r="J1448">
        <v>0</v>
      </c>
      <c r="K1448">
        <v>0</v>
      </c>
      <c r="L1448">
        <v>0</v>
      </c>
    </row>
    <row r="1449" spans="1:12">
      <c r="A1449" t="str">
        <f>HYPERLINK("http://bombeiros.sp.gov.br/hidrantes/03individual/623.html","623")</f>
        <v>623</v>
      </c>
      <c r="B1449" t="str">
        <f>HYPERLINK("http://bombeiros.sp.gov.br/hidrantes/08bsg/qrcodeBSG.html?id=623&amp;lat=-23.52981&amp;long=-46.62061&amp;tipo=S","QRCODE")</f>
        <v>QRCODE</v>
      </c>
      <c r="C1449" t="s">
        <v>5273</v>
      </c>
      <c r="D1449" t="s">
        <v>345</v>
      </c>
      <c r="E1449" t="s">
        <v>345</v>
      </c>
      <c r="F1449" t="s">
        <v>21</v>
      </c>
      <c r="G1449" t="s">
        <v>1958</v>
      </c>
      <c r="H1449">
        <v>0</v>
      </c>
      <c r="I1449">
        <v>2</v>
      </c>
      <c r="J1449">
        <v>0</v>
      </c>
      <c r="K1449">
        <v>0</v>
      </c>
      <c r="L1449">
        <v>0</v>
      </c>
    </row>
    <row r="1450" spans="1:12">
      <c r="A1450" t="str">
        <f>HYPERLINK("http://bombeiros.sp.gov.br/hidrantes/03individual/630.html","630")</f>
        <v>630</v>
      </c>
      <c r="B1450" t="str">
        <f>HYPERLINK("http://bombeiros.sp.gov.br/hidrantes/08bsg/qrcodeBSG.html?id=630&amp;lat=-23.52746&amp;long=-46.61875&amp;tipo=S","QRCODE")</f>
        <v>QRCODE</v>
      </c>
      <c r="C1450" t="s">
        <v>5273</v>
      </c>
      <c r="D1450" t="s">
        <v>345</v>
      </c>
      <c r="E1450" t="s">
        <v>345</v>
      </c>
      <c r="F1450" t="s">
        <v>21</v>
      </c>
      <c r="G1450" t="s">
        <v>2527</v>
      </c>
      <c r="H1450">
        <v>0</v>
      </c>
      <c r="I1450">
        <v>2</v>
      </c>
      <c r="J1450">
        <v>0</v>
      </c>
      <c r="K1450">
        <v>0</v>
      </c>
      <c r="L1450">
        <v>0</v>
      </c>
    </row>
    <row r="1451" spans="1:12">
      <c r="A1451" t="str">
        <f>HYPERLINK("http://bombeiros.sp.gov.br/hidrantes/03individual/639.html","639")</f>
        <v>639</v>
      </c>
      <c r="B1451" t="str">
        <f>HYPERLINK("http://bombeiros.sp.gov.br/hidrantes/08bsg/qrcodeBSG.html?id=639&amp;lat=-23.52744&amp;long=-46.62216&amp;tipo=S","QRCODE")</f>
        <v>QRCODE</v>
      </c>
      <c r="C1451" t="s">
        <v>5273</v>
      </c>
      <c r="D1451" t="s">
        <v>345</v>
      </c>
      <c r="E1451" t="s">
        <v>345</v>
      </c>
      <c r="F1451" t="s">
        <v>21</v>
      </c>
      <c r="G1451" t="s">
        <v>2528</v>
      </c>
      <c r="H1451">
        <v>0</v>
      </c>
      <c r="I1451">
        <v>2</v>
      </c>
      <c r="J1451">
        <v>0</v>
      </c>
      <c r="K1451">
        <v>0</v>
      </c>
      <c r="L1451">
        <v>0</v>
      </c>
    </row>
    <row r="1452" spans="1:12">
      <c r="A1452" t="str">
        <f>HYPERLINK("http://bombeiros.sp.gov.br/hidrantes/03individual/673.html","673")</f>
        <v>673</v>
      </c>
      <c r="B1452" t="str">
        <f>HYPERLINK("http://bombeiros.sp.gov.br/hidrantes/08bsg/qrcodeBSG.html?id=673&amp;lat=-23.53001&amp;long=-46.61975&amp;tipo=S","QRCODE")</f>
        <v>QRCODE</v>
      </c>
      <c r="C1452" t="s">
        <v>5273</v>
      </c>
      <c r="D1452" t="s">
        <v>345</v>
      </c>
      <c r="E1452" t="s">
        <v>345</v>
      </c>
      <c r="F1452" t="s">
        <v>21</v>
      </c>
      <c r="G1452" t="s">
        <v>5317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>
      <c r="A1453" t="str">
        <f>HYPERLINK("http://bombeiros.sp.gov.br/hidrantes/03individual/674.html","674")</f>
        <v>674</v>
      </c>
      <c r="B1453" t="str">
        <f>HYPERLINK("http://bombeiros.sp.gov.br/hidrantes/08bsg/qrcodeBSG.html?id=674&amp;lat=-23.52927&amp;long=-46.61723&amp;tipo=S","QRCODE")</f>
        <v>QRCODE</v>
      </c>
      <c r="C1453" t="s">
        <v>5273</v>
      </c>
      <c r="D1453" t="s">
        <v>345</v>
      </c>
      <c r="E1453" t="s">
        <v>345</v>
      </c>
      <c r="F1453" t="s">
        <v>21</v>
      </c>
      <c r="G1453" t="s">
        <v>4312</v>
      </c>
      <c r="H1453">
        <v>0</v>
      </c>
      <c r="I1453">
        <v>1</v>
      </c>
      <c r="J1453">
        <v>0</v>
      </c>
      <c r="K1453">
        <v>0</v>
      </c>
      <c r="L1453">
        <v>0</v>
      </c>
    </row>
    <row r="1454" spans="1:12">
      <c r="A1454" t="str">
        <f>HYPERLINK("http://bombeiros.sp.gov.br/hidrantes/03individual/702.html","702")</f>
        <v>702</v>
      </c>
      <c r="B1454" t="str">
        <f>HYPERLINK("http://bombeiros.sp.gov.br/hidrantes/08bsg/qrcodeBSG.html?id=702&amp;lat=-23.53402&amp;long=-46.61744&amp;tipo=S","QRCODE")</f>
        <v>QRCODE</v>
      </c>
      <c r="C1454" t="s">
        <v>5273</v>
      </c>
      <c r="D1454" t="s">
        <v>345</v>
      </c>
      <c r="E1454" t="s">
        <v>345</v>
      </c>
      <c r="F1454" t="s">
        <v>21</v>
      </c>
      <c r="G1454" t="s">
        <v>364</v>
      </c>
      <c r="H1454">
        <v>0</v>
      </c>
      <c r="I1454">
        <v>2</v>
      </c>
      <c r="J1454">
        <v>0</v>
      </c>
      <c r="K1454">
        <v>0</v>
      </c>
      <c r="L1454">
        <v>0</v>
      </c>
    </row>
    <row r="1455" spans="1:12">
      <c r="A1455" t="str">
        <f>HYPERLINK("http://bombeiros.sp.gov.br/hidrantes/03individual/704.html","704")</f>
        <v>704</v>
      </c>
      <c r="B1455" t="str">
        <f>HYPERLINK("http://bombeiros.sp.gov.br/hidrantes/08bsg/qrcodeBSG.html?id=704&amp;lat=-23.53407&amp;long=-46.61479&amp;tipo=S","QRCODE")</f>
        <v>QRCODE</v>
      </c>
      <c r="C1455" t="s">
        <v>5273</v>
      </c>
      <c r="D1455" t="s">
        <v>345</v>
      </c>
      <c r="E1455" t="s">
        <v>345</v>
      </c>
      <c r="F1455" t="s">
        <v>21</v>
      </c>
      <c r="G1455" t="s">
        <v>792</v>
      </c>
      <c r="H1455">
        <v>1</v>
      </c>
      <c r="I1455">
        <v>2</v>
      </c>
      <c r="J1455">
        <v>0</v>
      </c>
      <c r="K1455">
        <v>0</v>
      </c>
      <c r="L1455">
        <v>0</v>
      </c>
    </row>
    <row r="1456" spans="1:12">
      <c r="A1456" t="str">
        <f>HYPERLINK("http://bombeiros.sp.gov.br/hidrantes/03individual/739.html","739")</f>
        <v>739</v>
      </c>
      <c r="B1456" t="str">
        <f>HYPERLINK("http://bombeiros.sp.gov.br/hidrantes/08bsg/qrcodeBSG.html?id=739&amp;lat=-23.52936&amp;long=-46.61312&amp;tipo=S","QRCODE")</f>
        <v>QRCODE</v>
      </c>
      <c r="C1456" t="s">
        <v>5273</v>
      </c>
      <c r="D1456" t="s">
        <v>345</v>
      </c>
      <c r="E1456" t="s">
        <v>345</v>
      </c>
      <c r="F1456" t="s">
        <v>21</v>
      </c>
      <c r="G1456" t="s">
        <v>2529</v>
      </c>
      <c r="H1456">
        <v>0</v>
      </c>
      <c r="I1456">
        <v>2</v>
      </c>
      <c r="J1456">
        <v>0</v>
      </c>
      <c r="K1456">
        <v>0</v>
      </c>
      <c r="L1456">
        <v>0</v>
      </c>
    </row>
    <row r="1457" spans="1:12">
      <c r="A1457" t="str">
        <f>HYPERLINK("http://bombeiros.sp.gov.br/hidrantes/03individual/742.html","742")</f>
        <v>742</v>
      </c>
      <c r="B1457" t="str">
        <f>HYPERLINK("http://bombeiros.sp.gov.br/hidrantes/08bsg/qrcodeBSG.html?id=742&amp;lat=-23.52850&amp;long=-46.62055&amp;tipo=S","QRCODE")</f>
        <v>QRCODE</v>
      </c>
      <c r="C1457" t="s">
        <v>5273</v>
      </c>
      <c r="D1457" t="s">
        <v>345</v>
      </c>
      <c r="E1457" t="s">
        <v>345</v>
      </c>
      <c r="F1457" t="s">
        <v>21</v>
      </c>
      <c r="G1457" t="s">
        <v>1960</v>
      </c>
      <c r="H1457">
        <v>0</v>
      </c>
      <c r="I1457">
        <v>2</v>
      </c>
      <c r="J1457">
        <v>0</v>
      </c>
      <c r="K1457">
        <v>0</v>
      </c>
      <c r="L1457">
        <v>0</v>
      </c>
    </row>
    <row r="1458" spans="1:12">
      <c r="A1458" t="str">
        <f>HYPERLINK("http://bombeiros.sp.gov.br/hidrantes/03individual/774.html","774")</f>
        <v>774</v>
      </c>
      <c r="B1458" t="str">
        <f>HYPERLINK("http://bombeiros.sp.gov.br/hidrantes/08bsg/qrcodeBSG.html?id=774&amp;lat=-23.53297&amp;long=-46.61651&amp;tipo=S","QRCODE")</f>
        <v>QRCODE</v>
      </c>
      <c r="C1458" t="s">
        <v>5273</v>
      </c>
      <c r="D1458" t="s">
        <v>345</v>
      </c>
      <c r="E1458" t="s">
        <v>345</v>
      </c>
      <c r="F1458" t="s">
        <v>21</v>
      </c>
      <c r="G1458" t="s">
        <v>1963</v>
      </c>
      <c r="H1458">
        <v>0</v>
      </c>
      <c r="I1458">
        <v>2</v>
      </c>
      <c r="J1458">
        <v>0</v>
      </c>
      <c r="K1458">
        <v>0</v>
      </c>
      <c r="L1458">
        <v>0</v>
      </c>
    </row>
    <row r="1459" spans="1:12">
      <c r="A1459" t="str">
        <f>HYPERLINK("http://bombeiros.sp.gov.br/hidrantes/03individual/787.html","787")</f>
        <v>787</v>
      </c>
      <c r="B1459" t="str">
        <f>HYPERLINK("http://bombeiros.sp.gov.br/hidrantes/08bsg/qrcodeBSG.html?id=787&amp;lat=-23.53498&amp;long=-46.61572&amp;tipo=S","QRCODE")</f>
        <v>QRCODE</v>
      </c>
      <c r="C1459" t="s">
        <v>5273</v>
      </c>
      <c r="D1459" t="s">
        <v>345</v>
      </c>
      <c r="E1459" t="s">
        <v>345</v>
      </c>
      <c r="F1459" t="s">
        <v>21</v>
      </c>
      <c r="G1459" t="s">
        <v>1962</v>
      </c>
      <c r="H1459">
        <v>0</v>
      </c>
      <c r="I1459">
        <v>2</v>
      </c>
      <c r="J1459">
        <v>0</v>
      </c>
      <c r="K1459">
        <v>0</v>
      </c>
      <c r="L1459">
        <v>0</v>
      </c>
    </row>
    <row r="1460" spans="1:12">
      <c r="A1460" t="str">
        <f>HYPERLINK("http://bombeiros.sp.gov.br/hidrantes/03individual/788.html","788")</f>
        <v>788</v>
      </c>
      <c r="B1460" t="str">
        <f>HYPERLINK("http://bombeiros.sp.gov.br/hidrantes/08bsg/qrcodeBSG.html?id=788&amp;lat=-23.53334&amp;long=-46.61406&amp;tipo=S","QRCODE")</f>
        <v>QRCODE</v>
      </c>
      <c r="C1460" t="s">
        <v>5273</v>
      </c>
      <c r="D1460" t="s">
        <v>345</v>
      </c>
      <c r="E1460" t="s">
        <v>345</v>
      </c>
      <c r="F1460" t="s">
        <v>21</v>
      </c>
      <c r="G1460" t="s">
        <v>795</v>
      </c>
      <c r="H1460">
        <v>2</v>
      </c>
      <c r="I1460">
        <v>2</v>
      </c>
      <c r="J1460">
        <v>0</v>
      </c>
      <c r="K1460">
        <v>0</v>
      </c>
      <c r="L1460">
        <v>0</v>
      </c>
    </row>
    <row r="1461" spans="1:12">
      <c r="A1461" t="str">
        <f>HYPERLINK("http://bombeiros.sp.gov.br/hidrantes/03individual/789.html","789")</f>
        <v>789</v>
      </c>
      <c r="B1461" t="str">
        <f>HYPERLINK("http://bombeiros.sp.gov.br/hidrantes/08bsg/qrcodeBSG.html?id=789&amp;lat=-23.53070&amp;long=-46.61147&amp;tipo=S","QRCODE")</f>
        <v>QRCODE</v>
      </c>
      <c r="C1461" t="s">
        <v>5273</v>
      </c>
      <c r="D1461" t="s">
        <v>345</v>
      </c>
      <c r="E1461" t="s">
        <v>345</v>
      </c>
      <c r="F1461" t="s">
        <v>21</v>
      </c>
      <c r="G1461" t="s">
        <v>4905</v>
      </c>
      <c r="H1461">
        <v>1</v>
      </c>
      <c r="I1461">
        <v>1</v>
      </c>
      <c r="J1461">
        <v>0</v>
      </c>
      <c r="K1461">
        <v>0</v>
      </c>
      <c r="L1461">
        <v>0</v>
      </c>
    </row>
    <row r="1462" spans="1:12">
      <c r="A1462" t="str">
        <f>HYPERLINK("http://bombeiros.sp.gov.br/hidrantes/03individual/790.html","790")</f>
        <v>790</v>
      </c>
      <c r="B1462" t="str">
        <f>HYPERLINK("http://bombeiros.sp.gov.br/hidrantes/08bsg/qrcodeBSG.html?id=790&amp;lat=-23.52974&amp;long=-46.61047&amp;tipo=S","QRCODE")</f>
        <v>QRCODE</v>
      </c>
      <c r="C1462" t="s">
        <v>5273</v>
      </c>
      <c r="D1462" t="s">
        <v>345</v>
      </c>
      <c r="E1462" t="s">
        <v>345</v>
      </c>
      <c r="F1462" t="s">
        <v>21</v>
      </c>
      <c r="G1462" t="s">
        <v>4921</v>
      </c>
      <c r="H1462">
        <v>1</v>
      </c>
      <c r="I1462">
        <v>1</v>
      </c>
      <c r="J1462">
        <v>0</v>
      </c>
      <c r="K1462">
        <v>0</v>
      </c>
      <c r="L1462">
        <v>0</v>
      </c>
    </row>
    <row r="1463" spans="1:12">
      <c r="A1463" t="str">
        <f>HYPERLINK("http://bombeiros.sp.gov.br/hidrantes/03individual/797.html","797")</f>
        <v>797</v>
      </c>
      <c r="B1463" t="str">
        <f>HYPERLINK("http://bombeiros.sp.gov.br/hidrantes/08bsg/qrcodeBSG.html?id=797&amp;lat=-23.53501&amp;long=-46.62126&amp;tipo=S","QRCODE")</f>
        <v>QRCODE</v>
      </c>
      <c r="C1463" t="s">
        <v>5273</v>
      </c>
      <c r="D1463" t="s">
        <v>345</v>
      </c>
      <c r="E1463" t="s">
        <v>345</v>
      </c>
      <c r="F1463" t="s">
        <v>21</v>
      </c>
      <c r="G1463" t="s">
        <v>4308</v>
      </c>
      <c r="H1463">
        <v>0</v>
      </c>
      <c r="I1463">
        <v>1</v>
      </c>
      <c r="J1463">
        <v>0</v>
      </c>
      <c r="K1463">
        <v>0</v>
      </c>
      <c r="L1463">
        <v>0</v>
      </c>
    </row>
    <row r="1464" spans="1:12">
      <c r="A1464" t="str">
        <f>HYPERLINK("http://bombeiros.sp.gov.br/hidrantes/03individual/798.html","798")</f>
        <v>798</v>
      </c>
      <c r="B1464" t="str">
        <f>HYPERLINK("http://bombeiros.sp.gov.br/hidrantes/08bsg/qrcodeBSG.html?id=798&amp;lat=-23.53170&amp;long=-46.62024&amp;tipo=S","QRCODE")</f>
        <v>QRCODE</v>
      </c>
      <c r="C1464" t="s">
        <v>5273</v>
      </c>
      <c r="D1464" t="s">
        <v>345</v>
      </c>
      <c r="E1464" t="s">
        <v>345</v>
      </c>
      <c r="F1464" t="s">
        <v>21</v>
      </c>
      <c r="G1464" t="s">
        <v>5021</v>
      </c>
      <c r="H1464">
        <v>0</v>
      </c>
      <c r="I1464">
        <v>1</v>
      </c>
      <c r="J1464">
        <v>0</v>
      </c>
      <c r="K1464">
        <v>0</v>
      </c>
      <c r="L1464">
        <v>0</v>
      </c>
    </row>
    <row r="1465" spans="1:12">
      <c r="A1465" t="str">
        <f>HYPERLINK("http://bombeiros.sp.gov.br/hidrantes/03individual/799.html","799")</f>
        <v>799</v>
      </c>
      <c r="B1465" t="str">
        <f>HYPERLINK("http://bombeiros.sp.gov.br/hidrantes/08bsg/qrcodeBSG.html?id=799&amp;lat=-23.52874&amp;long=-46.61968&amp;tipo=S","QRCODE")</f>
        <v>QRCODE</v>
      </c>
      <c r="C1465" t="s">
        <v>5273</v>
      </c>
      <c r="D1465" t="s">
        <v>345</v>
      </c>
      <c r="E1465" t="s">
        <v>345</v>
      </c>
      <c r="F1465" t="s">
        <v>21</v>
      </c>
      <c r="G1465" t="s">
        <v>592</v>
      </c>
      <c r="H1465">
        <v>0</v>
      </c>
      <c r="I1465">
        <v>2</v>
      </c>
      <c r="J1465">
        <v>0</v>
      </c>
      <c r="K1465">
        <v>0</v>
      </c>
      <c r="L1465">
        <v>0</v>
      </c>
    </row>
    <row r="1466" spans="1:12">
      <c r="A1466" t="str">
        <f>HYPERLINK("http://bombeiros.sp.gov.br/hidrantes/03individual/804.html","804")</f>
        <v>804</v>
      </c>
      <c r="B1466" t="str">
        <f>HYPERLINK("http://bombeiros.sp.gov.br/hidrantes/08bsg/qrcodeBSG.html?id=804&amp;lat=-23.52938&amp;long=-46.62366&amp;tipo=S","QRCODE")</f>
        <v>QRCODE</v>
      </c>
      <c r="C1466" t="s">
        <v>5273</v>
      </c>
      <c r="D1466" t="s">
        <v>345</v>
      </c>
      <c r="E1466" t="s">
        <v>345</v>
      </c>
      <c r="F1466" t="s">
        <v>21</v>
      </c>
      <c r="G1466" t="s">
        <v>595</v>
      </c>
      <c r="H1466">
        <v>0</v>
      </c>
      <c r="I1466">
        <v>2</v>
      </c>
      <c r="J1466">
        <v>0</v>
      </c>
      <c r="K1466">
        <v>0</v>
      </c>
      <c r="L1466">
        <v>0</v>
      </c>
    </row>
    <row r="1467" spans="1:12">
      <c r="A1467" t="str">
        <f>HYPERLINK("http://bombeiros.sp.gov.br/hidrantes/03individual/1324.html","1324")</f>
        <v>1324</v>
      </c>
      <c r="B1467" t="str">
        <f>HYPERLINK("http://bombeiros.sp.gov.br/hidrantes/08bsg/qrcodeBSG.html?id=1324&amp;lat=-23.52947&amp;long=-46.61747&amp;tipo=S","QRCODE")</f>
        <v>QRCODE</v>
      </c>
      <c r="C1467" t="s">
        <v>5273</v>
      </c>
      <c r="D1467" t="s">
        <v>345</v>
      </c>
      <c r="E1467" t="s">
        <v>345</v>
      </c>
      <c r="F1467" t="s">
        <v>21</v>
      </c>
      <c r="G1467" t="s">
        <v>2549</v>
      </c>
      <c r="H1467">
        <v>1</v>
      </c>
      <c r="I1467">
        <v>2</v>
      </c>
      <c r="J1467">
        <v>0</v>
      </c>
      <c r="K1467">
        <v>0</v>
      </c>
      <c r="L1467">
        <v>0</v>
      </c>
    </row>
    <row r="1468" spans="1:12">
      <c r="A1468" t="str">
        <f>HYPERLINK("http://bombeiros.sp.gov.br/hidrantes/03individual/1354.html","1354")</f>
        <v>1354</v>
      </c>
      <c r="B1468" t="str">
        <f>HYPERLINK("http://bombeiros.sp.gov.br/hidrantes/08bsg/qrcodeBSG.html?id=1354&amp;lat=-23.53172&amp;long=-46.61243&amp;tipo=S","QRCODE")</f>
        <v>QRCODE</v>
      </c>
      <c r="C1468" t="s">
        <v>5273</v>
      </c>
      <c r="D1468" t="s">
        <v>345</v>
      </c>
      <c r="E1468" t="s">
        <v>345</v>
      </c>
      <c r="F1468" t="s">
        <v>21</v>
      </c>
      <c r="G1468" t="s">
        <v>3543</v>
      </c>
      <c r="H1468">
        <v>2</v>
      </c>
      <c r="I1468">
        <v>1</v>
      </c>
      <c r="J1468">
        <v>0</v>
      </c>
      <c r="K1468">
        <v>0</v>
      </c>
      <c r="L1468">
        <v>0</v>
      </c>
    </row>
    <row r="1469" spans="1:12">
      <c r="A1469" t="str">
        <f>HYPERLINK("http://bombeiros.sp.gov.br/hidrantes/03individual/1745.html","1745")</f>
        <v>1745</v>
      </c>
      <c r="B1469" t="str">
        <f>HYPERLINK("http://bombeiros.sp.gov.br/hidrantes/08bsg/qrcodeBSG.html?id=1745&amp;lat=-23.53009&amp;long=-46.62515&amp;tipo=S","QRCODE")</f>
        <v>QRCODE</v>
      </c>
      <c r="C1469" t="s">
        <v>5273</v>
      </c>
      <c r="D1469" t="s">
        <v>345</v>
      </c>
      <c r="E1469" t="s">
        <v>345</v>
      </c>
      <c r="F1469" t="s">
        <v>21</v>
      </c>
      <c r="G1469" t="s">
        <v>1562</v>
      </c>
      <c r="H1469">
        <v>0</v>
      </c>
      <c r="I1469">
        <v>2</v>
      </c>
      <c r="J1469">
        <v>0</v>
      </c>
      <c r="K1469">
        <v>0</v>
      </c>
      <c r="L1469">
        <v>0</v>
      </c>
    </row>
    <row r="1470" spans="1:12">
      <c r="A1470" t="str">
        <f>HYPERLINK("http://bombeiros.sp.gov.br/hidrantes/03individual/1992.html","1992")</f>
        <v>1992</v>
      </c>
      <c r="B1470" t="str">
        <f>HYPERLINK("http://bombeiros.sp.gov.br/hidrantes/08bsg/qrcodeBSG.html?id=1992&amp;lat=-23.53274&amp;long=-46.61345&amp;tipo=S","QRCODE")</f>
        <v>QRCODE</v>
      </c>
      <c r="C1470" t="s">
        <v>5273</v>
      </c>
      <c r="D1470" t="s">
        <v>345</v>
      </c>
      <c r="E1470" t="s">
        <v>345</v>
      </c>
      <c r="F1470" t="s">
        <v>21</v>
      </c>
      <c r="G1470" t="s">
        <v>769</v>
      </c>
      <c r="H1470">
        <v>1</v>
      </c>
      <c r="I1470">
        <v>3</v>
      </c>
      <c r="J1470">
        <v>0</v>
      </c>
      <c r="K1470">
        <v>0</v>
      </c>
      <c r="L1470">
        <v>0</v>
      </c>
    </row>
    <row r="1471" spans="1:12">
      <c r="A1471" t="str">
        <f>HYPERLINK("http://bombeiros.sp.gov.br/hidrantes/03individual/1993.html","1993")</f>
        <v>1993</v>
      </c>
      <c r="B1471" t="str">
        <f>HYPERLINK("http://bombeiros.sp.gov.br/hidrantes/08bsg/qrcodeBSG.html?id=1993&amp;lat=-23.53112&amp;long=-46.61313&amp;tipo=S","QRCODE")</f>
        <v>QRCODE</v>
      </c>
      <c r="C1471" t="s">
        <v>5273</v>
      </c>
      <c r="D1471" t="s">
        <v>345</v>
      </c>
      <c r="E1471" t="s">
        <v>345</v>
      </c>
      <c r="F1471" t="s">
        <v>21</v>
      </c>
      <c r="G1471" t="s">
        <v>847</v>
      </c>
      <c r="H1471">
        <v>1</v>
      </c>
      <c r="I1471">
        <v>2</v>
      </c>
      <c r="J1471">
        <v>0</v>
      </c>
      <c r="K1471">
        <v>0</v>
      </c>
      <c r="L1471">
        <v>0</v>
      </c>
    </row>
    <row r="1472" spans="1:12">
      <c r="A1472" t="str">
        <f>HYPERLINK("http://bombeiros.sp.gov.br/hidrantes/03individual/1995.html","1995")</f>
        <v>1995</v>
      </c>
      <c r="B1472" t="str">
        <f>HYPERLINK("http://bombeiros.sp.gov.br/hidrantes/08bsg/qrcodeBSG.html?id=1995&amp;lat=-23.53092&amp;long=-46.61332&amp;tipo=S","QRCODE")</f>
        <v>QRCODE</v>
      </c>
      <c r="C1472" t="s">
        <v>5273</v>
      </c>
      <c r="D1472" t="s">
        <v>345</v>
      </c>
      <c r="E1472" t="s">
        <v>345</v>
      </c>
      <c r="F1472" t="s">
        <v>21</v>
      </c>
      <c r="G1472" t="s">
        <v>847</v>
      </c>
      <c r="H1472">
        <v>0</v>
      </c>
      <c r="I1472">
        <v>1</v>
      </c>
      <c r="J1472">
        <v>0</v>
      </c>
      <c r="K1472">
        <v>0</v>
      </c>
      <c r="L1472">
        <v>0</v>
      </c>
    </row>
    <row r="1473" spans="1:12">
      <c r="A1473" t="str">
        <f>HYPERLINK("http://bombeiros.sp.gov.br/hidrantes/03individual/1997.html","1997")</f>
        <v>1997</v>
      </c>
      <c r="B1473" t="str">
        <f>HYPERLINK("http://bombeiros.sp.gov.br/hidrantes/08bsg/qrcodeBSG.html?id=1997&amp;lat=-23.53030&amp;long=-46.61236&amp;tipo=S","QRCODE")</f>
        <v>QRCODE</v>
      </c>
      <c r="C1473" t="s">
        <v>5273</v>
      </c>
      <c r="D1473" t="s">
        <v>345</v>
      </c>
      <c r="E1473" t="s">
        <v>345</v>
      </c>
      <c r="F1473" t="s">
        <v>21</v>
      </c>
      <c r="G1473" t="s">
        <v>4917</v>
      </c>
      <c r="H1473">
        <v>1</v>
      </c>
      <c r="I1473">
        <v>1</v>
      </c>
      <c r="J1473">
        <v>0</v>
      </c>
      <c r="K1473">
        <v>0</v>
      </c>
      <c r="L1473">
        <v>0</v>
      </c>
    </row>
    <row r="1474" spans="1:12">
      <c r="A1474" t="str">
        <f>HYPERLINK("http://bombeiros.sp.gov.br/hidrantes/03individual/2004.html","2004")</f>
        <v>2004</v>
      </c>
      <c r="B1474" t="str">
        <f>HYPERLINK("http://bombeiros.sp.gov.br/hidrantes/08bsg/qrcodeBSG.html?id=2004&amp;lat=-23.52984&amp;long=-46.61503&amp;tipo=S","QRCODE")</f>
        <v>QRCODE</v>
      </c>
      <c r="C1474" t="s">
        <v>5273</v>
      </c>
      <c r="D1474" t="s">
        <v>345</v>
      </c>
      <c r="E1474" t="s">
        <v>345</v>
      </c>
      <c r="F1474" t="s">
        <v>21</v>
      </c>
      <c r="G1474" t="s">
        <v>4916</v>
      </c>
      <c r="H1474">
        <v>1</v>
      </c>
      <c r="I1474">
        <v>1</v>
      </c>
      <c r="J1474">
        <v>0</v>
      </c>
      <c r="K1474">
        <v>0</v>
      </c>
      <c r="L1474">
        <v>0</v>
      </c>
    </row>
    <row r="1475" spans="1:12">
      <c r="A1475" t="str">
        <f>HYPERLINK("http://bombeiros.sp.gov.br/hidrantes/03individual/2008.html","2008")</f>
        <v>2008</v>
      </c>
      <c r="B1475" t="str">
        <f>HYPERLINK("http://bombeiros.sp.gov.br/hidrantes/08bsg/qrcodeBSG.html?id=2008&amp;lat=-23.53045&amp;long=-46.61807&amp;tipo=S","QRCODE")</f>
        <v>QRCODE</v>
      </c>
      <c r="C1475" t="s">
        <v>5273</v>
      </c>
      <c r="D1475" t="s">
        <v>345</v>
      </c>
      <c r="E1475" t="s">
        <v>345</v>
      </c>
      <c r="F1475" t="s">
        <v>21</v>
      </c>
      <c r="G1475" t="s">
        <v>5211</v>
      </c>
      <c r="H1475">
        <v>1</v>
      </c>
      <c r="I1475">
        <v>0</v>
      </c>
      <c r="J1475">
        <v>0</v>
      </c>
      <c r="K1475">
        <v>0</v>
      </c>
      <c r="L1475">
        <v>0</v>
      </c>
    </row>
    <row r="1476" spans="1:12">
      <c r="A1476" t="str">
        <f>HYPERLINK("http://bombeiros.sp.gov.br/hidrantes/03individual/3367.html","3367")</f>
        <v>3367</v>
      </c>
      <c r="B1476" t="str">
        <f>HYPERLINK("http://bombeiros.sp.gov.br/hidrantes/08bsg/qrcodeBSG.html?id=3367&amp;lat=-23.58348&amp;long=-46.44900&amp;tipo=C","QRCODE")</f>
        <v>QRCODE</v>
      </c>
      <c r="C1476" t="s">
        <v>5273</v>
      </c>
      <c r="D1476" t="s">
        <v>4225</v>
      </c>
      <c r="E1476" t="s">
        <v>4110</v>
      </c>
      <c r="F1476" t="s">
        <v>12</v>
      </c>
      <c r="G1476" t="s">
        <v>4109</v>
      </c>
      <c r="H1476">
        <v>0</v>
      </c>
      <c r="I1476">
        <v>1</v>
      </c>
      <c r="J1476">
        <v>0</v>
      </c>
      <c r="K1476">
        <v>0</v>
      </c>
      <c r="L1476">
        <v>0</v>
      </c>
    </row>
    <row r="1477" spans="1:12">
      <c r="A1477" t="str">
        <f>HYPERLINK("http://bombeiros.sp.gov.br/hidrantes/03individual/3371.html","3371")</f>
        <v>3371</v>
      </c>
      <c r="B1477" t="str">
        <f>HYPERLINK("http://bombeiros.sp.gov.br/hidrantes/08bsg/qrcodeBSG.html?id=3371&amp;lat=-23.57786&amp;long=-46.44356&amp;tipo=C","QRCODE")</f>
        <v>QRCODE</v>
      </c>
      <c r="C1477" t="s">
        <v>5273</v>
      </c>
      <c r="D1477" t="s">
        <v>4225</v>
      </c>
      <c r="E1477" t="s">
        <v>4110</v>
      </c>
      <c r="F1477" t="s">
        <v>12</v>
      </c>
      <c r="G1477" t="s">
        <v>4111</v>
      </c>
      <c r="H1477">
        <v>0</v>
      </c>
      <c r="I1477">
        <v>1</v>
      </c>
      <c r="J1477">
        <v>0</v>
      </c>
      <c r="K1477">
        <v>0</v>
      </c>
      <c r="L1477">
        <v>0</v>
      </c>
    </row>
    <row r="1478" spans="1:12">
      <c r="A1478" t="str">
        <f>HYPERLINK("http://bombeiros.sp.gov.br/hidrantes/03individual/4318.html","4318")</f>
        <v>4318</v>
      </c>
      <c r="B1478" t="str">
        <f>HYPERLINK("http://bombeiros.sp.gov.br/hidrantes/08bsg/qrcodeBSG.html?id=4318&amp;lat=-23.56076&amp;long=-46.45048&amp;tipo=C","QRCODE")</f>
        <v>QRCODE</v>
      </c>
      <c r="C1478" t="s">
        <v>5273</v>
      </c>
      <c r="D1478" t="s">
        <v>4225</v>
      </c>
      <c r="E1478" t="s">
        <v>4110</v>
      </c>
      <c r="F1478" t="s">
        <v>12</v>
      </c>
      <c r="G1478" t="s">
        <v>4119</v>
      </c>
      <c r="H1478">
        <v>0</v>
      </c>
      <c r="I1478">
        <v>1</v>
      </c>
      <c r="J1478">
        <v>0</v>
      </c>
      <c r="K1478">
        <v>0</v>
      </c>
      <c r="L1478">
        <v>0</v>
      </c>
    </row>
    <row r="1479" spans="1:12">
      <c r="A1479" t="str">
        <f>HYPERLINK("http://bombeiros.sp.gov.br/hidrantes/03individual/27198.html","27198")</f>
        <v>27198</v>
      </c>
      <c r="B1479" t="str">
        <f>HYPERLINK("http://bombeiros.sp.gov.br/hidrantes/08bsg/qrcodeBSG.html?id=27198&amp;lat=-23.57493&amp;long=-46.45067&amp;tipo=C","QRCODE")</f>
        <v>QRCODE</v>
      </c>
      <c r="C1479" t="s">
        <v>5273</v>
      </c>
      <c r="D1479" t="s">
        <v>4225</v>
      </c>
      <c r="E1479" t="s">
        <v>4110</v>
      </c>
      <c r="F1479" t="s">
        <v>12</v>
      </c>
      <c r="G1479" t="s">
        <v>5318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>
      <c r="A1480" t="str">
        <f>HYPERLINK("http://bombeiros.sp.gov.br/hidrantes/03individual/17802.html","17802")</f>
        <v>17802</v>
      </c>
      <c r="B1480" t="str">
        <f>HYPERLINK("http://bombeiros.sp.gov.br/hidrantes/08bsg/qrcodeBSG.html?id=17802&amp;lat=-23.57636&amp;long=-46.45426&amp;tipo=S","QRCODE")</f>
        <v>QRCODE</v>
      </c>
      <c r="C1480" t="s">
        <v>5273</v>
      </c>
      <c r="D1480" t="s">
        <v>4225</v>
      </c>
      <c r="E1480" t="s">
        <v>4110</v>
      </c>
      <c r="F1480" t="s">
        <v>21</v>
      </c>
      <c r="G1480" t="s">
        <v>4191</v>
      </c>
      <c r="H1480">
        <v>0</v>
      </c>
      <c r="I1480">
        <v>1</v>
      </c>
      <c r="J1480">
        <v>0</v>
      </c>
      <c r="K1480">
        <v>0</v>
      </c>
      <c r="L1480">
        <v>0</v>
      </c>
    </row>
    <row r="1481" spans="1:12">
      <c r="A1481" t="str">
        <f>HYPERLINK("http://bombeiros.sp.gov.br/hidrantes/03individual/2013.html","2013")</f>
        <v>2013</v>
      </c>
      <c r="B1481" t="str">
        <f>HYPERLINK("http://bombeiros.sp.gov.br/hidrantes/08bsg/qrcodeBSG.html?id=2013&amp;lat=-23.56635&amp;long=-46.46671&amp;tipo=C","QRCODE")</f>
        <v>QRCODE</v>
      </c>
      <c r="C1481" t="s">
        <v>5273</v>
      </c>
      <c r="D1481" t="s">
        <v>4225</v>
      </c>
      <c r="E1481" t="s">
        <v>4225</v>
      </c>
      <c r="F1481" t="s">
        <v>12</v>
      </c>
      <c r="G1481" t="s">
        <v>4224</v>
      </c>
      <c r="H1481">
        <v>0</v>
      </c>
      <c r="I1481">
        <v>1</v>
      </c>
      <c r="J1481">
        <v>0</v>
      </c>
      <c r="K1481">
        <v>0</v>
      </c>
      <c r="L1481">
        <v>0</v>
      </c>
    </row>
    <row r="1482" spans="1:12">
      <c r="A1482" t="str">
        <f>HYPERLINK("http://bombeiros.sp.gov.br/hidrantes/03individual/971.html","971")</f>
        <v>971</v>
      </c>
      <c r="B1482" t="str">
        <f>HYPERLINK("http://bombeiros.sp.gov.br/hidrantes/08bsg/qrcodeBSG.html?id=971&amp;lat=-23.56345&amp;long=-46.47227&amp;tipo=C","QRCODE")</f>
        <v>QRCODE</v>
      </c>
      <c r="C1482" t="s">
        <v>5273</v>
      </c>
      <c r="D1482" t="s">
        <v>4225</v>
      </c>
      <c r="E1482" t="s">
        <v>1736</v>
      </c>
      <c r="F1482" t="s">
        <v>12</v>
      </c>
      <c r="G1482" t="s">
        <v>2097</v>
      </c>
      <c r="H1482">
        <v>0</v>
      </c>
      <c r="I1482">
        <v>2</v>
      </c>
      <c r="J1482">
        <v>0</v>
      </c>
      <c r="K1482">
        <v>0</v>
      </c>
      <c r="L1482">
        <v>0</v>
      </c>
    </row>
    <row r="1483" spans="1:12">
      <c r="A1483" t="str">
        <f>HYPERLINK("http://bombeiros.sp.gov.br/hidrantes/03individual/3345.html","3345")</f>
        <v>3345</v>
      </c>
      <c r="B1483" t="str">
        <f>HYPERLINK("http://bombeiros.sp.gov.br/hidrantes/08bsg/qrcodeBSG.html?id=3345&amp;lat=-23.56804&amp;long=-46.47231&amp;tipo=C","QRCODE")</f>
        <v>QRCODE</v>
      </c>
      <c r="C1483" t="s">
        <v>5273</v>
      </c>
      <c r="D1483" t="s">
        <v>4225</v>
      </c>
      <c r="E1483" t="s">
        <v>1736</v>
      </c>
      <c r="F1483" t="s">
        <v>12</v>
      </c>
      <c r="G1483" t="s">
        <v>4196</v>
      </c>
      <c r="H1483">
        <v>0</v>
      </c>
      <c r="I1483">
        <v>1</v>
      </c>
      <c r="J1483">
        <v>0</v>
      </c>
      <c r="K1483">
        <v>0</v>
      </c>
      <c r="L1483">
        <v>0</v>
      </c>
    </row>
    <row r="1484" spans="1:12">
      <c r="A1484" t="str">
        <f>HYPERLINK("http://bombeiros.sp.gov.br/hidrantes/03individual/3356.html","3356")</f>
        <v>3356</v>
      </c>
      <c r="B1484" t="str">
        <f>HYPERLINK("http://bombeiros.sp.gov.br/hidrantes/08bsg/qrcodeBSG.html?id=3356&amp;lat=-23.56079&amp;long=-46.47199&amp;tipo=C","QRCODE")</f>
        <v>QRCODE</v>
      </c>
      <c r="C1484" t="s">
        <v>5273</v>
      </c>
      <c r="D1484" t="s">
        <v>4225</v>
      </c>
      <c r="E1484" t="s">
        <v>1736</v>
      </c>
      <c r="F1484" t="s">
        <v>12</v>
      </c>
      <c r="G1484" t="s">
        <v>2167</v>
      </c>
      <c r="H1484">
        <v>0</v>
      </c>
      <c r="I1484">
        <v>2</v>
      </c>
      <c r="J1484">
        <v>0</v>
      </c>
      <c r="K1484">
        <v>0</v>
      </c>
      <c r="L1484">
        <v>0</v>
      </c>
    </row>
    <row r="1485" spans="1:12">
      <c r="A1485" t="str">
        <f>HYPERLINK("http://bombeiros.sp.gov.br/hidrantes/03individual/27077.html","27077")</f>
        <v>27077</v>
      </c>
      <c r="B1485" t="str">
        <f>HYPERLINK("http://bombeiros.sp.gov.br/hidrantes/08bsg/qrcodeBSG.html?id=27077&amp;lat=-23.55288&amp;long=-46.46148&amp;tipo=C","QRCODE")</f>
        <v>QRCODE</v>
      </c>
      <c r="C1485" t="s">
        <v>5273</v>
      </c>
      <c r="D1485" t="s">
        <v>4225</v>
      </c>
      <c r="E1485" t="s">
        <v>1736</v>
      </c>
      <c r="F1485" t="s">
        <v>12</v>
      </c>
      <c r="G1485" t="s">
        <v>3916</v>
      </c>
      <c r="H1485">
        <v>0</v>
      </c>
      <c r="I1485">
        <v>1</v>
      </c>
      <c r="J1485">
        <v>0</v>
      </c>
      <c r="K1485">
        <v>0</v>
      </c>
      <c r="L1485">
        <v>0</v>
      </c>
    </row>
    <row r="1486" spans="1:12">
      <c r="A1486" t="str">
        <f>HYPERLINK("http://bombeiros.sp.gov.br/hidrantes/03individual/27139.html","27139")</f>
        <v>27139</v>
      </c>
      <c r="B1486" t="str">
        <f>HYPERLINK("http://bombeiros.sp.gov.br/hidrantes/08bsg/qrcodeBSG.html?id=27139&amp;lat=-23.57351&amp;long=-46.47989&amp;tipo=C","QRCODE")</f>
        <v>QRCODE</v>
      </c>
      <c r="C1486" t="s">
        <v>5273</v>
      </c>
      <c r="D1486" t="s">
        <v>4225</v>
      </c>
      <c r="E1486" t="s">
        <v>1736</v>
      </c>
      <c r="F1486" t="s">
        <v>12</v>
      </c>
      <c r="G1486" t="s">
        <v>3663</v>
      </c>
      <c r="H1486">
        <v>0</v>
      </c>
      <c r="I1486">
        <v>1</v>
      </c>
      <c r="J1486">
        <v>0</v>
      </c>
      <c r="K1486">
        <v>0</v>
      </c>
      <c r="L1486">
        <v>0</v>
      </c>
    </row>
    <row r="1487" spans="1:12">
      <c r="A1487" t="str">
        <f>HYPERLINK("http://bombeiros.sp.gov.br/hidrantes/03individual/27157.html","27157")</f>
        <v>27157</v>
      </c>
      <c r="B1487" t="str">
        <f>HYPERLINK("http://bombeiros.sp.gov.br/hidrantes/08bsg/qrcodeBSG.html?id=27157&amp;lat=-23.56341&amp;long=-46.46619&amp;tipo=C","QRCODE")</f>
        <v>QRCODE</v>
      </c>
      <c r="C1487" t="s">
        <v>5273</v>
      </c>
      <c r="D1487" t="s">
        <v>4225</v>
      </c>
      <c r="E1487" t="s">
        <v>1736</v>
      </c>
      <c r="F1487" t="s">
        <v>12</v>
      </c>
      <c r="G1487" t="s">
        <v>3430</v>
      </c>
      <c r="H1487">
        <v>0</v>
      </c>
      <c r="I1487">
        <v>1</v>
      </c>
      <c r="J1487">
        <v>0</v>
      </c>
      <c r="K1487">
        <v>0</v>
      </c>
      <c r="L1487">
        <v>0</v>
      </c>
    </row>
    <row r="1488" spans="1:12">
      <c r="A1488" t="str">
        <f>HYPERLINK("http://bombeiros.sp.gov.br/hidrantes/03individual/2055.html","2055")</f>
        <v>2055</v>
      </c>
      <c r="B1488" t="str">
        <f>HYPERLINK("http://bombeiros.sp.gov.br/hidrantes/08bsg/qrcodeBSG.html?id=2055&amp;lat=-23.55319&amp;long=-46.46322&amp;tipo=S","QRCODE")</f>
        <v>QRCODE</v>
      </c>
      <c r="C1488" t="s">
        <v>5273</v>
      </c>
      <c r="D1488" t="s">
        <v>4225</v>
      </c>
      <c r="E1488" t="s">
        <v>1736</v>
      </c>
      <c r="F1488" t="s">
        <v>21</v>
      </c>
      <c r="G1488" t="s">
        <v>1735</v>
      </c>
      <c r="H1488">
        <v>0</v>
      </c>
      <c r="I1488">
        <v>2</v>
      </c>
      <c r="J1488">
        <v>0</v>
      </c>
      <c r="K1488">
        <v>0</v>
      </c>
      <c r="L1488">
        <v>0</v>
      </c>
    </row>
    <row r="1489" spans="1:12">
      <c r="A1489" t="str">
        <f>HYPERLINK("http://bombeiros.sp.gov.br/hidrantes/03individual/3358.html","3358")</f>
        <v>3358</v>
      </c>
      <c r="B1489" t="str">
        <f>HYPERLINK("http://bombeiros.sp.gov.br/hidrantes/08bsg/qrcodeBSG.html?id=3358&amp;lat=-23.55993&amp;long=-46.46972&amp;tipo=S","QRCODE")</f>
        <v>QRCODE</v>
      </c>
      <c r="C1489" t="s">
        <v>5273</v>
      </c>
      <c r="D1489" t="s">
        <v>4225</v>
      </c>
      <c r="E1489" t="s">
        <v>1736</v>
      </c>
      <c r="F1489" t="s">
        <v>21</v>
      </c>
      <c r="G1489" t="s">
        <v>3930</v>
      </c>
      <c r="H1489">
        <v>0</v>
      </c>
      <c r="I1489">
        <v>1</v>
      </c>
      <c r="J1489">
        <v>0</v>
      </c>
      <c r="K1489">
        <v>0</v>
      </c>
      <c r="L1489">
        <v>0</v>
      </c>
    </row>
    <row r="1490" spans="1:12">
      <c r="A1490" t="str">
        <f>HYPERLINK("http://bombeiros.sp.gov.br/hidrantes/03individual/4410.html","4410")</f>
        <v>4410</v>
      </c>
      <c r="B1490" t="str">
        <f>HYPERLINK("http://bombeiros.sp.gov.br/hidrantes/08bsg/qrcodeBSG.html?id=4410&amp;lat=-23.56636&amp;long=-46.46897&amp;tipo=S","QRCODE")</f>
        <v>QRCODE</v>
      </c>
      <c r="C1490" t="s">
        <v>5273</v>
      </c>
      <c r="D1490" t="s">
        <v>4225</v>
      </c>
      <c r="E1490" t="s">
        <v>1736</v>
      </c>
      <c r="F1490" t="s">
        <v>21</v>
      </c>
      <c r="G1490" t="s">
        <v>2146</v>
      </c>
      <c r="H1490">
        <v>0</v>
      </c>
      <c r="I1490">
        <v>2</v>
      </c>
      <c r="J1490">
        <v>0</v>
      </c>
      <c r="K1490">
        <v>0</v>
      </c>
      <c r="L1490">
        <v>0</v>
      </c>
    </row>
    <row r="1491" spans="1:12">
      <c r="A1491" t="str">
        <f>HYPERLINK("http://bombeiros.sp.gov.br/hidrantes/03individual/43.html","43")</f>
        <v>43</v>
      </c>
      <c r="B1491" t="str">
        <f>HYPERLINK("http://bombeiros.sp.gov.br/hidrantes/08bsg/qrcodeBSG.html?id=43&amp;lat=-23.51961&amp;long=-46.54680&amp;tipo=C","QRCODE")</f>
        <v>QRCODE</v>
      </c>
      <c r="C1491" t="s">
        <v>5273</v>
      </c>
      <c r="D1491" t="s">
        <v>930</v>
      </c>
      <c r="E1491" t="s">
        <v>930</v>
      </c>
      <c r="F1491" t="s">
        <v>12</v>
      </c>
      <c r="G1491" t="s">
        <v>3698</v>
      </c>
      <c r="H1491">
        <v>2</v>
      </c>
      <c r="I1491">
        <v>1</v>
      </c>
      <c r="J1491">
        <v>0</v>
      </c>
      <c r="K1491">
        <v>0</v>
      </c>
      <c r="L1491">
        <v>0</v>
      </c>
    </row>
    <row r="1492" spans="1:12">
      <c r="A1492" t="str">
        <f>HYPERLINK("http://bombeiros.sp.gov.br/hidrantes/03individual/832.html","832")</f>
        <v>832</v>
      </c>
      <c r="B1492" t="str">
        <f>HYPERLINK("http://bombeiros.sp.gov.br/hidrantes/08bsg/qrcodeBSG.html?id=832&amp;lat=-23.51639&amp;long=-46.54969&amp;tipo=C","QRCODE")</f>
        <v>QRCODE</v>
      </c>
      <c r="C1492" t="s">
        <v>5273</v>
      </c>
      <c r="D1492" t="s">
        <v>930</v>
      </c>
      <c r="E1492" t="s">
        <v>930</v>
      </c>
      <c r="F1492" t="s">
        <v>12</v>
      </c>
      <c r="G1492" t="s">
        <v>3709</v>
      </c>
      <c r="H1492">
        <v>0</v>
      </c>
      <c r="I1492">
        <v>2</v>
      </c>
      <c r="J1492">
        <v>0</v>
      </c>
      <c r="K1492">
        <v>0</v>
      </c>
      <c r="L1492">
        <v>0</v>
      </c>
    </row>
    <row r="1493" spans="1:12">
      <c r="A1493" t="str">
        <f>HYPERLINK("http://bombeiros.sp.gov.br/hidrantes/03individual/833.html","833")</f>
        <v>833</v>
      </c>
      <c r="B1493" t="str">
        <f>HYPERLINK("http://bombeiros.sp.gov.br/hidrantes/08bsg/qrcodeBSG.html?id=833&amp;lat=-23.53208&amp;long=-46.54927&amp;tipo=C","QRCODE")</f>
        <v>QRCODE</v>
      </c>
      <c r="C1493" t="s">
        <v>5273</v>
      </c>
      <c r="D1493" t="s">
        <v>930</v>
      </c>
      <c r="E1493" t="s">
        <v>930</v>
      </c>
      <c r="F1493" t="s">
        <v>12</v>
      </c>
      <c r="G1493" t="s">
        <v>1046</v>
      </c>
      <c r="H1493">
        <v>0</v>
      </c>
      <c r="I1493">
        <v>2</v>
      </c>
      <c r="J1493">
        <v>0</v>
      </c>
      <c r="K1493">
        <v>0</v>
      </c>
      <c r="L1493">
        <v>0</v>
      </c>
    </row>
    <row r="1494" spans="1:12">
      <c r="A1494" t="str">
        <f>HYPERLINK("http://bombeiros.sp.gov.br/hidrantes/03individual/936.html","936")</f>
        <v>936</v>
      </c>
      <c r="B1494" t="str">
        <f>HYPERLINK("http://bombeiros.sp.gov.br/hidrantes/08bsg/qrcodeBSG.html?id=936&amp;lat=-23.51367&amp;long=-46.54802&amp;tipo=C","QRCODE")</f>
        <v>QRCODE</v>
      </c>
      <c r="C1494" t="s">
        <v>5273</v>
      </c>
      <c r="D1494" t="s">
        <v>930</v>
      </c>
      <c r="E1494" t="s">
        <v>930</v>
      </c>
      <c r="F1494" t="s">
        <v>12</v>
      </c>
      <c r="G1494" t="s">
        <v>4856</v>
      </c>
      <c r="H1494">
        <v>0</v>
      </c>
      <c r="I1494">
        <v>1</v>
      </c>
      <c r="J1494">
        <v>0</v>
      </c>
      <c r="K1494">
        <v>0</v>
      </c>
      <c r="L1494">
        <v>0</v>
      </c>
    </row>
    <row r="1495" spans="1:12">
      <c r="A1495" t="str">
        <f>HYPERLINK("http://bombeiros.sp.gov.br/hidrantes/03individual/938.html","938")</f>
        <v>938</v>
      </c>
      <c r="B1495" t="str">
        <f>HYPERLINK("http://bombeiros.sp.gov.br/hidrantes/08bsg/qrcodeBSG.html?id=938&amp;lat=-23.52398&amp;long=-46.54671&amp;tipo=C","QRCODE")</f>
        <v>QRCODE</v>
      </c>
      <c r="C1495" t="s">
        <v>5273</v>
      </c>
      <c r="D1495" t="s">
        <v>930</v>
      </c>
      <c r="E1495" t="s">
        <v>930</v>
      </c>
      <c r="F1495" t="s">
        <v>12</v>
      </c>
      <c r="G1495" t="s">
        <v>3701</v>
      </c>
      <c r="H1495">
        <v>1</v>
      </c>
      <c r="I1495">
        <v>1</v>
      </c>
      <c r="J1495">
        <v>0</v>
      </c>
      <c r="K1495">
        <v>0</v>
      </c>
      <c r="L1495">
        <v>0</v>
      </c>
    </row>
    <row r="1496" spans="1:12">
      <c r="A1496" t="str">
        <f>HYPERLINK("http://bombeiros.sp.gov.br/hidrantes/03individual/939.html","939")</f>
        <v>939</v>
      </c>
      <c r="B1496" t="str">
        <f>HYPERLINK("http://bombeiros.sp.gov.br/hidrantes/08bsg/qrcodeBSG.html?id=939&amp;lat=-23.52281&amp;long=-46.54234&amp;tipo=C","QRCODE")</f>
        <v>QRCODE</v>
      </c>
      <c r="C1496" t="s">
        <v>5273</v>
      </c>
      <c r="D1496" t="s">
        <v>930</v>
      </c>
      <c r="E1496" t="s">
        <v>930</v>
      </c>
      <c r="F1496" t="s">
        <v>12</v>
      </c>
      <c r="G1496" t="s">
        <v>2995</v>
      </c>
      <c r="H1496">
        <v>1</v>
      </c>
      <c r="I1496">
        <v>2</v>
      </c>
      <c r="J1496">
        <v>0</v>
      </c>
      <c r="K1496">
        <v>0</v>
      </c>
      <c r="L1496">
        <v>0</v>
      </c>
    </row>
    <row r="1497" spans="1:12">
      <c r="A1497" t="str">
        <f>HYPERLINK("http://bombeiros.sp.gov.br/hidrantes/03individual/1331.html","1331")</f>
        <v>1331</v>
      </c>
      <c r="B1497" t="str">
        <f>HYPERLINK("http://bombeiros.sp.gov.br/hidrantes/08bsg/qrcodeBSG.html?id=1331&amp;lat=-23.52817&amp;long=-46.55163&amp;tipo=C","QRCODE")</f>
        <v>QRCODE</v>
      </c>
      <c r="C1497" t="s">
        <v>5273</v>
      </c>
      <c r="D1497" t="s">
        <v>930</v>
      </c>
      <c r="E1497" t="s">
        <v>930</v>
      </c>
      <c r="F1497" t="s">
        <v>12</v>
      </c>
      <c r="G1497" t="s">
        <v>3695</v>
      </c>
      <c r="H1497">
        <v>1</v>
      </c>
      <c r="I1497">
        <v>1</v>
      </c>
      <c r="J1497">
        <v>0</v>
      </c>
      <c r="K1497">
        <v>0</v>
      </c>
      <c r="L1497">
        <v>0</v>
      </c>
    </row>
    <row r="1498" spans="1:12">
      <c r="A1498" t="str">
        <f>HYPERLINK("http://bombeiros.sp.gov.br/hidrantes/03individual/1364.html","1364")</f>
        <v>1364</v>
      </c>
      <c r="B1498" t="str">
        <f>HYPERLINK("http://bombeiros.sp.gov.br/hidrantes/08bsg/qrcodeBSG.html?id=1364&amp;lat=-23.53245&amp;long=-46.54747&amp;tipo=C","QRCODE")</f>
        <v>QRCODE</v>
      </c>
      <c r="C1498" t="s">
        <v>5273</v>
      </c>
      <c r="D1498" t="s">
        <v>930</v>
      </c>
      <c r="E1498" t="s">
        <v>930</v>
      </c>
      <c r="F1498" t="s">
        <v>12</v>
      </c>
      <c r="G1498" t="s">
        <v>1009</v>
      </c>
      <c r="H1498">
        <v>0</v>
      </c>
      <c r="I1498">
        <v>2</v>
      </c>
      <c r="J1498">
        <v>0</v>
      </c>
      <c r="K1498">
        <v>0</v>
      </c>
      <c r="L1498">
        <v>0</v>
      </c>
    </row>
    <row r="1499" spans="1:12">
      <c r="A1499" t="str">
        <f>HYPERLINK("http://bombeiros.sp.gov.br/hidrantes/03individual/1365.html","1365")</f>
        <v>1365</v>
      </c>
      <c r="B1499" t="str">
        <f>HYPERLINK("http://bombeiros.sp.gov.br/hidrantes/08bsg/qrcodeBSG.html?id=1365&amp;lat=-23.52228&amp;long=-46.54723&amp;tipo=C","QRCODE")</f>
        <v>QRCODE</v>
      </c>
      <c r="C1499" t="s">
        <v>5273</v>
      </c>
      <c r="D1499" t="s">
        <v>930</v>
      </c>
      <c r="E1499" t="s">
        <v>930</v>
      </c>
      <c r="F1499" t="s">
        <v>12</v>
      </c>
      <c r="G1499" t="s">
        <v>1095</v>
      </c>
      <c r="H1499">
        <v>0</v>
      </c>
      <c r="I1499">
        <v>2</v>
      </c>
      <c r="J1499">
        <v>0</v>
      </c>
      <c r="K1499">
        <v>0</v>
      </c>
      <c r="L1499">
        <v>0</v>
      </c>
    </row>
    <row r="1500" spans="1:12">
      <c r="A1500" t="str">
        <f>HYPERLINK("http://bombeiros.sp.gov.br/hidrantes/03individual/16358.html","16358")</f>
        <v>16358</v>
      </c>
      <c r="B1500" t="str">
        <f>HYPERLINK("http://bombeiros.sp.gov.br/hidrantes/08bsg/qrcodeBSG.html?id=16358&amp;lat=-23.52918&amp;long=-46.55229&amp;tipo=C","QRCODE")</f>
        <v>QRCODE</v>
      </c>
      <c r="C1500" t="s">
        <v>5273</v>
      </c>
      <c r="D1500" t="s">
        <v>930</v>
      </c>
      <c r="E1500" t="s">
        <v>930</v>
      </c>
      <c r="F1500" t="s">
        <v>12</v>
      </c>
      <c r="G1500" t="s">
        <v>929</v>
      </c>
      <c r="H1500">
        <v>0</v>
      </c>
      <c r="I1500">
        <v>2</v>
      </c>
      <c r="J1500">
        <v>0</v>
      </c>
      <c r="K1500">
        <v>0</v>
      </c>
      <c r="L1500">
        <v>0</v>
      </c>
    </row>
    <row r="1501" spans="1:12">
      <c r="A1501" t="str">
        <f>HYPERLINK("http://bombeiros.sp.gov.br/hidrantes/03individual/1054.html","1054")</f>
        <v>1054</v>
      </c>
      <c r="B1501" t="str">
        <f>HYPERLINK("http://bombeiros.sp.gov.br/hidrantes/08bsg/qrcodeBSG.html?id=1054&amp;lat=-23.52135&amp;long=-46.54844&amp;tipo=S","QRCODE")</f>
        <v>QRCODE</v>
      </c>
      <c r="C1501" t="s">
        <v>5273</v>
      </c>
      <c r="D1501" t="s">
        <v>930</v>
      </c>
      <c r="E1501" t="s">
        <v>930</v>
      </c>
      <c r="F1501" t="s">
        <v>21</v>
      </c>
      <c r="G1501" t="s">
        <v>3700</v>
      </c>
      <c r="H1501">
        <v>1</v>
      </c>
      <c r="I1501">
        <v>1</v>
      </c>
      <c r="J1501">
        <v>0</v>
      </c>
      <c r="K1501">
        <v>0</v>
      </c>
      <c r="L1501">
        <v>0</v>
      </c>
    </row>
    <row r="1502" spans="1:12">
      <c r="A1502" t="str">
        <f>HYPERLINK("http://bombeiros.sp.gov.br/hidrantes/03individual/1333.html","1333")</f>
        <v>1333</v>
      </c>
      <c r="B1502" t="str">
        <f>HYPERLINK("http://bombeiros.sp.gov.br/hidrantes/08bsg/qrcodeBSG.html?id=1333&amp;lat=-23.52423&amp;long=-46.54722&amp;tipo=S","QRCODE")</f>
        <v>QRCODE</v>
      </c>
      <c r="C1502" t="s">
        <v>5273</v>
      </c>
      <c r="D1502" t="s">
        <v>930</v>
      </c>
      <c r="E1502" t="s">
        <v>930</v>
      </c>
      <c r="F1502" t="s">
        <v>21</v>
      </c>
      <c r="G1502" t="s">
        <v>3459</v>
      </c>
      <c r="H1502">
        <v>0</v>
      </c>
      <c r="I1502">
        <v>1</v>
      </c>
      <c r="J1502">
        <v>0</v>
      </c>
      <c r="K1502">
        <v>0</v>
      </c>
      <c r="L1502">
        <v>0</v>
      </c>
    </row>
    <row r="1503" spans="1:12">
      <c r="A1503" t="str">
        <f>HYPERLINK("http://bombeiros.sp.gov.br/hidrantes/03individual/1334.html","1334")</f>
        <v>1334</v>
      </c>
      <c r="B1503" t="str">
        <f>HYPERLINK("http://bombeiros.sp.gov.br/hidrantes/08bsg/qrcodeBSG.html?id=1334&amp;lat=-23.52237&amp;long=-46.54520&amp;tipo=S","QRCODE")</f>
        <v>QRCODE</v>
      </c>
      <c r="C1503" t="s">
        <v>5273</v>
      </c>
      <c r="D1503" t="s">
        <v>930</v>
      </c>
      <c r="E1503" t="s">
        <v>930</v>
      </c>
      <c r="F1503" t="s">
        <v>21</v>
      </c>
      <c r="G1503" t="s">
        <v>1003</v>
      </c>
      <c r="H1503">
        <v>0</v>
      </c>
      <c r="I1503">
        <v>2</v>
      </c>
      <c r="J1503">
        <v>0</v>
      </c>
      <c r="K1503">
        <v>0</v>
      </c>
      <c r="L1503">
        <v>0</v>
      </c>
    </row>
    <row r="1504" spans="1:12">
      <c r="A1504" t="str">
        <f>HYPERLINK("http://bombeiros.sp.gov.br/hidrantes/03individual/1363.html","1363")</f>
        <v>1363</v>
      </c>
      <c r="B1504" t="str">
        <f>HYPERLINK("http://bombeiros.sp.gov.br/hidrantes/08bsg/qrcodeBSG.html?id=1363&amp;lat=-23.52414&amp;long=-46.54889&amp;tipo=S","QRCODE")</f>
        <v>QRCODE</v>
      </c>
      <c r="C1504" t="s">
        <v>5273</v>
      </c>
      <c r="D1504" t="s">
        <v>930</v>
      </c>
      <c r="E1504" t="s">
        <v>930</v>
      </c>
      <c r="F1504" t="s">
        <v>21</v>
      </c>
      <c r="G1504" t="s">
        <v>2550</v>
      </c>
      <c r="H1504">
        <v>0</v>
      </c>
      <c r="I1504">
        <v>2</v>
      </c>
      <c r="J1504">
        <v>0</v>
      </c>
      <c r="K1504">
        <v>0</v>
      </c>
      <c r="L1504">
        <v>0</v>
      </c>
    </row>
    <row r="1505" spans="1:12">
      <c r="A1505" t="str">
        <f>HYPERLINK("http://bombeiros.sp.gov.br/hidrantes/03individual/1367.html","1367")</f>
        <v>1367</v>
      </c>
      <c r="B1505" t="str">
        <f>HYPERLINK("http://bombeiros.sp.gov.br/hidrantes/08bsg/qrcodeBSG.html?id=1367&amp;lat=-23.52902&amp;long=-46.54579&amp;tipo=S","QRCODE")</f>
        <v>QRCODE</v>
      </c>
      <c r="C1505" t="s">
        <v>5273</v>
      </c>
      <c r="D1505" t="s">
        <v>930</v>
      </c>
      <c r="E1505" t="s">
        <v>930</v>
      </c>
      <c r="F1505" t="s">
        <v>21</v>
      </c>
      <c r="G1505" t="s">
        <v>1008</v>
      </c>
      <c r="H1505">
        <v>1</v>
      </c>
      <c r="I1505">
        <v>3</v>
      </c>
      <c r="J1505">
        <v>0</v>
      </c>
      <c r="K1505">
        <v>0</v>
      </c>
      <c r="L1505">
        <v>0</v>
      </c>
    </row>
    <row r="1506" spans="1:12">
      <c r="A1506" t="str">
        <f>HYPERLINK("http://bombeiros.sp.gov.br/hidrantes/03individual/1369.html","1369")</f>
        <v>1369</v>
      </c>
      <c r="B1506" t="str">
        <f>HYPERLINK("http://bombeiros.sp.gov.br/hidrantes/08bsg/qrcodeBSG.html?id=1369&amp;lat=-23.52157&amp;long=-46.54212&amp;tipo=S","QRCODE")</f>
        <v>QRCODE</v>
      </c>
      <c r="C1506" t="s">
        <v>5273</v>
      </c>
      <c r="D1506" t="s">
        <v>930</v>
      </c>
      <c r="E1506" t="s">
        <v>930</v>
      </c>
      <c r="F1506" t="s">
        <v>21</v>
      </c>
      <c r="G1506" t="s">
        <v>4764</v>
      </c>
      <c r="H1506">
        <v>1</v>
      </c>
      <c r="I1506">
        <v>1</v>
      </c>
      <c r="J1506">
        <v>0</v>
      </c>
      <c r="K1506">
        <v>0</v>
      </c>
      <c r="L1506">
        <v>0</v>
      </c>
    </row>
    <row r="1507" spans="1:12">
      <c r="A1507" t="str">
        <f>HYPERLINK("http://bombeiros.sp.gov.br/hidrantes/03individual/1398.html","1398")</f>
        <v>1398</v>
      </c>
      <c r="B1507" t="str">
        <f>HYPERLINK("http://bombeiros.sp.gov.br/hidrantes/08bsg/qrcodeBSG.html?id=1398&amp;lat=-23.52886&amp;long=-46.55254&amp;tipo=S","QRCODE")</f>
        <v>QRCODE</v>
      </c>
      <c r="C1507" t="s">
        <v>5273</v>
      </c>
      <c r="D1507" t="s">
        <v>930</v>
      </c>
      <c r="E1507" t="s">
        <v>930</v>
      </c>
      <c r="F1507" t="s">
        <v>21</v>
      </c>
      <c r="G1507" t="s">
        <v>3686</v>
      </c>
      <c r="H1507">
        <v>1</v>
      </c>
      <c r="I1507">
        <v>1</v>
      </c>
      <c r="J1507">
        <v>0</v>
      </c>
      <c r="K1507">
        <v>0</v>
      </c>
      <c r="L1507">
        <v>0</v>
      </c>
    </row>
    <row r="1508" spans="1:12">
      <c r="A1508" t="str">
        <f>HYPERLINK("http://bombeiros.sp.gov.br/hidrantes/03individual/1400.html","1400")</f>
        <v>1400</v>
      </c>
      <c r="B1508" t="str">
        <f>HYPERLINK("http://bombeiros.sp.gov.br/hidrantes/08bsg/qrcodeBSG.html?id=1400&amp;lat=-23.52974&amp;long=-46.55124&amp;tipo=S","QRCODE")</f>
        <v>QRCODE</v>
      </c>
      <c r="C1508" t="s">
        <v>5273</v>
      </c>
      <c r="D1508" t="s">
        <v>930</v>
      </c>
      <c r="E1508" t="s">
        <v>930</v>
      </c>
      <c r="F1508" t="s">
        <v>21</v>
      </c>
      <c r="G1508" t="s">
        <v>4765</v>
      </c>
      <c r="H1508">
        <v>1</v>
      </c>
      <c r="I1508">
        <v>1</v>
      </c>
      <c r="J1508">
        <v>0</v>
      </c>
      <c r="K1508">
        <v>0</v>
      </c>
      <c r="L1508">
        <v>0</v>
      </c>
    </row>
    <row r="1509" spans="1:12">
      <c r="A1509" t="str">
        <f>HYPERLINK("http://bombeiros.sp.gov.br/hidrantes/03individual/1403.html","1403")</f>
        <v>1403</v>
      </c>
      <c r="B1509" t="str">
        <f>HYPERLINK("http://bombeiros.sp.gov.br/hidrantes/08bsg/qrcodeBSG.html?id=1403&amp;lat=-23.51995&amp;long=-46.54825&amp;tipo=S","QRCODE")</f>
        <v>QRCODE</v>
      </c>
      <c r="C1509" t="s">
        <v>5273</v>
      </c>
      <c r="D1509" t="s">
        <v>930</v>
      </c>
      <c r="E1509" t="s">
        <v>930</v>
      </c>
      <c r="F1509" t="s">
        <v>21</v>
      </c>
      <c r="G1509" t="s">
        <v>4771</v>
      </c>
      <c r="H1509">
        <v>1</v>
      </c>
      <c r="I1509">
        <v>1</v>
      </c>
      <c r="J1509">
        <v>0</v>
      </c>
      <c r="K1509">
        <v>0</v>
      </c>
      <c r="L1509">
        <v>0</v>
      </c>
    </row>
    <row r="1510" spans="1:12">
      <c r="A1510" t="str">
        <f>HYPERLINK("http://bombeiros.sp.gov.br/hidrantes/03individual/1405.html","1405")</f>
        <v>1405</v>
      </c>
      <c r="B1510" t="str">
        <f>HYPERLINK("http://bombeiros.sp.gov.br/hidrantes/08bsg/qrcodeBSG.html?id=1405&amp;lat=-23.52139&amp;long=-46.54837&amp;tipo=S","QRCODE")</f>
        <v>QRCODE</v>
      </c>
      <c r="C1510" t="s">
        <v>5273</v>
      </c>
      <c r="D1510" t="s">
        <v>930</v>
      </c>
      <c r="E1510" t="s">
        <v>930</v>
      </c>
      <c r="F1510" t="s">
        <v>21</v>
      </c>
      <c r="G1510" t="s">
        <v>4766</v>
      </c>
      <c r="H1510">
        <v>1</v>
      </c>
      <c r="I1510">
        <v>1</v>
      </c>
      <c r="J1510">
        <v>0</v>
      </c>
      <c r="K1510">
        <v>0</v>
      </c>
      <c r="L1510">
        <v>0</v>
      </c>
    </row>
    <row r="1511" spans="1:12">
      <c r="A1511" t="str">
        <f>HYPERLINK("http://bombeiros.sp.gov.br/hidrantes/03individual/1414.html","1414")</f>
        <v>1414</v>
      </c>
      <c r="B1511" t="str">
        <f>HYPERLINK("http://bombeiros.sp.gov.br/hidrantes/08bsg/qrcodeBSG.html?id=1414&amp;lat=-23.52049&amp;long=-46.54351&amp;tipo=S","QRCODE")</f>
        <v>QRCODE</v>
      </c>
      <c r="C1511" t="s">
        <v>5273</v>
      </c>
      <c r="D1511" t="s">
        <v>930</v>
      </c>
      <c r="E1511" t="s">
        <v>930</v>
      </c>
      <c r="F1511" t="s">
        <v>21</v>
      </c>
      <c r="G1511" t="s">
        <v>1013</v>
      </c>
      <c r="H1511">
        <v>0</v>
      </c>
      <c r="I1511">
        <v>2</v>
      </c>
      <c r="J1511">
        <v>0</v>
      </c>
      <c r="K1511">
        <v>0</v>
      </c>
      <c r="L1511">
        <v>0</v>
      </c>
    </row>
    <row r="1512" spans="1:12">
      <c r="A1512" t="str">
        <f>HYPERLINK("http://bombeiros.sp.gov.br/hidrantes/03individual/1416.html","1416")</f>
        <v>1416</v>
      </c>
      <c r="B1512" t="str">
        <f>HYPERLINK("http://bombeiros.sp.gov.br/hidrantes/08bsg/qrcodeBSG.html?id=1416&amp;lat=-23.53023&amp;long=-46.54693&amp;tipo=S","QRCODE")</f>
        <v>QRCODE</v>
      </c>
      <c r="C1512" t="s">
        <v>5273</v>
      </c>
      <c r="D1512" t="s">
        <v>930</v>
      </c>
      <c r="E1512" t="s">
        <v>930</v>
      </c>
      <c r="F1512" t="s">
        <v>21</v>
      </c>
      <c r="G1512" t="s">
        <v>3689</v>
      </c>
      <c r="H1512">
        <v>1</v>
      </c>
      <c r="I1512">
        <v>1</v>
      </c>
      <c r="J1512">
        <v>0</v>
      </c>
      <c r="K1512">
        <v>0</v>
      </c>
      <c r="L1512">
        <v>0</v>
      </c>
    </row>
    <row r="1513" spans="1:12">
      <c r="A1513" t="str">
        <f>HYPERLINK("http://bombeiros.sp.gov.br/hidrantes/03individual/1418.html","1418")</f>
        <v>1418</v>
      </c>
      <c r="B1513" t="str">
        <f>HYPERLINK("http://bombeiros.sp.gov.br/hidrantes/08bsg/qrcodeBSG.html?id=1418&amp;lat=-23.52982&amp;long=-46.54505&amp;tipo=S","QRCODE")</f>
        <v>QRCODE</v>
      </c>
      <c r="C1513" t="s">
        <v>5273</v>
      </c>
      <c r="D1513" t="s">
        <v>930</v>
      </c>
      <c r="E1513" t="s">
        <v>930</v>
      </c>
      <c r="F1513" t="s">
        <v>21</v>
      </c>
      <c r="G1513" t="s">
        <v>2553</v>
      </c>
      <c r="H1513">
        <v>1</v>
      </c>
      <c r="I1513">
        <v>2</v>
      </c>
      <c r="J1513">
        <v>0</v>
      </c>
      <c r="K1513">
        <v>0</v>
      </c>
      <c r="L1513">
        <v>0</v>
      </c>
    </row>
    <row r="1514" spans="1:12">
      <c r="A1514" t="str">
        <f>HYPERLINK("http://bombeiros.sp.gov.br/hidrantes/03individual/3019.html","3019")</f>
        <v>3019</v>
      </c>
      <c r="B1514" t="str">
        <f>HYPERLINK("http://bombeiros.sp.gov.br/hidrantes/08bsg/qrcodeBSG.html?id=3019&amp;lat=-23.51154&amp;long=-46.55080&amp;tipo=S","QRCODE")</f>
        <v>QRCODE</v>
      </c>
      <c r="C1514" t="s">
        <v>5273</v>
      </c>
      <c r="D1514" t="s">
        <v>930</v>
      </c>
      <c r="E1514" t="s">
        <v>930</v>
      </c>
      <c r="F1514" t="s">
        <v>21</v>
      </c>
      <c r="G1514" t="s">
        <v>4847</v>
      </c>
      <c r="H1514">
        <v>1</v>
      </c>
      <c r="I1514">
        <v>1</v>
      </c>
      <c r="J1514">
        <v>0</v>
      </c>
      <c r="K1514">
        <v>0</v>
      </c>
      <c r="L1514">
        <v>0</v>
      </c>
    </row>
    <row r="1515" spans="1:12">
      <c r="A1515" t="str">
        <f>HYPERLINK("http://bombeiros.sp.gov.br/hidrantes/03individual/3021.html","3021")</f>
        <v>3021</v>
      </c>
      <c r="B1515" t="str">
        <f>HYPERLINK("http://bombeiros.sp.gov.br/hidrantes/08bsg/qrcodeBSG.html?id=3021&amp;lat=-23.51593&amp;long=-46.54588&amp;tipo=S","QRCODE")</f>
        <v>QRCODE</v>
      </c>
      <c r="C1515" t="s">
        <v>5273</v>
      </c>
      <c r="D1515" t="s">
        <v>930</v>
      </c>
      <c r="E1515" t="s">
        <v>930</v>
      </c>
      <c r="F1515" t="s">
        <v>21</v>
      </c>
      <c r="G1515" t="s">
        <v>4172</v>
      </c>
      <c r="H1515">
        <v>0</v>
      </c>
      <c r="I1515">
        <v>1</v>
      </c>
      <c r="J1515">
        <v>0</v>
      </c>
      <c r="K1515">
        <v>0</v>
      </c>
      <c r="L1515">
        <v>0</v>
      </c>
    </row>
    <row r="1516" spans="1:12">
      <c r="A1516" t="str">
        <f>HYPERLINK("http://bombeiros.sp.gov.br/hidrantes/03individual/3032.html","3032")</f>
        <v>3032</v>
      </c>
      <c r="B1516" t="str">
        <f>HYPERLINK("http://bombeiros.sp.gov.br/hidrantes/08bsg/qrcodeBSG.html?id=3032&amp;lat=-23.52678&amp;long=-46.54776&amp;tipo=S","QRCODE")</f>
        <v>QRCODE</v>
      </c>
      <c r="C1516" t="s">
        <v>5273</v>
      </c>
      <c r="D1516" t="s">
        <v>930</v>
      </c>
      <c r="E1516" t="s">
        <v>930</v>
      </c>
      <c r="F1516" t="s">
        <v>21</v>
      </c>
      <c r="G1516" t="s">
        <v>3748</v>
      </c>
      <c r="H1516">
        <v>0</v>
      </c>
      <c r="I1516">
        <v>1</v>
      </c>
      <c r="J1516">
        <v>0</v>
      </c>
      <c r="K1516">
        <v>0</v>
      </c>
      <c r="L1516">
        <v>0</v>
      </c>
    </row>
    <row r="1517" spans="1:12">
      <c r="A1517" t="str">
        <f>HYPERLINK("http://bombeiros.sp.gov.br/hidrantes/03individual/3071.html","3071")</f>
        <v>3071</v>
      </c>
      <c r="B1517" t="str">
        <f>HYPERLINK("http://bombeiros.sp.gov.br/hidrantes/08bsg/qrcodeBSG.html?id=3071&amp;lat=-23.53033&amp;long=-46.54412&amp;tipo=S","QRCODE")</f>
        <v>QRCODE</v>
      </c>
      <c r="C1517" t="s">
        <v>5273</v>
      </c>
      <c r="D1517" t="s">
        <v>930</v>
      </c>
      <c r="E1517" t="s">
        <v>930</v>
      </c>
      <c r="F1517" t="s">
        <v>21</v>
      </c>
      <c r="G1517" t="s">
        <v>5159</v>
      </c>
      <c r="H1517">
        <v>0</v>
      </c>
      <c r="I1517">
        <v>1</v>
      </c>
      <c r="J1517">
        <v>0</v>
      </c>
      <c r="K1517">
        <v>0</v>
      </c>
      <c r="L1517">
        <v>0</v>
      </c>
    </row>
    <row r="1518" spans="1:12">
      <c r="A1518" t="str">
        <f>HYPERLINK("http://bombeiros.sp.gov.br/hidrantes/03individual/3287.html","3287")</f>
        <v>3287</v>
      </c>
      <c r="B1518" t="str">
        <f>HYPERLINK("http://bombeiros.sp.gov.br/hidrantes/08bsg/qrcodeBSG.html?id=3287&amp;lat=-23.52527&amp;long=-46.54329&amp;tipo=S","QRCODE")</f>
        <v>QRCODE</v>
      </c>
      <c r="C1518" t="s">
        <v>5273</v>
      </c>
      <c r="D1518" t="s">
        <v>930</v>
      </c>
      <c r="E1518" t="s">
        <v>930</v>
      </c>
      <c r="F1518" t="s">
        <v>21</v>
      </c>
      <c r="G1518" t="s">
        <v>969</v>
      </c>
      <c r="H1518">
        <v>1</v>
      </c>
      <c r="I1518">
        <v>2</v>
      </c>
      <c r="J1518">
        <v>0</v>
      </c>
      <c r="K1518">
        <v>0</v>
      </c>
      <c r="L1518">
        <v>0</v>
      </c>
    </row>
    <row r="1519" spans="1:12">
      <c r="A1519" t="str">
        <f>HYPERLINK("http://bombeiros.sp.gov.br/hidrantes/03individual/3289.html","3289")</f>
        <v>3289</v>
      </c>
      <c r="B1519" t="str">
        <f>HYPERLINK("http://bombeiros.sp.gov.br/hidrantes/08bsg/qrcodeBSG.html?id=3289&amp;lat=-23.52591&amp;long=-46.54880&amp;tipo=S","QRCODE")</f>
        <v>QRCODE</v>
      </c>
      <c r="C1519" t="s">
        <v>5273</v>
      </c>
      <c r="D1519" t="s">
        <v>930</v>
      </c>
      <c r="E1519" t="s">
        <v>930</v>
      </c>
      <c r="F1519" t="s">
        <v>21</v>
      </c>
      <c r="G1519" t="s">
        <v>5052</v>
      </c>
      <c r="H1519">
        <v>0</v>
      </c>
      <c r="I1519">
        <v>1</v>
      </c>
      <c r="J1519">
        <v>0</v>
      </c>
      <c r="K1519">
        <v>0</v>
      </c>
      <c r="L1519">
        <v>0</v>
      </c>
    </row>
    <row r="1520" spans="1:12">
      <c r="A1520" t="str">
        <f>HYPERLINK("http://bombeiros.sp.gov.br/hidrantes/03individual/3290.html","3290")</f>
        <v>3290</v>
      </c>
      <c r="B1520" t="str">
        <f>HYPERLINK("http://bombeiros.sp.gov.br/hidrantes/08bsg/qrcodeBSG.html?id=3290&amp;lat=-23.52639&amp;long=-46.54946&amp;tipo=S","QRCODE")</f>
        <v>QRCODE</v>
      </c>
      <c r="C1520" t="s">
        <v>5273</v>
      </c>
      <c r="D1520" t="s">
        <v>930</v>
      </c>
      <c r="E1520" t="s">
        <v>930</v>
      </c>
      <c r="F1520" t="s">
        <v>21</v>
      </c>
      <c r="G1520" t="s">
        <v>4727</v>
      </c>
      <c r="H1520">
        <v>1</v>
      </c>
      <c r="I1520">
        <v>1</v>
      </c>
      <c r="J1520">
        <v>0</v>
      </c>
      <c r="K1520">
        <v>0</v>
      </c>
      <c r="L1520">
        <v>0</v>
      </c>
    </row>
    <row r="1521" spans="1:12">
      <c r="A1521" t="str">
        <f>HYPERLINK("http://bombeiros.sp.gov.br/hidrantes/03individual/3304.html","3304")</f>
        <v>3304</v>
      </c>
      <c r="B1521" t="str">
        <f>HYPERLINK("http://bombeiros.sp.gov.br/hidrantes/08bsg/qrcodeBSG.html?id=3304&amp;lat=-23.52595&amp;long=-46.54655&amp;tipo=S","QRCODE")</f>
        <v>QRCODE</v>
      </c>
      <c r="C1521" t="s">
        <v>5273</v>
      </c>
      <c r="D1521" t="s">
        <v>930</v>
      </c>
      <c r="E1521" t="s">
        <v>930</v>
      </c>
      <c r="F1521" t="s">
        <v>21</v>
      </c>
      <c r="G1521" t="s">
        <v>2576</v>
      </c>
      <c r="H1521">
        <v>0</v>
      </c>
      <c r="I1521">
        <v>2</v>
      </c>
      <c r="J1521">
        <v>0</v>
      </c>
      <c r="K1521">
        <v>0</v>
      </c>
      <c r="L1521">
        <v>0</v>
      </c>
    </row>
    <row r="1522" spans="1:12">
      <c r="A1522" t="str">
        <f>HYPERLINK("http://bombeiros.sp.gov.br/hidrantes/03individual/5640.html","5640")</f>
        <v>5640</v>
      </c>
      <c r="B1522" t="str">
        <f>HYPERLINK("http://bombeiros.sp.gov.br/hidrantes/08bsg/qrcodeBSG.html?id=5640&amp;lat=-23.53092&amp;long=-46.54296&amp;tipo=S","QRCODE")</f>
        <v>QRCODE</v>
      </c>
      <c r="C1522" t="s">
        <v>5273</v>
      </c>
      <c r="D1522" t="s">
        <v>930</v>
      </c>
      <c r="E1522" t="s">
        <v>930</v>
      </c>
      <c r="F1522" t="s">
        <v>21</v>
      </c>
      <c r="G1522" t="s">
        <v>994</v>
      </c>
      <c r="H1522">
        <v>0</v>
      </c>
      <c r="I1522">
        <v>2</v>
      </c>
      <c r="J1522">
        <v>0</v>
      </c>
      <c r="K1522">
        <v>0</v>
      </c>
      <c r="L1522">
        <v>0</v>
      </c>
    </row>
    <row r="1523" spans="1:12">
      <c r="A1523" t="str">
        <f>HYPERLINK("http://bombeiros.sp.gov.br/hidrantes/03individual/25212.html","25212")</f>
        <v>25212</v>
      </c>
      <c r="B1523" t="str">
        <f>HYPERLINK("http://bombeiros.sp.gov.br/hidrantes/08bsg/qrcodeBSG.html?id=25212&amp;lat=-23.52341&amp;long=-46.54471&amp;tipo=S","QRCODE")</f>
        <v>QRCODE</v>
      </c>
      <c r="C1523" t="s">
        <v>5273</v>
      </c>
      <c r="D1523" t="s">
        <v>930</v>
      </c>
      <c r="E1523" t="s">
        <v>930</v>
      </c>
      <c r="F1523" t="s">
        <v>21</v>
      </c>
      <c r="G1523" t="s">
        <v>932</v>
      </c>
      <c r="H1523">
        <v>0</v>
      </c>
      <c r="I1523">
        <v>2</v>
      </c>
      <c r="J1523">
        <v>0</v>
      </c>
      <c r="K1523">
        <v>0</v>
      </c>
      <c r="L1523">
        <v>0</v>
      </c>
    </row>
    <row r="1524" spans="1:12">
      <c r="A1524" t="str">
        <f>HYPERLINK("http://bombeiros.sp.gov.br/hidrantes/03individual/27305.html","27305")</f>
        <v>27305</v>
      </c>
      <c r="B1524" t="str">
        <f>HYPERLINK("http://bombeiros.sp.gov.br/hidrantes/08bsg/qrcodeBSG.html?id=27305&amp;lat=-23.52603&amp;long=-46.55267&amp;tipo=S","QRCODE")</f>
        <v>QRCODE</v>
      </c>
      <c r="C1524" t="s">
        <v>5273</v>
      </c>
      <c r="D1524" t="s">
        <v>930</v>
      </c>
      <c r="E1524" t="s">
        <v>930</v>
      </c>
      <c r="F1524" t="s">
        <v>21</v>
      </c>
      <c r="G1524" t="s">
        <v>5319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>
      <c r="A1525" t="str">
        <f>HYPERLINK("http://bombeiros.sp.gov.br/hidrantes/03individual/822.html","822")</f>
        <v>822</v>
      </c>
      <c r="B1525" t="str">
        <f>HYPERLINK("http://bombeiros.sp.gov.br/hidrantes/08bsg/qrcodeBSG.html?id=822&amp;lat=-23.51499&amp;long=-46.52041&amp;tipo=C","QRCODE")</f>
        <v>QRCODE</v>
      </c>
      <c r="C1525" t="s">
        <v>5273</v>
      </c>
      <c r="D1525" t="s">
        <v>930</v>
      </c>
      <c r="E1525" t="s">
        <v>989</v>
      </c>
      <c r="F1525" t="s">
        <v>12</v>
      </c>
      <c r="G1525" t="s">
        <v>1054</v>
      </c>
      <c r="H1525">
        <v>0</v>
      </c>
      <c r="I1525">
        <v>3</v>
      </c>
      <c r="J1525">
        <v>0</v>
      </c>
      <c r="K1525">
        <v>0</v>
      </c>
      <c r="L1525">
        <v>0</v>
      </c>
    </row>
    <row r="1526" spans="1:12">
      <c r="A1526" t="str">
        <f>HYPERLINK("http://bombeiros.sp.gov.br/hidrantes/03individual/943.html","943")</f>
        <v>943</v>
      </c>
      <c r="B1526" t="str">
        <f>HYPERLINK("http://bombeiros.sp.gov.br/hidrantes/08bsg/qrcodeBSG.html?id=943&amp;lat=-23.52237&amp;long=-46.53688&amp;tipo=C","QRCODE")</f>
        <v>QRCODE</v>
      </c>
      <c r="C1526" t="s">
        <v>5273</v>
      </c>
      <c r="D1526" t="s">
        <v>930</v>
      </c>
      <c r="E1526" t="s">
        <v>989</v>
      </c>
      <c r="F1526" t="s">
        <v>12</v>
      </c>
      <c r="G1526" t="s">
        <v>1051</v>
      </c>
      <c r="H1526">
        <v>0</v>
      </c>
      <c r="I1526">
        <v>2</v>
      </c>
      <c r="J1526">
        <v>0</v>
      </c>
      <c r="K1526">
        <v>0</v>
      </c>
      <c r="L1526">
        <v>0</v>
      </c>
    </row>
    <row r="1527" spans="1:12">
      <c r="A1527" t="str">
        <f>HYPERLINK("http://bombeiros.sp.gov.br/hidrantes/03individual/959.html","959")</f>
        <v>959</v>
      </c>
      <c r="B1527" t="str">
        <f>HYPERLINK("http://bombeiros.sp.gov.br/hidrantes/08bsg/qrcodeBSG.html?id=959&amp;lat=-23.52204&amp;long=-46.53017&amp;tipo=C","QRCODE")</f>
        <v>QRCODE</v>
      </c>
      <c r="C1527" t="s">
        <v>5273</v>
      </c>
      <c r="D1527" t="s">
        <v>930</v>
      </c>
      <c r="E1527" t="s">
        <v>989</v>
      </c>
      <c r="F1527" t="s">
        <v>12</v>
      </c>
      <c r="G1527" t="s">
        <v>1052</v>
      </c>
      <c r="H1527">
        <v>1</v>
      </c>
      <c r="I1527">
        <v>2</v>
      </c>
      <c r="J1527">
        <v>0</v>
      </c>
      <c r="K1527">
        <v>0</v>
      </c>
      <c r="L1527">
        <v>0</v>
      </c>
    </row>
    <row r="1528" spans="1:12">
      <c r="A1528" t="str">
        <f>HYPERLINK("http://bombeiros.sp.gov.br/hidrantes/03individual/961.html","961")</f>
        <v>961</v>
      </c>
      <c r="B1528" t="str">
        <f>HYPERLINK("http://bombeiros.sp.gov.br/hidrantes/08bsg/qrcodeBSG.html?id=961&amp;lat=-23.52219&amp;long=-46.53104&amp;tipo=C","QRCODE")</f>
        <v>QRCODE</v>
      </c>
      <c r="C1528" t="s">
        <v>5273</v>
      </c>
      <c r="D1528" t="s">
        <v>930</v>
      </c>
      <c r="E1528" t="s">
        <v>989</v>
      </c>
      <c r="F1528" t="s">
        <v>12</v>
      </c>
      <c r="G1528" t="s">
        <v>1053</v>
      </c>
      <c r="H1528">
        <v>0</v>
      </c>
      <c r="I1528">
        <v>2</v>
      </c>
      <c r="J1528">
        <v>0</v>
      </c>
      <c r="K1528">
        <v>0</v>
      </c>
      <c r="L1528">
        <v>0</v>
      </c>
    </row>
    <row r="1529" spans="1:12">
      <c r="A1529" t="str">
        <f>HYPERLINK("http://bombeiros.sp.gov.br/hidrantes/03individual/2986.html","2986")</f>
        <v>2986</v>
      </c>
      <c r="B1529" t="str">
        <f>HYPERLINK("http://bombeiros.sp.gov.br/hidrantes/08bsg/qrcodeBSG.html?id=2986&amp;lat=-23.52199&amp;long=-46.52649&amp;tipo=C","QRCODE")</f>
        <v>QRCODE</v>
      </c>
      <c r="C1529" t="s">
        <v>5273</v>
      </c>
      <c r="D1529" t="s">
        <v>930</v>
      </c>
      <c r="E1529" t="s">
        <v>989</v>
      </c>
      <c r="F1529" t="s">
        <v>12</v>
      </c>
      <c r="G1529" t="s">
        <v>1868</v>
      </c>
      <c r="H1529">
        <v>0</v>
      </c>
      <c r="I1529">
        <v>2</v>
      </c>
      <c r="J1529">
        <v>0</v>
      </c>
      <c r="K1529">
        <v>0</v>
      </c>
      <c r="L1529">
        <v>0</v>
      </c>
    </row>
    <row r="1530" spans="1:12">
      <c r="A1530" t="str">
        <f>HYPERLINK("http://bombeiros.sp.gov.br/hidrantes/03individual/3157.html","3157")</f>
        <v>3157</v>
      </c>
      <c r="B1530" t="str">
        <f>HYPERLINK("http://bombeiros.sp.gov.br/hidrantes/08bsg/qrcodeBSG.html?id=3157&amp;lat=-23.52058&amp;long=-46.53362&amp;tipo=C","QRCODE")</f>
        <v>QRCODE</v>
      </c>
      <c r="C1530" t="s">
        <v>5273</v>
      </c>
      <c r="D1530" t="s">
        <v>930</v>
      </c>
      <c r="E1530" t="s">
        <v>989</v>
      </c>
      <c r="F1530" t="s">
        <v>12</v>
      </c>
      <c r="G1530" t="s">
        <v>1162</v>
      </c>
      <c r="H1530">
        <v>1</v>
      </c>
      <c r="I1530">
        <v>2</v>
      </c>
      <c r="J1530">
        <v>0</v>
      </c>
      <c r="K1530">
        <v>0</v>
      </c>
      <c r="L1530">
        <v>0</v>
      </c>
    </row>
    <row r="1531" spans="1:12">
      <c r="A1531" t="str">
        <f>HYPERLINK("http://bombeiros.sp.gov.br/hidrantes/03individual/27293.html","27293")</f>
        <v>27293</v>
      </c>
      <c r="B1531" t="str">
        <f>HYPERLINK("http://bombeiros.sp.gov.br/hidrantes/08bsg/qrcodeBSG.html?id=27293&amp;lat=-23.52227&amp;long=-46.52554&amp;tipo=C","QRCODE")</f>
        <v>QRCODE</v>
      </c>
      <c r="C1531" t="s">
        <v>5273</v>
      </c>
      <c r="D1531" t="s">
        <v>930</v>
      </c>
      <c r="E1531" t="s">
        <v>989</v>
      </c>
      <c r="F1531" t="s">
        <v>12</v>
      </c>
      <c r="G1531" t="s">
        <v>1132</v>
      </c>
      <c r="H1531">
        <v>0</v>
      </c>
      <c r="I1531">
        <v>1</v>
      </c>
      <c r="J1531">
        <v>0</v>
      </c>
      <c r="K1531">
        <v>0</v>
      </c>
      <c r="L1531">
        <v>0</v>
      </c>
    </row>
    <row r="1532" spans="1:12">
      <c r="A1532" t="str">
        <f>HYPERLINK("http://bombeiros.sp.gov.br/hidrantes/03individual/1371.html","1371")</f>
        <v>1371</v>
      </c>
      <c r="B1532" t="str">
        <f>HYPERLINK("http://bombeiros.sp.gov.br/hidrantes/08bsg/qrcodeBSG.html?id=1371&amp;lat=-23.52204&amp;long=-46.53849&amp;tipo=S","QRCODE")</f>
        <v>QRCODE</v>
      </c>
      <c r="C1532" t="s">
        <v>5273</v>
      </c>
      <c r="D1532" t="s">
        <v>930</v>
      </c>
      <c r="E1532" t="s">
        <v>989</v>
      </c>
      <c r="F1532" t="s">
        <v>21</v>
      </c>
      <c r="G1532" t="s">
        <v>1010</v>
      </c>
      <c r="H1532">
        <v>0</v>
      </c>
      <c r="I1532">
        <v>2</v>
      </c>
      <c r="J1532">
        <v>0</v>
      </c>
      <c r="K1532">
        <v>0</v>
      </c>
      <c r="L1532">
        <v>0</v>
      </c>
    </row>
    <row r="1533" spans="1:12">
      <c r="A1533" t="str">
        <f>HYPERLINK("http://bombeiros.sp.gov.br/hidrantes/03individual/1374.html","1374")</f>
        <v>1374</v>
      </c>
      <c r="B1533" t="str">
        <f>HYPERLINK("http://bombeiros.sp.gov.br/hidrantes/08bsg/qrcodeBSG.html?id=1374&amp;lat=-23.52314&amp;long=-46.53469&amp;tipo=S","QRCODE")</f>
        <v>QRCODE</v>
      </c>
      <c r="C1533" t="s">
        <v>5273</v>
      </c>
      <c r="D1533" t="s">
        <v>930</v>
      </c>
      <c r="E1533" t="s">
        <v>989</v>
      </c>
      <c r="F1533" t="s">
        <v>21</v>
      </c>
      <c r="G1533" t="s">
        <v>1094</v>
      </c>
      <c r="H1533">
        <v>0</v>
      </c>
      <c r="I1533">
        <v>2</v>
      </c>
      <c r="J1533">
        <v>0</v>
      </c>
      <c r="K1533">
        <v>0</v>
      </c>
      <c r="L1533">
        <v>0</v>
      </c>
    </row>
    <row r="1534" spans="1:12">
      <c r="A1534" t="str">
        <f>HYPERLINK("http://bombeiros.sp.gov.br/hidrantes/03individual/1408.html","1408")</f>
        <v>1408</v>
      </c>
      <c r="B1534" t="str">
        <f>HYPERLINK("http://bombeiros.sp.gov.br/hidrantes/08bsg/qrcodeBSG.html?id=1408&amp;lat=-23.52008&amp;long=-46.53896&amp;tipo=S","QRCODE")</f>
        <v>QRCODE</v>
      </c>
      <c r="C1534" t="s">
        <v>5273</v>
      </c>
      <c r="D1534" t="s">
        <v>930</v>
      </c>
      <c r="E1534" t="s">
        <v>989</v>
      </c>
      <c r="F1534" t="s">
        <v>21</v>
      </c>
      <c r="G1534" t="s">
        <v>1012</v>
      </c>
      <c r="H1534">
        <v>0</v>
      </c>
      <c r="I1534">
        <v>2</v>
      </c>
      <c r="J1534">
        <v>0</v>
      </c>
      <c r="K1534">
        <v>0</v>
      </c>
      <c r="L1534">
        <v>0</v>
      </c>
    </row>
    <row r="1535" spans="1:12">
      <c r="A1535" t="str">
        <f>HYPERLINK("http://bombeiros.sp.gov.br/hidrantes/03individual/1410.html","1410")</f>
        <v>1410</v>
      </c>
      <c r="B1535" t="str">
        <f>HYPERLINK("http://bombeiros.sp.gov.br/hidrantes/08bsg/qrcodeBSG.html?id=1410&amp;lat=-23.52096&amp;long=-46.53783&amp;tipo=S","QRCODE")</f>
        <v>QRCODE</v>
      </c>
      <c r="C1535" t="s">
        <v>5273</v>
      </c>
      <c r="D1535" t="s">
        <v>930</v>
      </c>
      <c r="E1535" t="s">
        <v>989</v>
      </c>
      <c r="F1535" t="s">
        <v>21</v>
      </c>
      <c r="G1535" t="s">
        <v>4767</v>
      </c>
      <c r="H1535">
        <v>1</v>
      </c>
      <c r="I1535">
        <v>1</v>
      </c>
      <c r="J1535">
        <v>0</v>
      </c>
      <c r="K1535">
        <v>0</v>
      </c>
      <c r="L1535">
        <v>0</v>
      </c>
    </row>
    <row r="1536" spans="1:12">
      <c r="A1536" t="str">
        <f>HYPERLINK("http://bombeiros.sp.gov.br/hidrantes/03individual/1412.html","1412")</f>
        <v>1412</v>
      </c>
      <c r="B1536" t="str">
        <f>HYPERLINK("http://bombeiros.sp.gov.br/hidrantes/08bsg/qrcodeBSG.html?id=1412&amp;lat=-23.52250&amp;long=-46.54033&amp;tipo=S","QRCODE")</f>
        <v>QRCODE</v>
      </c>
      <c r="C1536" t="s">
        <v>5273</v>
      </c>
      <c r="D1536" t="s">
        <v>930</v>
      </c>
      <c r="E1536" t="s">
        <v>989</v>
      </c>
      <c r="F1536" t="s">
        <v>21</v>
      </c>
      <c r="G1536" t="s">
        <v>4768</v>
      </c>
      <c r="H1536">
        <v>1</v>
      </c>
      <c r="I1536">
        <v>1</v>
      </c>
      <c r="J1536">
        <v>0</v>
      </c>
      <c r="K1536">
        <v>0</v>
      </c>
      <c r="L1536">
        <v>0</v>
      </c>
    </row>
    <row r="1537" spans="1:12">
      <c r="A1537" t="str">
        <f>HYPERLINK("http://bombeiros.sp.gov.br/hidrantes/03individual/1478.html","1478")</f>
        <v>1478</v>
      </c>
      <c r="B1537" t="str">
        <f>HYPERLINK("http://bombeiros.sp.gov.br/hidrantes/08bsg/qrcodeBSG.html?id=1478&amp;lat=-23.51683&amp;long=-46.52742&amp;tipo=S","QRCODE")</f>
        <v>QRCODE</v>
      </c>
      <c r="C1537" t="s">
        <v>5273</v>
      </c>
      <c r="D1537" t="s">
        <v>930</v>
      </c>
      <c r="E1537" t="s">
        <v>989</v>
      </c>
      <c r="F1537" t="s">
        <v>21</v>
      </c>
      <c r="G1537" t="s">
        <v>1005</v>
      </c>
      <c r="H1537">
        <v>1</v>
      </c>
      <c r="I1537">
        <v>3</v>
      </c>
      <c r="J1537">
        <v>0</v>
      </c>
      <c r="K1537">
        <v>0</v>
      </c>
      <c r="L1537">
        <v>0</v>
      </c>
    </row>
    <row r="1538" spans="1:12">
      <c r="A1538" t="str">
        <f>HYPERLINK("http://bombeiros.sp.gov.br/hidrantes/03individual/1485.html","1485")</f>
        <v>1485</v>
      </c>
      <c r="B1538" t="str">
        <f>HYPERLINK("http://bombeiros.sp.gov.br/hidrantes/08bsg/qrcodeBSG.html?id=1485&amp;lat=-23.51541&amp;long=-46.52365&amp;tipo=S","QRCODE")</f>
        <v>QRCODE</v>
      </c>
      <c r="C1538" t="s">
        <v>5273</v>
      </c>
      <c r="D1538" t="s">
        <v>930</v>
      </c>
      <c r="E1538" t="s">
        <v>989</v>
      </c>
      <c r="F1538" t="s">
        <v>21</v>
      </c>
      <c r="G1538" t="s">
        <v>4649</v>
      </c>
      <c r="H1538">
        <v>1</v>
      </c>
      <c r="I1538">
        <v>1</v>
      </c>
      <c r="J1538">
        <v>0</v>
      </c>
      <c r="K1538">
        <v>0</v>
      </c>
      <c r="L1538">
        <v>0</v>
      </c>
    </row>
    <row r="1539" spans="1:12">
      <c r="A1539" t="str">
        <f>HYPERLINK("http://bombeiros.sp.gov.br/hidrantes/03individual/1540.html","1540")</f>
        <v>1540</v>
      </c>
      <c r="B1539" t="str">
        <f>HYPERLINK("http://bombeiros.sp.gov.br/hidrantes/08bsg/qrcodeBSG.html?id=1540&amp;lat=-23.51814&amp;long=-46.52605&amp;tipo=S","QRCODE")</f>
        <v>QRCODE</v>
      </c>
      <c r="C1539" t="s">
        <v>5273</v>
      </c>
      <c r="D1539" t="s">
        <v>930</v>
      </c>
      <c r="E1539" t="s">
        <v>989</v>
      </c>
      <c r="F1539" t="s">
        <v>21</v>
      </c>
      <c r="G1539" t="s">
        <v>4650</v>
      </c>
      <c r="H1539">
        <v>1</v>
      </c>
      <c r="I1539">
        <v>1</v>
      </c>
      <c r="J1539">
        <v>0</v>
      </c>
      <c r="K1539">
        <v>0</v>
      </c>
      <c r="L1539">
        <v>0</v>
      </c>
    </row>
    <row r="1540" spans="1:12">
      <c r="A1540" t="str">
        <f>HYPERLINK("http://bombeiros.sp.gov.br/hidrantes/03individual/1542.html","1542")</f>
        <v>1542</v>
      </c>
      <c r="B1540" t="str">
        <f>HYPERLINK("http://bombeiros.sp.gov.br/hidrantes/08bsg/qrcodeBSG.html?id=1542&amp;lat=-23.51963&amp;long=-46.52357&amp;tipo=S","QRCODE")</f>
        <v>QRCODE</v>
      </c>
      <c r="C1540" t="s">
        <v>5273</v>
      </c>
      <c r="D1540" t="s">
        <v>930</v>
      </c>
      <c r="E1540" t="s">
        <v>989</v>
      </c>
      <c r="F1540" t="s">
        <v>21</v>
      </c>
      <c r="G1540" t="s">
        <v>3692</v>
      </c>
      <c r="H1540">
        <v>1</v>
      </c>
      <c r="I1540">
        <v>1</v>
      </c>
      <c r="J1540">
        <v>0</v>
      </c>
      <c r="K1540">
        <v>0</v>
      </c>
      <c r="L1540">
        <v>0</v>
      </c>
    </row>
    <row r="1541" spans="1:12">
      <c r="A1541" t="str">
        <f>HYPERLINK("http://bombeiros.sp.gov.br/hidrantes/03individual/1546.html","1546")</f>
        <v>1546</v>
      </c>
      <c r="B1541" t="str">
        <f>HYPERLINK("http://bombeiros.sp.gov.br/hidrantes/08bsg/qrcodeBSG.html?id=1546&amp;lat=-23.51891&amp;long=-46.52511&amp;tipo=S","QRCODE")</f>
        <v>QRCODE</v>
      </c>
      <c r="C1541" t="s">
        <v>5273</v>
      </c>
      <c r="D1541" t="s">
        <v>930</v>
      </c>
      <c r="E1541" t="s">
        <v>989</v>
      </c>
      <c r="F1541" t="s">
        <v>21</v>
      </c>
      <c r="G1541" t="s">
        <v>1910</v>
      </c>
      <c r="H1541">
        <v>0</v>
      </c>
      <c r="I1541">
        <v>2</v>
      </c>
      <c r="J1541">
        <v>0</v>
      </c>
      <c r="K1541">
        <v>0</v>
      </c>
      <c r="L1541">
        <v>0</v>
      </c>
    </row>
    <row r="1542" spans="1:12">
      <c r="A1542" t="str">
        <f>HYPERLINK("http://bombeiros.sp.gov.br/hidrantes/03individual/2985.html","2985")</f>
        <v>2985</v>
      </c>
      <c r="B1542" t="str">
        <f>HYPERLINK("http://bombeiros.sp.gov.br/hidrantes/08bsg/qrcodeBSG.html?id=2985&amp;lat=-23.52097&amp;long=-46.52773&amp;tipo=S","QRCODE")</f>
        <v>QRCODE</v>
      </c>
      <c r="C1542" t="s">
        <v>5273</v>
      </c>
      <c r="D1542" t="s">
        <v>930</v>
      </c>
      <c r="E1542" t="s">
        <v>989</v>
      </c>
      <c r="F1542" t="s">
        <v>21</v>
      </c>
      <c r="G1542" t="s">
        <v>1866</v>
      </c>
      <c r="H1542">
        <v>0</v>
      </c>
      <c r="I1542">
        <v>2</v>
      </c>
      <c r="J1542">
        <v>0</v>
      </c>
      <c r="K1542">
        <v>0</v>
      </c>
      <c r="L1542">
        <v>0</v>
      </c>
    </row>
    <row r="1543" spans="1:12">
      <c r="A1543" t="str">
        <f>HYPERLINK("http://bombeiros.sp.gov.br/hidrantes/03individual/2995.html","2995")</f>
        <v>2995</v>
      </c>
      <c r="B1543" t="str">
        <f>HYPERLINK("http://bombeiros.sp.gov.br/hidrantes/08bsg/qrcodeBSG.html?id=2995&amp;lat=-23.51916&amp;long=-46.53252&amp;tipo=S","QRCODE")</f>
        <v>QRCODE</v>
      </c>
      <c r="C1543" t="s">
        <v>5273</v>
      </c>
      <c r="D1543" t="s">
        <v>930</v>
      </c>
      <c r="E1543" t="s">
        <v>989</v>
      </c>
      <c r="F1543" t="s">
        <v>21</v>
      </c>
      <c r="G1543" t="s">
        <v>1163</v>
      </c>
      <c r="H1543">
        <v>0</v>
      </c>
      <c r="I1543">
        <v>2</v>
      </c>
      <c r="J1543">
        <v>0</v>
      </c>
      <c r="K1543">
        <v>0</v>
      </c>
      <c r="L1543">
        <v>0</v>
      </c>
    </row>
    <row r="1544" spans="1:12">
      <c r="A1544" t="str">
        <f>HYPERLINK("http://bombeiros.sp.gov.br/hidrantes/03individual/3036.html","3036")</f>
        <v>3036</v>
      </c>
      <c r="B1544" t="str">
        <f>HYPERLINK("http://bombeiros.sp.gov.br/hidrantes/08bsg/qrcodeBSG.html?id=3036&amp;lat=-23.52519&amp;long=-46.53062&amp;tipo=S","QRCODE")</f>
        <v>QRCODE</v>
      </c>
      <c r="C1544" t="s">
        <v>5273</v>
      </c>
      <c r="D1544" t="s">
        <v>930</v>
      </c>
      <c r="E1544" t="s">
        <v>989</v>
      </c>
      <c r="F1544" t="s">
        <v>21</v>
      </c>
      <c r="G1544" t="s">
        <v>4173</v>
      </c>
      <c r="H1544">
        <v>0</v>
      </c>
      <c r="I1544">
        <v>1</v>
      </c>
      <c r="J1544">
        <v>0</v>
      </c>
      <c r="K1544">
        <v>0</v>
      </c>
      <c r="L1544">
        <v>0</v>
      </c>
    </row>
    <row r="1545" spans="1:12">
      <c r="A1545" t="str">
        <f>HYPERLINK("http://bombeiros.sp.gov.br/hidrantes/03individual/3037.html","3037")</f>
        <v>3037</v>
      </c>
      <c r="B1545" t="str">
        <f>HYPERLINK("http://bombeiros.sp.gov.br/hidrantes/08bsg/qrcodeBSG.html?id=3037&amp;lat=-23.52610&amp;long=-46.53172&amp;tipo=S","QRCODE")</f>
        <v>QRCODE</v>
      </c>
      <c r="C1545" t="s">
        <v>5273</v>
      </c>
      <c r="D1545" t="s">
        <v>930</v>
      </c>
      <c r="E1545" t="s">
        <v>989</v>
      </c>
      <c r="F1545" t="s">
        <v>21</v>
      </c>
      <c r="G1545" t="s">
        <v>1105</v>
      </c>
      <c r="H1545">
        <v>1</v>
      </c>
      <c r="I1545">
        <v>2</v>
      </c>
      <c r="J1545">
        <v>0</v>
      </c>
      <c r="K1545">
        <v>0</v>
      </c>
      <c r="L1545">
        <v>0</v>
      </c>
    </row>
    <row r="1546" spans="1:12">
      <c r="A1546" t="str">
        <f>HYPERLINK("http://bombeiros.sp.gov.br/hidrantes/03individual/3039.html","3039")</f>
        <v>3039</v>
      </c>
      <c r="B1546" t="str">
        <f>HYPERLINK("http://bombeiros.sp.gov.br/hidrantes/08bsg/qrcodeBSG.html?id=3039&amp;lat=-23.52430&amp;long=-46.53104&amp;tipo=S","QRCODE")</f>
        <v>QRCODE</v>
      </c>
      <c r="C1546" t="s">
        <v>5273</v>
      </c>
      <c r="D1546" t="s">
        <v>930</v>
      </c>
      <c r="E1546" t="s">
        <v>989</v>
      </c>
      <c r="F1546" t="s">
        <v>21</v>
      </c>
      <c r="G1546" t="s">
        <v>1106</v>
      </c>
      <c r="H1546">
        <v>2</v>
      </c>
      <c r="I1546">
        <v>2</v>
      </c>
      <c r="J1546">
        <v>0</v>
      </c>
      <c r="K1546">
        <v>0</v>
      </c>
      <c r="L1546">
        <v>0</v>
      </c>
    </row>
    <row r="1547" spans="1:12">
      <c r="A1547" t="str">
        <f>HYPERLINK("http://bombeiros.sp.gov.br/hidrantes/03individual/3046.html","3046")</f>
        <v>3046</v>
      </c>
      <c r="B1547" t="str">
        <f>HYPERLINK("http://bombeiros.sp.gov.br/hidrantes/08bsg/qrcodeBSG.html?id=3046&amp;lat=-23.52481&amp;long=-46.52583&amp;tipo=S","QRCODE")</f>
        <v>QRCODE</v>
      </c>
      <c r="C1547" t="s">
        <v>5273</v>
      </c>
      <c r="D1547" t="s">
        <v>930</v>
      </c>
      <c r="E1547" t="s">
        <v>989</v>
      </c>
      <c r="F1547" t="s">
        <v>21</v>
      </c>
      <c r="G1547" t="s">
        <v>1865</v>
      </c>
      <c r="H1547">
        <v>0</v>
      </c>
      <c r="I1547">
        <v>2</v>
      </c>
      <c r="J1547">
        <v>0</v>
      </c>
      <c r="K1547">
        <v>0</v>
      </c>
      <c r="L1547">
        <v>0</v>
      </c>
    </row>
    <row r="1548" spans="1:12">
      <c r="A1548" t="str">
        <f>HYPERLINK("http://bombeiros.sp.gov.br/hidrantes/03individual/3065.html","3065")</f>
        <v>3065</v>
      </c>
      <c r="B1548" t="str">
        <f>HYPERLINK("http://bombeiros.sp.gov.br/hidrantes/08bsg/qrcodeBSG.html?id=3065&amp;lat=-23.52790&amp;long=-46.52936&amp;tipo=S","QRCODE")</f>
        <v>QRCODE</v>
      </c>
      <c r="C1548" t="s">
        <v>5273</v>
      </c>
      <c r="D1548" t="s">
        <v>930</v>
      </c>
      <c r="E1548" t="s">
        <v>989</v>
      </c>
      <c r="F1548" t="s">
        <v>21</v>
      </c>
      <c r="G1548" t="s">
        <v>4637</v>
      </c>
      <c r="H1548">
        <v>3</v>
      </c>
      <c r="I1548">
        <v>1</v>
      </c>
      <c r="J1548">
        <v>0</v>
      </c>
      <c r="K1548">
        <v>0</v>
      </c>
      <c r="L1548">
        <v>0</v>
      </c>
    </row>
    <row r="1549" spans="1:12">
      <c r="A1549" t="str">
        <f>HYPERLINK("http://bombeiros.sp.gov.br/hidrantes/03individual/3067.html","3067")</f>
        <v>3067</v>
      </c>
      <c r="B1549" t="str">
        <f>HYPERLINK("http://bombeiros.sp.gov.br/hidrantes/08bsg/qrcodeBSG.html?id=3067&amp;lat=-23.52955&amp;long=-46.52766&amp;tipo=S","QRCODE")</f>
        <v>QRCODE</v>
      </c>
      <c r="C1549" t="s">
        <v>5273</v>
      </c>
      <c r="D1549" t="s">
        <v>930</v>
      </c>
      <c r="E1549" t="s">
        <v>989</v>
      </c>
      <c r="F1549" t="s">
        <v>21</v>
      </c>
      <c r="G1549" t="s">
        <v>988</v>
      </c>
      <c r="H1549">
        <v>0</v>
      </c>
      <c r="I1549">
        <v>2</v>
      </c>
      <c r="J1549">
        <v>0</v>
      </c>
      <c r="K1549">
        <v>0</v>
      </c>
      <c r="L1549">
        <v>0</v>
      </c>
    </row>
    <row r="1550" spans="1:12">
      <c r="A1550" t="str">
        <f>HYPERLINK("http://bombeiros.sp.gov.br/hidrantes/03individual/3135.html","3135")</f>
        <v>3135</v>
      </c>
      <c r="B1550" t="str">
        <f>HYPERLINK("http://bombeiros.sp.gov.br/hidrantes/08bsg/qrcodeBSG.html?id=3135&amp;lat=-23.52266&amp;long=-46.53675&amp;tipo=S","QRCODE")</f>
        <v>QRCODE</v>
      </c>
      <c r="C1550" t="s">
        <v>5273</v>
      </c>
      <c r="D1550" t="s">
        <v>930</v>
      </c>
      <c r="E1550" t="s">
        <v>989</v>
      </c>
      <c r="F1550" t="s">
        <v>21</v>
      </c>
      <c r="G1550" t="s">
        <v>2566</v>
      </c>
      <c r="H1550">
        <v>0</v>
      </c>
      <c r="I1550">
        <v>2</v>
      </c>
      <c r="J1550">
        <v>0</v>
      </c>
      <c r="K1550">
        <v>0</v>
      </c>
      <c r="L1550">
        <v>0</v>
      </c>
    </row>
    <row r="1551" spans="1:12">
      <c r="A1551" t="str">
        <f>HYPERLINK("http://bombeiros.sp.gov.br/hidrantes/03individual/3167.html","3167")</f>
        <v>3167</v>
      </c>
      <c r="B1551" t="str">
        <f>HYPERLINK("http://bombeiros.sp.gov.br/hidrantes/08bsg/qrcodeBSG.html?id=3167&amp;lat=-23.52499&amp;long=-46.52723&amp;tipo=S","QRCODE")</f>
        <v>QRCODE</v>
      </c>
      <c r="C1551" t="s">
        <v>5273</v>
      </c>
      <c r="D1551" t="s">
        <v>930</v>
      </c>
      <c r="E1551" t="s">
        <v>989</v>
      </c>
      <c r="F1551" t="s">
        <v>21</v>
      </c>
      <c r="G1551" t="s">
        <v>1855</v>
      </c>
      <c r="H1551">
        <v>0</v>
      </c>
      <c r="I1551">
        <v>2</v>
      </c>
      <c r="J1551">
        <v>0</v>
      </c>
      <c r="K1551">
        <v>0</v>
      </c>
      <c r="L1551">
        <v>0</v>
      </c>
    </row>
    <row r="1552" spans="1:12">
      <c r="A1552" t="str">
        <f>HYPERLINK("http://bombeiros.sp.gov.br/hidrantes/03individual/3273.html","3273")</f>
        <v>3273</v>
      </c>
      <c r="B1552" t="str">
        <f>HYPERLINK("http://bombeiros.sp.gov.br/hidrantes/08bsg/qrcodeBSG.html?id=3273&amp;lat=-23.52754&amp;long=-46.53535&amp;tipo=S","QRCODE")</f>
        <v>QRCODE</v>
      </c>
      <c r="C1552" t="s">
        <v>5273</v>
      </c>
      <c r="D1552" t="s">
        <v>930</v>
      </c>
      <c r="E1552" t="s">
        <v>989</v>
      </c>
      <c r="F1552" t="s">
        <v>21</v>
      </c>
      <c r="G1552" t="s">
        <v>5158</v>
      </c>
      <c r="H1552">
        <v>0</v>
      </c>
      <c r="I1552">
        <v>1</v>
      </c>
      <c r="J1552">
        <v>0</v>
      </c>
      <c r="K1552">
        <v>0</v>
      </c>
      <c r="L1552">
        <v>0</v>
      </c>
    </row>
    <row r="1553" spans="1:12">
      <c r="A1553" t="str">
        <f>HYPERLINK("http://bombeiros.sp.gov.br/hidrantes/03individual/17736.html","17736")</f>
        <v>17736</v>
      </c>
      <c r="B1553" t="str">
        <f>HYPERLINK("http://bombeiros.sp.gov.br/hidrantes/08bsg/qrcodeBSG.html?id=17736&amp;lat=-23.52538&amp;long=-46.52978&amp;tipo=S","QRCODE")</f>
        <v>QRCODE</v>
      </c>
      <c r="C1553" t="s">
        <v>5273</v>
      </c>
      <c r="D1553" t="s">
        <v>930</v>
      </c>
      <c r="E1553" t="s">
        <v>989</v>
      </c>
      <c r="F1553" t="s">
        <v>21</v>
      </c>
      <c r="G1553" t="s">
        <v>4179</v>
      </c>
      <c r="H1553">
        <v>0</v>
      </c>
      <c r="I1553">
        <v>1</v>
      </c>
      <c r="J1553">
        <v>0</v>
      </c>
      <c r="K1553">
        <v>0</v>
      </c>
      <c r="L1553">
        <v>0</v>
      </c>
    </row>
    <row r="1554" spans="1:12">
      <c r="A1554" t="str">
        <f>HYPERLINK("http://bombeiros.sp.gov.br/hidrantes/03individual/963.html","963")</f>
        <v>963</v>
      </c>
      <c r="B1554" t="str">
        <f>HYPERLINK("http://bombeiros.sp.gov.br/hidrantes/08bsg/qrcodeBSG.html?id=963&amp;lat=-23.52315&amp;long=-46.52049&amp;tipo=C","QRCODE")</f>
        <v>QRCODE</v>
      </c>
      <c r="C1554" t="s">
        <v>5273</v>
      </c>
      <c r="D1554" t="s">
        <v>930</v>
      </c>
      <c r="E1554" t="s">
        <v>964</v>
      </c>
      <c r="F1554" t="s">
        <v>12</v>
      </c>
      <c r="G1554" t="s">
        <v>1926</v>
      </c>
      <c r="H1554">
        <v>0</v>
      </c>
      <c r="I1554">
        <v>2</v>
      </c>
      <c r="J1554">
        <v>0</v>
      </c>
      <c r="K1554">
        <v>0</v>
      </c>
      <c r="L1554">
        <v>0</v>
      </c>
    </row>
    <row r="1555" spans="1:12">
      <c r="A1555" t="str">
        <f>HYPERLINK("http://bombeiros.sp.gov.br/hidrantes/03individual/964.html","964")</f>
        <v>964</v>
      </c>
      <c r="B1555" t="str">
        <f>HYPERLINK("http://bombeiros.sp.gov.br/hidrantes/08bsg/qrcodeBSG.html?id=964&amp;lat=-23.52090&amp;long=-46.51573&amp;tipo=C","QRCODE")</f>
        <v>QRCODE</v>
      </c>
      <c r="C1555" t="s">
        <v>5273</v>
      </c>
      <c r="D1555" t="s">
        <v>930</v>
      </c>
      <c r="E1555" t="s">
        <v>964</v>
      </c>
      <c r="F1555" t="s">
        <v>12</v>
      </c>
      <c r="G1555" t="s">
        <v>1925</v>
      </c>
      <c r="H1555">
        <v>0</v>
      </c>
      <c r="I1555">
        <v>2</v>
      </c>
      <c r="J1555">
        <v>0</v>
      </c>
      <c r="K1555">
        <v>0</v>
      </c>
      <c r="L1555">
        <v>0</v>
      </c>
    </row>
    <row r="1556" spans="1:12">
      <c r="A1556" t="str">
        <f>HYPERLINK("http://bombeiros.sp.gov.br/hidrantes/03individual/1610.html","1610")</f>
        <v>1610</v>
      </c>
      <c r="B1556" t="str">
        <f>HYPERLINK("http://bombeiros.sp.gov.br/hidrantes/08bsg/qrcodeBSG.html?id=1610&amp;lat=-23.52356&amp;long=-46.51853&amp;tipo=C","QRCODE")</f>
        <v>QRCODE</v>
      </c>
      <c r="C1556" t="s">
        <v>5273</v>
      </c>
      <c r="D1556" t="s">
        <v>930</v>
      </c>
      <c r="E1556" t="s">
        <v>964</v>
      </c>
      <c r="F1556" t="s">
        <v>12</v>
      </c>
      <c r="G1556" t="s">
        <v>1906</v>
      </c>
      <c r="H1556">
        <v>0</v>
      </c>
      <c r="I1556">
        <v>2</v>
      </c>
      <c r="J1556">
        <v>0</v>
      </c>
      <c r="K1556">
        <v>0</v>
      </c>
      <c r="L1556">
        <v>0</v>
      </c>
    </row>
    <row r="1557" spans="1:12">
      <c r="A1557" t="str">
        <f>HYPERLINK("http://bombeiros.sp.gov.br/hidrantes/03individual/27143.html","27143")</f>
        <v>27143</v>
      </c>
      <c r="B1557" t="str">
        <f>HYPERLINK("http://bombeiros.sp.gov.br/hidrantes/08bsg/qrcodeBSG.html?id=27143&amp;lat=-23.52907&amp;long=-46.52145&amp;tipo=C","QRCODE")</f>
        <v>QRCODE</v>
      </c>
      <c r="C1557" t="s">
        <v>5273</v>
      </c>
      <c r="D1557" t="s">
        <v>930</v>
      </c>
      <c r="E1557" t="s">
        <v>964</v>
      </c>
      <c r="F1557" t="s">
        <v>12</v>
      </c>
      <c r="G1557" t="s">
        <v>3664</v>
      </c>
      <c r="H1557">
        <v>0</v>
      </c>
      <c r="I1557">
        <v>1</v>
      </c>
      <c r="J1557">
        <v>0</v>
      </c>
      <c r="K1557">
        <v>0</v>
      </c>
      <c r="L1557">
        <v>0</v>
      </c>
    </row>
    <row r="1558" spans="1:12">
      <c r="A1558" t="str">
        <f>HYPERLINK("http://bombeiros.sp.gov.br/hidrantes/03individual/1538.html","1538")</f>
        <v>1538</v>
      </c>
      <c r="B1558" t="str">
        <f>HYPERLINK("http://bombeiros.sp.gov.br/hidrantes/08bsg/qrcodeBSG.html?id=1538&amp;lat=-23.52029&amp;long=-46.52047&amp;tipo=S","QRCODE")</f>
        <v>QRCODE</v>
      </c>
      <c r="C1558" t="s">
        <v>5273</v>
      </c>
      <c r="D1558" t="s">
        <v>930</v>
      </c>
      <c r="E1558" t="s">
        <v>964</v>
      </c>
      <c r="F1558" t="s">
        <v>21</v>
      </c>
      <c r="G1558" t="s">
        <v>1091</v>
      </c>
      <c r="H1558">
        <v>1</v>
      </c>
      <c r="I1558">
        <v>3</v>
      </c>
      <c r="J1558">
        <v>0</v>
      </c>
      <c r="K1558">
        <v>0</v>
      </c>
      <c r="L1558">
        <v>0</v>
      </c>
    </row>
    <row r="1559" spans="1:12">
      <c r="A1559" t="str">
        <f>HYPERLINK("http://bombeiros.sp.gov.br/hidrantes/03individual/1544.html","1544")</f>
        <v>1544</v>
      </c>
      <c r="B1559" t="str">
        <f>HYPERLINK("http://bombeiros.sp.gov.br/hidrantes/08bsg/qrcodeBSG.html?id=1544&amp;lat=-23.52307&amp;long=-46.52290&amp;tipo=S","QRCODE")</f>
        <v>QRCODE</v>
      </c>
      <c r="C1559" t="s">
        <v>5273</v>
      </c>
      <c r="D1559" t="s">
        <v>930</v>
      </c>
      <c r="E1559" t="s">
        <v>964</v>
      </c>
      <c r="F1559" t="s">
        <v>21</v>
      </c>
      <c r="G1559" t="s">
        <v>1909</v>
      </c>
      <c r="H1559">
        <v>0</v>
      </c>
      <c r="I1559">
        <v>2</v>
      </c>
      <c r="J1559">
        <v>0</v>
      </c>
      <c r="K1559">
        <v>0</v>
      </c>
      <c r="L1559">
        <v>0</v>
      </c>
    </row>
    <row r="1560" spans="1:12">
      <c r="A1560" t="str">
        <f>HYPERLINK("http://bombeiros.sp.gov.br/hidrantes/03individual/1602.html","1602")</f>
        <v>1602</v>
      </c>
      <c r="B1560" t="str">
        <f>HYPERLINK("http://bombeiros.sp.gov.br/hidrantes/08bsg/qrcodeBSG.html?id=1602&amp;lat=-23.52675&amp;long=-46.51435&amp;tipo=S","QRCODE")</f>
        <v>QRCODE</v>
      </c>
      <c r="C1560" t="s">
        <v>5273</v>
      </c>
      <c r="D1560" t="s">
        <v>930</v>
      </c>
      <c r="E1560" t="s">
        <v>964</v>
      </c>
      <c r="F1560" t="s">
        <v>21</v>
      </c>
      <c r="G1560" t="s">
        <v>4471</v>
      </c>
      <c r="H1560">
        <v>0</v>
      </c>
      <c r="I1560">
        <v>3</v>
      </c>
      <c r="J1560">
        <v>0</v>
      </c>
      <c r="K1560">
        <v>0</v>
      </c>
      <c r="L1560">
        <v>0</v>
      </c>
    </row>
    <row r="1561" spans="1:12">
      <c r="A1561" t="str">
        <f>HYPERLINK("http://bombeiros.sp.gov.br/hidrantes/03individual/1609.html","1609")</f>
        <v>1609</v>
      </c>
      <c r="B1561" t="str">
        <f>HYPERLINK("http://bombeiros.sp.gov.br/hidrantes/08bsg/qrcodeBSG.html?id=1609&amp;lat=-23.52854&amp;long=-46.51793&amp;tipo=S","QRCODE")</f>
        <v>QRCODE</v>
      </c>
      <c r="C1561" t="s">
        <v>5273</v>
      </c>
      <c r="D1561" t="s">
        <v>930</v>
      </c>
      <c r="E1561" t="s">
        <v>964</v>
      </c>
      <c r="F1561" t="s">
        <v>21</v>
      </c>
      <c r="G1561" t="s">
        <v>1190</v>
      </c>
      <c r="H1561">
        <v>1</v>
      </c>
      <c r="I1561">
        <v>2</v>
      </c>
      <c r="J1561">
        <v>0</v>
      </c>
      <c r="K1561">
        <v>0</v>
      </c>
      <c r="L1561">
        <v>0</v>
      </c>
    </row>
    <row r="1562" spans="1:12">
      <c r="A1562" t="str">
        <f>HYPERLINK("http://bombeiros.sp.gov.br/hidrantes/03individual/1612.html","1612")</f>
        <v>1612</v>
      </c>
      <c r="B1562" t="str">
        <f>HYPERLINK("http://bombeiros.sp.gov.br/hidrantes/08bsg/qrcodeBSG.html?id=1612&amp;lat=-23.51763&amp;long=-46.51823&amp;tipo=S","QRCODE")</f>
        <v>QRCODE</v>
      </c>
      <c r="C1562" t="s">
        <v>5273</v>
      </c>
      <c r="D1562" t="s">
        <v>930</v>
      </c>
      <c r="E1562" t="s">
        <v>964</v>
      </c>
      <c r="F1562" t="s">
        <v>21</v>
      </c>
      <c r="G1562" t="s">
        <v>1090</v>
      </c>
      <c r="H1562">
        <v>1</v>
      </c>
      <c r="I1562">
        <v>2</v>
      </c>
      <c r="J1562">
        <v>0</v>
      </c>
      <c r="K1562">
        <v>0</v>
      </c>
      <c r="L1562">
        <v>0</v>
      </c>
    </row>
    <row r="1563" spans="1:12">
      <c r="A1563" t="str">
        <f>HYPERLINK("http://bombeiros.sp.gov.br/hidrantes/03individual/1683.html","1683")</f>
        <v>1683</v>
      </c>
      <c r="B1563" t="str">
        <f>HYPERLINK("http://bombeiros.sp.gov.br/hidrantes/08bsg/qrcodeBSG.html?id=1683&amp;lat=-23.52523&amp;long=-46.51543&amp;tipo=S","QRCODE")</f>
        <v>QRCODE</v>
      </c>
      <c r="C1563" t="s">
        <v>5273</v>
      </c>
      <c r="D1563" t="s">
        <v>930</v>
      </c>
      <c r="E1563" t="s">
        <v>964</v>
      </c>
      <c r="F1563" t="s">
        <v>21</v>
      </c>
      <c r="G1563" t="s">
        <v>1198</v>
      </c>
      <c r="H1563">
        <v>1</v>
      </c>
      <c r="I1563">
        <v>3</v>
      </c>
      <c r="J1563">
        <v>0</v>
      </c>
      <c r="K1563">
        <v>0</v>
      </c>
      <c r="L1563">
        <v>0</v>
      </c>
    </row>
    <row r="1564" spans="1:12">
      <c r="A1564" t="str">
        <f>HYPERLINK("http://bombeiros.sp.gov.br/hidrantes/03individual/1713.html","1713")</f>
        <v>1713</v>
      </c>
      <c r="B1564" t="str">
        <f>HYPERLINK("http://bombeiros.sp.gov.br/hidrantes/08bsg/qrcodeBSG.html?id=1713&amp;lat=-23.52495&amp;long=-46.51132&amp;tipo=S","QRCODE")</f>
        <v>QRCODE</v>
      </c>
      <c r="C1564" t="s">
        <v>5273</v>
      </c>
      <c r="D1564" t="s">
        <v>930</v>
      </c>
      <c r="E1564" t="s">
        <v>964</v>
      </c>
      <c r="F1564" t="s">
        <v>21</v>
      </c>
      <c r="G1564" t="s">
        <v>2667</v>
      </c>
      <c r="H1564">
        <v>0</v>
      </c>
      <c r="I1564">
        <v>2</v>
      </c>
      <c r="J1564">
        <v>0</v>
      </c>
      <c r="K1564">
        <v>0</v>
      </c>
      <c r="L1564">
        <v>0</v>
      </c>
    </row>
    <row r="1565" spans="1:12">
      <c r="A1565" t="str">
        <f>HYPERLINK("http://bombeiros.sp.gov.br/hidrantes/03individual/1720.html","1720")</f>
        <v>1720</v>
      </c>
      <c r="B1565" t="str">
        <f>HYPERLINK("http://bombeiros.sp.gov.br/hidrantes/08bsg/qrcodeBSG.html?id=1720&amp;lat=-23.52209&amp;long=-46.50951&amp;tipo=S","QRCODE")</f>
        <v>QRCODE</v>
      </c>
      <c r="C1565" t="s">
        <v>5273</v>
      </c>
      <c r="D1565" t="s">
        <v>930</v>
      </c>
      <c r="E1565" t="s">
        <v>964</v>
      </c>
      <c r="F1565" t="s">
        <v>21</v>
      </c>
      <c r="G1565" t="s">
        <v>1194</v>
      </c>
      <c r="H1565">
        <v>1</v>
      </c>
      <c r="I1565">
        <v>2</v>
      </c>
      <c r="J1565">
        <v>0</v>
      </c>
      <c r="K1565">
        <v>0</v>
      </c>
      <c r="L1565">
        <v>0</v>
      </c>
    </row>
    <row r="1566" spans="1:12">
      <c r="A1566" t="str">
        <f>HYPERLINK("http://bombeiros.sp.gov.br/hidrantes/03individual/3043.html","3043")</f>
        <v>3043</v>
      </c>
      <c r="B1566" t="str">
        <f>HYPERLINK("http://bombeiros.sp.gov.br/hidrantes/08bsg/qrcodeBSG.html?id=3043&amp;lat=-23.52613&amp;long=-46.52602&amp;tipo=S","QRCODE")</f>
        <v>QRCODE</v>
      </c>
      <c r="C1566" t="s">
        <v>5273</v>
      </c>
      <c r="D1566" t="s">
        <v>930</v>
      </c>
      <c r="E1566" t="s">
        <v>964</v>
      </c>
      <c r="F1566" t="s">
        <v>21</v>
      </c>
      <c r="G1566" t="s">
        <v>3669</v>
      </c>
      <c r="H1566">
        <v>1</v>
      </c>
      <c r="I1566">
        <v>1</v>
      </c>
      <c r="J1566">
        <v>0</v>
      </c>
      <c r="K1566">
        <v>0</v>
      </c>
      <c r="L1566">
        <v>0</v>
      </c>
    </row>
    <row r="1567" spans="1:12">
      <c r="A1567" t="str">
        <f>HYPERLINK("http://bombeiros.sp.gov.br/hidrantes/03individual/3045.html","3045")</f>
        <v>3045</v>
      </c>
      <c r="B1567" t="str">
        <f>HYPERLINK("http://bombeiros.sp.gov.br/hidrantes/08bsg/qrcodeBSG.html?id=3045&amp;lat=-23.52860&amp;long=-46.52468&amp;tipo=S","QRCODE")</f>
        <v>QRCODE</v>
      </c>
      <c r="C1567" t="s">
        <v>5273</v>
      </c>
      <c r="D1567" t="s">
        <v>930</v>
      </c>
      <c r="E1567" t="s">
        <v>964</v>
      </c>
      <c r="F1567" t="s">
        <v>21</v>
      </c>
      <c r="G1567" t="s">
        <v>983</v>
      </c>
      <c r="H1567">
        <v>1</v>
      </c>
      <c r="I1567">
        <v>2</v>
      </c>
      <c r="J1567">
        <v>0</v>
      </c>
      <c r="K1567">
        <v>0</v>
      </c>
      <c r="L1567">
        <v>0</v>
      </c>
    </row>
    <row r="1568" spans="1:12">
      <c r="A1568" t="str">
        <f>HYPERLINK("http://bombeiros.sp.gov.br/hidrantes/03individual/3048.html","3048")</f>
        <v>3048</v>
      </c>
      <c r="B1568" t="str">
        <f>HYPERLINK("http://bombeiros.sp.gov.br/hidrantes/08bsg/qrcodeBSG.html?id=3048&amp;lat=-23.52986&amp;long=-46.52636&amp;tipo=S","QRCODE")</f>
        <v>QRCODE</v>
      </c>
      <c r="C1568" t="s">
        <v>5273</v>
      </c>
      <c r="D1568" t="s">
        <v>930</v>
      </c>
      <c r="E1568" t="s">
        <v>964</v>
      </c>
      <c r="F1568" t="s">
        <v>21</v>
      </c>
      <c r="G1568" t="s">
        <v>5115</v>
      </c>
      <c r="H1568">
        <v>0</v>
      </c>
      <c r="I1568">
        <v>1</v>
      </c>
      <c r="J1568">
        <v>0</v>
      </c>
      <c r="K1568">
        <v>0</v>
      </c>
      <c r="L1568">
        <v>0</v>
      </c>
    </row>
    <row r="1569" spans="1:12">
      <c r="A1569" t="str">
        <f>HYPERLINK("http://bombeiros.sp.gov.br/hidrantes/03individual/3063.html","3063")</f>
        <v>3063</v>
      </c>
      <c r="B1569" t="str">
        <f>HYPERLINK("http://bombeiros.sp.gov.br/hidrantes/08bsg/qrcodeBSG.html?id=3063&amp;lat=-23.52211&amp;long=-46.51526&amp;tipo=S","QRCODE")</f>
        <v>QRCODE</v>
      </c>
      <c r="C1569" t="s">
        <v>5273</v>
      </c>
      <c r="D1569" t="s">
        <v>930</v>
      </c>
      <c r="E1569" t="s">
        <v>964</v>
      </c>
      <c r="F1569" t="s">
        <v>21</v>
      </c>
      <c r="G1569" t="s">
        <v>1864</v>
      </c>
      <c r="H1569">
        <v>0</v>
      </c>
      <c r="I1569">
        <v>2</v>
      </c>
      <c r="J1569">
        <v>0</v>
      </c>
      <c r="K1569">
        <v>0</v>
      </c>
      <c r="L1569">
        <v>0</v>
      </c>
    </row>
    <row r="1570" spans="1:12">
      <c r="A1570" t="str">
        <f>HYPERLINK("http://bombeiros.sp.gov.br/hidrantes/03individual/3168.html","3168")</f>
        <v>3168</v>
      </c>
      <c r="B1570" t="str">
        <f>HYPERLINK("http://bombeiros.sp.gov.br/hidrantes/08bsg/qrcodeBSG.html?id=3168&amp;lat=-23.52634&amp;long=-46.52105&amp;tipo=S","QRCODE")</f>
        <v>QRCODE</v>
      </c>
      <c r="C1570" t="s">
        <v>5273</v>
      </c>
      <c r="D1570" t="s">
        <v>930</v>
      </c>
      <c r="E1570" t="s">
        <v>964</v>
      </c>
      <c r="F1570" t="s">
        <v>21</v>
      </c>
      <c r="G1570" t="s">
        <v>5111</v>
      </c>
      <c r="H1570">
        <v>0</v>
      </c>
      <c r="I1570">
        <v>1</v>
      </c>
      <c r="J1570">
        <v>0</v>
      </c>
      <c r="K1570">
        <v>0</v>
      </c>
      <c r="L1570">
        <v>0</v>
      </c>
    </row>
    <row r="1571" spans="1:12">
      <c r="A1571" t="str">
        <f>HYPERLINK("http://bombeiros.sp.gov.br/hidrantes/03individual/3170.html","3170")</f>
        <v>3170</v>
      </c>
      <c r="B1571" t="str">
        <f>HYPERLINK("http://bombeiros.sp.gov.br/hidrantes/08bsg/qrcodeBSG.html?id=3170&amp;lat=-23.52878&amp;long=-46.52167&amp;tipo=S","QRCODE")</f>
        <v>QRCODE</v>
      </c>
      <c r="C1571" t="s">
        <v>5273</v>
      </c>
      <c r="D1571" t="s">
        <v>930</v>
      </c>
      <c r="E1571" t="s">
        <v>964</v>
      </c>
      <c r="F1571" t="s">
        <v>21</v>
      </c>
      <c r="G1571" t="s">
        <v>4695</v>
      </c>
      <c r="H1571">
        <v>1</v>
      </c>
      <c r="I1571">
        <v>1</v>
      </c>
      <c r="J1571">
        <v>0</v>
      </c>
      <c r="K1571">
        <v>0</v>
      </c>
      <c r="L1571">
        <v>0</v>
      </c>
    </row>
    <row r="1572" spans="1:12">
      <c r="A1572" t="str">
        <f>HYPERLINK("http://bombeiros.sp.gov.br/hidrantes/03individual/3175.html","3175")</f>
        <v>3175</v>
      </c>
      <c r="B1572" t="str">
        <f>HYPERLINK("http://bombeiros.sp.gov.br/hidrantes/08bsg/qrcodeBSG.html?id=3175&amp;lat=-23.53048&amp;long=-46.52448&amp;tipo=S","QRCODE")</f>
        <v>QRCODE</v>
      </c>
      <c r="C1572" t="s">
        <v>5273</v>
      </c>
      <c r="D1572" t="s">
        <v>930</v>
      </c>
      <c r="E1572" t="s">
        <v>964</v>
      </c>
      <c r="F1572" t="s">
        <v>21</v>
      </c>
      <c r="G1572" t="s">
        <v>963</v>
      </c>
      <c r="H1572">
        <v>0</v>
      </c>
      <c r="I1572">
        <v>2</v>
      </c>
      <c r="J1572">
        <v>0</v>
      </c>
      <c r="K1572">
        <v>0</v>
      </c>
      <c r="L1572">
        <v>0</v>
      </c>
    </row>
    <row r="1573" spans="1:12">
      <c r="A1573" t="str">
        <f>HYPERLINK("http://bombeiros.sp.gov.br/hidrantes/03individual/3250.html","3250")</f>
        <v>3250</v>
      </c>
      <c r="B1573" t="str">
        <f>HYPERLINK("http://bombeiros.sp.gov.br/hidrantes/08bsg/qrcodeBSG.html?id=3250&amp;lat=-23.52710&amp;long=-46.50981&amp;tipo=S","QRCODE")</f>
        <v>QRCODE</v>
      </c>
      <c r="C1573" t="s">
        <v>5273</v>
      </c>
      <c r="D1573" t="s">
        <v>930</v>
      </c>
      <c r="E1573" t="s">
        <v>964</v>
      </c>
      <c r="F1573" t="s">
        <v>21</v>
      </c>
      <c r="G1573" t="s">
        <v>4728</v>
      </c>
      <c r="H1573">
        <v>1</v>
      </c>
      <c r="I1573">
        <v>1</v>
      </c>
      <c r="J1573">
        <v>0</v>
      </c>
      <c r="K1573">
        <v>0</v>
      </c>
      <c r="L1573">
        <v>0</v>
      </c>
    </row>
    <row r="1574" spans="1:12">
      <c r="A1574" t="str">
        <f>HYPERLINK("http://bombeiros.sp.gov.br/hidrantes/03individual/26704.html","26704")</f>
        <v>26704</v>
      </c>
      <c r="B1574" t="str">
        <f>HYPERLINK("http://bombeiros.sp.gov.br/hidrantes/08bsg/qrcodeBSG.html?id=26704&amp;lat=-23.52960&amp;long=-46.52082&amp;tipo=S","QRCODE")</f>
        <v>QRCODE</v>
      </c>
      <c r="C1574" t="s">
        <v>5273</v>
      </c>
      <c r="D1574" t="s">
        <v>930</v>
      </c>
      <c r="E1574" t="s">
        <v>964</v>
      </c>
      <c r="F1574" t="s">
        <v>21</v>
      </c>
      <c r="G1574" t="s">
        <v>5010</v>
      </c>
      <c r="H1574">
        <v>0</v>
      </c>
      <c r="I1574">
        <v>1</v>
      </c>
      <c r="J1574">
        <v>0</v>
      </c>
      <c r="K1574">
        <v>0</v>
      </c>
      <c r="L1574">
        <v>0</v>
      </c>
    </row>
    <row r="1575" spans="1:12">
      <c r="A1575" t="str">
        <f>HYPERLINK("http://bombeiros.sp.gov.br/hidrantes/03individual/26671.html","26671")</f>
        <v>26671</v>
      </c>
      <c r="B1575" t="str">
        <f>HYPERLINK("http://bombeiros.sp.gov.br/hidrantes/08bsg/qrcodeBSG.html?id=26671&amp;lat=-23.52705&amp;long=-46.49741&amp;tipo=C","QRCODE")</f>
        <v>QRCODE</v>
      </c>
      <c r="C1575" t="s">
        <v>5273</v>
      </c>
      <c r="D1575" t="s">
        <v>930</v>
      </c>
      <c r="E1575" t="s">
        <v>1202</v>
      </c>
      <c r="F1575" t="s">
        <v>12</v>
      </c>
      <c r="G1575" t="s">
        <v>2765</v>
      </c>
      <c r="H1575">
        <v>0</v>
      </c>
      <c r="I1575">
        <v>2</v>
      </c>
      <c r="J1575">
        <v>0</v>
      </c>
      <c r="K1575">
        <v>0</v>
      </c>
      <c r="L1575">
        <v>0</v>
      </c>
    </row>
    <row r="1576" spans="1:12">
      <c r="A1576" t="str">
        <f>HYPERLINK("http://bombeiros.sp.gov.br/hidrantes/03individual/26672.html","26672")</f>
        <v>26672</v>
      </c>
      <c r="B1576" t="str">
        <f>HYPERLINK("http://bombeiros.sp.gov.br/hidrantes/08bsg/qrcodeBSG.html?id=26672&amp;lat=-23.52485&amp;long=-46.50147&amp;tipo=C","QRCODE")</f>
        <v>QRCODE</v>
      </c>
      <c r="C1576" t="s">
        <v>5273</v>
      </c>
      <c r="D1576" t="s">
        <v>930</v>
      </c>
      <c r="E1576" t="s">
        <v>1202</v>
      </c>
      <c r="F1576" t="s">
        <v>12</v>
      </c>
      <c r="G1576" t="s">
        <v>1691</v>
      </c>
      <c r="H1576">
        <v>0</v>
      </c>
      <c r="I1576">
        <v>2</v>
      </c>
      <c r="J1576">
        <v>0</v>
      </c>
      <c r="K1576">
        <v>0</v>
      </c>
      <c r="L1576">
        <v>0</v>
      </c>
    </row>
    <row r="1577" spans="1:12">
      <c r="A1577" t="str">
        <f>HYPERLINK("http://bombeiros.sp.gov.br/hidrantes/03individual/1703.html","1703")</f>
        <v>1703</v>
      </c>
      <c r="B1577" t="str">
        <f>HYPERLINK("http://bombeiros.sp.gov.br/hidrantes/08bsg/qrcodeBSG.html?id=1703&amp;lat=-23.52344&amp;long=-46.50435&amp;tipo=S","QRCODE")</f>
        <v>QRCODE</v>
      </c>
      <c r="C1577" t="s">
        <v>5273</v>
      </c>
      <c r="D1577" t="s">
        <v>930</v>
      </c>
      <c r="E1577" t="s">
        <v>1202</v>
      </c>
      <c r="F1577" t="s">
        <v>21</v>
      </c>
      <c r="G1577" t="s">
        <v>1630</v>
      </c>
      <c r="H1577">
        <v>1</v>
      </c>
      <c r="I1577">
        <v>2</v>
      </c>
      <c r="J1577">
        <v>0</v>
      </c>
      <c r="K1577">
        <v>0</v>
      </c>
      <c r="L1577">
        <v>0</v>
      </c>
    </row>
    <row r="1578" spans="1:12">
      <c r="A1578" t="str">
        <f>HYPERLINK("http://bombeiros.sp.gov.br/hidrantes/03individual/1706.html","1706")</f>
        <v>1706</v>
      </c>
      <c r="B1578" t="str">
        <f>HYPERLINK("http://bombeiros.sp.gov.br/hidrantes/08bsg/qrcodeBSG.html?id=1706&amp;lat=-23.52544&amp;long=-46.50061&amp;tipo=S","QRCODE")</f>
        <v>QRCODE</v>
      </c>
      <c r="C1578" t="s">
        <v>5273</v>
      </c>
      <c r="D1578" t="s">
        <v>930</v>
      </c>
      <c r="E1578" t="s">
        <v>1202</v>
      </c>
      <c r="F1578" t="s">
        <v>21</v>
      </c>
      <c r="G1578" t="s">
        <v>4481</v>
      </c>
      <c r="H1578">
        <v>0</v>
      </c>
      <c r="I1578">
        <v>2</v>
      </c>
      <c r="J1578">
        <v>0</v>
      </c>
      <c r="K1578">
        <v>0</v>
      </c>
      <c r="L1578">
        <v>0</v>
      </c>
    </row>
    <row r="1579" spans="1:12">
      <c r="A1579" t="str">
        <f>HYPERLINK("http://bombeiros.sp.gov.br/hidrantes/03individual/1716.html","1716")</f>
        <v>1716</v>
      </c>
      <c r="B1579" t="str">
        <f>HYPERLINK("http://bombeiros.sp.gov.br/hidrantes/08bsg/qrcodeBSG.html?id=1716&amp;lat=-23.52481&amp;long=-46.50595&amp;tipo=S","QRCODE")</f>
        <v>QRCODE</v>
      </c>
      <c r="C1579" t="s">
        <v>5273</v>
      </c>
      <c r="D1579" t="s">
        <v>930</v>
      </c>
      <c r="E1579" t="s">
        <v>1202</v>
      </c>
      <c r="F1579" t="s">
        <v>21</v>
      </c>
      <c r="G1579" t="s">
        <v>1201</v>
      </c>
      <c r="H1579">
        <v>1</v>
      </c>
      <c r="I1579">
        <v>2</v>
      </c>
      <c r="J1579">
        <v>0</v>
      </c>
      <c r="K1579">
        <v>0</v>
      </c>
      <c r="L1579">
        <v>0</v>
      </c>
    </row>
    <row r="1580" spans="1:12">
      <c r="A1580" t="str">
        <f>HYPERLINK("http://bombeiros.sp.gov.br/hidrantes/03individual/1717.html","1717")</f>
        <v>1717</v>
      </c>
      <c r="B1580" t="str">
        <f>HYPERLINK("http://bombeiros.sp.gov.br/hidrantes/08bsg/qrcodeBSG.html?id=1717&amp;lat=-23.52501&amp;long=-46.50744&amp;tipo=S","QRCODE")</f>
        <v>QRCODE</v>
      </c>
      <c r="C1580" t="s">
        <v>5273</v>
      </c>
      <c r="D1580" t="s">
        <v>930</v>
      </c>
      <c r="E1580" t="s">
        <v>1202</v>
      </c>
      <c r="F1580" t="s">
        <v>21</v>
      </c>
      <c r="G1580" t="s">
        <v>4483</v>
      </c>
      <c r="H1580">
        <v>0</v>
      </c>
      <c r="I1580">
        <v>2</v>
      </c>
      <c r="J1580">
        <v>0</v>
      </c>
      <c r="K1580">
        <v>0</v>
      </c>
      <c r="L1580">
        <v>0</v>
      </c>
    </row>
    <row r="1581" spans="1:12">
      <c r="A1581" t="str">
        <f>HYPERLINK("http://bombeiros.sp.gov.br/hidrantes/03individual/1719.html","1719")</f>
        <v>1719</v>
      </c>
      <c r="B1581" t="str">
        <f>HYPERLINK("http://bombeiros.sp.gov.br/hidrantes/08bsg/qrcodeBSG.html?id=1719&amp;lat=-23.52232&amp;long=-46.50583&amp;tipo=S","QRCODE")</f>
        <v>QRCODE</v>
      </c>
      <c r="C1581" t="s">
        <v>5273</v>
      </c>
      <c r="D1581" t="s">
        <v>930</v>
      </c>
      <c r="E1581" t="s">
        <v>1202</v>
      </c>
      <c r="F1581" t="s">
        <v>21</v>
      </c>
      <c r="G1581" t="s">
        <v>4852</v>
      </c>
      <c r="H1581">
        <v>1</v>
      </c>
      <c r="I1581">
        <v>2</v>
      </c>
      <c r="J1581">
        <v>0</v>
      </c>
      <c r="K1581">
        <v>0</v>
      </c>
      <c r="L1581">
        <v>0</v>
      </c>
    </row>
    <row r="1582" spans="1:12">
      <c r="A1582" t="str">
        <f>HYPERLINK("http://bombeiros.sp.gov.br/hidrantes/03individual/1761.html","1761")</f>
        <v>1761</v>
      </c>
      <c r="B1582" t="str">
        <f>HYPERLINK("http://bombeiros.sp.gov.br/hidrantes/08bsg/qrcodeBSG.html?id=1761&amp;lat=-23.52162&amp;long=-46.50351&amp;tipo=S","QRCODE")</f>
        <v>QRCODE</v>
      </c>
      <c r="C1582" t="s">
        <v>5273</v>
      </c>
      <c r="D1582" t="s">
        <v>930</v>
      </c>
      <c r="E1582" t="s">
        <v>1202</v>
      </c>
      <c r="F1582" t="s">
        <v>21</v>
      </c>
      <c r="G1582" t="s">
        <v>1211</v>
      </c>
      <c r="H1582">
        <v>1</v>
      </c>
      <c r="I1582">
        <v>2</v>
      </c>
      <c r="J1582">
        <v>0</v>
      </c>
      <c r="K1582">
        <v>0</v>
      </c>
      <c r="L1582">
        <v>0</v>
      </c>
    </row>
    <row r="1583" spans="1:12">
      <c r="A1583" t="str">
        <f>HYPERLINK("http://bombeiros.sp.gov.br/hidrantes/03individual/1762.html","1762")</f>
        <v>1762</v>
      </c>
      <c r="B1583" t="str">
        <f>HYPERLINK("http://bombeiros.sp.gov.br/hidrantes/08bsg/qrcodeBSG.html?id=1762&amp;lat=-23.52382&amp;long=-46.50322&amp;tipo=S","QRCODE")</f>
        <v>QRCODE</v>
      </c>
      <c r="C1583" t="s">
        <v>5273</v>
      </c>
      <c r="D1583" t="s">
        <v>930</v>
      </c>
      <c r="E1583" t="s">
        <v>1202</v>
      </c>
      <c r="F1583" t="s">
        <v>21</v>
      </c>
      <c r="G1583" t="s">
        <v>2658</v>
      </c>
      <c r="H1583">
        <v>0</v>
      </c>
      <c r="I1583">
        <v>2</v>
      </c>
      <c r="J1583">
        <v>0</v>
      </c>
      <c r="K1583">
        <v>0</v>
      </c>
      <c r="L1583">
        <v>0</v>
      </c>
    </row>
    <row r="1584" spans="1:12">
      <c r="A1584" t="str">
        <f>HYPERLINK("http://bombeiros.sp.gov.br/hidrantes/03individual/1764.html","1764")</f>
        <v>1764</v>
      </c>
      <c r="B1584" t="str">
        <f>HYPERLINK("http://bombeiros.sp.gov.br/hidrantes/08bsg/qrcodeBSG.html?id=1764&amp;lat=-23.52229&amp;long=-46.50193&amp;tipo=S","QRCODE")</f>
        <v>QRCODE</v>
      </c>
      <c r="C1584" t="s">
        <v>5273</v>
      </c>
      <c r="D1584" t="s">
        <v>930</v>
      </c>
      <c r="E1584" t="s">
        <v>1202</v>
      </c>
      <c r="F1584" t="s">
        <v>21</v>
      </c>
      <c r="G1584" t="s">
        <v>2657</v>
      </c>
      <c r="H1584">
        <v>0</v>
      </c>
      <c r="I1584">
        <v>2</v>
      </c>
      <c r="J1584">
        <v>0</v>
      </c>
      <c r="K1584">
        <v>0</v>
      </c>
      <c r="L1584">
        <v>0</v>
      </c>
    </row>
    <row r="1585" spans="1:12">
      <c r="A1585" t="str">
        <f>HYPERLINK("http://bombeiros.sp.gov.br/hidrantes/03individual/1793.html","1793")</f>
        <v>1793</v>
      </c>
      <c r="B1585" t="str">
        <f>HYPERLINK("http://bombeiros.sp.gov.br/hidrantes/08bsg/qrcodeBSG.html?id=1793&amp;lat=-23.53159&amp;long=-46.49040&amp;tipo=S","QRCODE")</f>
        <v>QRCODE</v>
      </c>
      <c r="C1585" t="s">
        <v>5273</v>
      </c>
      <c r="D1585" t="s">
        <v>930</v>
      </c>
      <c r="E1585" t="s">
        <v>1202</v>
      </c>
      <c r="F1585" t="s">
        <v>21</v>
      </c>
      <c r="G1585" t="s">
        <v>2696</v>
      </c>
      <c r="H1585">
        <v>0</v>
      </c>
      <c r="I1585">
        <v>2</v>
      </c>
      <c r="J1585">
        <v>0</v>
      </c>
      <c r="K1585">
        <v>0</v>
      </c>
      <c r="L1585">
        <v>0</v>
      </c>
    </row>
    <row r="1586" spans="1:12">
      <c r="A1586" t="str">
        <f>HYPERLINK("http://bombeiros.sp.gov.br/hidrantes/03individual/1852.html","1852")</f>
        <v>1852</v>
      </c>
      <c r="B1586" t="str">
        <f>HYPERLINK("http://bombeiros.sp.gov.br/hidrantes/08bsg/qrcodeBSG.html?id=1852&amp;lat=-23.53094&amp;long=-46.49341&amp;tipo=S","QRCODE")</f>
        <v>QRCODE</v>
      </c>
      <c r="C1586" t="s">
        <v>5273</v>
      </c>
      <c r="D1586" t="s">
        <v>930</v>
      </c>
      <c r="E1586" t="s">
        <v>1202</v>
      </c>
      <c r="F1586" t="s">
        <v>21</v>
      </c>
      <c r="G1586" t="s">
        <v>2695</v>
      </c>
      <c r="H1586">
        <v>0</v>
      </c>
      <c r="I1586">
        <v>2</v>
      </c>
      <c r="J1586">
        <v>0</v>
      </c>
      <c r="K1586">
        <v>0</v>
      </c>
      <c r="L1586">
        <v>0</v>
      </c>
    </row>
    <row r="1587" spans="1:12">
      <c r="A1587" t="str">
        <f>HYPERLINK("http://bombeiros.sp.gov.br/hidrantes/03individual/1854.html","1854")</f>
        <v>1854</v>
      </c>
      <c r="B1587" t="str">
        <f>HYPERLINK("http://bombeiros.sp.gov.br/hidrantes/08bsg/qrcodeBSG.html?id=1854&amp;lat=-23.53077&amp;long=-46.49184&amp;tipo=S","QRCODE")</f>
        <v>QRCODE</v>
      </c>
      <c r="C1587" t="s">
        <v>5273</v>
      </c>
      <c r="D1587" t="s">
        <v>930</v>
      </c>
      <c r="E1587" t="s">
        <v>1202</v>
      </c>
      <c r="F1587" t="s">
        <v>21</v>
      </c>
      <c r="G1587" t="s">
        <v>4666</v>
      </c>
      <c r="H1587">
        <v>1</v>
      </c>
      <c r="I1587">
        <v>1</v>
      </c>
      <c r="J1587">
        <v>0</v>
      </c>
      <c r="K1587">
        <v>0</v>
      </c>
      <c r="L1587">
        <v>0</v>
      </c>
    </row>
    <row r="1588" spans="1:12">
      <c r="A1588" t="str">
        <f>HYPERLINK("http://bombeiros.sp.gov.br/hidrantes/03individual/1862.html","1862")</f>
        <v>1862</v>
      </c>
      <c r="B1588" t="str">
        <f>HYPERLINK("http://bombeiros.sp.gov.br/hidrantes/08bsg/qrcodeBSG.html?id=1862&amp;lat=-23.52650&amp;long=-46.49429&amp;tipo=S","QRCODE")</f>
        <v>QRCODE</v>
      </c>
      <c r="C1588" t="s">
        <v>5273</v>
      </c>
      <c r="D1588" t="s">
        <v>930</v>
      </c>
      <c r="E1588" t="s">
        <v>1202</v>
      </c>
      <c r="F1588" t="s">
        <v>21</v>
      </c>
      <c r="G1588" t="s">
        <v>4664</v>
      </c>
      <c r="H1588">
        <v>1</v>
      </c>
      <c r="I1588">
        <v>1</v>
      </c>
      <c r="J1588">
        <v>0</v>
      </c>
      <c r="K1588">
        <v>0</v>
      </c>
      <c r="L1588">
        <v>0</v>
      </c>
    </row>
    <row r="1589" spans="1:12">
      <c r="A1589" t="str">
        <f>HYPERLINK("http://bombeiros.sp.gov.br/hidrantes/03individual/1864.html","1864")</f>
        <v>1864</v>
      </c>
      <c r="B1589" t="str">
        <f>HYPERLINK("http://bombeiros.sp.gov.br/hidrantes/08bsg/qrcodeBSG.html?id=1864&amp;lat=-23.52212&amp;long=-46.49809&amp;tipo=S","QRCODE")</f>
        <v>QRCODE</v>
      </c>
      <c r="C1589" t="s">
        <v>5273</v>
      </c>
      <c r="D1589" t="s">
        <v>930</v>
      </c>
      <c r="E1589" t="s">
        <v>1202</v>
      </c>
      <c r="F1589" t="s">
        <v>21</v>
      </c>
      <c r="G1589" t="s">
        <v>2694</v>
      </c>
      <c r="H1589">
        <v>0</v>
      </c>
      <c r="I1589">
        <v>2</v>
      </c>
      <c r="J1589">
        <v>0</v>
      </c>
      <c r="K1589">
        <v>0</v>
      </c>
      <c r="L1589">
        <v>0</v>
      </c>
    </row>
    <row r="1590" spans="1:12">
      <c r="A1590" t="str">
        <f>HYPERLINK("http://bombeiros.sp.gov.br/hidrantes/03individual/1865.html","1865")</f>
        <v>1865</v>
      </c>
      <c r="B1590" t="str">
        <f>HYPERLINK("http://bombeiros.sp.gov.br/hidrantes/08bsg/qrcodeBSG.html?id=1865&amp;lat=-23.53002&amp;long=-46.49663&amp;tipo=S","QRCODE")</f>
        <v>QRCODE</v>
      </c>
      <c r="C1590" t="s">
        <v>5273</v>
      </c>
      <c r="D1590" t="s">
        <v>930</v>
      </c>
      <c r="E1590" t="s">
        <v>1202</v>
      </c>
      <c r="F1590" t="s">
        <v>21</v>
      </c>
      <c r="G1590" t="s">
        <v>4759</v>
      </c>
      <c r="H1590">
        <v>1</v>
      </c>
      <c r="I1590">
        <v>2</v>
      </c>
      <c r="J1590">
        <v>0</v>
      </c>
      <c r="K1590">
        <v>0</v>
      </c>
      <c r="L1590">
        <v>0</v>
      </c>
    </row>
    <row r="1591" spans="1:12">
      <c r="A1591" t="str">
        <f>HYPERLINK("http://bombeiros.sp.gov.br/hidrantes/03individual/3442.html","3442")</f>
        <v>3442</v>
      </c>
      <c r="B1591" t="str">
        <f>HYPERLINK("http://bombeiros.sp.gov.br/hidrantes/08bsg/qrcodeBSG.html?id=3442&amp;lat=-23.52595&amp;long=-46.49948&amp;tipo=S","QRCODE")</f>
        <v>QRCODE</v>
      </c>
      <c r="C1591" t="s">
        <v>5273</v>
      </c>
      <c r="D1591" t="s">
        <v>930</v>
      </c>
      <c r="E1591" t="s">
        <v>1202</v>
      </c>
      <c r="F1591" t="s">
        <v>21</v>
      </c>
      <c r="G1591" t="s">
        <v>2745</v>
      </c>
      <c r="H1591">
        <v>0</v>
      </c>
      <c r="I1591">
        <v>2</v>
      </c>
      <c r="J1591">
        <v>0</v>
      </c>
      <c r="K1591">
        <v>0</v>
      </c>
      <c r="L1591">
        <v>0</v>
      </c>
    </row>
    <row r="1592" spans="1:12">
      <c r="A1592" t="str">
        <f>HYPERLINK("http://bombeiros.sp.gov.br/hidrantes/03individual/3455.html","3455")</f>
        <v>3455</v>
      </c>
      <c r="B1592" t="str">
        <f>HYPERLINK("http://bombeiros.sp.gov.br/hidrantes/08bsg/qrcodeBSG.html?id=3455&amp;lat=-23.52341&amp;long=-46.49625&amp;tipo=S","QRCODE")</f>
        <v>QRCODE</v>
      </c>
      <c r="C1592" t="s">
        <v>5273</v>
      </c>
      <c r="D1592" t="s">
        <v>930</v>
      </c>
      <c r="E1592" t="s">
        <v>1202</v>
      </c>
      <c r="F1592" t="s">
        <v>21</v>
      </c>
      <c r="G1592" t="s">
        <v>2743</v>
      </c>
      <c r="H1592">
        <v>0</v>
      </c>
      <c r="I1592">
        <v>2</v>
      </c>
      <c r="J1592">
        <v>0</v>
      </c>
      <c r="K1592">
        <v>0</v>
      </c>
      <c r="L1592">
        <v>0</v>
      </c>
    </row>
    <row r="1593" spans="1:12">
      <c r="A1593" t="str">
        <f>HYPERLINK("http://bombeiros.sp.gov.br/hidrantes/03individual/4334.html","4334")</f>
        <v>4334</v>
      </c>
      <c r="B1593" t="str">
        <f>HYPERLINK("http://bombeiros.sp.gov.br/hidrantes/08bsg/qrcodeBSG.html?id=4334&amp;lat=-23.52772&amp;long=-46.49256&amp;tipo=S","QRCODE")</f>
        <v>QRCODE</v>
      </c>
      <c r="C1593" t="s">
        <v>5273</v>
      </c>
      <c r="D1593" t="s">
        <v>930</v>
      </c>
      <c r="E1593" t="s">
        <v>1202</v>
      </c>
      <c r="F1593" t="s">
        <v>21</v>
      </c>
      <c r="G1593" t="s">
        <v>4157</v>
      </c>
      <c r="H1593">
        <v>0</v>
      </c>
      <c r="I1593">
        <v>1</v>
      </c>
      <c r="J1593">
        <v>0</v>
      </c>
      <c r="K1593">
        <v>0</v>
      </c>
      <c r="L1593">
        <v>0</v>
      </c>
    </row>
    <row r="1594" spans="1:12">
      <c r="A1594" t="str">
        <f>HYPERLINK("http://bombeiros.sp.gov.br/hidrantes/03individual/3459.html","3459")</f>
        <v>3459</v>
      </c>
      <c r="B1594" t="str">
        <f>HYPERLINK("http://bombeiros.sp.gov.br/hidrantes/08bsg/qrcodeBSG.html?id=3459&amp;lat=-23.52034&amp;long=-46.47879&amp;tipo=C","QRCODE")</f>
        <v>QRCODE</v>
      </c>
      <c r="C1594" t="s">
        <v>5273</v>
      </c>
      <c r="D1594" t="s">
        <v>1599</v>
      </c>
      <c r="E1594" t="s">
        <v>1640</v>
      </c>
      <c r="F1594" t="s">
        <v>12</v>
      </c>
      <c r="G1594" t="s">
        <v>2744</v>
      </c>
      <c r="H1594">
        <v>1</v>
      </c>
      <c r="I1594">
        <v>2</v>
      </c>
      <c r="J1594">
        <v>0</v>
      </c>
      <c r="K1594">
        <v>0</v>
      </c>
      <c r="L1594">
        <v>0</v>
      </c>
    </row>
    <row r="1595" spans="1:12">
      <c r="A1595" t="str">
        <f>HYPERLINK("http://bombeiros.sp.gov.br/hidrantes/03individual/5526.html","5526")</f>
        <v>5526</v>
      </c>
      <c r="B1595" t="str">
        <f>HYPERLINK("http://bombeiros.sp.gov.br/hidrantes/08bsg/qrcodeBSG.html?id=5526&amp;lat=-23.51689&amp;long=-46.47657&amp;tipo=C","QRCODE")</f>
        <v>QRCODE</v>
      </c>
      <c r="C1595" t="s">
        <v>5273</v>
      </c>
      <c r="D1595" t="s">
        <v>1599</v>
      </c>
      <c r="E1595" t="s">
        <v>1640</v>
      </c>
      <c r="F1595" t="s">
        <v>12</v>
      </c>
      <c r="G1595" t="s">
        <v>5203</v>
      </c>
      <c r="H1595">
        <v>1</v>
      </c>
      <c r="I1595">
        <v>0</v>
      </c>
      <c r="J1595">
        <v>0</v>
      </c>
      <c r="K1595">
        <v>0</v>
      </c>
      <c r="L1595">
        <v>0</v>
      </c>
    </row>
    <row r="1596" spans="1:12">
      <c r="A1596" t="str">
        <f>HYPERLINK("http://bombeiros.sp.gov.br/hidrantes/03individual/17876.html","17876")</f>
        <v>17876</v>
      </c>
      <c r="B1596" t="str">
        <f>HYPERLINK("http://bombeiros.sp.gov.br/hidrantes/08bsg/qrcodeBSG.html?id=17876&amp;lat=-23.50778&amp;long=-46.47981&amp;tipo=C","QRCODE")</f>
        <v>QRCODE</v>
      </c>
      <c r="C1596" t="s">
        <v>5273</v>
      </c>
      <c r="D1596" t="s">
        <v>1599</v>
      </c>
      <c r="E1596" t="s">
        <v>1640</v>
      </c>
      <c r="F1596" t="s">
        <v>12</v>
      </c>
      <c r="G1596" t="s">
        <v>4710</v>
      </c>
      <c r="H1596">
        <v>1</v>
      </c>
      <c r="I1596">
        <v>1</v>
      </c>
      <c r="J1596">
        <v>0</v>
      </c>
      <c r="K1596">
        <v>0</v>
      </c>
      <c r="L1596">
        <v>0</v>
      </c>
    </row>
    <row r="1597" spans="1:12">
      <c r="A1597" t="str">
        <f>HYPERLINK("http://bombeiros.sp.gov.br/hidrantes/03individual/1795.html","1795")</f>
        <v>1795</v>
      </c>
      <c r="B1597" t="str">
        <f>HYPERLINK("http://bombeiros.sp.gov.br/hidrantes/08bsg/qrcodeBSG.html?id=1795&amp;lat=-23.52085&amp;long=-46.49235&amp;tipo=S","QRCODE")</f>
        <v>QRCODE</v>
      </c>
      <c r="C1597" t="s">
        <v>5273</v>
      </c>
      <c r="D1597" t="s">
        <v>1599</v>
      </c>
      <c r="E1597" t="s">
        <v>1640</v>
      </c>
      <c r="F1597" t="s">
        <v>21</v>
      </c>
      <c r="G1597" t="s">
        <v>5205</v>
      </c>
      <c r="H1597">
        <v>1</v>
      </c>
      <c r="I1597">
        <v>0</v>
      </c>
      <c r="J1597">
        <v>0</v>
      </c>
      <c r="K1597">
        <v>0</v>
      </c>
      <c r="L1597">
        <v>0</v>
      </c>
    </row>
    <row r="1598" spans="1:12">
      <c r="A1598" t="str">
        <f>HYPERLINK("http://bombeiros.sp.gov.br/hidrantes/03individual/1796.html","1796")</f>
        <v>1796</v>
      </c>
      <c r="B1598" t="str">
        <f>HYPERLINK("http://bombeiros.sp.gov.br/hidrantes/08bsg/qrcodeBSG.html?id=1796&amp;lat=-23.51844&amp;long=-46.49020&amp;tipo=S","QRCODE")</f>
        <v>QRCODE</v>
      </c>
      <c r="C1598" t="s">
        <v>5273</v>
      </c>
      <c r="D1598" t="s">
        <v>1599</v>
      </c>
      <c r="E1598" t="s">
        <v>1640</v>
      </c>
      <c r="F1598" t="s">
        <v>21</v>
      </c>
      <c r="G1598" t="s">
        <v>5197</v>
      </c>
      <c r="H1598">
        <v>2</v>
      </c>
      <c r="I1598">
        <v>0</v>
      </c>
      <c r="J1598">
        <v>0</v>
      </c>
      <c r="K1598">
        <v>0</v>
      </c>
      <c r="L1598">
        <v>0</v>
      </c>
    </row>
    <row r="1599" spans="1:12">
      <c r="A1599" t="str">
        <f>HYPERLINK("http://bombeiros.sp.gov.br/hidrantes/03individual/1844.html","1844")</f>
        <v>1844</v>
      </c>
      <c r="B1599" t="str">
        <f>HYPERLINK("http://bombeiros.sp.gov.br/hidrantes/08bsg/qrcodeBSG.html?id=1844&amp;lat=-23.52546&amp;long=-46.48484&amp;tipo=S","QRCODE")</f>
        <v>QRCODE</v>
      </c>
      <c r="C1599" t="s">
        <v>5273</v>
      </c>
      <c r="D1599" t="s">
        <v>1599</v>
      </c>
      <c r="E1599" t="s">
        <v>1640</v>
      </c>
      <c r="F1599" t="s">
        <v>21</v>
      </c>
      <c r="G1599" t="s">
        <v>4670</v>
      </c>
      <c r="H1599">
        <v>1</v>
      </c>
      <c r="I1599">
        <v>1</v>
      </c>
      <c r="J1599">
        <v>0</v>
      </c>
      <c r="K1599">
        <v>0</v>
      </c>
      <c r="L1599">
        <v>0</v>
      </c>
    </row>
    <row r="1600" spans="1:12">
      <c r="A1600" t="str">
        <f>HYPERLINK("http://bombeiros.sp.gov.br/hidrantes/03individual/1846.html","1846")</f>
        <v>1846</v>
      </c>
      <c r="B1600" t="str">
        <f>HYPERLINK("http://bombeiros.sp.gov.br/hidrantes/08bsg/qrcodeBSG.html?id=1846&amp;lat=-23.52500&amp;long=-46.47889&amp;tipo=S","QRCODE")</f>
        <v>QRCODE</v>
      </c>
      <c r="C1600" t="s">
        <v>5273</v>
      </c>
      <c r="D1600" t="s">
        <v>1599</v>
      </c>
      <c r="E1600" t="s">
        <v>1640</v>
      </c>
      <c r="F1600" t="s">
        <v>21</v>
      </c>
      <c r="G1600" t="s">
        <v>1639</v>
      </c>
      <c r="H1600">
        <v>1</v>
      </c>
      <c r="I1600">
        <v>2</v>
      </c>
      <c r="J1600">
        <v>0</v>
      </c>
      <c r="K1600">
        <v>0</v>
      </c>
      <c r="L1600">
        <v>0</v>
      </c>
    </row>
    <row r="1601" spans="1:12">
      <c r="A1601" t="str">
        <f>HYPERLINK("http://bombeiros.sp.gov.br/hidrantes/03individual/1847.html","1847")</f>
        <v>1847</v>
      </c>
      <c r="B1601" t="str">
        <f>HYPERLINK("http://bombeiros.sp.gov.br/hidrantes/08bsg/qrcodeBSG.html?id=1847&amp;lat=-23.51360&amp;long=-46.48168&amp;tipo=S","QRCODE")</f>
        <v>QRCODE</v>
      </c>
      <c r="C1601" t="s">
        <v>5273</v>
      </c>
      <c r="D1601" t="s">
        <v>1599</v>
      </c>
      <c r="E1601" t="s">
        <v>1640</v>
      </c>
      <c r="F1601" t="s">
        <v>21</v>
      </c>
      <c r="G1601" t="s">
        <v>4667</v>
      </c>
      <c r="H1601">
        <v>1</v>
      </c>
      <c r="I1601">
        <v>1</v>
      </c>
      <c r="J1601">
        <v>0</v>
      </c>
      <c r="K1601">
        <v>0</v>
      </c>
      <c r="L1601">
        <v>0</v>
      </c>
    </row>
    <row r="1602" spans="1:12">
      <c r="A1602" t="str">
        <f>HYPERLINK("http://bombeiros.sp.gov.br/hidrantes/03individual/1849.html","1849")</f>
        <v>1849</v>
      </c>
      <c r="B1602" t="str">
        <f>HYPERLINK("http://bombeiros.sp.gov.br/hidrantes/08bsg/qrcodeBSG.html?id=1849&amp;lat=-23.51173&amp;long=-46.48251&amp;tipo=S","QRCODE")</f>
        <v>QRCODE</v>
      </c>
      <c r="C1602" t="s">
        <v>5273</v>
      </c>
      <c r="D1602" t="s">
        <v>1599</v>
      </c>
      <c r="E1602" t="s">
        <v>1640</v>
      </c>
      <c r="F1602" t="s">
        <v>21</v>
      </c>
      <c r="G1602" t="s">
        <v>4669</v>
      </c>
      <c r="H1602">
        <v>1</v>
      </c>
      <c r="I1602">
        <v>1</v>
      </c>
      <c r="J1602">
        <v>0</v>
      </c>
      <c r="K1602">
        <v>0</v>
      </c>
      <c r="L1602">
        <v>0</v>
      </c>
    </row>
    <row r="1603" spans="1:12">
      <c r="A1603" t="str">
        <f>HYPERLINK("http://bombeiros.sp.gov.br/hidrantes/03individual/4335.html","4335")</f>
        <v>4335</v>
      </c>
      <c r="B1603" t="str">
        <f>HYPERLINK("http://bombeiros.sp.gov.br/hidrantes/08bsg/qrcodeBSG.html?id=4335&amp;lat=-23.52304&amp;long=-46.48279&amp;tipo=S","QRCODE")</f>
        <v>QRCODE</v>
      </c>
      <c r="C1603" t="s">
        <v>5273</v>
      </c>
      <c r="D1603" t="s">
        <v>1599</v>
      </c>
      <c r="E1603" t="s">
        <v>1640</v>
      </c>
      <c r="F1603" t="s">
        <v>21</v>
      </c>
      <c r="G1603" t="s">
        <v>4676</v>
      </c>
      <c r="H1603">
        <v>1</v>
      </c>
      <c r="I1603">
        <v>1</v>
      </c>
      <c r="J1603">
        <v>0</v>
      </c>
      <c r="K1603">
        <v>0</v>
      </c>
      <c r="L1603">
        <v>0</v>
      </c>
    </row>
    <row r="1604" spans="1:12">
      <c r="A1604" t="str">
        <f>HYPERLINK("http://bombeiros.sp.gov.br/hidrantes/03individual/1050.html","1050")</f>
        <v>1050</v>
      </c>
      <c r="B1604" t="str">
        <f>HYPERLINK("http://bombeiros.sp.gov.br/hidrantes/08bsg/qrcodeBSG.html?id=1050&amp;lat=-23.51387&amp;long=-46.51844&amp;tipo=C","QRCODE")</f>
        <v>QRCODE</v>
      </c>
      <c r="C1604" t="s">
        <v>5273</v>
      </c>
      <c r="D1604" t="s">
        <v>1599</v>
      </c>
      <c r="E1604" t="s">
        <v>1599</v>
      </c>
      <c r="F1604" t="s">
        <v>12</v>
      </c>
      <c r="G1604" t="s">
        <v>1598</v>
      </c>
      <c r="H1604">
        <v>1</v>
      </c>
      <c r="I1604">
        <v>2</v>
      </c>
      <c r="J1604">
        <v>0</v>
      </c>
      <c r="K1604">
        <v>0</v>
      </c>
      <c r="L1604">
        <v>0</v>
      </c>
    </row>
    <row r="1605" spans="1:12">
      <c r="A1605" t="str">
        <f>HYPERLINK("http://bombeiros.sp.gov.br/hidrantes/03individual/1051.html","1051")</f>
        <v>1051</v>
      </c>
      <c r="B1605" t="str">
        <f>HYPERLINK("http://bombeiros.sp.gov.br/hidrantes/08bsg/qrcodeBSG.html?id=1051&amp;lat=-23.51182&amp;long=-46.51191&amp;tipo=C","QRCODE")</f>
        <v>QRCODE</v>
      </c>
      <c r="C1605" t="s">
        <v>5273</v>
      </c>
      <c r="D1605" t="s">
        <v>1599</v>
      </c>
      <c r="E1605" t="s">
        <v>1599</v>
      </c>
      <c r="F1605" t="s">
        <v>12</v>
      </c>
      <c r="G1605" t="s">
        <v>1600</v>
      </c>
      <c r="H1605">
        <v>1</v>
      </c>
      <c r="I1605">
        <v>2</v>
      </c>
      <c r="J1605">
        <v>0</v>
      </c>
      <c r="K1605">
        <v>0</v>
      </c>
      <c r="L1605">
        <v>0</v>
      </c>
    </row>
    <row r="1606" spans="1:12">
      <c r="A1606" t="str">
        <f>HYPERLINK("http://bombeiros.sp.gov.br/hidrantes/03individual/1916.html","1916")</f>
        <v>1916</v>
      </c>
      <c r="B1606" t="str">
        <f>HYPERLINK("http://bombeiros.sp.gov.br/hidrantes/08bsg/qrcodeBSG.html?id=1916&amp;lat=-23.50849&amp;long=-46.49368&amp;tipo=C","QRCODE")</f>
        <v>QRCODE</v>
      </c>
      <c r="C1606" t="s">
        <v>5273</v>
      </c>
      <c r="D1606" t="s">
        <v>1599</v>
      </c>
      <c r="E1606" t="s">
        <v>1599</v>
      </c>
      <c r="F1606" t="s">
        <v>12</v>
      </c>
      <c r="G1606" t="s">
        <v>4757</v>
      </c>
      <c r="H1606">
        <v>1</v>
      </c>
      <c r="I1606">
        <v>1</v>
      </c>
      <c r="J1606">
        <v>0</v>
      </c>
      <c r="K1606">
        <v>0</v>
      </c>
      <c r="L1606">
        <v>0</v>
      </c>
    </row>
    <row r="1607" spans="1:12">
      <c r="A1607" t="str">
        <f>HYPERLINK("http://bombeiros.sp.gov.br/hidrantes/03individual/1919.html","1919")</f>
        <v>1919</v>
      </c>
      <c r="B1607" t="str">
        <f>HYPERLINK("http://bombeiros.sp.gov.br/hidrantes/08bsg/qrcodeBSG.html?id=1919&amp;lat=-23.51055&amp;long=-46.50755&amp;tipo=C","QRCODE")</f>
        <v>QRCODE</v>
      </c>
      <c r="C1607" t="s">
        <v>5273</v>
      </c>
      <c r="D1607" t="s">
        <v>1599</v>
      </c>
      <c r="E1607" t="s">
        <v>1599</v>
      </c>
      <c r="F1607" t="s">
        <v>12</v>
      </c>
      <c r="G1607" t="s">
        <v>4756</v>
      </c>
      <c r="H1607">
        <v>1</v>
      </c>
      <c r="I1607">
        <v>1</v>
      </c>
      <c r="J1607">
        <v>0</v>
      </c>
      <c r="K1607">
        <v>0</v>
      </c>
      <c r="L1607">
        <v>0</v>
      </c>
    </row>
    <row r="1608" spans="1:12">
      <c r="A1608" t="str">
        <f>HYPERLINK("http://bombeiros.sp.gov.br/hidrantes/03individual/3387.html","3387")</f>
        <v>3387</v>
      </c>
      <c r="B1608" t="str">
        <f>HYPERLINK("http://bombeiros.sp.gov.br/hidrantes/08bsg/qrcodeBSG.html?id=3387&amp;lat=-23.51083&amp;long=-46.49906&amp;tipo=C","QRCODE")</f>
        <v>QRCODE</v>
      </c>
      <c r="C1608" t="s">
        <v>5273</v>
      </c>
      <c r="D1608" t="s">
        <v>1599</v>
      </c>
      <c r="E1608" t="s">
        <v>1599</v>
      </c>
      <c r="F1608" t="s">
        <v>12</v>
      </c>
      <c r="G1608" t="s">
        <v>4701</v>
      </c>
      <c r="H1608">
        <v>1</v>
      </c>
      <c r="I1608">
        <v>1</v>
      </c>
      <c r="J1608">
        <v>0</v>
      </c>
      <c r="K1608">
        <v>0</v>
      </c>
      <c r="L1608">
        <v>0</v>
      </c>
    </row>
    <row r="1609" spans="1:12">
      <c r="A1609" t="str">
        <f>HYPERLINK("http://bombeiros.sp.gov.br/hidrantes/03individual/1640.html","1640")</f>
        <v>1640</v>
      </c>
      <c r="B1609" t="str">
        <f>HYPERLINK("http://bombeiros.sp.gov.br/hidrantes/08bsg/qrcodeBSG.html?id=1640&amp;lat=-23.51454&amp;long=-46.51807&amp;tipo=S","QRCODE")</f>
        <v>QRCODE</v>
      </c>
      <c r="C1609" t="s">
        <v>5273</v>
      </c>
      <c r="D1609" t="s">
        <v>1599</v>
      </c>
      <c r="E1609" t="s">
        <v>1599</v>
      </c>
      <c r="F1609" t="s">
        <v>21</v>
      </c>
      <c r="G1609" t="s">
        <v>1631</v>
      </c>
      <c r="H1609">
        <v>1</v>
      </c>
      <c r="I1609">
        <v>2</v>
      </c>
      <c r="J1609">
        <v>0</v>
      </c>
      <c r="K1609">
        <v>0</v>
      </c>
      <c r="L1609">
        <v>0</v>
      </c>
    </row>
    <row r="1610" spans="1:12">
      <c r="A1610" t="str">
        <f>HYPERLINK("http://bombeiros.sp.gov.br/hidrantes/03individual/1714.html","1714")</f>
        <v>1714</v>
      </c>
      <c r="B1610" t="str">
        <f>HYPERLINK("http://bombeiros.sp.gov.br/hidrantes/08bsg/qrcodeBSG.html?id=1714&amp;lat=-23.51859&amp;long=-46.51208&amp;tipo=S","QRCODE")</f>
        <v>QRCODE</v>
      </c>
      <c r="C1610" t="s">
        <v>5273</v>
      </c>
      <c r="D1610" t="s">
        <v>1599</v>
      </c>
      <c r="E1610" t="s">
        <v>1599</v>
      </c>
      <c r="F1610" t="s">
        <v>21</v>
      </c>
      <c r="G1610" t="s">
        <v>1917</v>
      </c>
      <c r="H1610">
        <v>1</v>
      </c>
      <c r="I1610">
        <v>2</v>
      </c>
      <c r="J1610">
        <v>0</v>
      </c>
      <c r="K1610">
        <v>0</v>
      </c>
      <c r="L1610">
        <v>0</v>
      </c>
    </row>
    <row r="1611" spans="1:12">
      <c r="A1611" t="str">
        <f>HYPERLINK("http://bombeiros.sp.gov.br/hidrantes/03individual/1718.html","1718")</f>
        <v>1718</v>
      </c>
      <c r="B1611" t="str">
        <f>HYPERLINK("http://bombeiros.sp.gov.br/hidrantes/08bsg/qrcodeBSG.html?id=1718&amp;lat=-23.51505&amp;long=-46.50761&amp;tipo=S","QRCODE")</f>
        <v>QRCODE</v>
      </c>
      <c r="C1611" t="s">
        <v>5273</v>
      </c>
      <c r="D1611" t="s">
        <v>1599</v>
      </c>
      <c r="E1611" t="s">
        <v>1599</v>
      </c>
      <c r="F1611" t="s">
        <v>21</v>
      </c>
      <c r="G1611" t="s">
        <v>1629</v>
      </c>
      <c r="H1611">
        <v>1</v>
      </c>
      <c r="I1611">
        <v>2</v>
      </c>
      <c r="J1611">
        <v>0</v>
      </c>
      <c r="K1611">
        <v>0</v>
      </c>
      <c r="L1611">
        <v>0</v>
      </c>
    </row>
    <row r="1612" spans="1:12">
      <c r="A1612" t="str">
        <f>HYPERLINK("http://bombeiros.sp.gov.br/hidrantes/03individual/1803.html","1803")</f>
        <v>1803</v>
      </c>
      <c r="B1612" t="str">
        <f>HYPERLINK("http://bombeiros.sp.gov.br/hidrantes/08bsg/qrcodeBSG.html?id=1803&amp;lat=-23.52131&amp;long=-46.49419&amp;tipo=S","QRCODE")</f>
        <v>QRCODE</v>
      </c>
      <c r="C1612" t="s">
        <v>5273</v>
      </c>
      <c r="D1612" t="s">
        <v>1599</v>
      </c>
      <c r="E1612" t="s">
        <v>1599</v>
      </c>
      <c r="F1612" t="s">
        <v>21</v>
      </c>
      <c r="G1612" t="s">
        <v>3677</v>
      </c>
      <c r="H1612">
        <v>1</v>
      </c>
      <c r="I1612">
        <v>1</v>
      </c>
      <c r="J1612">
        <v>0</v>
      </c>
      <c r="K1612">
        <v>0</v>
      </c>
      <c r="L1612">
        <v>0</v>
      </c>
    </row>
    <row r="1613" spans="1:12">
      <c r="A1613" t="str">
        <f>HYPERLINK("http://bombeiros.sp.gov.br/hidrantes/03individual/1811.html","1811")</f>
        <v>1811</v>
      </c>
      <c r="B1613" t="str">
        <f>HYPERLINK("http://bombeiros.sp.gov.br/hidrantes/08bsg/qrcodeBSG.html?id=1811&amp;lat=-23.50968&amp;long=-46.49329&amp;tipo=S","QRCODE")</f>
        <v>QRCODE</v>
      </c>
      <c r="C1613" t="s">
        <v>5273</v>
      </c>
      <c r="D1613" t="s">
        <v>1599</v>
      </c>
      <c r="E1613" t="s">
        <v>1599</v>
      </c>
      <c r="F1613" t="s">
        <v>21</v>
      </c>
      <c r="G1613" t="s">
        <v>3679</v>
      </c>
      <c r="H1613">
        <v>1</v>
      </c>
      <c r="I1613">
        <v>1</v>
      </c>
      <c r="J1613">
        <v>0</v>
      </c>
      <c r="K1613">
        <v>0</v>
      </c>
      <c r="L1613">
        <v>0</v>
      </c>
    </row>
    <row r="1614" spans="1:12">
      <c r="A1614" t="str">
        <f>HYPERLINK("http://bombeiros.sp.gov.br/hidrantes/03individual/1812.html","1812")</f>
        <v>1812</v>
      </c>
      <c r="B1614" t="str">
        <f>HYPERLINK("http://bombeiros.sp.gov.br/hidrantes/08bsg/qrcodeBSG.html?id=1812&amp;lat=-23.51113&amp;long=-46.49294&amp;tipo=S","QRCODE")</f>
        <v>QRCODE</v>
      </c>
      <c r="C1614" t="s">
        <v>5273</v>
      </c>
      <c r="D1614" t="s">
        <v>1599</v>
      </c>
      <c r="E1614" t="s">
        <v>1599</v>
      </c>
      <c r="F1614" t="s">
        <v>21</v>
      </c>
      <c r="G1614" t="s">
        <v>3678</v>
      </c>
      <c r="H1614">
        <v>1</v>
      </c>
      <c r="I1614">
        <v>1</v>
      </c>
      <c r="J1614">
        <v>0</v>
      </c>
      <c r="K1614">
        <v>0</v>
      </c>
      <c r="L1614">
        <v>0</v>
      </c>
    </row>
    <row r="1615" spans="1:12">
      <c r="A1615" t="str">
        <f>HYPERLINK("http://bombeiros.sp.gov.br/hidrantes/03individual/1860.html","1860")</f>
        <v>1860</v>
      </c>
      <c r="B1615" t="str">
        <f>HYPERLINK("http://bombeiros.sp.gov.br/hidrantes/08bsg/qrcodeBSG.html?id=1860&amp;lat=-23.50944&amp;long=-46.48647&amp;tipo=S","QRCODE")</f>
        <v>QRCODE</v>
      </c>
      <c r="C1615" t="s">
        <v>5273</v>
      </c>
      <c r="D1615" t="s">
        <v>1599</v>
      </c>
      <c r="E1615" t="s">
        <v>1599</v>
      </c>
      <c r="F1615" t="s">
        <v>21</v>
      </c>
      <c r="G1615" t="s">
        <v>4758</v>
      </c>
      <c r="H1615">
        <v>1</v>
      </c>
      <c r="I1615">
        <v>1</v>
      </c>
      <c r="J1615">
        <v>0</v>
      </c>
      <c r="K1615">
        <v>0</v>
      </c>
      <c r="L1615">
        <v>0</v>
      </c>
    </row>
    <row r="1616" spans="1:12">
      <c r="A1616" t="str">
        <f>HYPERLINK("http://bombeiros.sp.gov.br/hidrantes/03individual/1921.html","1921")</f>
        <v>1921</v>
      </c>
      <c r="B1616" t="str">
        <f>HYPERLINK("http://bombeiros.sp.gov.br/hidrantes/08bsg/qrcodeBSG.html?id=1921&amp;lat=-23.51029&amp;long=-46.50414&amp;tipo=S","QRCODE")</f>
        <v>QRCODE</v>
      </c>
      <c r="C1616" t="s">
        <v>5273</v>
      </c>
      <c r="D1616" t="s">
        <v>1599</v>
      </c>
      <c r="E1616" t="s">
        <v>1599</v>
      </c>
      <c r="F1616" t="s">
        <v>21</v>
      </c>
      <c r="G1616" t="s">
        <v>3682</v>
      </c>
      <c r="H1616">
        <v>1</v>
      </c>
      <c r="I1616">
        <v>1</v>
      </c>
      <c r="J1616">
        <v>0</v>
      </c>
      <c r="K1616">
        <v>0</v>
      </c>
      <c r="L1616">
        <v>0</v>
      </c>
    </row>
    <row r="1617" spans="1:12">
      <c r="A1617" t="str">
        <f>HYPERLINK("http://bombeiros.sp.gov.br/hidrantes/03individual/3378.html","3378")</f>
        <v>3378</v>
      </c>
      <c r="B1617" t="str">
        <f>HYPERLINK("http://bombeiros.sp.gov.br/hidrantes/08bsg/qrcodeBSG.html?id=3378&amp;lat=-23.51020&amp;long=-46.49608&amp;tipo=S","QRCODE")</f>
        <v>QRCODE</v>
      </c>
      <c r="C1617" t="s">
        <v>5273</v>
      </c>
      <c r="D1617" t="s">
        <v>1599</v>
      </c>
      <c r="E1617" t="s">
        <v>1599</v>
      </c>
      <c r="F1617" t="s">
        <v>21</v>
      </c>
      <c r="G1617" t="s">
        <v>1679</v>
      </c>
      <c r="H1617">
        <v>0</v>
      </c>
      <c r="I1617">
        <v>2</v>
      </c>
      <c r="J1617">
        <v>0</v>
      </c>
      <c r="K1617">
        <v>0</v>
      </c>
      <c r="L1617">
        <v>0</v>
      </c>
    </row>
    <row r="1618" spans="1:12">
      <c r="A1618" t="str">
        <f>HYPERLINK("http://bombeiros.sp.gov.br/hidrantes/03individual/3386.html","3386")</f>
        <v>3386</v>
      </c>
      <c r="B1618" t="str">
        <f>HYPERLINK("http://bombeiros.sp.gov.br/hidrantes/08bsg/qrcodeBSG.html?id=3386&amp;lat=-23.51078&amp;long=-46.49197&amp;tipo=S","QRCODE")</f>
        <v>QRCODE</v>
      </c>
      <c r="C1618" t="s">
        <v>5273</v>
      </c>
      <c r="D1618" t="s">
        <v>1599</v>
      </c>
      <c r="E1618" t="s">
        <v>1599</v>
      </c>
      <c r="F1618" t="s">
        <v>21</v>
      </c>
      <c r="G1618" t="s">
        <v>4720</v>
      </c>
      <c r="H1618">
        <v>1</v>
      </c>
      <c r="I1618">
        <v>1</v>
      </c>
      <c r="J1618">
        <v>0</v>
      </c>
      <c r="K1618">
        <v>0</v>
      </c>
      <c r="L1618">
        <v>0</v>
      </c>
    </row>
    <row r="1619" spans="1:12">
      <c r="A1619" t="str">
        <f>HYPERLINK("http://bombeiros.sp.gov.br/hidrantes/03individual/3441.html","3441")</f>
        <v>3441</v>
      </c>
      <c r="B1619" t="str">
        <f>HYPERLINK("http://bombeiros.sp.gov.br/hidrantes/08bsg/qrcodeBSG.html?id=3441&amp;lat=-23.51776&amp;long=-46.49683&amp;tipo=S","QRCODE")</f>
        <v>QRCODE</v>
      </c>
      <c r="C1619" t="s">
        <v>5273</v>
      </c>
      <c r="D1619" t="s">
        <v>1599</v>
      </c>
      <c r="E1619" t="s">
        <v>1599</v>
      </c>
      <c r="F1619" t="s">
        <v>21</v>
      </c>
      <c r="G1619" t="s">
        <v>4721</v>
      </c>
      <c r="H1619">
        <v>1</v>
      </c>
      <c r="I1619">
        <v>1</v>
      </c>
      <c r="J1619">
        <v>0</v>
      </c>
      <c r="K1619">
        <v>0</v>
      </c>
      <c r="L1619">
        <v>0</v>
      </c>
    </row>
    <row r="1620" spans="1:12">
      <c r="A1620" t="str">
        <f>HYPERLINK("http://bombeiros.sp.gov.br/hidrantes/03individual/26864.html","26864")</f>
        <v>26864</v>
      </c>
      <c r="B1620" t="str">
        <f>HYPERLINK("http://bombeiros.sp.gov.br/hidrantes/08bsg/qrcodeBSG.html?id=26864&amp;lat=-23.51524&amp;long=-46.49970&amp;tipo=S","QRCODE")</f>
        <v>QRCODE</v>
      </c>
      <c r="C1620" t="s">
        <v>5273</v>
      </c>
      <c r="D1620" t="s">
        <v>1599</v>
      </c>
      <c r="E1620" t="s">
        <v>1599</v>
      </c>
      <c r="F1620" t="s">
        <v>21</v>
      </c>
      <c r="G1620" t="s">
        <v>3777</v>
      </c>
      <c r="H1620">
        <v>0</v>
      </c>
      <c r="I1620">
        <v>1</v>
      </c>
      <c r="J1620">
        <v>0</v>
      </c>
      <c r="K1620">
        <v>0</v>
      </c>
      <c r="L1620">
        <v>0</v>
      </c>
    </row>
    <row r="1621" spans="1:12">
      <c r="A1621" t="str">
        <f>HYPERLINK("http://bombeiros.sp.gov.br/hidrantes/03individual/26865.html","26865")</f>
        <v>26865</v>
      </c>
      <c r="B1621" t="str">
        <f>HYPERLINK("http://bombeiros.sp.gov.br/hidrantes/08bsg/qrcodeBSG.html?id=26865&amp;lat=-23.51697&amp;long=-46.50625&amp;tipo=S","QRCODE")</f>
        <v>QRCODE</v>
      </c>
      <c r="C1621" t="s">
        <v>5273</v>
      </c>
      <c r="D1621" t="s">
        <v>1599</v>
      </c>
      <c r="E1621" t="s">
        <v>1599</v>
      </c>
      <c r="F1621" t="s">
        <v>21</v>
      </c>
      <c r="G1621" t="s">
        <v>3425</v>
      </c>
      <c r="H1621">
        <v>0</v>
      </c>
      <c r="I1621">
        <v>1</v>
      </c>
      <c r="J1621">
        <v>0</v>
      </c>
      <c r="K1621">
        <v>0</v>
      </c>
      <c r="L1621">
        <v>0</v>
      </c>
    </row>
    <row r="1622" spans="1:12">
      <c r="A1622" t="str">
        <f>HYPERLINK("http://bombeiros.sp.gov.br/hidrantes/03individual/881.html","881")</f>
        <v>881</v>
      </c>
      <c r="B1622" t="str">
        <f>HYPERLINK("http://bombeiros.sp.gov.br/hidrantes/08bsg/qrcodeBSG.html?id=881&amp;lat=-23.58465&amp;long=-46.56466&amp;tipo=C","QRCODE")</f>
        <v>QRCODE</v>
      </c>
      <c r="C1622" t="s">
        <v>5273</v>
      </c>
      <c r="D1622" t="s">
        <v>5320</v>
      </c>
      <c r="E1622" t="s">
        <v>806</v>
      </c>
      <c r="F1622" t="s">
        <v>12</v>
      </c>
      <c r="G1622" t="s">
        <v>805</v>
      </c>
      <c r="H1622">
        <v>1</v>
      </c>
      <c r="I1622">
        <v>3</v>
      </c>
      <c r="J1622">
        <v>0</v>
      </c>
      <c r="K1622">
        <v>0</v>
      </c>
      <c r="L1622">
        <v>0</v>
      </c>
    </row>
    <row r="1623" spans="1:12">
      <c r="A1623" t="str">
        <f>HYPERLINK("http://bombeiros.sp.gov.br/hidrantes/03individual/883.html","883")</f>
        <v>883</v>
      </c>
      <c r="B1623" t="str">
        <f>HYPERLINK("http://bombeiros.sp.gov.br/hidrantes/08bsg/qrcodeBSG.html?id=883&amp;lat=-23.58491&amp;long=-46.56224&amp;tipo=C","QRCODE")</f>
        <v>QRCODE</v>
      </c>
      <c r="C1623" t="s">
        <v>5273</v>
      </c>
      <c r="D1623" t="s">
        <v>5320</v>
      </c>
      <c r="E1623" t="s">
        <v>806</v>
      </c>
      <c r="F1623" t="s">
        <v>12</v>
      </c>
      <c r="G1623" t="s">
        <v>807</v>
      </c>
      <c r="H1623">
        <v>1</v>
      </c>
      <c r="I1623">
        <v>3</v>
      </c>
      <c r="J1623">
        <v>0</v>
      </c>
      <c r="K1623">
        <v>0</v>
      </c>
      <c r="L1623">
        <v>0</v>
      </c>
    </row>
    <row r="1624" spans="1:12">
      <c r="A1624" t="str">
        <f>HYPERLINK("http://bombeiros.sp.gov.br/hidrantes/03individual/3155.html","3155")</f>
        <v>3155</v>
      </c>
      <c r="B1624" t="str">
        <f>HYPERLINK("http://bombeiros.sp.gov.br/hidrantes/08bsg/qrcodeBSG.html?id=3155&amp;lat=-23.59206&amp;long=-46.54774&amp;tipo=C","QRCODE")</f>
        <v>QRCODE</v>
      </c>
      <c r="C1624" t="s">
        <v>5273</v>
      </c>
      <c r="D1624" t="s">
        <v>5320</v>
      </c>
      <c r="E1624" t="s">
        <v>806</v>
      </c>
      <c r="F1624" t="s">
        <v>12</v>
      </c>
      <c r="G1624" t="s">
        <v>3670</v>
      </c>
      <c r="H1624">
        <v>1</v>
      </c>
      <c r="I1624">
        <v>1</v>
      </c>
      <c r="J1624">
        <v>0</v>
      </c>
      <c r="K1624">
        <v>0</v>
      </c>
      <c r="L1624">
        <v>0</v>
      </c>
    </row>
    <row r="1625" spans="1:12">
      <c r="A1625" t="str">
        <f>HYPERLINK("http://bombeiros.sp.gov.br/hidrantes/03individual/3158.html","3158")</f>
        <v>3158</v>
      </c>
      <c r="B1625" t="str">
        <f>HYPERLINK("http://bombeiros.sp.gov.br/hidrantes/08bsg/qrcodeBSG.html?id=3158&amp;lat=-23.58965&amp;long=-46.54437&amp;tipo=C","QRCODE")</f>
        <v>QRCODE</v>
      </c>
      <c r="C1625" t="s">
        <v>5273</v>
      </c>
      <c r="D1625" t="s">
        <v>5320</v>
      </c>
      <c r="E1625" t="s">
        <v>806</v>
      </c>
      <c r="F1625" t="s">
        <v>12</v>
      </c>
      <c r="G1625" t="s">
        <v>2598</v>
      </c>
      <c r="H1625">
        <v>0</v>
      </c>
      <c r="I1625">
        <v>2</v>
      </c>
      <c r="J1625">
        <v>0</v>
      </c>
      <c r="K1625">
        <v>0</v>
      </c>
      <c r="L1625">
        <v>0</v>
      </c>
    </row>
    <row r="1626" spans="1:12">
      <c r="A1626" t="str">
        <f>HYPERLINK("http://bombeiros.sp.gov.br/hidrantes/03individual/3159.html","3159")</f>
        <v>3159</v>
      </c>
      <c r="B1626" t="str">
        <f>HYPERLINK("http://bombeiros.sp.gov.br/hidrantes/08bsg/qrcodeBSG.html?id=3159&amp;lat=-23.59041&amp;long=-46.55292&amp;tipo=C","QRCODE")</f>
        <v>QRCODE</v>
      </c>
      <c r="C1626" t="s">
        <v>5273</v>
      </c>
      <c r="D1626" t="s">
        <v>5320</v>
      </c>
      <c r="E1626" t="s">
        <v>806</v>
      </c>
      <c r="F1626" t="s">
        <v>12</v>
      </c>
      <c r="G1626" t="s">
        <v>2339</v>
      </c>
      <c r="H1626">
        <v>0</v>
      </c>
      <c r="I1626">
        <v>3</v>
      </c>
      <c r="J1626">
        <v>0</v>
      </c>
      <c r="K1626">
        <v>0</v>
      </c>
      <c r="L1626">
        <v>0</v>
      </c>
    </row>
    <row r="1627" spans="1:12">
      <c r="A1627" t="str">
        <f>HYPERLINK("http://bombeiros.sp.gov.br/hidrantes/03individual/3161.html","3161")</f>
        <v>3161</v>
      </c>
      <c r="B1627" t="str">
        <f>HYPERLINK("http://bombeiros.sp.gov.br/hidrantes/08bsg/qrcodeBSG.html?id=3161&amp;lat=-23.58728&amp;long=-46.55717&amp;tipo=C","QRCODE")</f>
        <v>QRCODE</v>
      </c>
      <c r="C1627" t="s">
        <v>5273</v>
      </c>
      <c r="D1627" t="s">
        <v>5320</v>
      </c>
      <c r="E1627" t="s">
        <v>806</v>
      </c>
      <c r="F1627" t="s">
        <v>12</v>
      </c>
      <c r="G1627" t="s">
        <v>4633</v>
      </c>
      <c r="H1627">
        <v>1</v>
      </c>
      <c r="I1627">
        <v>1</v>
      </c>
      <c r="J1627">
        <v>0</v>
      </c>
      <c r="K1627">
        <v>0</v>
      </c>
      <c r="L1627">
        <v>0</v>
      </c>
    </row>
    <row r="1628" spans="1:12">
      <c r="A1628" t="str">
        <f>HYPERLINK("http://bombeiros.sp.gov.br/hidrantes/03individual/1725.html","1725")</f>
        <v>1725</v>
      </c>
      <c r="B1628" t="str">
        <f>HYPERLINK("http://bombeiros.sp.gov.br/hidrantes/08bsg/qrcodeBSG.html?id=1725&amp;lat=-23.58811&amp;long=-46.55826&amp;tipo=S","QRCODE")</f>
        <v>QRCODE</v>
      </c>
      <c r="C1628" t="s">
        <v>5273</v>
      </c>
      <c r="D1628" t="s">
        <v>5320</v>
      </c>
      <c r="E1628" t="s">
        <v>806</v>
      </c>
      <c r="F1628" t="s">
        <v>21</v>
      </c>
      <c r="G1628" t="s">
        <v>851</v>
      </c>
      <c r="H1628">
        <v>0</v>
      </c>
      <c r="I1628">
        <v>2</v>
      </c>
      <c r="J1628">
        <v>0</v>
      </c>
      <c r="K1628">
        <v>0</v>
      </c>
      <c r="L1628">
        <v>0</v>
      </c>
    </row>
    <row r="1629" spans="1:12">
      <c r="A1629" t="str">
        <f>HYPERLINK("http://bombeiros.sp.gov.br/hidrantes/03individual/1868.html","1868")</f>
        <v>1868</v>
      </c>
      <c r="B1629" t="str">
        <f>HYPERLINK("http://bombeiros.sp.gov.br/hidrantes/08bsg/qrcodeBSG.html?id=1868&amp;lat=-23.59436&amp;long=-46.54850&amp;tipo=S","QRCODE")</f>
        <v>QRCODE</v>
      </c>
      <c r="C1629" t="s">
        <v>5273</v>
      </c>
      <c r="D1629" t="s">
        <v>5320</v>
      </c>
      <c r="E1629" t="s">
        <v>806</v>
      </c>
      <c r="F1629" t="s">
        <v>21</v>
      </c>
      <c r="G1629" t="s">
        <v>4600</v>
      </c>
      <c r="H1629">
        <v>0</v>
      </c>
      <c r="I1629">
        <v>2</v>
      </c>
      <c r="J1629">
        <v>0</v>
      </c>
      <c r="K1629">
        <v>0</v>
      </c>
      <c r="L1629">
        <v>0</v>
      </c>
    </row>
    <row r="1630" spans="1:12">
      <c r="A1630" t="str">
        <f>HYPERLINK("http://bombeiros.sp.gov.br/hidrantes/03individual/3098.html","3098")</f>
        <v>3098</v>
      </c>
      <c r="B1630" t="str">
        <f>HYPERLINK("http://bombeiros.sp.gov.br/hidrantes/08bsg/qrcodeBSG.html?id=3098&amp;lat=-23.59194&amp;long=-46.55687&amp;tipo=S","QRCODE")</f>
        <v>QRCODE</v>
      </c>
      <c r="C1630" t="s">
        <v>5273</v>
      </c>
      <c r="D1630" t="s">
        <v>5320</v>
      </c>
      <c r="E1630" t="s">
        <v>806</v>
      </c>
      <c r="F1630" t="s">
        <v>21</v>
      </c>
      <c r="G1630" t="s">
        <v>871</v>
      </c>
      <c r="H1630">
        <v>0</v>
      </c>
      <c r="I1630">
        <v>2</v>
      </c>
      <c r="J1630">
        <v>0</v>
      </c>
      <c r="K1630">
        <v>0</v>
      </c>
      <c r="L1630">
        <v>0</v>
      </c>
    </row>
    <row r="1631" spans="1:12">
      <c r="A1631" t="str">
        <f>HYPERLINK("http://bombeiros.sp.gov.br/hidrantes/03individual/3147.html","3147")</f>
        <v>3147</v>
      </c>
      <c r="B1631" t="str">
        <f>HYPERLINK("http://bombeiros.sp.gov.br/hidrantes/08bsg/qrcodeBSG.html?id=3147&amp;lat=-23.58943&amp;long=-46.55001&amp;tipo=S","QRCODE")</f>
        <v>QRCODE</v>
      </c>
      <c r="C1631" t="s">
        <v>5273</v>
      </c>
      <c r="D1631" t="s">
        <v>5320</v>
      </c>
      <c r="E1631" t="s">
        <v>806</v>
      </c>
      <c r="F1631" t="s">
        <v>21</v>
      </c>
      <c r="G1631" t="s">
        <v>4549</v>
      </c>
      <c r="H1631">
        <v>0</v>
      </c>
      <c r="I1631">
        <v>3</v>
      </c>
      <c r="J1631">
        <v>0</v>
      </c>
      <c r="K1631">
        <v>0</v>
      </c>
      <c r="L1631">
        <v>0</v>
      </c>
    </row>
    <row r="1632" spans="1:12">
      <c r="A1632" t="str">
        <f>HYPERLINK("http://bombeiros.sp.gov.br/hidrantes/03individual/3149.html","3149")</f>
        <v>3149</v>
      </c>
      <c r="B1632" t="str">
        <f>HYPERLINK("http://bombeiros.sp.gov.br/hidrantes/08bsg/qrcodeBSG.html?id=3149&amp;lat=-23.58913&amp;long=-46.55158&amp;tipo=S","QRCODE")</f>
        <v>QRCODE</v>
      </c>
      <c r="C1632" t="s">
        <v>5273</v>
      </c>
      <c r="D1632" t="s">
        <v>5320</v>
      </c>
      <c r="E1632" t="s">
        <v>806</v>
      </c>
      <c r="F1632" t="s">
        <v>21</v>
      </c>
      <c r="G1632" t="s">
        <v>4548</v>
      </c>
      <c r="H1632">
        <v>0</v>
      </c>
      <c r="I1632">
        <v>2</v>
      </c>
      <c r="J1632">
        <v>0</v>
      </c>
      <c r="K1632">
        <v>0</v>
      </c>
      <c r="L1632">
        <v>0</v>
      </c>
    </row>
    <row r="1633" spans="1:12">
      <c r="A1633" t="str">
        <f>HYPERLINK("http://bombeiros.sp.gov.br/hidrantes/03individual/3153.html","3153")</f>
        <v>3153</v>
      </c>
      <c r="B1633" t="str">
        <f>HYPERLINK("http://bombeiros.sp.gov.br/hidrantes/08bsg/qrcodeBSG.html?id=3153&amp;lat=-23.59476&amp;long=-46.54740&amp;tipo=S","QRCODE")</f>
        <v>QRCODE</v>
      </c>
      <c r="C1633" t="s">
        <v>5273</v>
      </c>
      <c r="D1633" t="s">
        <v>5320</v>
      </c>
      <c r="E1633" t="s">
        <v>806</v>
      </c>
      <c r="F1633" t="s">
        <v>21</v>
      </c>
      <c r="G1633" t="s">
        <v>4635</v>
      </c>
      <c r="H1633">
        <v>1</v>
      </c>
      <c r="I1633">
        <v>1</v>
      </c>
      <c r="J1633">
        <v>0</v>
      </c>
      <c r="K1633">
        <v>0</v>
      </c>
      <c r="L1633">
        <v>0</v>
      </c>
    </row>
    <row r="1634" spans="1:12">
      <c r="A1634" t="str">
        <f>HYPERLINK("http://bombeiros.sp.gov.br/hidrantes/03individual/3154.html","3154")</f>
        <v>3154</v>
      </c>
      <c r="B1634" t="str">
        <f>HYPERLINK("http://bombeiros.sp.gov.br/hidrantes/08bsg/qrcodeBSG.html?id=3154&amp;lat=-23.59208&amp;long=-46.55128&amp;tipo=S","QRCODE")</f>
        <v>QRCODE</v>
      </c>
      <c r="C1634" t="s">
        <v>5273</v>
      </c>
      <c r="D1634" t="s">
        <v>5320</v>
      </c>
      <c r="E1634" t="s">
        <v>806</v>
      </c>
      <c r="F1634" t="s">
        <v>21</v>
      </c>
      <c r="G1634" t="s">
        <v>4541</v>
      </c>
      <c r="H1634">
        <v>0</v>
      </c>
      <c r="I1634">
        <v>2</v>
      </c>
      <c r="J1634">
        <v>0</v>
      </c>
      <c r="K1634">
        <v>0</v>
      </c>
      <c r="L1634">
        <v>0</v>
      </c>
    </row>
    <row r="1635" spans="1:12">
      <c r="A1635" t="str">
        <f>HYPERLINK("http://bombeiros.sp.gov.br/hidrantes/03individual/3156.html","3156")</f>
        <v>3156</v>
      </c>
      <c r="B1635" t="str">
        <f>HYPERLINK("http://bombeiros.sp.gov.br/hidrantes/08bsg/qrcodeBSG.html?id=3156&amp;lat=-23.59231&amp;long=-46.54609&amp;tipo=S","QRCODE")</f>
        <v>QRCODE</v>
      </c>
      <c r="C1635" t="s">
        <v>5273</v>
      </c>
      <c r="D1635" t="s">
        <v>5320</v>
      </c>
      <c r="E1635" t="s">
        <v>806</v>
      </c>
      <c r="F1635" t="s">
        <v>21</v>
      </c>
      <c r="G1635" t="s">
        <v>1830</v>
      </c>
      <c r="H1635">
        <v>0</v>
      </c>
      <c r="I1635">
        <v>2</v>
      </c>
      <c r="J1635">
        <v>0</v>
      </c>
      <c r="K1635">
        <v>0</v>
      </c>
      <c r="L1635">
        <v>0</v>
      </c>
    </row>
    <row r="1636" spans="1:12">
      <c r="A1636" t="str">
        <f>HYPERLINK("http://bombeiros.sp.gov.br/hidrantes/03individual/3160.html","3160")</f>
        <v>3160</v>
      </c>
      <c r="B1636" t="str">
        <f>HYPERLINK("http://bombeiros.sp.gov.br/hidrantes/08bsg/qrcodeBSG.html?id=3160&amp;lat=-23.58407&amp;long=-46.56105&amp;tipo=S","QRCODE")</f>
        <v>QRCODE</v>
      </c>
      <c r="C1636" t="s">
        <v>5273</v>
      </c>
      <c r="D1636" t="s">
        <v>5320</v>
      </c>
      <c r="E1636" t="s">
        <v>806</v>
      </c>
      <c r="F1636" t="s">
        <v>21</v>
      </c>
      <c r="G1636" t="s">
        <v>5041</v>
      </c>
      <c r="H1636">
        <v>0</v>
      </c>
      <c r="I1636">
        <v>1</v>
      </c>
      <c r="J1636">
        <v>0</v>
      </c>
      <c r="K1636">
        <v>0</v>
      </c>
      <c r="L1636">
        <v>0</v>
      </c>
    </row>
    <row r="1637" spans="1:12">
      <c r="A1637" t="str">
        <f>HYPERLINK("http://bombeiros.sp.gov.br/hidrantes/03individual/3162.html","3162")</f>
        <v>3162</v>
      </c>
      <c r="B1637" t="str">
        <f>HYPERLINK("http://bombeiros.sp.gov.br/hidrantes/08bsg/qrcodeBSG.html?id=3162&amp;lat=-23.58726&amp;long=-46.55736&amp;tipo=S","QRCODE")</f>
        <v>QRCODE</v>
      </c>
      <c r="C1637" t="s">
        <v>5273</v>
      </c>
      <c r="D1637" t="s">
        <v>5320</v>
      </c>
      <c r="E1637" t="s">
        <v>806</v>
      </c>
      <c r="F1637" t="s">
        <v>21</v>
      </c>
      <c r="G1637" t="s">
        <v>2340</v>
      </c>
      <c r="H1637">
        <v>1</v>
      </c>
      <c r="I1637">
        <v>2</v>
      </c>
      <c r="J1637">
        <v>0</v>
      </c>
      <c r="K1637">
        <v>0</v>
      </c>
      <c r="L1637">
        <v>0</v>
      </c>
    </row>
    <row r="1638" spans="1:12">
      <c r="A1638" t="str">
        <f>HYPERLINK("http://bombeiros.sp.gov.br/hidrantes/03individual/17721.html","17721")</f>
        <v>17721</v>
      </c>
      <c r="B1638" t="str">
        <f>HYPERLINK("http://bombeiros.sp.gov.br/hidrantes/08bsg/qrcodeBSG.html?id=17721&amp;lat=-23.58998&amp;long=-46.54495&amp;tipo=S","QRCODE")</f>
        <v>QRCODE</v>
      </c>
      <c r="C1638" t="s">
        <v>5273</v>
      </c>
      <c r="D1638" t="s">
        <v>5320</v>
      </c>
      <c r="E1638" t="s">
        <v>806</v>
      </c>
      <c r="F1638" t="s">
        <v>21</v>
      </c>
      <c r="G1638" t="s">
        <v>4955</v>
      </c>
      <c r="H1638">
        <v>0</v>
      </c>
      <c r="I1638">
        <v>1</v>
      </c>
      <c r="J1638">
        <v>0</v>
      </c>
      <c r="K1638">
        <v>0</v>
      </c>
      <c r="L1638">
        <v>0</v>
      </c>
    </row>
    <row r="1639" spans="1:12">
      <c r="A1639" t="str">
        <f>HYPERLINK("http://bombeiros.sp.gov.br/hidrantes/03individual/1326.html","1326")</f>
        <v>1326</v>
      </c>
      <c r="B1639" t="str">
        <f>HYPERLINK("http://bombeiros.sp.gov.br/hidrantes/08bsg/qrcodeBSG.html?id=1326&amp;lat=-23.60050&amp;long=-46.54192&amp;tipo=C","QRCODE")</f>
        <v>QRCODE</v>
      </c>
      <c r="C1639" t="s">
        <v>5273</v>
      </c>
      <c r="D1639" t="s">
        <v>5320</v>
      </c>
      <c r="E1639" t="s">
        <v>1779</v>
      </c>
      <c r="F1639" t="s">
        <v>12</v>
      </c>
      <c r="G1639" t="s">
        <v>3696</v>
      </c>
      <c r="H1639">
        <v>2</v>
      </c>
      <c r="I1639">
        <v>1</v>
      </c>
      <c r="J1639">
        <v>0</v>
      </c>
      <c r="K1639">
        <v>0</v>
      </c>
      <c r="L1639">
        <v>0</v>
      </c>
    </row>
    <row r="1640" spans="1:12">
      <c r="A1640" t="str">
        <f>HYPERLINK("http://bombeiros.sp.gov.br/hidrantes/03individual/1395.html","1395")</f>
        <v>1395</v>
      </c>
      <c r="B1640" t="str">
        <f>HYPERLINK("http://bombeiros.sp.gov.br/hidrantes/08bsg/qrcodeBSG.html?id=1395&amp;lat=-23.59478&amp;long=-46.54362&amp;tipo=C","QRCODE")</f>
        <v>QRCODE</v>
      </c>
      <c r="C1640" t="s">
        <v>5273</v>
      </c>
      <c r="D1640" t="s">
        <v>5320</v>
      </c>
      <c r="E1640" t="s">
        <v>1779</v>
      </c>
      <c r="F1640" t="s">
        <v>12</v>
      </c>
      <c r="G1640" t="s">
        <v>3687</v>
      </c>
      <c r="H1640">
        <v>1</v>
      </c>
      <c r="I1640">
        <v>1</v>
      </c>
      <c r="J1640">
        <v>0</v>
      </c>
      <c r="K1640">
        <v>0</v>
      </c>
      <c r="L1640">
        <v>0</v>
      </c>
    </row>
    <row r="1641" spans="1:12">
      <c r="A1641" t="str">
        <f>HYPERLINK("http://bombeiros.sp.gov.br/hidrantes/03individual/3075.html","3075")</f>
        <v>3075</v>
      </c>
      <c r="B1641" t="str">
        <f>HYPERLINK("http://bombeiros.sp.gov.br/hidrantes/08bsg/qrcodeBSG.html?id=3075&amp;lat=-23.59696&amp;long=-46.54045&amp;tipo=C","QRCODE")</f>
        <v>QRCODE</v>
      </c>
      <c r="C1641" t="s">
        <v>5273</v>
      </c>
      <c r="D1641" t="s">
        <v>5320</v>
      </c>
      <c r="E1641" t="s">
        <v>1779</v>
      </c>
      <c r="F1641" t="s">
        <v>12</v>
      </c>
      <c r="G1641" t="s">
        <v>4636</v>
      </c>
      <c r="H1641">
        <v>1</v>
      </c>
      <c r="I1641">
        <v>1</v>
      </c>
      <c r="J1641">
        <v>0</v>
      </c>
      <c r="K1641">
        <v>0</v>
      </c>
      <c r="L1641">
        <v>0</v>
      </c>
    </row>
    <row r="1642" spans="1:12">
      <c r="A1642" t="str">
        <f>HYPERLINK("http://bombeiros.sp.gov.br/hidrantes/03individual/3084.html","3084")</f>
        <v>3084</v>
      </c>
      <c r="B1642" t="str">
        <f>HYPERLINK("http://bombeiros.sp.gov.br/hidrantes/08bsg/qrcodeBSG.html?id=3084&amp;lat=-23.59740&amp;long=-46.54435&amp;tipo=C","QRCODE")</f>
        <v>QRCODE</v>
      </c>
      <c r="C1642" t="s">
        <v>5273</v>
      </c>
      <c r="D1642" t="s">
        <v>5320</v>
      </c>
      <c r="E1642" t="s">
        <v>1779</v>
      </c>
      <c r="F1642" t="s">
        <v>12</v>
      </c>
      <c r="G1642" t="s">
        <v>3668</v>
      </c>
      <c r="H1642">
        <v>2</v>
      </c>
      <c r="I1642">
        <v>1</v>
      </c>
      <c r="J1642">
        <v>0</v>
      </c>
      <c r="K1642">
        <v>0</v>
      </c>
      <c r="L1642">
        <v>0</v>
      </c>
    </row>
    <row r="1643" spans="1:12">
      <c r="A1643" t="str">
        <f>HYPERLINK("http://bombeiros.sp.gov.br/hidrantes/03individual/3150.html","3150")</f>
        <v>3150</v>
      </c>
      <c r="B1643" t="str">
        <f>HYPERLINK("http://bombeiros.sp.gov.br/hidrantes/08bsg/qrcodeBSG.html?id=3150&amp;lat=-23.59725&amp;long=-46.54977&amp;tipo=C","QRCODE")</f>
        <v>QRCODE</v>
      </c>
      <c r="C1643" t="s">
        <v>5273</v>
      </c>
      <c r="D1643" t="s">
        <v>5320</v>
      </c>
      <c r="E1643" t="s">
        <v>1779</v>
      </c>
      <c r="F1643" t="s">
        <v>12</v>
      </c>
      <c r="G1643" t="s">
        <v>4620</v>
      </c>
      <c r="H1643">
        <v>0</v>
      </c>
      <c r="I1643">
        <v>2</v>
      </c>
      <c r="J1643">
        <v>0</v>
      </c>
      <c r="K1643">
        <v>0</v>
      </c>
      <c r="L1643">
        <v>0</v>
      </c>
    </row>
    <row r="1644" spans="1:12">
      <c r="A1644" t="str">
        <f>HYPERLINK("http://bombeiros.sp.gov.br/hidrantes/03individual/3658.html","3658")</f>
        <v>3658</v>
      </c>
      <c r="B1644" t="str">
        <f>HYPERLINK("http://bombeiros.sp.gov.br/hidrantes/08bsg/qrcodeBSG.html?id=3658&amp;lat=-23.60191&amp;long=-46.53594&amp;tipo=C","QRCODE")</f>
        <v>QRCODE</v>
      </c>
      <c r="C1644" t="s">
        <v>5273</v>
      </c>
      <c r="D1644" t="s">
        <v>5320</v>
      </c>
      <c r="E1644" t="s">
        <v>1779</v>
      </c>
      <c r="F1644" t="s">
        <v>12</v>
      </c>
      <c r="G1644" t="s">
        <v>1822</v>
      </c>
      <c r="H1644">
        <v>0</v>
      </c>
      <c r="I1644">
        <v>2</v>
      </c>
      <c r="J1644">
        <v>0</v>
      </c>
      <c r="K1644">
        <v>0</v>
      </c>
      <c r="L1644">
        <v>0</v>
      </c>
    </row>
    <row r="1645" spans="1:12">
      <c r="A1645" t="str">
        <f>HYPERLINK("http://bombeiros.sp.gov.br/hidrantes/03individual/10022.html","10022")</f>
        <v>10022</v>
      </c>
      <c r="B1645" t="str">
        <f>HYPERLINK("http://bombeiros.sp.gov.br/hidrantes/08bsg/qrcodeBSG.html?id=10022&amp;lat=-23.60440&amp;long=-46.54972&amp;tipo=C","QRCODE")</f>
        <v>QRCODE</v>
      </c>
      <c r="C1645" t="s">
        <v>5273</v>
      </c>
      <c r="D1645" t="s">
        <v>5320</v>
      </c>
      <c r="E1645" t="s">
        <v>1779</v>
      </c>
      <c r="F1645" t="s">
        <v>12</v>
      </c>
      <c r="G1645" t="s">
        <v>3980</v>
      </c>
      <c r="H1645">
        <v>2</v>
      </c>
      <c r="I1645">
        <v>1</v>
      </c>
      <c r="J1645">
        <v>0</v>
      </c>
      <c r="K1645">
        <v>0</v>
      </c>
      <c r="L1645">
        <v>0</v>
      </c>
    </row>
    <row r="1646" spans="1:12">
      <c r="A1646" t="str">
        <f>HYPERLINK("http://bombeiros.sp.gov.br/hidrantes/03individual/10023.html","10023")</f>
        <v>10023</v>
      </c>
      <c r="B1646" t="str">
        <f>HYPERLINK("http://bombeiros.sp.gov.br/hidrantes/08bsg/qrcodeBSG.html?id=10023&amp;lat=-23.60307&amp;long=-46.54848&amp;tipo=C","QRCODE")</f>
        <v>QRCODE</v>
      </c>
      <c r="C1646" t="s">
        <v>5273</v>
      </c>
      <c r="D1646" t="s">
        <v>5320</v>
      </c>
      <c r="E1646" t="s">
        <v>1779</v>
      </c>
      <c r="F1646" t="s">
        <v>12</v>
      </c>
      <c r="G1646" t="s">
        <v>5321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2">
      <c r="A1647" t="str">
        <f>HYPERLINK("http://bombeiros.sp.gov.br/hidrantes/03individual/1328.html","1328")</f>
        <v>1328</v>
      </c>
      <c r="B1647" t="str">
        <f>HYPERLINK("http://bombeiros.sp.gov.br/hidrantes/08bsg/qrcodeBSG.html?id=1328&amp;lat=-23.59711&amp;long=-46.55116&amp;tipo=S","QRCODE")</f>
        <v>QRCODE</v>
      </c>
      <c r="C1647" t="s">
        <v>5273</v>
      </c>
      <c r="D1647" t="s">
        <v>5320</v>
      </c>
      <c r="E1647" t="s">
        <v>1779</v>
      </c>
      <c r="F1647" t="s">
        <v>21</v>
      </c>
      <c r="G1647" t="s">
        <v>3697</v>
      </c>
      <c r="H1647">
        <v>1</v>
      </c>
      <c r="I1647">
        <v>1</v>
      </c>
      <c r="J1647">
        <v>0</v>
      </c>
      <c r="K1647">
        <v>0</v>
      </c>
      <c r="L1647">
        <v>0</v>
      </c>
    </row>
    <row r="1648" spans="1:12">
      <c r="A1648" t="str">
        <f>HYPERLINK("http://bombeiros.sp.gov.br/hidrantes/03individual/1361.html","1361")</f>
        <v>1361</v>
      </c>
      <c r="B1648" t="str">
        <f>HYPERLINK("http://bombeiros.sp.gov.br/hidrantes/08bsg/qrcodeBSG.html?id=1361&amp;lat=-23.59356&amp;long=-46.54090&amp;tipo=S","QRCODE")</f>
        <v>QRCODE</v>
      </c>
      <c r="C1648" t="s">
        <v>5273</v>
      </c>
      <c r="D1648" t="s">
        <v>5320</v>
      </c>
      <c r="E1648" t="s">
        <v>1779</v>
      </c>
      <c r="F1648" t="s">
        <v>21</v>
      </c>
      <c r="G1648" t="s">
        <v>2632</v>
      </c>
      <c r="H1648">
        <v>0</v>
      </c>
      <c r="I1648">
        <v>2</v>
      </c>
      <c r="J1648">
        <v>0</v>
      </c>
      <c r="K1648">
        <v>0</v>
      </c>
      <c r="L1648">
        <v>0</v>
      </c>
    </row>
    <row r="1649" spans="1:12">
      <c r="A1649" t="str">
        <f>HYPERLINK("http://bombeiros.sp.gov.br/hidrantes/03individual/1396.html","1396")</f>
        <v>1396</v>
      </c>
      <c r="B1649" t="str">
        <f>HYPERLINK("http://bombeiros.sp.gov.br/hidrantes/08bsg/qrcodeBSG.html?id=1396&amp;lat=-23.59832&amp;long=-46.54091&amp;tipo=S","QRCODE")</f>
        <v>QRCODE</v>
      </c>
      <c r="C1649" t="s">
        <v>5273</v>
      </c>
      <c r="D1649" t="s">
        <v>5320</v>
      </c>
      <c r="E1649" t="s">
        <v>1779</v>
      </c>
      <c r="F1649" t="s">
        <v>21</v>
      </c>
      <c r="G1649" t="s">
        <v>3685</v>
      </c>
      <c r="H1649">
        <v>2</v>
      </c>
      <c r="I1649">
        <v>1</v>
      </c>
      <c r="J1649">
        <v>0</v>
      </c>
      <c r="K1649">
        <v>0</v>
      </c>
      <c r="L1649">
        <v>0</v>
      </c>
    </row>
    <row r="1650" spans="1:12">
      <c r="A1650" t="str">
        <f>HYPERLINK("http://bombeiros.sp.gov.br/hidrantes/03individual/1488.html","1488")</f>
        <v>1488</v>
      </c>
      <c r="B1650" t="str">
        <f>HYPERLINK("http://bombeiros.sp.gov.br/hidrantes/08bsg/qrcodeBSG.html?id=1488&amp;lat=-23.60394&amp;long=-46.53690&amp;tipo=S","QRCODE")</f>
        <v>QRCODE</v>
      </c>
      <c r="C1650" t="s">
        <v>5273</v>
      </c>
      <c r="D1650" t="s">
        <v>5320</v>
      </c>
      <c r="E1650" t="s">
        <v>1779</v>
      </c>
      <c r="F1650" t="s">
        <v>21</v>
      </c>
      <c r="G1650" t="s">
        <v>3691</v>
      </c>
      <c r="H1650">
        <v>1</v>
      </c>
      <c r="I1650">
        <v>1</v>
      </c>
      <c r="J1650">
        <v>0</v>
      </c>
      <c r="K1650">
        <v>0</v>
      </c>
      <c r="L1650">
        <v>0</v>
      </c>
    </row>
    <row r="1651" spans="1:12">
      <c r="A1651" t="str">
        <f>HYPERLINK("http://bombeiros.sp.gov.br/hidrantes/03individual/1490.html","1490")</f>
        <v>1490</v>
      </c>
      <c r="B1651" t="str">
        <f>HYPERLINK("http://bombeiros.sp.gov.br/hidrantes/08bsg/qrcodeBSG.html?id=1490&amp;lat=-23.60098&amp;long=-46.53495&amp;tipo=S","QRCODE")</f>
        <v>QRCODE</v>
      </c>
      <c r="C1651" t="s">
        <v>5273</v>
      </c>
      <c r="D1651" t="s">
        <v>5320</v>
      </c>
      <c r="E1651" t="s">
        <v>1779</v>
      </c>
      <c r="F1651" t="s">
        <v>21</v>
      </c>
      <c r="G1651" t="s">
        <v>2636</v>
      </c>
      <c r="H1651">
        <v>0</v>
      </c>
      <c r="I1651">
        <v>2</v>
      </c>
      <c r="J1651">
        <v>0</v>
      </c>
      <c r="K1651">
        <v>0</v>
      </c>
      <c r="L1651">
        <v>0</v>
      </c>
    </row>
    <row r="1652" spans="1:12">
      <c r="A1652" t="str">
        <f>HYPERLINK("http://bombeiros.sp.gov.br/hidrantes/03individual/1510.html","1510")</f>
        <v>1510</v>
      </c>
      <c r="B1652" t="str">
        <f>HYPERLINK("http://bombeiros.sp.gov.br/hidrantes/08bsg/qrcodeBSG.html?id=1510&amp;lat=-23.60815&amp;long=-46.53684&amp;tipo=S","QRCODE")</f>
        <v>QRCODE</v>
      </c>
      <c r="C1652" t="s">
        <v>5273</v>
      </c>
      <c r="D1652" t="s">
        <v>5320</v>
      </c>
      <c r="E1652" t="s">
        <v>1779</v>
      </c>
      <c r="F1652" t="s">
        <v>21</v>
      </c>
      <c r="G1652" t="s">
        <v>2634</v>
      </c>
      <c r="H1652">
        <v>0</v>
      </c>
      <c r="I1652">
        <v>2</v>
      </c>
      <c r="J1652">
        <v>0</v>
      </c>
      <c r="K1652">
        <v>0</v>
      </c>
      <c r="L1652">
        <v>0</v>
      </c>
    </row>
    <row r="1653" spans="1:12">
      <c r="A1653" t="str">
        <f>HYPERLINK("http://bombeiros.sp.gov.br/hidrantes/03individual/1512.html","1512")</f>
        <v>1512</v>
      </c>
      <c r="B1653" t="str">
        <f>HYPERLINK("http://bombeiros.sp.gov.br/hidrantes/08bsg/qrcodeBSG.html?id=1512&amp;lat=-23.60494&amp;long=-46.53273&amp;tipo=S","QRCODE")</f>
        <v>QRCODE</v>
      </c>
      <c r="C1653" t="s">
        <v>5273</v>
      </c>
      <c r="D1653" t="s">
        <v>5320</v>
      </c>
      <c r="E1653" t="s">
        <v>1779</v>
      </c>
      <c r="F1653" t="s">
        <v>21</v>
      </c>
      <c r="G1653" t="s">
        <v>2633</v>
      </c>
      <c r="H1653">
        <v>0</v>
      </c>
      <c r="I1653">
        <v>2</v>
      </c>
      <c r="J1653">
        <v>0</v>
      </c>
      <c r="K1653">
        <v>0</v>
      </c>
      <c r="L1653">
        <v>0</v>
      </c>
    </row>
    <row r="1654" spans="1:12">
      <c r="A1654" t="str">
        <f>HYPERLINK("http://bombeiros.sp.gov.br/hidrantes/03individual/1618.html","1618")</f>
        <v>1618</v>
      </c>
      <c r="B1654" t="str">
        <f>HYPERLINK("http://bombeiros.sp.gov.br/hidrantes/08bsg/qrcodeBSG.html?id=1618&amp;lat=-23.60279&amp;long=-46.52800&amp;tipo=S","QRCODE")</f>
        <v>QRCODE</v>
      </c>
      <c r="C1654" t="s">
        <v>5273</v>
      </c>
      <c r="D1654" t="s">
        <v>5320</v>
      </c>
      <c r="E1654" t="s">
        <v>1779</v>
      </c>
      <c r="F1654" t="s">
        <v>21</v>
      </c>
      <c r="G1654" t="s">
        <v>1778</v>
      </c>
      <c r="H1654">
        <v>0</v>
      </c>
      <c r="I1654">
        <v>2</v>
      </c>
      <c r="J1654">
        <v>0</v>
      </c>
      <c r="K1654">
        <v>0</v>
      </c>
      <c r="L1654">
        <v>0</v>
      </c>
    </row>
    <row r="1655" spans="1:12">
      <c r="A1655" t="str">
        <f>HYPERLINK("http://bombeiros.sp.gov.br/hidrantes/03individual/1619.html","1619")</f>
        <v>1619</v>
      </c>
      <c r="B1655" t="str">
        <f>HYPERLINK("http://bombeiros.sp.gov.br/hidrantes/08bsg/qrcodeBSG.html?id=1619&amp;lat=-23.61166&amp;long=-46.53223&amp;tipo=S","QRCODE")</f>
        <v>QRCODE</v>
      </c>
      <c r="C1655" t="s">
        <v>5273</v>
      </c>
      <c r="D1655" t="s">
        <v>5320</v>
      </c>
      <c r="E1655" t="s">
        <v>1779</v>
      </c>
      <c r="F1655" t="s">
        <v>21</v>
      </c>
      <c r="G1655" t="s">
        <v>2641</v>
      </c>
      <c r="H1655">
        <v>0</v>
      </c>
      <c r="I1655">
        <v>2</v>
      </c>
      <c r="J1655">
        <v>0</v>
      </c>
      <c r="K1655">
        <v>0</v>
      </c>
      <c r="L1655">
        <v>0</v>
      </c>
    </row>
    <row r="1656" spans="1:12">
      <c r="A1656" t="str">
        <f>HYPERLINK("http://bombeiros.sp.gov.br/hidrantes/03individual/1931.html","1931")</f>
        <v>1931</v>
      </c>
      <c r="B1656" t="str">
        <f>HYPERLINK("http://bombeiros.sp.gov.br/hidrantes/08bsg/qrcodeBSG.html?id=1931&amp;lat=-23.61033&amp;long=-46.52777&amp;tipo=S","QRCODE")</f>
        <v>QRCODE</v>
      </c>
      <c r="C1656" t="s">
        <v>5273</v>
      </c>
      <c r="D1656" t="s">
        <v>5320</v>
      </c>
      <c r="E1656" t="s">
        <v>1779</v>
      </c>
      <c r="F1656" t="s">
        <v>21</v>
      </c>
      <c r="G1656" t="s">
        <v>4298</v>
      </c>
      <c r="H1656">
        <v>0</v>
      </c>
      <c r="I1656">
        <v>1</v>
      </c>
      <c r="J1656">
        <v>0</v>
      </c>
      <c r="K1656">
        <v>0</v>
      </c>
      <c r="L1656">
        <v>0</v>
      </c>
    </row>
    <row r="1657" spans="1:12">
      <c r="A1657" t="str">
        <f>HYPERLINK("http://bombeiros.sp.gov.br/hidrantes/03individual/3074.html","3074")</f>
        <v>3074</v>
      </c>
      <c r="B1657" t="str">
        <f>HYPERLINK("http://bombeiros.sp.gov.br/hidrantes/08bsg/qrcodeBSG.html?id=3074&amp;lat=-23.59632&amp;long=-46.54206&amp;tipo=S","QRCODE")</f>
        <v>QRCODE</v>
      </c>
      <c r="C1657" t="s">
        <v>5273</v>
      </c>
      <c r="D1657" t="s">
        <v>5320</v>
      </c>
      <c r="E1657" t="s">
        <v>1779</v>
      </c>
      <c r="F1657" t="s">
        <v>21</v>
      </c>
      <c r="G1657" t="s">
        <v>1828</v>
      </c>
      <c r="H1657">
        <v>0</v>
      </c>
      <c r="I1657">
        <v>2</v>
      </c>
      <c r="J1657">
        <v>0</v>
      </c>
      <c r="K1657">
        <v>0</v>
      </c>
      <c r="L1657">
        <v>0</v>
      </c>
    </row>
    <row r="1658" spans="1:12">
      <c r="A1658" t="str">
        <f>HYPERLINK("http://bombeiros.sp.gov.br/hidrantes/03individual/3085.html","3085")</f>
        <v>3085</v>
      </c>
      <c r="B1658" t="str">
        <f>HYPERLINK("http://bombeiros.sp.gov.br/hidrantes/08bsg/qrcodeBSG.html?id=3085&amp;lat=-23.59956&amp;long=-46.54809&amp;tipo=S","QRCODE")</f>
        <v>QRCODE</v>
      </c>
      <c r="C1658" t="s">
        <v>5273</v>
      </c>
      <c r="D1658" t="s">
        <v>5320</v>
      </c>
      <c r="E1658" t="s">
        <v>1779</v>
      </c>
      <c r="F1658" t="s">
        <v>21</v>
      </c>
      <c r="G1658" t="s">
        <v>4622</v>
      </c>
      <c r="H1658">
        <v>0</v>
      </c>
      <c r="I1658">
        <v>3</v>
      </c>
      <c r="J1658">
        <v>0</v>
      </c>
      <c r="K1658">
        <v>0</v>
      </c>
      <c r="L1658">
        <v>0</v>
      </c>
    </row>
    <row r="1659" spans="1:12">
      <c r="A1659" t="str">
        <f>HYPERLINK("http://bombeiros.sp.gov.br/hidrantes/03individual/3151.html","3151")</f>
        <v>3151</v>
      </c>
      <c r="B1659" t="str">
        <f>HYPERLINK("http://bombeiros.sp.gov.br/hidrantes/08bsg/qrcodeBSG.html?id=3151&amp;lat=-23.59691&amp;long=-46.54844&amp;tipo=S","QRCODE")</f>
        <v>QRCODE</v>
      </c>
      <c r="C1659" t="s">
        <v>5273</v>
      </c>
      <c r="D1659" t="s">
        <v>5320</v>
      </c>
      <c r="E1659" t="s">
        <v>1779</v>
      </c>
      <c r="F1659" t="s">
        <v>21</v>
      </c>
      <c r="G1659" t="s">
        <v>1829</v>
      </c>
      <c r="H1659">
        <v>0</v>
      </c>
      <c r="I1659">
        <v>2</v>
      </c>
      <c r="J1659">
        <v>0</v>
      </c>
      <c r="K1659">
        <v>0</v>
      </c>
      <c r="L1659">
        <v>0</v>
      </c>
    </row>
    <row r="1660" spans="1:12">
      <c r="A1660" t="str">
        <f>HYPERLINK("http://bombeiros.sp.gov.br/hidrantes/03individual/3152.html","3152")</f>
        <v>3152</v>
      </c>
      <c r="B1660" t="str">
        <f>HYPERLINK("http://bombeiros.sp.gov.br/hidrantes/08bsg/qrcodeBSG.html?id=3152&amp;lat=-23.59667&amp;long=-46.54630&amp;tipo=S","QRCODE")</f>
        <v>QRCODE</v>
      </c>
      <c r="C1660" t="s">
        <v>5273</v>
      </c>
      <c r="D1660" t="s">
        <v>5320</v>
      </c>
      <c r="E1660" t="s">
        <v>1779</v>
      </c>
      <c r="F1660" t="s">
        <v>21</v>
      </c>
      <c r="G1660" t="s">
        <v>4634</v>
      </c>
      <c r="H1660">
        <v>1</v>
      </c>
      <c r="I1660">
        <v>1</v>
      </c>
      <c r="J1660">
        <v>0</v>
      </c>
      <c r="K1660">
        <v>0</v>
      </c>
      <c r="L1660">
        <v>0</v>
      </c>
    </row>
    <row r="1661" spans="1:12">
      <c r="A1661" t="str">
        <f>HYPERLINK("http://bombeiros.sp.gov.br/hidrantes/03individual/3649.html","3649")</f>
        <v>3649</v>
      </c>
      <c r="B1661" t="str">
        <f>HYPERLINK("http://bombeiros.sp.gov.br/hidrantes/08bsg/qrcodeBSG.html?id=3649&amp;lat=-23.60261&amp;long=-46.54256&amp;tipo=S","QRCODE")</f>
        <v>QRCODE</v>
      </c>
      <c r="C1661" t="s">
        <v>5273</v>
      </c>
      <c r="D1661" t="s">
        <v>5320</v>
      </c>
      <c r="E1661" t="s">
        <v>1779</v>
      </c>
      <c r="F1661" t="s">
        <v>21</v>
      </c>
      <c r="G1661" t="s">
        <v>4644</v>
      </c>
      <c r="H1661">
        <v>1</v>
      </c>
      <c r="I1661">
        <v>1</v>
      </c>
      <c r="J1661">
        <v>0</v>
      </c>
      <c r="K1661">
        <v>0</v>
      </c>
      <c r="L1661">
        <v>0</v>
      </c>
    </row>
    <row r="1662" spans="1:12">
      <c r="A1662" t="str">
        <f>HYPERLINK("http://bombeiros.sp.gov.br/hidrantes/03individual/3651.html","3651")</f>
        <v>3651</v>
      </c>
      <c r="B1662" t="str">
        <f>HYPERLINK("http://bombeiros.sp.gov.br/hidrantes/08bsg/qrcodeBSG.html?id=3651&amp;lat=-23.60259&amp;long=-46.54123&amp;tipo=S","QRCODE")</f>
        <v>QRCODE</v>
      </c>
      <c r="C1662" t="s">
        <v>5273</v>
      </c>
      <c r="D1662" t="s">
        <v>5320</v>
      </c>
      <c r="E1662" t="s">
        <v>1779</v>
      </c>
      <c r="F1662" t="s">
        <v>21</v>
      </c>
      <c r="G1662" t="s">
        <v>1821</v>
      </c>
      <c r="H1662">
        <v>0</v>
      </c>
      <c r="I1662">
        <v>2</v>
      </c>
      <c r="J1662">
        <v>0</v>
      </c>
      <c r="K1662">
        <v>0</v>
      </c>
      <c r="L1662">
        <v>0</v>
      </c>
    </row>
    <row r="1663" spans="1:12">
      <c r="A1663" t="str">
        <f>HYPERLINK("http://bombeiros.sp.gov.br/hidrantes/03individual/3654.html","3654")</f>
        <v>3654</v>
      </c>
      <c r="B1663" t="str">
        <f>HYPERLINK("http://bombeiros.sp.gov.br/hidrantes/08bsg/qrcodeBSG.html?id=3654&amp;lat=-23.60196&amp;long=-46.53871&amp;tipo=S","QRCODE")</f>
        <v>QRCODE</v>
      </c>
      <c r="C1663" t="s">
        <v>5273</v>
      </c>
      <c r="D1663" t="s">
        <v>5320</v>
      </c>
      <c r="E1663" t="s">
        <v>1779</v>
      </c>
      <c r="F1663" t="s">
        <v>21</v>
      </c>
      <c r="G1663" t="s">
        <v>2625</v>
      </c>
      <c r="H1663">
        <v>0</v>
      </c>
      <c r="I1663">
        <v>2</v>
      </c>
      <c r="J1663">
        <v>0</v>
      </c>
      <c r="K1663">
        <v>0</v>
      </c>
      <c r="L1663">
        <v>0</v>
      </c>
    </row>
    <row r="1664" spans="1:12">
      <c r="A1664" t="str">
        <f>HYPERLINK("http://bombeiros.sp.gov.br/hidrantes/03individual/3660.html","3660")</f>
        <v>3660</v>
      </c>
      <c r="B1664" t="str">
        <f>HYPERLINK("http://bombeiros.sp.gov.br/hidrantes/08bsg/qrcodeBSG.html?id=3660&amp;lat=-23.60029&amp;long=-46.53712&amp;tipo=S","QRCODE")</f>
        <v>QRCODE</v>
      </c>
      <c r="C1664" t="s">
        <v>5273</v>
      </c>
      <c r="D1664" t="s">
        <v>5320</v>
      </c>
      <c r="E1664" t="s">
        <v>1779</v>
      </c>
      <c r="F1664" t="s">
        <v>21</v>
      </c>
      <c r="G1664" t="s">
        <v>4645</v>
      </c>
      <c r="H1664">
        <v>1</v>
      </c>
      <c r="I1664">
        <v>1</v>
      </c>
      <c r="J1664">
        <v>0</v>
      </c>
      <c r="K1664">
        <v>0</v>
      </c>
      <c r="L1664">
        <v>0</v>
      </c>
    </row>
    <row r="1665" spans="1:12">
      <c r="A1665" t="str">
        <f>HYPERLINK("http://bombeiros.sp.gov.br/hidrantes/03individual/3668.html","3668")</f>
        <v>3668</v>
      </c>
      <c r="B1665" t="str">
        <f>HYPERLINK("http://bombeiros.sp.gov.br/hidrantes/08bsg/qrcodeBSG.html?id=3668&amp;lat=-23.60080&amp;long=-46.53085&amp;tipo=S","QRCODE")</f>
        <v>QRCODE</v>
      </c>
      <c r="C1665" t="s">
        <v>5273</v>
      </c>
      <c r="D1665" t="s">
        <v>5320</v>
      </c>
      <c r="E1665" t="s">
        <v>1779</v>
      </c>
      <c r="F1665" t="s">
        <v>21</v>
      </c>
      <c r="G1665" t="s">
        <v>2623</v>
      </c>
      <c r="H1665">
        <v>0</v>
      </c>
      <c r="I1665">
        <v>2</v>
      </c>
      <c r="J1665">
        <v>0</v>
      </c>
      <c r="K1665">
        <v>0</v>
      </c>
      <c r="L1665">
        <v>0</v>
      </c>
    </row>
    <row r="1666" spans="1:12">
      <c r="A1666" t="str">
        <f>HYPERLINK("http://bombeiros.sp.gov.br/hidrantes/03individual/3677.html","3677")</f>
        <v>3677</v>
      </c>
      <c r="B1666" t="str">
        <f>HYPERLINK("http://bombeiros.sp.gov.br/hidrantes/08bsg/qrcodeBSG.html?id=3677&amp;lat=-23.60998&amp;long=-46.52564&amp;tipo=S","QRCODE")</f>
        <v>QRCODE</v>
      </c>
      <c r="C1666" t="s">
        <v>5273</v>
      </c>
      <c r="D1666" t="s">
        <v>5320</v>
      </c>
      <c r="E1666" t="s">
        <v>1779</v>
      </c>
      <c r="F1666" t="s">
        <v>21</v>
      </c>
      <c r="G1666" t="s">
        <v>4291</v>
      </c>
      <c r="H1666">
        <v>0</v>
      </c>
      <c r="I1666">
        <v>1</v>
      </c>
      <c r="J1666">
        <v>0</v>
      </c>
      <c r="K1666">
        <v>0</v>
      </c>
      <c r="L1666">
        <v>0</v>
      </c>
    </row>
    <row r="1667" spans="1:12">
      <c r="A1667" t="str">
        <f>HYPERLINK("http://bombeiros.sp.gov.br/hidrantes/03individual/3683.html","3683")</f>
        <v>3683</v>
      </c>
      <c r="B1667" t="str">
        <f>HYPERLINK("http://bombeiros.sp.gov.br/hidrantes/08bsg/qrcodeBSG.html?id=3683&amp;lat=-23.60538&amp;long=-46.52768&amp;tipo=S","QRCODE")</f>
        <v>QRCODE</v>
      </c>
      <c r="C1667" t="s">
        <v>5273</v>
      </c>
      <c r="D1667" t="s">
        <v>5320</v>
      </c>
      <c r="E1667" t="s">
        <v>1779</v>
      </c>
      <c r="F1667" t="s">
        <v>21</v>
      </c>
      <c r="G1667" t="s">
        <v>1823</v>
      </c>
      <c r="H1667">
        <v>0</v>
      </c>
      <c r="I1667">
        <v>2</v>
      </c>
      <c r="J1667">
        <v>0</v>
      </c>
      <c r="K1667">
        <v>0</v>
      </c>
      <c r="L1667">
        <v>0</v>
      </c>
    </row>
    <row r="1668" spans="1:12">
      <c r="A1668" t="str">
        <f>HYPERLINK("http://bombeiros.sp.gov.br/hidrantes/03individual/4186.html","4186")</f>
        <v>4186</v>
      </c>
      <c r="B1668" t="str">
        <f>HYPERLINK("http://bombeiros.sp.gov.br/hidrantes/08bsg/qrcodeBSG.html?id=4186&amp;lat=-23.59903&amp;long=-46.53981&amp;tipo=S","QRCODE")</f>
        <v>QRCODE</v>
      </c>
      <c r="C1668" t="s">
        <v>5273</v>
      </c>
      <c r="D1668" t="s">
        <v>5320</v>
      </c>
      <c r="E1668" t="s">
        <v>1779</v>
      </c>
      <c r="F1668" t="s">
        <v>21</v>
      </c>
      <c r="G1668" t="s">
        <v>4158</v>
      </c>
      <c r="H1668">
        <v>0</v>
      </c>
      <c r="I1668">
        <v>1</v>
      </c>
      <c r="J1668">
        <v>0</v>
      </c>
      <c r="K1668">
        <v>0</v>
      </c>
      <c r="L1668">
        <v>0</v>
      </c>
    </row>
    <row r="1669" spans="1:12">
      <c r="A1669" t="str">
        <f>HYPERLINK("http://bombeiros.sp.gov.br/hidrantes/03individual/4188.html","4188")</f>
        <v>4188</v>
      </c>
      <c r="B1669" t="str">
        <f>HYPERLINK("http://bombeiros.sp.gov.br/hidrantes/08bsg/qrcodeBSG.html?id=4188&amp;lat=-23.60897&amp;long=-46.52968&amp;tipo=S","QRCODE")</f>
        <v>QRCODE</v>
      </c>
      <c r="C1669" t="s">
        <v>5273</v>
      </c>
      <c r="D1669" t="s">
        <v>5320</v>
      </c>
      <c r="E1669" t="s">
        <v>1779</v>
      </c>
      <c r="F1669" t="s">
        <v>21</v>
      </c>
      <c r="G1669" t="s">
        <v>4277</v>
      </c>
      <c r="H1669">
        <v>0</v>
      </c>
      <c r="I1669">
        <v>1</v>
      </c>
      <c r="J1669">
        <v>0</v>
      </c>
      <c r="K1669">
        <v>0</v>
      </c>
      <c r="L1669">
        <v>0</v>
      </c>
    </row>
    <row r="1670" spans="1:12">
      <c r="A1670" t="str">
        <f>HYPERLINK("http://bombeiros.sp.gov.br/hidrantes/03individual/4345.html","4345")</f>
        <v>4345</v>
      </c>
      <c r="B1670" t="str">
        <f>HYPERLINK("http://bombeiros.sp.gov.br/hidrantes/08bsg/qrcodeBSG.html?id=4345&amp;lat=-23.60958&amp;long=-46.53460&amp;tipo=S","QRCODE")</f>
        <v>QRCODE</v>
      </c>
      <c r="C1670" t="s">
        <v>5273</v>
      </c>
      <c r="D1670" t="s">
        <v>5320</v>
      </c>
      <c r="E1670" t="s">
        <v>1779</v>
      </c>
      <c r="F1670" t="s">
        <v>21</v>
      </c>
      <c r="G1670" t="s">
        <v>4279</v>
      </c>
      <c r="H1670">
        <v>0</v>
      </c>
      <c r="I1670">
        <v>1</v>
      </c>
      <c r="J1670">
        <v>0</v>
      </c>
      <c r="K1670">
        <v>0</v>
      </c>
      <c r="L1670">
        <v>0</v>
      </c>
    </row>
    <row r="1671" spans="1:12">
      <c r="A1671" t="str">
        <f>HYPERLINK("http://bombeiros.sp.gov.br/hidrantes/03individual/4346.html","4346")</f>
        <v>4346</v>
      </c>
      <c r="B1671" t="str">
        <f>HYPERLINK("http://bombeiros.sp.gov.br/hidrantes/08bsg/qrcodeBSG.html?id=4346&amp;lat=-23.61271&amp;long=-46.53237&amp;tipo=S","QRCODE")</f>
        <v>QRCODE</v>
      </c>
      <c r="C1671" t="s">
        <v>5273</v>
      </c>
      <c r="D1671" t="s">
        <v>5320</v>
      </c>
      <c r="E1671" t="s">
        <v>1779</v>
      </c>
      <c r="F1671" t="s">
        <v>21</v>
      </c>
      <c r="G1671" t="s">
        <v>3888</v>
      </c>
      <c r="H1671">
        <v>1</v>
      </c>
      <c r="I1671">
        <v>2</v>
      </c>
      <c r="J1671">
        <v>0</v>
      </c>
      <c r="K1671">
        <v>0</v>
      </c>
      <c r="L1671">
        <v>0</v>
      </c>
    </row>
    <row r="1672" spans="1:12">
      <c r="A1672" t="str">
        <f>HYPERLINK("http://bombeiros.sp.gov.br/hidrantes/03individual/5625.html","5625")</f>
        <v>5625</v>
      </c>
      <c r="B1672" t="str">
        <f>HYPERLINK("http://bombeiros.sp.gov.br/hidrantes/08bsg/qrcodeBSG.html?id=5625&amp;lat=-23.60806&amp;long=-46.52401&amp;tipo=S","QRCODE")</f>
        <v>QRCODE</v>
      </c>
      <c r="C1672" t="s">
        <v>5273</v>
      </c>
      <c r="D1672" t="s">
        <v>5320</v>
      </c>
      <c r="E1672" t="s">
        <v>1779</v>
      </c>
      <c r="F1672" t="s">
        <v>21</v>
      </c>
      <c r="G1672" t="s">
        <v>4281</v>
      </c>
      <c r="H1672">
        <v>0</v>
      </c>
      <c r="I1672">
        <v>1</v>
      </c>
      <c r="J1672">
        <v>0</v>
      </c>
      <c r="K1672">
        <v>0</v>
      </c>
      <c r="L1672">
        <v>0</v>
      </c>
    </row>
    <row r="1673" spans="1:12">
      <c r="A1673" t="str">
        <f>HYPERLINK("http://bombeiros.sp.gov.br/hidrantes/03individual/5626.html","5626")</f>
        <v>5626</v>
      </c>
      <c r="B1673" t="str">
        <f>HYPERLINK("http://bombeiros.sp.gov.br/hidrantes/08bsg/qrcodeBSG.html?id=5626&amp;lat=-23.60777&amp;long=-46.52385&amp;tipo=S","QRCODE")</f>
        <v>QRCODE</v>
      </c>
      <c r="C1673" t="s">
        <v>5273</v>
      </c>
      <c r="D1673" t="s">
        <v>5320</v>
      </c>
      <c r="E1673" t="s">
        <v>1779</v>
      </c>
      <c r="F1673" t="s">
        <v>21</v>
      </c>
      <c r="G1673" t="s">
        <v>4282</v>
      </c>
      <c r="H1673">
        <v>0</v>
      </c>
      <c r="I1673">
        <v>1</v>
      </c>
      <c r="J1673">
        <v>0</v>
      </c>
      <c r="K1673">
        <v>0</v>
      </c>
      <c r="L1673">
        <v>0</v>
      </c>
    </row>
    <row r="1674" spans="1:12">
      <c r="A1674" t="str">
        <f>HYPERLINK("http://bombeiros.sp.gov.br/hidrantes/03individual/10020.html","10020")</f>
        <v>10020</v>
      </c>
      <c r="B1674" t="str">
        <f>HYPERLINK("http://bombeiros.sp.gov.br/hidrantes/08bsg/qrcodeBSG.html?id=10020&amp;lat=-23.60258&amp;long=-46.54960&amp;tipo=S","QRCODE")</f>
        <v>QRCODE</v>
      </c>
      <c r="C1674" t="s">
        <v>5273</v>
      </c>
      <c r="D1674" t="s">
        <v>5320</v>
      </c>
      <c r="E1674" t="s">
        <v>1779</v>
      </c>
      <c r="F1674" t="s">
        <v>21</v>
      </c>
      <c r="G1674" t="s">
        <v>3981</v>
      </c>
      <c r="H1674">
        <v>1</v>
      </c>
      <c r="I1674">
        <v>2</v>
      </c>
      <c r="J1674">
        <v>0</v>
      </c>
      <c r="K1674">
        <v>0</v>
      </c>
      <c r="L1674">
        <v>0</v>
      </c>
    </row>
    <row r="1675" spans="1:12">
      <c r="A1675" t="str">
        <f>HYPERLINK("http://bombeiros.sp.gov.br/hidrantes/03individual/10021.html","10021")</f>
        <v>10021</v>
      </c>
      <c r="B1675" t="str">
        <f>HYPERLINK("http://bombeiros.sp.gov.br/hidrantes/08bsg/qrcodeBSG.html?id=10021&amp;lat=-23.60153&amp;long=-46.54909&amp;tipo=S","QRCODE")</f>
        <v>QRCODE</v>
      </c>
      <c r="C1675" t="s">
        <v>5273</v>
      </c>
      <c r="D1675" t="s">
        <v>5320</v>
      </c>
      <c r="E1675" t="s">
        <v>1779</v>
      </c>
      <c r="F1675" t="s">
        <v>21</v>
      </c>
      <c r="G1675" t="s">
        <v>3674</v>
      </c>
      <c r="H1675">
        <v>1</v>
      </c>
      <c r="I1675">
        <v>1</v>
      </c>
      <c r="J1675">
        <v>0</v>
      </c>
      <c r="K1675">
        <v>0</v>
      </c>
      <c r="L1675">
        <v>0</v>
      </c>
    </row>
    <row r="1676" spans="1:12">
      <c r="A1676" t="str">
        <f>HYPERLINK("http://bombeiros.sp.gov.br/hidrantes/03individual/15214.html","15214")</f>
        <v>15214</v>
      </c>
      <c r="B1676" t="str">
        <f>HYPERLINK("http://bombeiros.sp.gov.br/hidrantes/08bsg/qrcodeBSG.html?id=15214&amp;lat=-23.59699&amp;long=-46.54043&amp;tipo=S","QRCODE")</f>
        <v>QRCODE</v>
      </c>
      <c r="C1676" t="s">
        <v>5273</v>
      </c>
      <c r="D1676" t="s">
        <v>5320</v>
      </c>
      <c r="E1676" t="s">
        <v>1779</v>
      </c>
      <c r="F1676" t="s">
        <v>21</v>
      </c>
      <c r="G1676" t="s">
        <v>3991</v>
      </c>
      <c r="H1676">
        <v>2</v>
      </c>
      <c r="I1676">
        <v>1</v>
      </c>
      <c r="J1676">
        <v>0</v>
      </c>
      <c r="K1676">
        <v>0</v>
      </c>
      <c r="L1676">
        <v>0</v>
      </c>
    </row>
    <row r="1677" spans="1:12">
      <c r="A1677" t="str">
        <f>HYPERLINK("http://bombeiros.sp.gov.br/hidrantes/03individual/26847.html","26847")</f>
        <v>26847</v>
      </c>
      <c r="B1677" t="str">
        <f>HYPERLINK("http://bombeiros.sp.gov.br/hidrantes/08bsg/qrcodeBSG.html?id=26847&amp;lat=-23.60299&amp;long=-46.53435&amp;tipo=S","QRCODE")</f>
        <v>QRCODE</v>
      </c>
      <c r="C1677" t="s">
        <v>5273</v>
      </c>
      <c r="D1677" t="s">
        <v>5320</v>
      </c>
      <c r="E1677" t="s">
        <v>1779</v>
      </c>
      <c r="F1677" t="s">
        <v>21</v>
      </c>
      <c r="G1677" t="s">
        <v>3904</v>
      </c>
      <c r="H1677">
        <v>0</v>
      </c>
      <c r="I1677">
        <v>1</v>
      </c>
      <c r="J1677">
        <v>0</v>
      </c>
      <c r="K1677">
        <v>0</v>
      </c>
      <c r="L1677">
        <v>0</v>
      </c>
    </row>
    <row r="1678" spans="1:12">
      <c r="A1678" t="str">
        <f>HYPERLINK("http://bombeiros.sp.gov.br/hidrantes/03individual/3265.html","3265")</f>
        <v>3265</v>
      </c>
      <c r="B1678" t="str">
        <f>HYPERLINK("http://bombeiros.sp.gov.br/hidrantes/08bsg/qrcodeBSG.html?id=3265&amp;lat=-23.57713&amp;long=-46.55115&amp;tipo=C","QRCODE")</f>
        <v>QRCODE</v>
      </c>
      <c r="C1678" t="s">
        <v>5273</v>
      </c>
      <c r="D1678" t="s">
        <v>5320</v>
      </c>
      <c r="E1678" t="s">
        <v>746</v>
      </c>
      <c r="F1678" t="s">
        <v>12</v>
      </c>
      <c r="G1678" t="s">
        <v>4725</v>
      </c>
      <c r="H1678">
        <v>1</v>
      </c>
      <c r="I1678">
        <v>1</v>
      </c>
      <c r="J1678">
        <v>0</v>
      </c>
      <c r="K1678">
        <v>0</v>
      </c>
      <c r="L1678">
        <v>0</v>
      </c>
    </row>
    <row r="1679" spans="1:12">
      <c r="A1679" t="str">
        <f>HYPERLINK("http://bombeiros.sp.gov.br/hidrantes/03individual/26692.html","26692")</f>
        <v>26692</v>
      </c>
      <c r="B1679" t="str">
        <f>HYPERLINK("http://bombeiros.sp.gov.br/hidrantes/08bsg/qrcodeBSG.html?id=26692&amp;lat=-23.58155&amp;long=-46.55334&amp;tipo=C","QRCODE")</f>
        <v>QRCODE</v>
      </c>
      <c r="C1679" t="s">
        <v>5273</v>
      </c>
      <c r="D1679" t="s">
        <v>5320</v>
      </c>
      <c r="E1679" t="s">
        <v>746</v>
      </c>
      <c r="F1679" t="s">
        <v>12</v>
      </c>
      <c r="G1679" t="s">
        <v>1844</v>
      </c>
      <c r="H1679">
        <v>0</v>
      </c>
      <c r="I1679">
        <v>2</v>
      </c>
      <c r="J1679">
        <v>0</v>
      </c>
      <c r="K1679">
        <v>0</v>
      </c>
      <c r="L1679">
        <v>0</v>
      </c>
    </row>
    <row r="1680" spans="1:12">
      <c r="A1680" t="str">
        <f>HYPERLINK("http://bombeiros.sp.gov.br/hidrantes/03individual/1340.html","1340")</f>
        <v>1340</v>
      </c>
      <c r="B1680" t="str">
        <f>HYPERLINK("http://bombeiros.sp.gov.br/hidrantes/08bsg/qrcodeBSG.html?id=1340&amp;lat=-23.57820&amp;long=-46.55561&amp;tipo=S","QRCODE")</f>
        <v>QRCODE</v>
      </c>
      <c r="C1680" t="s">
        <v>5273</v>
      </c>
      <c r="D1680" t="s">
        <v>5320</v>
      </c>
      <c r="E1680" t="s">
        <v>746</v>
      </c>
      <c r="F1680" t="s">
        <v>21</v>
      </c>
      <c r="G1680" t="s">
        <v>745</v>
      </c>
      <c r="H1680">
        <v>0</v>
      </c>
      <c r="I1680">
        <v>3</v>
      </c>
      <c r="J1680">
        <v>0</v>
      </c>
      <c r="K1680">
        <v>0</v>
      </c>
      <c r="L1680">
        <v>0</v>
      </c>
    </row>
    <row r="1681" spans="1:12">
      <c r="A1681" t="str">
        <f>HYPERLINK("http://bombeiros.sp.gov.br/hidrantes/03individual/1357.html","1357")</f>
        <v>1357</v>
      </c>
      <c r="B1681" t="str">
        <f>HYPERLINK("http://bombeiros.sp.gov.br/hidrantes/08bsg/qrcodeBSG.html?id=1357&amp;lat=-23.58793&amp;long=-46.54084&amp;tipo=S","QRCODE")</f>
        <v>QRCODE</v>
      </c>
      <c r="C1681" t="s">
        <v>5273</v>
      </c>
      <c r="D1681" t="s">
        <v>5320</v>
      </c>
      <c r="E1681" t="s">
        <v>746</v>
      </c>
      <c r="F1681" t="s">
        <v>21</v>
      </c>
      <c r="G1681" t="s">
        <v>4048</v>
      </c>
      <c r="H1681">
        <v>1</v>
      </c>
      <c r="I1681">
        <v>2</v>
      </c>
      <c r="J1681">
        <v>0</v>
      </c>
      <c r="K1681">
        <v>0</v>
      </c>
      <c r="L1681">
        <v>0</v>
      </c>
    </row>
    <row r="1682" spans="1:12">
      <c r="A1682" t="str">
        <f>HYPERLINK("http://bombeiros.sp.gov.br/hidrantes/03individual/1562.html","1562")</f>
        <v>1562</v>
      </c>
      <c r="B1682" t="str">
        <f>HYPERLINK("http://bombeiros.sp.gov.br/hidrantes/08bsg/qrcodeBSG.html?id=1562&amp;lat=-23.58766&amp;long=-46.53771&amp;tipo=S","QRCODE")</f>
        <v>QRCODE</v>
      </c>
      <c r="C1682" t="s">
        <v>5273</v>
      </c>
      <c r="D1682" t="s">
        <v>5320</v>
      </c>
      <c r="E1682" t="s">
        <v>746</v>
      </c>
      <c r="F1682" t="s">
        <v>21</v>
      </c>
      <c r="G1682" t="s">
        <v>4597</v>
      </c>
      <c r="H1682">
        <v>0</v>
      </c>
      <c r="I1682">
        <v>2</v>
      </c>
      <c r="J1682">
        <v>0</v>
      </c>
      <c r="K1682">
        <v>0</v>
      </c>
      <c r="L1682">
        <v>0</v>
      </c>
    </row>
    <row r="1683" spans="1:12">
      <c r="A1683" t="str">
        <f>HYPERLINK("http://bombeiros.sp.gov.br/hidrantes/03individual/1563.html","1563")</f>
        <v>1563</v>
      </c>
      <c r="B1683" t="str">
        <f>HYPERLINK("http://bombeiros.sp.gov.br/hidrantes/08bsg/qrcodeBSG.html?id=1563&amp;lat=-23.58973&amp;long=-46.53486&amp;tipo=S","QRCODE")</f>
        <v>QRCODE</v>
      </c>
      <c r="C1683" t="s">
        <v>5273</v>
      </c>
      <c r="D1683" t="s">
        <v>5320</v>
      </c>
      <c r="E1683" t="s">
        <v>746</v>
      </c>
      <c r="F1683" t="s">
        <v>21</v>
      </c>
      <c r="G1683" t="s">
        <v>4598</v>
      </c>
      <c r="H1683">
        <v>0</v>
      </c>
      <c r="I1683">
        <v>2</v>
      </c>
      <c r="J1683">
        <v>0</v>
      </c>
      <c r="K1683">
        <v>0</v>
      </c>
      <c r="L1683">
        <v>0</v>
      </c>
    </row>
    <row r="1684" spans="1:12">
      <c r="A1684" t="str">
        <f>HYPERLINK("http://bombeiros.sp.gov.br/hidrantes/03individual/1746.html","1746")</f>
        <v>1746</v>
      </c>
      <c r="B1684" t="str">
        <f>HYPERLINK("http://bombeiros.sp.gov.br/hidrantes/08bsg/qrcodeBSG.html?id=1746&amp;lat=-23.57552&amp;long=-46.55705&amp;tipo=S","QRCODE")</f>
        <v>QRCODE</v>
      </c>
      <c r="C1684" t="s">
        <v>5273</v>
      </c>
      <c r="D1684" t="s">
        <v>5320</v>
      </c>
      <c r="E1684" t="s">
        <v>746</v>
      </c>
      <c r="F1684" t="s">
        <v>21</v>
      </c>
      <c r="G1684" t="s">
        <v>2381</v>
      </c>
      <c r="H1684">
        <v>0</v>
      </c>
      <c r="I1684">
        <v>2</v>
      </c>
      <c r="J1684">
        <v>0</v>
      </c>
      <c r="K1684">
        <v>0</v>
      </c>
      <c r="L1684">
        <v>0</v>
      </c>
    </row>
    <row r="1685" spans="1:12">
      <c r="A1685" t="str">
        <f>HYPERLINK("http://bombeiros.sp.gov.br/hidrantes/03individual/1747.html","1747")</f>
        <v>1747</v>
      </c>
      <c r="B1685" t="str">
        <f>HYPERLINK("http://bombeiros.sp.gov.br/hidrantes/08bsg/qrcodeBSG.html?id=1747&amp;lat=-23.58095&amp;long=-46.55629&amp;tipo=S","QRCODE")</f>
        <v>QRCODE</v>
      </c>
      <c r="C1685" t="s">
        <v>5273</v>
      </c>
      <c r="D1685" t="s">
        <v>5320</v>
      </c>
      <c r="E1685" t="s">
        <v>746</v>
      </c>
      <c r="F1685" t="s">
        <v>21</v>
      </c>
      <c r="G1685" t="s">
        <v>4604</v>
      </c>
      <c r="H1685">
        <v>0</v>
      </c>
      <c r="I1685">
        <v>2</v>
      </c>
      <c r="J1685">
        <v>0</v>
      </c>
      <c r="K1685">
        <v>0</v>
      </c>
      <c r="L1685">
        <v>0</v>
      </c>
    </row>
    <row r="1686" spans="1:12">
      <c r="A1686" t="str">
        <f>HYPERLINK("http://bombeiros.sp.gov.br/hidrantes/03individual/1814.html","1814")</f>
        <v>1814</v>
      </c>
      <c r="B1686" t="str">
        <f>HYPERLINK("http://bombeiros.sp.gov.br/hidrantes/08bsg/qrcodeBSG.html?id=1814&amp;lat=-23.58379&amp;long=-46.54177&amp;tipo=S","QRCODE")</f>
        <v>QRCODE</v>
      </c>
      <c r="C1686" t="s">
        <v>5273</v>
      </c>
      <c r="D1686" t="s">
        <v>5320</v>
      </c>
      <c r="E1686" t="s">
        <v>746</v>
      </c>
      <c r="F1686" t="s">
        <v>21</v>
      </c>
      <c r="G1686" t="s">
        <v>4601</v>
      </c>
      <c r="H1686">
        <v>0</v>
      </c>
      <c r="I1686">
        <v>3</v>
      </c>
      <c r="J1686">
        <v>0</v>
      </c>
      <c r="K1686">
        <v>0</v>
      </c>
      <c r="L1686">
        <v>0</v>
      </c>
    </row>
    <row r="1687" spans="1:12">
      <c r="A1687" t="str">
        <f>HYPERLINK("http://bombeiros.sp.gov.br/hidrantes/03individual/1815.html","1815")</f>
        <v>1815</v>
      </c>
      <c r="B1687" t="str">
        <f>HYPERLINK("http://bombeiros.sp.gov.br/hidrantes/08bsg/qrcodeBSG.html?id=1815&amp;lat=-23.58212&amp;long=-46.54580&amp;tipo=S","QRCODE")</f>
        <v>QRCODE</v>
      </c>
      <c r="C1687" t="s">
        <v>5273</v>
      </c>
      <c r="D1687" t="s">
        <v>5320</v>
      </c>
      <c r="E1687" t="s">
        <v>746</v>
      </c>
      <c r="F1687" t="s">
        <v>21</v>
      </c>
      <c r="G1687" t="s">
        <v>4647</v>
      </c>
      <c r="H1687">
        <v>1</v>
      </c>
      <c r="I1687">
        <v>1</v>
      </c>
      <c r="J1687">
        <v>0</v>
      </c>
      <c r="K1687">
        <v>0</v>
      </c>
      <c r="L1687">
        <v>0</v>
      </c>
    </row>
    <row r="1688" spans="1:12">
      <c r="A1688" t="str">
        <f>HYPERLINK("http://bombeiros.sp.gov.br/hidrantes/03individual/3064.html","3064")</f>
        <v>3064</v>
      </c>
      <c r="B1688" t="str">
        <f>HYPERLINK("http://bombeiros.sp.gov.br/hidrantes/08bsg/qrcodeBSG.html?id=3064&amp;lat=-23.58535&amp;long=-46.54078&amp;tipo=S","QRCODE")</f>
        <v>QRCODE</v>
      </c>
      <c r="C1688" t="s">
        <v>5273</v>
      </c>
      <c r="D1688" t="s">
        <v>5320</v>
      </c>
      <c r="E1688" t="s">
        <v>746</v>
      </c>
      <c r="F1688" t="s">
        <v>21</v>
      </c>
      <c r="G1688" t="s">
        <v>3103</v>
      </c>
      <c r="H1688">
        <v>1</v>
      </c>
      <c r="I1688">
        <v>1</v>
      </c>
      <c r="J1688">
        <v>0</v>
      </c>
      <c r="K1688">
        <v>0</v>
      </c>
      <c r="L1688">
        <v>0</v>
      </c>
    </row>
    <row r="1689" spans="1:12">
      <c r="A1689" t="str">
        <f>HYPERLINK("http://bombeiros.sp.gov.br/hidrantes/03individual/3069.html","3069")</f>
        <v>3069</v>
      </c>
      <c r="B1689" t="str">
        <f>HYPERLINK("http://bombeiros.sp.gov.br/hidrantes/08bsg/qrcodeBSG.html?id=3069&amp;lat=-23.58398&amp;long=-46.54705&amp;tipo=S","QRCODE")</f>
        <v>QRCODE</v>
      </c>
      <c r="C1689" t="s">
        <v>5273</v>
      </c>
      <c r="D1689" t="s">
        <v>5320</v>
      </c>
      <c r="E1689" t="s">
        <v>746</v>
      </c>
      <c r="F1689" t="s">
        <v>21</v>
      </c>
      <c r="G1689" t="s">
        <v>2603</v>
      </c>
      <c r="H1689">
        <v>0</v>
      </c>
      <c r="I1689">
        <v>3</v>
      </c>
      <c r="J1689">
        <v>0</v>
      </c>
      <c r="K1689">
        <v>0</v>
      </c>
      <c r="L1689">
        <v>0</v>
      </c>
    </row>
    <row r="1690" spans="1:12">
      <c r="A1690" t="str">
        <f>HYPERLINK("http://bombeiros.sp.gov.br/hidrantes/03individual/3070.html","3070")</f>
        <v>3070</v>
      </c>
      <c r="B1690" t="str">
        <f>HYPERLINK("http://bombeiros.sp.gov.br/hidrantes/08bsg/qrcodeBSG.html?id=3070&amp;lat=-23.58051&amp;long=-46.55040&amp;tipo=S","QRCODE")</f>
        <v>QRCODE</v>
      </c>
      <c r="C1690" t="s">
        <v>5273</v>
      </c>
      <c r="D1690" t="s">
        <v>5320</v>
      </c>
      <c r="E1690" t="s">
        <v>746</v>
      </c>
      <c r="F1690" t="s">
        <v>21</v>
      </c>
      <c r="G1690" t="s">
        <v>1861</v>
      </c>
      <c r="H1690">
        <v>0</v>
      </c>
      <c r="I1690">
        <v>2</v>
      </c>
      <c r="J1690">
        <v>0</v>
      </c>
      <c r="K1690">
        <v>0</v>
      </c>
      <c r="L1690">
        <v>0</v>
      </c>
    </row>
    <row r="1691" spans="1:12">
      <c r="A1691" t="str">
        <f>HYPERLINK("http://bombeiros.sp.gov.br/hidrantes/03individual/3073.html","3073")</f>
        <v>3073</v>
      </c>
      <c r="B1691" t="str">
        <f>HYPERLINK("http://bombeiros.sp.gov.br/hidrantes/08bsg/qrcodeBSG.html?id=3073&amp;lat=-23.57953&amp;long=-46.55249&amp;tipo=S","QRCODE")</f>
        <v>QRCODE</v>
      </c>
      <c r="C1691" t="s">
        <v>5273</v>
      </c>
      <c r="D1691" t="s">
        <v>5320</v>
      </c>
      <c r="E1691" t="s">
        <v>746</v>
      </c>
      <c r="F1691" t="s">
        <v>21</v>
      </c>
      <c r="G1691" t="s">
        <v>1860</v>
      </c>
      <c r="H1691">
        <v>0</v>
      </c>
      <c r="I1691">
        <v>2</v>
      </c>
      <c r="J1691">
        <v>0</v>
      </c>
      <c r="K1691">
        <v>0</v>
      </c>
      <c r="L1691">
        <v>0</v>
      </c>
    </row>
    <row r="1692" spans="1:12">
      <c r="A1692" t="str">
        <f>HYPERLINK("http://bombeiros.sp.gov.br/hidrantes/03individual/3145.html","3145")</f>
        <v>3145</v>
      </c>
      <c r="B1692" t="str">
        <f>HYPERLINK("http://bombeiros.sp.gov.br/hidrantes/08bsg/qrcodeBSG.html?id=3145&amp;lat=-23.58180&amp;long=-46.55245&amp;tipo=S","QRCODE")</f>
        <v>QRCODE</v>
      </c>
      <c r="C1692" t="s">
        <v>5273</v>
      </c>
      <c r="D1692" t="s">
        <v>5320</v>
      </c>
      <c r="E1692" t="s">
        <v>746</v>
      </c>
      <c r="F1692" t="s">
        <v>21</v>
      </c>
      <c r="G1692" t="s">
        <v>4550</v>
      </c>
      <c r="H1692">
        <v>0</v>
      </c>
      <c r="I1692">
        <v>2</v>
      </c>
      <c r="J1692">
        <v>0</v>
      </c>
      <c r="K1692">
        <v>0</v>
      </c>
      <c r="L1692">
        <v>0</v>
      </c>
    </row>
    <row r="1693" spans="1:12">
      <c r="A1693" t="str">
        <f>HYPERLINK("http://bombeiros.sp.gov.br/hidrantes/03individual/3163.html","3163")</f>
        <v>3163</v>
      </c>
      <c r="B1693" t="str">
        <f>HYPERLINK("http://bombeiros.sp.gov.br/hidrantes/08bsg/qrcodeBSG.html?id=3163&amp;lat=-23.58703&amp;long=-46.54188&amp;tipo=S","QRCODE")</f>
        <v>QRCODE</v>
      </c>
      <c r="C1693" t="s">
        <v>5273</v>
      </c>
      <c r="D1693" t="s">
        <v>5320</v>
      </c>
      <c r="E1693" t="s">
        <v>746</v>
      </c>
      <c r="F1693" t="s">
        <v>21</v>
      </c>
      <c r="G1693" t="s">
        <v>4542</v>
      </c>
      <c r="H1693">
        <v>0</v>
      </c>
      <c r="I1693">
        <v>2</v>
      </c>
      <c r="J1693">
        <v>0</v>
      </c>
      <c r="K1693">
        <v>0</v>
      </c>
      <c r="L1693">
        <v>0</v>
      </c>
    </row>
    <row r="1694" spans="1:12">
      <c r="A1694" t="str">
        <f>HYPERLINK("http://bombeiros.sp.gov.br/hidrantes/03individual/3260.html","3260")</f>
        <v>3260</v>
      </c>
      <c r="B1694" t="str">
        <f>HYPERLINK("http://bombeiros.sp.gov.br/hidrantes/08bsg/qrcodeBSG.html?id=3260&amp;lat=-23.57711&amp;long=-46.55433&amp;tipo=S","QRCODE")</f>
        <v>QRCODE</v>
      </c>
      <c r="C1694" t="s">
        <v>5273</v>
      </c>
      <c r="D1694" t="s">
        <v>5320</v>
      </c>
      <c r="E1694" t="s">
        <v>746</v>
      </c>
      <c r="F1694" t="s">
        <v>21</v>
      </c>
      <c r="G1694" t="s">
        <v>1854</v>
      </c>
      <c r="H1694">
        <v>0</v>
      </c>
      <c r="I1694">
        <v>2</v>
      </c>
      <c r="J1694">
        <v>0</v>
      </c>
      <c r="K1694">
        <v>0</v>
      </c>
      <c r="L1694">
        <v>0</v>
      </c>
    </row>
    <row r="1695" spans="1:12">
      <c r="A1695" t="str">
        <f>HYPERLINK("http://bombeiros.sp.gov.br/hidrantes/03individual/3270.html","3270")</f>
        <v>3270</v>
      </c>
      <c r="B1695" t="str">
        <f>HYPERLINK("http://bombeiros.sp.gov.br/hidrantes/08bsg/qrcodeBSG.html?id=3270&amp;lat=-23.57904&amp;long=-46.54459&amp;tipo=S","QRCODE")</f>
        <v>QRCODE</v>
      </c>
      <c r="C1695" t="s">
        <v>5273</v>
      </c>
      <c r="D1695" t="s">
        <v>5320</v>
      </c>
      <c r="E1695" t="s">
        <v>746</v>
      </c>
      <c r="F1695" t="s">
        <v>21</v>
      </c>
      <c r="G1695" t="s">
        <v>1853</v>
      </c>
      <c r="H1695">
        <v>0</v>
      </c>
      <c r="I1695">
        <v>2</v>
      </c>
      <c r="J1695">
        <v>0</v>
      </c>
      <c r="K1695">
        <v>0</v>
      </c>
      <c r="L1695">
        <v>0</v>
      </c>
    </row>
    <row r="1696" spans="1:12">
      <c r="A1696" t="str">
        <f>HYPERLINK("http://bombeiros.sp.gov.br/hidrantes/03individual/3272.html","3272")</f>
        <v>3272</v>
      </c>
      <c r="B1696" t="str">
        <f>HYPERLINK("http://bombeiros.sp.gov.br/hidrantes/08bsg/qrcodeBSG.html?id=3272&amp;lat=-23.58775&amp;long=-46.53254&amp;tipo=S","QRCODE")</f>
        <v>QRCODE</v>
      </c>
      <c r="C1696" t="s">
        <v>5273</v>
      </c>
      <c r="D1696" t="s">
        <v>5320</v>
      </c>
      <c r="E1696" t="s">
        <v>746</v>
      </c>
      <c r="F1696" t="s">
        <v>21</v>
      </c>
      <c r="G1696" t="s">
        <v>4540</v>
      </c>
      <c r="H1696">
        <v>0</v>
      </c>
      <c r="I1696">
        <v>2</v>
      </c>
      <c r="J1696">
        <v>0</v>
      </c>
      <c r="K1696">
        <v>0</v>
      </c>
      <c r="L1696">
        <v>0</v>
      </c>
    </row>
    <row r="1697" spans="1:12">
      <c r="A1697" t="str">
        <f>HYPERLINK("http://bombeiros.sp.gov.br/hidrantes/03individual/3469.html","3469")</f>
        <v>3469</v>
      </c>
      <c r="B1697" t="str">
        <f>HYPERLINK("http://bombeiros.sp.gov.br/hidrantes/08bsg/qrcodeBSG.html?id=3469&amp;lat=-23.57823&amp;long=-46.54868&amp;tipo=S","QRCODE")</f>
        <v>QRCODE</v>
      </c>
      <c r="C1697" t="s">
        <v>5273</v>
      </c>
      <c r="D1697" t="s">
        <v>5320</v>
      </c>
      <c r="E1697" t="s">
        <v>746</v>
      </c>
      <c r="F1697" t="s">
        <v>21</v>
      </c>
      <c r="G1697" t="s">
        <v>1859</v>
      </c>
      <c r="H1697">
        <v>0</v>
      </c>
      <c r="I1697">
        <v>2</v>
      </c>
      <c r="J1697">
        <v>0</v>
      </c>
      <c r="K1697">
        <v>0</v>
      </c>
      <c r="L1697">
        <v>0</v>
      </c>
    </row>
    <row r="1698" spans="1:12">
      <c r="A1698" t="str">
        <f>HYPERLINK("http://bombeiros.sp.gov.br/hidrantes/03individual/17735.html","17735")</f>
        <v>17735</v>
      </c>
      <c r="B1698" t="str">
        <f>HYPERLINK("http://bombeiros.sp.gov.br/hidrantes/08bsg/qrcodeBSG.html?id=17735&amp;lat=-23.57833&amp;long=-46.55489&amp;tipo=S","QRCODE")</f>
        <v>QRCODE</v>
      </c>
      <c r="C1698" t="s">
        <v>5273</v>
      </c>
      <c r="D1698" t="s">
        <v>5320</v>
      </c>
      <c r="E1698" t="s">
        <v>746</v>
      </c>
      <c r="F1698" t="s">
        <v>21</v>
      </c>
      <c r="G1698" t="s">
        <v>4714</v>
      </c>
      <c r="H1698">
        <v>1</v>
      </c>
      <c r="I1698">
        <v>1</v>
      </c>
      <c r="J1698">
        <v>0</v>
      </c>
      <c r="K1698">
        <v>0</v>
      </c>
      <c r="L1698">
        <v>0</v>
      </c>
    </row>
    <row r="1699" spans="1:12">
      <c r="A1699" t="str">
        <f>HYPERLINK("http://bombeiros.sp.gov.br/hidrantes/03individual/3062.html","3062")</f>
        <v>3062</v>
      </c>
      <c r="B1699" t="str">
        <f>HYPERLINK("http://bombeiros.sp.gov.br/hidrantes/08bsg/qrcodeBSG.html?id=3062&amp;lat=-23.58281&amp;long=-46.53551&amp;tipo=S","QRCODE")</f>
        <v>QRCODE</v>
      </c>
      <c r="C1699" t="s">
        <v>5273</v>
      </c>
      <c r="D1699" t="s">
        <v>5320</v>
      </c>
      <c r="E1699" t="s">
        <v>890</v>
      </c>
      <c r="F1699" t="s">
        <v>21</v>
      </c>
      <c r="G1699" t="s">
        <v>1863</v>
      </c>
      <c r="H1699">
        <v>0</v>
      </c>
      <c r="I1699">
        <v>2</v>
      </c>
      <c r="J1699">
        <v>0</v>
      </c>
      <c r="K1699">
        <v>0</v>
      </c>
      <c r="L1699">
        <v>0</v>
      </c>
    </row>
    <row r="1700" spans="1:12">
      <c r="A1700" t="str">
        <f>HYPERLINK("http://bombeiros.sp.gov.br/hidrantes/03individual/891.html","891")</f>
        <v>891</v>
      </c>
      <c r="B1700" t="str">
        <f>HYPERLINK("http://bombeiros.sp.gov.br/hidrantes/08bsg/qrcodeBSG.html?id=891&amp;lat=-23.58809&amp;long=-46.49287&amp;tipo=C","QRCODE")</f>
        <v>QRCODE</v>
      </c>
      <c r="C1700" t="s">
        <v>5273</v>
      </c>
      <c r="D1700" t="s">
        <v>20</v>
      </c>
      <c r="E1700" t="s">
        <v>17</v>
      </c>
      <c r="F1700" t="s">
        <v>12</v>
      </c>
      <c r="G1700" t="s">
        <v>16</v>
      </c>
      <c r="H1700">
        <v>0</v>
      </c>
      <c r="I1700">
        <v>2</v>
      </c>
      <c r="J1700">
        <v>0</v>
      </c>
      <c r="K1700">
        <v>0</v>
      </c>
      <c r="L1700">
        <v>0</v>
      </c>
    </row>
    <row r="1701" spans="1:12">
      <c r="A1701" t="str">
        <f>HYPERLINK("http://bombeiros.sp.gov.br/hidrantes/03individual/994.html","994")</f>
        <v>994</v>
      </c>
      <c r="B1701" t="str">
        <f>HYPERLINK("http://bombeiros.sp.gov.br/hidrantes/08bsg/qrcodeBSG.html?id=994&amp;lat=-23.59117&amp;long=-46.49679&amp;tipo=C","QRCODE")</f>
        <v>QRCODE</v>
      </c>
      <c r="C1701" t="s">
        <v>5273</v>
      </c>
      <c r="D1701" t="s">
        <v>20</v>
      </c>
      <c r="E1701" t="s">
        <v>17</v>
      </c>
      <c r="F1701" t="s">
        <v>12</v>
      </c>
      <c r="G1701" t="s">
        <v>1413</v>
      </c>
      <c r="H1701">
        <v>1</v>
      </c>
      <c r="I1701">
        <v>2</v>
      </c>
      <c r="J1701">
        <v>0</v>
      </c>
      <c r="K1701">
        <v>0</v>
      </c>
      <c r="L1701">
        <v>0</v>
      </c>
    </row>
    <row r="1702" spans="1:12">
      <c r="A1702" t="str">
        <f>HYPERLINK("http://bombeiros.sp.gov.br/hidrantes/03individual/17733.html","17733")</f>
        <v>17733</v>
      </c>
      <c r="B1702" t="str">
        <f>HYPERLINK("http://bombeiros.sp.gov.br/hidrantes/08bsg/qrcodeBSG.html?id=17733&amp;lat=-23.59652&amp;long=-46.49848&amp;tipo=C","QRCODE")</f>
        <v>QRCODE</v>
      </c>
      <c r="C1702" t="s">
        <v>5273</v>
      </c>
      <c r="D1702" t="s">
        <v>20</v>
      </c>
      <c r="E1702" t="s">
        <v>17</v>
      </c>
      <c r="F1702" t="s">
        <v>12</v>
      </c>
      <c r="G1702" t="s">
        <v>5219</v>
      </c>
      <c r="H1702">
        <v>1</v>
      </c>
      <c r="I1702">
        <v>0</v>
      </c>
      <c r="J1702">
        <v>0</v>
      </c>
      <c r="K1702">
        <v>0</v>
      </c>
      <c r="L1702">
        <v>0</v>
      </c>
    </row>
    <row r="1703" spans="1:12">
      <c r="A1703" t="str">
        <f>HYPERLINK("http://bombeiros.sp.gov.br/hidrantes/03individual/26488.html","26488")</f>
        <v>26488</v>
      </c>
      <c r="B1703" t="str">
        <f>HYPERLINK("http://bombeiros.sp.gov.br/hidrantes/08bsg/qrcodeBSG.html?id=26488&amp;lat=-23.59339&amp;long=-46.48505&amp;tipo=C","QRCODE")</f>
        <v>QRCODE</v>
      </c>
      <c r="C1703" t="s">
        <v>5273</v>
      </c>
      <c r="D1703" t="s">
        <v>20</v>
      </c>
      <c r="E1703" t="s">
        <v>17</v>
      </c>
      <c r="F1703" t="s">
        <v>12</v>
      </c>
      <c r="G1703" t="s">
        <v>1496</v>
      </c>
      <c r="H1703">
        <v>0</v>
      </c>
      <c r="I1703">
        <v>2</v>
      </c>
      <c r="J1703">
        <v>0</v>
      </c>
      <c r="K1703">
        <v>0</v>
      </c>
      <c r="L1703">
        <v>0</v>
      </c>
    </row>
    <row r="1704" spans="1:12">
      <c r="A1704" t="str">
        <f>HYPERLINK("http://bombeiros.sp.gov.br/hidrantes/03individual/27283.html","27283")</f>
        <v>27283</v>
      </c>
      <c r="B1704" t="str">
        <f>HYPERLINK("http://bombeiros.sp.gov.br/hidrantes/08bsg/qrcodeBSG.html?id=27283&amp;lat=-23.59105&amp;long=-46.48916&amp;tipo=C","QRCODE")</f>
        <v>QRCODE</v>
      </c>
      <c r="C1704" t="s">
        <v>5273</v>
      </c>
      <c r="D1704" t="s">
        <v>20</v>
      </c>
      <c r="E1704" t="s">
        <v>17</v>
      </c>
      <c r="F1704" t="s">
        <v>12</v>
      </c>
      <c r="G1704" t="s">
        <v>37</v>
      </c>
      <c r="H1704">
        <v>0</v>
      </c>
      <c r="I1704">
        <v>2</v>
      </c>
      <c r="J1704">
        <v>0</v>
      </c>
      <c r="K1704">
        <v>0</v>
      </c>
      <c r="L1704">
        <v>0</v>
      </c>
    </row>
    <row r="1705" spans="1:12">
      <c r="A1705" t="str">
        <f>HYPERLINK("http://bombeiros.sp.gov.br/hidrantes/03individual/1946.html","1946")</f>
        <v>1946</v>
      </c>
      <c r="B1705" t="str">
        <f>HYPERLINK("http://bombeiros.sp.gov.br/hidrantes/08bsg/qrcodeBSG.html?id=1946&amp;lat=-23.58967&amp;long=-46.50224&amp;tipo=S","QRCODE")</f>
        <v>QRCODE</v>
      </c>
      <c r="C1705" t="s">
        <v>5273</v>
      </c>
      <c r="D1705" t="s">
        <v>20</v>
      </c>
      <c r="E1705" t="s">
        <v>17</v>
      </c>
      <c r="F1705" t="s">
        <v>21</v>
      </c>
      <c r="G1705" t="s">
        <v>4814</v>
      </c>
      <c r="H1705">
        <v>1</v>
      </c>
      <c r="I1705">
        <v>2</v>
      </c>
      <c r="J1705">
        <v>0</v>
      </c>
      <c r="K1705">
        <v>0</v>
      </c>
      <c r="L1705">
        <v>0</v>
      </c>
    </row>
    <row r="1706" spans="1:12">
      <c r="A1706" t="str">
        <f>HYPERLINK("http://bombeiros.sp.gov.br/hidrantes/03individual/1982.html","1982")</f>
        <v>1982</v>
      </c>
      <c r="B1706" t="str">
        <f>HYPERLINK("http://bombeiros.sp.gov.br/hidrantes/08bsg/qrcodeBSG.html?id=1982&amp;lat=-23.58690&amp;long=-46.49752&amp;tipo=S","QRCODE")</f>
        <v>QRCODE</v>
      </c>
      <c r="C1706" t="s">
        <v>5273</v>
      </c>
      <c r="D1706" t="s">
        <v>20</v>
      </c>
      <c r="E1706" t="s">
        <v>17</v>
      </c>
      <c r="F1706" t="s">
        <v>21</v>
      </c>
      <c r="G1706" t="s">
        <v>22</v>
      </c>
      <c r="H1706">
        <v>0</v>
      </c>
      <c r="I1706">
        <v>3</v>
      </c>
      <c r="J1706">
        <v>0</v>
      </c>
      <c r="K1706">
        <v>0</v>
      </c>
      <c r="L1706">
        <v>0</v>
      </c>
    </row>
    <row r="1707" spans="1:12">
      <c r="A1707" t="str">
        <f>HYPERLINK("http://bombeiros.sp.gov.br/hidrantes/03individual/2009.html","2009")</f>
        <v>2009</v>
      </c>
      <c r="B1707" t="str">
        <f>HYPERLINK("http://bombeiros.sp.gov.br/hidrantes/08bsg/qrcodeBSG.html?id=2009&amp;lat=-23.58405&amp;long=-46.49352&amp;tipo=S","QRCODE")</f>
        <v>QRCODE</v>
      </c>
      <c r="C1707" t="s">
        <v>5273</v>
      </c>
      <c r="D1707" t="s">
        <v>20</v>
      </c>
      <c r="E1707" t="s">
        <v>17</v>
      </c>
      <c r="F1707" t="s">
        <v>21</v>
      </c>
      <c r="G1707" t="s">
        <v>2545</v>
      </c>
      <c r="H1707">
        <v>1</v>
      </c>
      <c r="I1707">
        <v>2</v>
      </c>
      <c r="J1707">
        <v>0</v>
      </c>
      <c r="K1707">
        <v>0</v>
      </c>
      <c r="L1707">
        <v>0</v>
      </c>
    </row>
    <row r="1708" spans="1:12">
      <c r="A1708" t="str">
        <f>HYPERLINK("http://bombeiros.sp.gov.br/hidrantes/03individual/2030.html","2030")</f>
        <v>2030</v>
      </c>
      <c r="B1708" t="str">
        <f>HYPERLINK("http://bombeiros.sp.gov.br/hidrantes/08bsg/qrcodeBSG.html?id=2030&amp;lat=-23.60252&amp;long=-46.48886&amp;tipo=S","QRCODE")</f>
        <v>QRCODE</v>
      </c>
      <c r="C1708" t="s">
        <v>5273</v>
      </c>
      <c r="D1708" t="s">
        <v>20</v>
      </c>
      <c r="E1708" t="s">
        <v>17</v>
      </c>
      <c r="F1708" t="s">
        <v>21</v>
      </c>
      <c r="G1708" t="s">
        <v>4129</v>
      </c>
      <c r="H1708">
        <v>1</v>
      </c>
      <c r="I1708">
        <v>1</v>
      </c>
      <c r="J1708">
        <v>0</v>
      </c>
      <c r="K1708">
        <v>0</v>
      </c>
      <c r="L1708">
        <v>0</v>
      </c>
    </row>
    <row r="1709" spans="1:12">
      <c r="A1709" t="str">
        <f>HYPERLINK("http://bombeiros.sp.gov.br/hidrantes/03individual/3337.html","3337")</f>
        <v>3337</v>
      </c>
      <c r="B1709" t="str">
        <f>HYPERLINK("http://bombeiros.sp.gov.br/hidrantes/08bsg/qrcodeBSG.html?id=3337&amp;lat=-23.59649&amp;long=-46.49159&amp;tipo=S","QRCODE")</f>
        <v>QRCODE</v>
      </c>
      <c r="C1709" t="s">
        <v>5273</v>
      </c>
      <c r="D1709" t="s">
        <v>20</v>
      </c>
      <c r="E1709" t="s">
        <v>17</v>
      </c>
      <c r="F1709" t="s">
        <v>21</v>
      </c>
      <c r="G1709" t="s">
        <v>520</v>
      </c>
      <c r="H1709">
        <v>1</v>
      </c>
      <c r="I1709">
        <v>2</v>
      </c>
      <c r="J1709">
        <v>0</v>
      </c>
      <c r="K1709">
        <v>0</v>
      </c>
      <c r="L1709">
        <v>0</v>
      </c>
    </row>
    <row r="1710" spans="1:12">
      <c r="A1710" t="str">
        <f>HYPERLINK("http://bombeiros.sp.gov.br/hidrantes/03individual/3338.html","3338")</f>
        <v>3338</v>
      </c>
      <c r="B1710" t="str">
        <f>HYPERLINK("http://bombeiros.sp.gov.br/hidrantes/08bsg/qrcodeBSG.html?id=3338&amp;lat=-23.59174&amp;long=-46.49367&amp;tipo=S","QRCODE")</f>
        <v>QRCODE</v>
      </c>
      <c r="C1710" t="s">
        <v>5273</v>
      </c>
      <c r="D1710" t="s">
        <v>20</v>
      </c>
      <c r="E1710" t="s">
        <v>17</v>
      </c>
      <c r="F1710" t="s">
        <v>21</v>
      </c>
      <c r="G1710" t="s">
        <v>1467</v>
      </c>
      <c r="H1710">
        <v>0</v>
      </c>
      <c r="I1710">
        <v>2</v>
      </c>
      <c r="J1710">
        <v>0</v>
      </c>
      <c r="K1710">
        <v>0</v>
      </c>
      <c r="L1710">
        <v>0</v>
      </c>
    </row>
    <row r="1711" spans="1:12">
      <c r="A1711" t="str">
        <f>HYPERLINK("http://bombeiros.sp.gov.br/hidrantes/03individual/3339.html","3339")</f>
        <v>3339</v>
      </c>
      <c r="B1711" t="str">
        <f>HYPERLINK("http://bombeiros.sp.gov.br/hidrantes/08bsg/qrcodeBSG.html?id=3339&amp;lat=-23.58947&amp;long=-46.49594&amp;tipo=S","QRCODE")</f>
        <v>QRCODE</v>
      </c>
      <c r="C1711" t="s">
        <v>5273</v>
      </c>
      <c r="D1711" t="s">
        <v>20</v>
      </c>
      <c r="E1711" t="s">
        <v>17</v>
      </c>
      <c r="F1711" t="s">
        <v>21</v>
      </c>
      <c r="G1711" t="s">
        <v>2599</v>
      </c>
      <c r="H1711">
        <v>0</v>
      </c>
      <c r="I1711">
        <v>2</v>
      </c>
      <c r="J1711">
        <v>0</v>
      </c>
      <c r="K1711">
        <v>0</v>
      </c>
      <c r="L1711">
        <v>0</v>
      </c>
    </row>
    <row r="1712" spans="1:12">
      <c r="A1712" t="str">
        <f>HYPERLINK("http://bombeiros.sp.gov.br/hidrantes/03individual/3787.html","3787")</f>
        <v>3787</v>
      </c>
      <c r="B1712" t="str">
        <f>HYPERLINK("http://bombeiros.sp.gov.br/hidrantes/08bsg/qrcodeBSG.html?id=3787&amp;lat=-23.60057&amp;long=-46.48788&amp;tipo=S","QRCODE")</f>
        <v>QRCODE</v>
      </c>
      <c r="C1712" t="s">
        <v>5273</v>
      </c>
      <c r="D1712" t="s">
        <v>20</v>
      </c>
      <c r="E1712" t="s">
        <v>17</v>
      </c>
      <c r="F1712" t="s">
        <v>21</v>
      </c>
      <c r="G1712" t="s">
        <v>2555</v>
      </c>
      <c r="H1712">
        <v>0</v>
      </c>
      <c r="I1712">
        <v>2</v>
      </c>
      <c r="J1712">
        <v>0</v>
      </c>
      <c r="K1712">
        <v>0</v>
      </c>
      <c r="L1712">
        <v>0</v>
      </c>
    </row>
    <row r="1713" spans="1:12">
      <c r="A1713" t="str">
        <f>HYPERLINK("http://bombeiros.sp.gov.br/hidrantes/03individual/16652.html","16652")</f>
        <v>16652</v>
      </c>
      <c r="B1713" t="str">
        <f>HYPERLINK("http://bombeiros.sp.gov.br/hidrantes/08bsg/qrcodeBSG.html?id=16652&amp;lat=-23.58509&amp;long=-46.50336&amp;tipo=S","QRCODE")</f>
        <v>QRCODE</v>
      </c>
      <c r="C1713" t="s">
        <v>5273</v>
      </c>
      <c r="D1713" t="s">
        <v>20</v>
      </c>
      <c r="E1713" t="s">
        <v>17</v>
      </c>
      <c r="F1713" t="s">
        <v>21</v>
      </c>
      <c r="G1713" t="s">
        <v>1489</v>
      </c>
      <c r="H1713">
        <v>1</v>
      </c>
      <c r="I1713">
        <v>2</v>
      </c>
      <c r="J1713">
        <v>0</v>
      </c>
      <c r="K1713">
        <v>0</v>
      </c>
      <c r="L1713">
        <v>0</v>
      </c>
    </row>
    <row r="1714" spans="1:12">
      <c r="A1714" t="str">
        <f>HYPERLINK("http://bombeiros.sp.gov.br/hidrantes/03individual/16653.html","16653")</f>
        <v>16653</v>
      </c>
      <c r="B1714" t="str">
        <f>HYPERLINK("http://bombeiros.sp.gov.br/hidrantes/08bsg/qrcodeBSG.html?id=16653&amp;lat=-23.58287&amp;long=-46.49661&amp;tipo=S","QRCODE")</f>
        <v>QRCODE</v>
      </c>
      <c r="C1714" t="s">
        <v>5273</v>
      </c>
      <c r="D1714" t="s">
        <v>20</v>
      </c>
      <c r="E1714" t="s">
        <v>17</v>
      </c>
      <c r="F1714" t="s">
        <v>21</v>
      </c>
      <c r="G1714" t="s">
        <v>36</v>
      </c>
      <c r="H1714">
        <v>1</v>
      </c>
      <c r="I1714">
        <v>2</v>
      </c>
      <c r="J1714">
        <v>0</v>
      </c>
      <c r="K1714">
        <v>0</v>
      </c>
      <c r="L1714">
        <v>0</v>
      </c>
    </row>
    <row r="1715" spans="1:12">
      <c r="A1715" t="str">
        <f>HYPERLINK("http://bombeiros.sp.gov.br/hidrantes/03individual/17730.html","17730")</f>
        <v>17730</v>
      </c>
      <c r="B1715" t="str">
        <f>HYPERLINK("http://bombeiros.sp.gov.br/hidrantes/08bsg/qrcodeBSG.html?id=17730&amp;lat=-23.59852&amp;long=-46.48775&amp;tipo=S","QRCODE")</f>
        <v>QRCODE</v>
      </c>
      <c r="C1715" t="s">
        <v>5273</v>
      </c>
      <c r="D1715" t="s">
        <v>20</v>
      </c>
      <c r="E1715" t="s">
        <v>17</v>
      </c>
      <c r="F1715" t="s">
        <v>21</v>
      </c>
      <c r="G1715" t="s">
        <v>4103</v>
      </c>
      <c r="H1715">
        <v>1</v>
      </c>
      <c r="I1715">
        <v>2</v>
      </c>
      <c r="J1715">
        <v>0</v>
      </c>
      <c r="K1715">
        <v>0</v>
      </c>
      <c r="L1715">
        <v>0</v>
      </c>
    </row>
    <row r="1716" spans="1:12">
      <c r="A1716" t="str">
        <f>HYPERLINK("http://bombeiros.sp.gov.br/hidrantes/03individual/17731.html","17731")</f>
        <v>17731</v>
      </c>
      <c r="B1716" t="str">
        <f>HYPERLINK("http://bombeiros.sp.gov.br/hidrantes/08bsg/qrcodeBSG.html?id=17731&amp;lat=-23.59896&amp;long=-46.49217&amp;tipo=S","QRCODE")</f>
        <v>QRCODE</v>
      </c>
      <c r="C1716" t="s">
        <v>5273</v>
      </c>
      <c r="D1716" t="s">
        <v>20</v>
      </c>
      <c r="E1716" t="s">
        <v>17</v>
      </c>
      <c r="F1716" t="s">
        <v>21</v>
      </c>
      <c r="G1716" t="s">
        <v>3997</v>
      </c>
      <c r="H1716">
        <v>1</v>
      </c>
      <c r="I1716">
        <v>1</v>
      </c>
      <c r="J1716">
        <v>0</v>
      </c>
      <c r="K1716">
        <v>0</v>
      </c>
      <c r="L1716">
        <v>0</v>
      </c>
    </row>
    <row r="1717" spans="1:12">
      <c r="A1717" t="str">
        <f>HYPERLINK("http://bombeiros.sp.gov.br/hidrantes/03individual/2067.html","2067")</f>
        <v>2067</v>
      </c>
      <c r="B1717" t="str">
        <f>HYPERLINK("http://bombeiros.sp.gov.br/hidrantes/08bsg/qrcodeBSG.html?id=2067&amp;lat=-23.61128&amp;long=-46.47505&amp;tipo=C","QRCODE")</f>
        <v>QRCODE</v>
      </c>
      <c r="C1717" t="s">
        <v>5273</v>
      </c>
      <c r="D1717" t="s">
        <v>20</v>
      </c>
      <c r="E1717" t="s">
        <v>39</v>
      </c>
      <c r="F1717" t="s">
        <v>12</v>
      </c>
      <c r="G1717" t="s">
        <v>2105</v>
      </c>
      <c r="H1717">
        <v>0</v>
      </c>
      <c r="I1717">
        <v>2</v>
      </c>
      <c r="J1717">
        <v>0</v>
      </c>
      <c r="K1717">
        <v>0</v>
      </c>
      <c r="L1717">
        <v>0</v>
      </c>
    </row>
    <row r="1718" spans="1:12">
      <c r="A1718" t="str">
        <f>HYPERLINK("http://bombeiros.sp.gov.br/hidrantes/03individual/2106.html","2106")</f>
        <v>2106</v>
      </c>
      <c r="B1718" t="str">
        <f>HYPERLINK("http://bombeiros.sp.gov.br/hidrantes/08bsg/qrcodeBSG.html?id=2106&amp;lat=-23.60126&amp;long=-46.46750&amp;tipo=C","QRCODE")</f>
        <v>QRCODE</v>
      </c>
      <c r="C1718" t="s">
        <v>5273</v>
      </c>
      <c r="D1718" t="s">
        <v>20</v>
      </c>
      <c r="E1718" t="s">
        <v>39</v>
      </c>
      <c r="F1718" t="s">
        <v>12</v>
      </c>
      <c r="G1718" t="s">
        <v>1261</v>
      </c>
      <c r="H1718">
        <v>0</v>
      </c>
      <c r="I1718">
        <v>2</v>
      </c>
      <c r="J1718">
        <v>0</v>
      </c>
      <c r="K1718">
        <v>0</v>
      </c>
      <c r="L1718">
        <v>0</v>
      </c>
    </row>
    <row r="1719" spans="1:12">
      <c r="A1719" t="str">
        <f>HYPERLINK("http://bombeiros.sp.gov.br/hidrantes/03individual/3895.html","3895")</f>
        <v>3895</v>
      </c>
      <c r="B1719" t="str">
        <f>HYPERLINK("http://bombeiros.sp.gov.br/hidrantes/08bsg/qrcodeBSG.html?id=3895&amp;lat=-23.61434&amp;long=-46.45746&amp;tipo=C","QRCODE")</f>
        <v>QRCODE</v>
      </c>
      <c r="C1719" t="s">
        <v>5273</v>
      </c>
      <c r="D1719" t="s">
        <v>20</v>
      </c>
      <c r="E1719" t="s">
        <v>39</v>
      </c>
      <c r="F1719" t="s">
        <v>12</v>
      </c>
      <c r="G1719" t="s">
        <v>75</v>
      </c>
      <c r="H1719">
        <v>2</v>
      </c>
      <c r="I1719">
        <v>2</v>
      </c>
      <c r="J1719">
        <v>0</v>
      </c>
      <c r="K1719">
        <v>0</v>
      </c>
      <c r="L1719">
        <v>0</v>
      </c>
    </row>
    <row r="1720" spans="1:12">
      <c r="A1720" t="str">
        <f>HYPERLINK("http://bombeiros.sp.gov.br/hidrantes/03individual/5629.html","5629")</f>
        <v>5629</v>
      </c>
      <c r="B1720" t="str">
        <f>HYPERLINK("http://bombeiros.sp.gov.br/hidrantes/08bsg/qrcodeBSG.html?id=5629&amp;lat=-23.61528&amp;long=-46.46622&amp;tipo=C","QRCODE")</f>
        <v>QRCODE</v>
      </c>
      <c r="C1720" t="s">
        <v>5273</v>
      </c>
      <c r="D1720" t="s">
        <v>20</v>
      </c>
      <c r="E1720" t="s">
        <v>39</v>
      </c>
      <c r="F1720" t="s">
        <v>12</v>
      </c>
      <c r="G1720" t="s">
        <v>2151</v>
      </c>
      <c r="H1720">
        <v>0</v>
      </c>
      <c r="I1720">
        <v>2</v>
      </c>
      <c r="J1720">
        <v>0</v>
      </c>
      <c r="K1720">
        <v>0</v>
      </c>
      <c r="L1720">
        <v>0</v>
      </c>
    </row>
    <row r="1721" spans="1:12">
      <c r="A1721" t="str">
        <f>HYPERLINK("http://bombeiros.sp.gov.br/hidrantes/03individual/5630.html","5630")</f>
        <v>5630</v>
      </c>
      <c r="B1721" t="str">
        <f>HYPERLINK("http://bombeiros.sp.gov.br/hidrantes/08bsg/qrcodeBSG.html?id=5630&amp;lat=-23.61442&amp;long=-46.46789&amp;tipo=C","QRCODE")</f>
        <v>QRCODE</v>
      </c>
      <c r="C1721" t="s">
        <v>5273</v>
      </c>
      <c r="D1721" t="s">
        <v>20</v>
      </c>
      <c r="E1721" t="s">
        <v>39</v>
      </c>
      <c r="F1721" t="s">
        <v>12</v>
      </c>
      <c r="G1721" t="s">
        <v>5017</v>
      </c>
      <c r="H1721">
        <v>0</v>
      </c>
      <c r="I1721">
        <v>1</v>
      </c>
      <c r="J1721">
        <v>0</v>
      </c>
      <c r="K1721">
        <v>0</v>
      </c>
      <c r="L1721">
        <v>0</v>
      </c>
    </row>
    <row r="1722" spans="1:12">
      <c r="A1722" t="str">
        <f>HYPERLINK("http://bombeiros.sp.gov.br/hidrantes/03individual/5631.html","5631")</f>
        <v>5631</v>
      </c>
      <c r="B1722" t="str">
        <f>HYPERLINK("http://bombeiros.sp.gov.br/hidrantes/08bsg/qrcodeBSG.html?id=5631&amp;lat=-23.61605&amp;long=-46.46703&amp;tipo=C","QRCODE")</f>
        <v>QRCODE</v>
      </c>
      <c r="C1722" t="s">
        <v>5273</v>
      </c>
      <c r="D1722" t="s">
        <v>20</v>
      </c>
      <c r="E1722" t="s">
        <v>39</v>
      </c>
      <c r="F1722" t="s">
        <v>12</v>
      </c>
      <c r="G1722" t="s">
        <v>2149</v>
      </c>
      <c r="H1722">
        <v>0</v>
      </c>
      <c r="I1722">
        <v>2</v>
      </c>
      <c r="J1722">
        <v>0</v>
      </c>
      <c r="K1722">
        <v>0</v>
      </c>
      <c r="L1722">
        <v>0</v>
      </c>
    </row>
    <row r="1723" spans="1:12">
      <c r="A1723" t="str">
        <f>HYPERLINK("http://bombeiros.sp.gov.br/hidrantes/03individual/5632.html","5632")</f>
        <v>5632</v>
      </c>
      <c r="B1723" t="str">
        <f>HYPERLINK("http://bombeiros.sp.gov.br/hidrantes/08bsg/qrcodeBSG.html?id=5632&amp;lat=-23.61685&amp;long=-46.46540&amp;tipo=C","QRCODE")</f>
        <v>QRCODE</v>
      </c>
      <c r="C1723" t="s">
        <v>5273</v>
      </c>
      <c r="D1723" t="s">
        <v>20</v>
      </c>
      <c r="E1723" t="s">
        <v>39</v>
      </c>
      <c r="F1723" t="s">
        <v>12</v>
      </c>
      <c r="G1723" t="s">
        <v>2150</v>
      </c>
      <c r="H1723">
        <v>0</v>
      </c>
      <c r="I1723">
        <v>2</v>
      </c>
      <c r="J1723">
        <v>0</v>
      </c>
      <c r="K1723">
        <v>0</v>
      </c>
      <c r="L1723">
        <v>0</v>
      </c>
    </row>
    <row r="1724" spans="1:12">
      <c r="A1724" t="str">
        <f>HYPERLINK("http://bombeiros.sp.gov.br/hidrantes/03individual/17727.html","17727")</f>
        <v>17727</v>
      </c>
      <c r="B1724" t="str">
        <f>HYPERLINK("http://bombeiros.sp.gov.br/hidrantes/08bsg/qrcodeBSG.html?id=17727&amp;lat=-23.61040&amp;long=-46.45943&amp;tipo=C","QRCODE")</f>
        <v>QRCODE</v>
      </c>
      <c r="C1724" t="s">
        <v>5273</v>
      </c>
      <c r="D1724" t="s">
        <v>20</v>
      </c>
      <c r="E1724" t="s">
        <v>39</v>
      </c>
      <c r="F1724" t="s">
        <v>12</v>
      </c>
      <c r="G1724" t="s">
        <v>4965</v>
      </c>
      <c r="H1724">
        <v>0</v>
      </c>
      <c r="I1724">
        <v>1</v>
      </c>
      <c r="J1724">
        <v>0</v>
      </c>
      <c r="K1724">
        <v>0</v>
      </c>
      <c r="L1724">
        <v>0</v>
      </c>
    </row>
    <row r="1725" spans="1:12">
      <c r="A1725" t="str">
        <f>HYPERLINK("http://bombeiros.sp.gov.br/hidrantes/03individual/2084.html","2084")</f>
        <v>2084</v>
      </c>
      <c r="B1725" t="str">
        <f>HYPERLINK("http://bombeiros.sp.gov.br/hidrantes/08bsg/qrcodeBSG.html?id=2084&amp;lat=-23.60304&amp;long=-46.46446&amp;tipo=S","QRCODE")</f>
        <v>QRCODE</v>
      </c>
      <c r="C1725" t="s">
        <v>5273</v>
      </c>
      <c r="D1725" t="s">
        <v>20</v>
      </c>
      <c r="E1725" t="s">
        <v>39</v>
      </c>
      <c r="F1725" t="s">
        <v>21</v>
      </c>
      <c r="G1725" t="s">
        <v>2871</v>
      </c>
      <c r="H1725">
        <v>0</v>
      </c>
      <c r="I1725">
        <v>2</v>
      </c>
      <c r="J1725">
        <v>0</v>
      </c>
      <c r="K1725">
        <v>0</v>
      </c>
      <c r="L1725">
        <v>0</v>
      </c>
    </row>
    <row r="1726" spans="1:12">
      <c r="A1726" t="str">
        <f>HYPERLINK("http://bombeiros.sp.gov.br/hidrantes/03individual/2086.html","2086")</f>
        <v>2086</v>
      </c>
      <c r="B1726" t="str">
        <f>HYPERLINK("http://bombeiros.sp.gov.br/hidrantes/08bsg/qrcodeBSG.html?id=2086&amp;lat=-23.61037&amp;long=-46.46435&amp;tipo=S","QRCODE")</f>
        <v>QRCODE</v>
      </c>
      <c r="C1726" t="s">
        <v>5273</v>
      </c>
      <c r="D1726" t="s">
        <v>20</v>
      </c>
      <c r="E1726" t="s">
        <v>39</v>
      </c>
      <c r="F1726" t="s">
        <v>21</v>
      </c>
      <c r="G1726" t="s">
        <v>89</v>
      </c>
      <c r="H1726">
        <v>1</v>
      </c>
      <c r="I1726">
        <v>2</v>
      </c>
      <c r="J1726">
        <v>0</v>
      </c>
      <c r="K1726">
        <v>0</v>
      </c>
      <c r="L1726">
        <v>0</v>
      </c>
    </row>
    <row r="1727" spans="1:12">
      <c r="A1727" t="str">
        <f>HYPERLINK("http://bombeiros.sp.gov.br/hidrantes/03individual/2096.html","2096")</f>
        <v>2096</v>
      </c>
      <c r="B1727" t="str">
        <f>HYPERLINK("http://bombeiros.sp.gov.br/hidrantes/08bsg/qrcodeBSG.html?id=2096&amp;lat=-23.60722&amp;long=-46.45987&amp;tipo=S","QRCODE")</f>
        <v>QRCODE</v>
      </c>
      <c r="C1727" t="s">
        <v>5273</v>
      </c>
      <c r="D1727" t="s">
        <v>20</v>
      </c>
      <c r="E1727" t="s">
        <v>39</v>
      </c>
      <c r="F1727" t="s">
        <v>21</v>
      </c>
      <c r="G1727" t="s">
        <v>3458</v>
      </c>
      <c r="H1727">
        <v>1</v>
      </c>
      <c r="I1727">
        <v>1</v>
      </c>
      <c r="J1727">
        <v>0</v>
      </c>
      <c r="K1727">
        <v>0</v>
      </c>
      <c r="L1727">
        <v>0</v>
      </c>
    </row>
    <row r="1728" spans="1:12">
      <c r="A1728" t="str">
        <f>HYPERLINK("http://bombeiros.sp.gov.br/hidrantes/03individual/2107.html","2107")</f>
        <v>2107</v>
      </c>
      <c r="B1728" t="str">
        <f>HYPERLINK("http://bombeiros.sp.gov.br/hidrantes/08bsg/qrcodeBSG.html?id=2107&amp;lat=-23.59946&amp;long=-46.46151&amp;tipo=S","QRCODE")</f>
        <v>QRCODE</v>
      </c>
      <c r="C1728" t="s">
        <v>5273</v>
      </c>
      <c r="D1728" t="s">
        <v>20</v>
      </c>
      <c r="E1728" t="s">
        <v>39</v>
      </c>
      <c r="F1728" t="s">
        <v>21</v>
      </c>
      <c r="G1728" t="s">
        <v>90</v>
      </c>
      <c r="H1728">
        <v>1</v>
      </c>
      <c r="I1728">
        <v>2</v>
      </c>
      <c r="J1728">
        <v>0</v>
      </c>
      <c r="K1728">
        <v>0</v>
      </c>
      <c r="L1728">
        <v>0</v>
      </c>
    </row>
    <row r="1729" spans="1:12">
      <c r="A1729" t="str">
        <f>HYPERLINK("http://bombeiros.sp.gov.br/hidrantes/03individual/3818.html","3818")</f>
        <v>3818</v>
      </c>
      <c r="B1729" t="str">
        <f>HYPERLINK("http://bombeiros.sp.gov.br/hidrantes/08bsg/qrcodeBSG.html?id=3818&amp;lat=-23.60595&amp;long=-46.46267&amp;tipo=S","QRCODE")</f>
        <v>QRCODE</v>
      </c>
      <c r="C1729" t="s">
        <v>5273</v>
      </c>
      <c r="D1729" t="s">
        <v>20</v>
      </c>
      <c r="E1729" t="s">
        <v>39</v>
      </c>
      <c r="F1729" t="s">
        <v>21</v>
      </c>
      <c r="G1729" t="s">
        <v>528</v>
      </c>
      <c r="H1729">
        <v>0</v>
      </c>
      <c r="I1729">
        <v>2</v>
      </c>
      <c r="J1729">
        <v>0</v>
      </c>
      <c r="K1729">
        <v>0</v>
      </c>
      <c r="L1729">
        <v>0</v>
      </c>
    </row>
    <row r="1730" spans="1:12">
      <c r="A1730" t="str">
        <f>HYPERLINK("http://bombeiros.sp.gov.br/hidrantes/03individual/3980.html","3980")</f>
        <v>3980</v>
      </c>
      <c r="B1730" t="str">
        <f>HYPERLINK("http://bombeiros.sp.gov.br/hidrantes/08bsg/qrcodeBSG.html?id=3980&amp;lat=-23.60488&amp;long=-46.46313&amp;tipo=S","QRCODE")</f>
        <v>QRCODE</v>
      </c>
      <c r="C1730" t="s">
        <v>5273</v>
      </c>
      <c r="D1730" t="s">
        <v>20</v>
      </c>
      <c r="E1730" t="s">
        <v>39</v>
      </c>
      <c r="F1730" t="s">
        <v>21</v>
      </c>
      <c r="G1730" t="s">
        <v>5015</v>
      </c>
      <c r="H1730">
        <v>0</v>
      </c>
      <c r="I1730">
        <v>1</v>
      </c>
      <c r="J1730">
        <v>0</v>
      </c>
      <c r="K1730">
        <v>0</v>
      </c>
      <c r="L1730">
        <v>0</v>
      </c>
    </row>
    <row r="1731" spans="1:12">
      <c r="A1731" t="str">
        <f>HYPERLINK("http://bombeiros.sp.gov.br/hidrantes/03individual/17726.html","17726")</f>
        <v>17726</v>
      </c>
      <c r="B1731" t="str">
        <f>HYPERLINK("http://bombeiros.sp.gov.br/hidrantes/08bsg/qrcodeBSG.html?id=17726&amp;lat=-23.60588&amp;long=-46.46518&amp;tipo=S","QRCODE")</f>
        <v>QRCODE</v>
      </c>
      <c r="C1731" t="s">
        <v>5273</v>
      </c>
      <c r="D1731" t="s">
        <v>20</v>
      </c>
      <c r="E1731" t="s">
        <v>39</v>
      </c>
      <c r="F1731" t="s">
        <v>21</v>
      </c>
      <c r="G1731" t="s">
        <v>38</v>
      </c>
      <c r="H1731">
        <v>1</v>
      </c>
      <c r="I1731">
        <v>2</v>
      </c>
      <c r="J1731">
        <v>0</v>
      </c>
      <c r="K1731">
        <v>0</v>
      </c>
      <c r="L1731">
        <v>0</v>
      </c>
    </row>
    <row r="1732" spans="1:12">
      <c r="A1732" t="str">
        <f>HYPERLINK("http://bombeiros.sp.gov.br/hidrantes/03individual/27135.html","27135")</f>
        <v>27135</v>
      </c>
      <c r="B1732" t="str">
        <f>HYPERLINK("http://bombeiros.sp.gov.br/hidrantes/08bsg/qrcodeBSG.html?id=27135&amp;lat=-23.59606&amp;long=-46.47574&amp;tipo=C","QRCODE")</f>
        <v>QRCODE</v>
      </c>
      <c r="C1732" t="s">
        <v>5273</v>
      </c>
      <c r="D1732" t="s">
        <v>20</v>
      </c>
      <c r="E1732" t="s">
        <v>35</v>
      </c>
      <c r="F1732" t="s">
        <v>12</v>
      </c>
      <c r="G1732" t="s">
        <v>3431</v>
      </c>
      <c r="H1732">
        <v>0</v>
      </c>
      <c r="I1732">
        <v>1</v>
      </c>
      <c r="J1732">
        <v>0</v>
      </c>
      <c r="K1732">
        <v>0</v>
      </c>
      <c r="L1732">
        <v>0</v>
      </c>
    </row>
    <row r="1733" spans="1:12">
      <c r="A1733" t="str">
        <f>HYPERLINK("http://bombeiros.sp.gov.br/hidrantes/03individual/27136.html","27136")</f>
        <v>27136</v>
      </c>
      <c r="B1733" t="str">
        <f>HYPERLINK("http://bombeiros.sp.gov.br/hidrantes/08bsg/qrcodeBSG.html?id=27136&amp;lat=-23.59320&amp;long=-46.46875&amp;tipo=C","QRCODE")</f>
        <v>QRCODE</v>
      </c>
      <c r="C1733" t="s">
        <v>5273</v>
      </c>
      <c r="D1733" t="s">
        <v>20</v>
      </c>
      <c r="E1733" t="s">
        <v>35</v>
      </c>
      <c r="F1733" t="s">
        <v>12</v>
      </c>
      <c r="G1733" t="s">
        <v>3088</v>
      </c>
      <c r="H1733">
        <v>0</v>
      </c>
      <c r="I1733">
        <v>2</v>
      </c>
      <c r="J1733">
        <v>0</v>
      </c>
      <c r="K1733">
        <v>0</v>
      </c>
      <c r="L1733">
        <v>0</v>
      </c>
    </row>
    <row r="1734" spans="1:12">
      <c r="A1734" t="str">
        <f>HYPERLINK("http://bombeiros.sp.gov.br/hidrantes/03individual/2060.html","2060")</f>
        <v>2060</v>
      </c>
      <c r="B1734" t="str">
        <f>HYPERLINK("http://bombeiros.sp.gov.br/hidrantes/08bsg/qrcodeBSG.html?id=2060&amp;lat=-23.59091&amp;long=-46.48277&amp;tipo=S","QRCODE")</f>
        <v>QRCODE</v>
      </c>
      <c r="C1734" t="s">
        <v>5273</v>
      </c>
      <c r="D1734" t="s">
        <v>20</v>
      </c>
      <c r="E1734" t="s">
        <v>35</v>
      </c>
      <c r="F1734" t="s">
        <v>21</v>
      </c>
      <c r="G1734" t="s">
        <v>5011</v>
      </c>
      <c r="H1734">
        <v>0</v>
      </c>
      <c r="I1734">
        <v>1</v>
      </c>
      <c r="J1734">
        <v>0</v>
      </c>
      <c r="K1734">
        <v>0</v>
      </c>
      <c r="L1734">
        <v>0</v>
      </c>
    </row>
    <row r="1735" spans="1:12">
      <c r="A1735" t="str">
        <f>HYPERLINK("http://bombeiros.sp.gov.br/hidrantes/03individual/3341.html","3341")</f>
        <v>3341</v>
      </c>
      <c r="B1735" t="str">
        <f>HYPERLINK("http://bombeiros.sp.gov.br/hidrantes/08bsg/qrcodeBSG.html?id=3341&amp;lat=-23.57964&amp;long=-46.49446&amp;tipo=S","QRCODE")</f>
        <v>QRCODE</v>
      </c>
      <c r="C1735" t="s">
        <v>5273</v>
      </c>
      <c r="D1735" t="s">
        <v>20</v>
      </c>
      <c r="E1735" t="s">
        <v>35</v>
      </c>
      <c r="F1735" t="s">
        <v>21</v>
      </c>
      <c r="G1735" t="s">
        <v>34</v>
      </c>
      <c r="H1735">
        <v>0</v>
      </c>
      <c r="I1735">
        <v>2</v>
      </c>
      <c r="J1735">
        <v>0</v>
      </c>
      <c r="K1735">
        <v>0</v>
      </c>
      <c r="L1735">
        <v>0</v>
      </c>
    </row>
    <row r="1736" spans="1:12">
      <c r="A1736" t="str">
        <f>HYPERLINK("http://bombeiros.sp.gov.br/hidrantes/03individual/4311.html","4311")</f>
        <v>4311</v>
      </c>
      <c r="B1736" t="str">
        <f>HYPERLINK("http://bombeiros.sp.gov.br/hidrantes/08bsg/qrcodeBSG.html?id=4311&amp;lat=-23.58757&amp;long=-46.48422&amp;tipo=S","QRCODE")</f>
        <v>QRCODE</v>
      </c>
      <c r="C1736" t="s">
        <v>5273</v>
      </c>
      <c r="D1736" t="s">
        <v>20</v>
      </c>
      <c r="E1736" t="s">
        <v>35</v>
      </c>
      <c r="F1736" t="s">
        <v>21</v>
      </c>
      <c r="G1736" t="s">
        <v>1457</v>
      </c>
      <c r="H1736">
        <v>0</v>
      </c>
      <c r="I1736">
        <v>2</v>
      </c>
      <c r="J1736">
        <v>0</v>
      </c>
      <c r="K1736">
        <v>0</v>
      </c>
      <c r="L1736">
        <v>0</v>
      </c>
    </row>
    <row r="1737" spans="1:12">
      <c r="A1737" t="str">
        <f>HYPERLINK("http://bombeiros.sp.gov.br/hidrantes/03individual/976.html","976")</f>
        <v>976</v>
      </c>
      <c r="B1737" t="str">
        <f>HYPERLINK("http://bombeiros.sp.gov.br/hidrantes/08bsg/qrcodeBSG.html?id=976&amp;lat=-23.60509&amp;long=-46.48015&amp;tipo=C","QRCODE")</f>
        <v>QRCODE</v>
      </c>
      <c r="C1737" t="s">
        <v>5273</v>
      </c>
      <c r="D1737" t="s">
        <v>20</v>
      </c>
      <c r="E1737" t="s">
        <v>20</v>
      </c>
      <c r="F1737" t="s">
        <v>12</v>
      </c>
      <c r="G1737" t="s">
        <v>3142</v>
      </c>
      <c r="H1737">
        <v>1</v>
      </c>
      <c r="I1737">
        <v>1</v>
      </c>
      <c r="J1737">
        <v>0</v>
      </c>
      <c r="K1737">
        <v>0</v>
      </c>
      <c r="L1737">
        <v>0</v>
      </c>
    </row>
    <row r="1738" spans="1:12">
      <c r="A1738" t="str">
        <f>HYPERLINK("http://bombeiros.sp.gov.br/hidrantes/03individual/983.html","983")</f>
        <v>983</v>
      </c>
      <c r="B1738" t="str">
        <f>HYPERLINK("http://bombeiros.sp.gov.br/hidrantes/08bsg/qrcodeBSG.html?id=983&amp;lat=-23.60249&amp;long=-46.48476&amp;tipo=C","QRCODE")</f>
        <v>QRCODE</v>
      </c>
      <c r="C1738" t="s">
        <v>5273</v>
      </c>
      <c r="D1738" t="s">
        <v>20</v>
      </c>
      <c r="E1738" t="s">
        <v>20</v>
      </c>
      <c r="F1738" t="s">
        <v>12</v>
      </c>
      <c r="G1738" t="s">
        <v>2516</v>
      </c>
      <c r="H1738">
        <v>0</v>
      </c>
      <c r="I1738">
        <v>2</v>
      </c>
      <c r="J1738">
        <v>0</v>
      </c>
      <c r="K1738">
        <v>0</v>
      </c>
      <c r="L1738">
        <v>0</v>
      </c>
    </row>
    <row r="1739" spans="1:12">
      <c r="A1739" t="str">
        <f>HYPERLINK("http://bombeiros.sp.gov.br/hidrantes/03individual/985.html","985")</f>
        <v>985</v>
      </c>
      <c r="B1739" t="str">
        <f>HYPERLINK("http://bombeiros.sp.gov.br/hidrantes/08bsg/qrcodeBSG.html?id=985&amp;lat=-23.60510&amp;long=-46.48460&amp;tipo=C","QRCODE")</f>
        <v>QRCODE</v>
      </c>
      <c r="C1739" t="s">
        <v>5273</v>
      </c>
      <c r="D1739" t="s">
        <v>20</v>
      </c>
      <c r="E1739" t="s">
        <v>20</v>
      </c>
      <c r="F1739" t="s">
        <v>12</v>
      </c>
      <c r="G1739" t="s">
        <v>4137</v>
      </c>
      <c r="H1739">
        <v>1</v>
      </c>
      <c r="I1739">
        <v>2</v>
      </c>
      <c r="J1739">
        <v>0</v>
      </c>
      <c r="K1739">
        <v>0</v>
      </c>
      <c r="L1739">
        <v>0</v>
      </c>
    </row>
    <row r="1740" spans="1:12">
      <c r="A1740" t="str">
        <f>HYPERLINK("http://bombeiros.sp.gov.br/hidrantes/03individual/1952.html","1952")</f>
        <v>1952</v>
      </c>
      <c r="B1740" t="str">
        <f>HYPERLINK("http://bombeiros.sp.gov.br/hidrantes/08bsg/qrcodeBSG.html?id=1952&amp;lat=-23.60966&amp;long=-46.49889&amp;tipo=C","QRCODE")</f>
        <v>QRCODE</v>
      </c>
      <c r="C1740" t="s">
        <v>5273</v>
      </c>
      <c r="D1740" t="s">
        <v>20</v>
      </c>
      <c r="E1740" t="s">
        <v>20</v>
      </c>
      <c r="F1740" t="s">
        <v>12</v>
      </c>
      <c r="G1740" t="s">
        <v>3877</v>
      </c>
      <c r="H1740">
        <v>1</v>
      </c>
      <c r="I1740">
        <v>1</v>
      </c>
      <c r="J1740">
        <v>0</v>
      </c>
      <c r="K1740">
        <v>0</v>
      </c>
      <c r="L1740">
        <v>0</v>
      </c>
    </row>
    <row r="1741" spans="1:12">
      <c r="A1741" t="str">
        <f>HYPERLINK("http://bombeiros.sp.gov.br/hidrantes/03individual/4365.html","4365")</f>
        <v>4365</v>
      </c>
      <c r="B1741" t="str">
        <f>HYPERLINK("http://bombeiros.sp.gov.br/hidrantes/08bsg/qrcodeBSG.html?id=4365&amp;lat=-23.60067&amp;long=-46.48387&amp;tipo=C","QRCODE")</f>
        <v>QRCODE</v>
      </c>
      <c r="C1741" t="s">
        <v>5273</v>
      </c>
      <c r="D1741" t="s">
        <v>20</v>
      </c>
      <c r="E1741" t="s">
        <v>20</v>
      </c>
      <c r="F1741" t="s">
        <v>12</v>
      </c>
      <c r="G1741" t="s">
        <v>4118</v>
      </c>
      <c r="H1741">
        <v>1</v>
      </c>
      <c r="I1741">
        <v>2</v>
      </c>
      <c r="J1741">
        <v>0</v>
      </c>
      <c r="K1741">
        <v>0</v>
      </c>
      <c r="L1741">
        <v>0</v>
      </c>
    </row>
    <row r="1742" spans="1:12">
      <c r="A1742" t="str">
        <f>HYPERLINK("http://bombeiros.sp.gov.br/hidrantes/03individual/982.html","982")</f>
        <v>982</v>
      </c>
      <c r="B1742" t="str">
        <f>HYPERLINK("http://bombeiros.sp.gov.br/hidrantes/08bsg/qrcodeBSG.html?id=982&amp;lat=-23.60631&amp;long=-46.47741&amp;tipo=S","QRCODE")</f>
        <v>QRCODE</v>
      </c>
      <c r="C1742" t="s">
        <v>5273</v>
      </c>
      <c r="D1742" t="s">
        <v>20</v>
      </c>
      <c r="E1742" t="s">
        <v>20</v>
      </c>
      <c r="F1742" t="s">
        <v>21</v>
      </c>
      <c r="G1742" t="s">
        <v>4136</v>
      </c>
      <c r="H1742">
        <v>1</v>
      </c>
      <c r="I1742">
        <v>1</v>
      </c>
      <c r="J1742">
        <v>0</v>
      </c>
      <c r="K1742">
        <v>0</v>
      </c>
      <c r="L1742">
        <v>0</v>
      </c>
    </row>
    <row r="1743" spans="1:12">
      <c r="A1743" t="str">
        <f>HYPERLINK("http://bombeiros.sp.gov.br/hidrantes/03individual/986.html","986")</f>
        <v>986</v>
      </c>
      <c r="B1743" t="str">
        <f>HYPERLINK("http://bombeiros.sp.gov.br/hidrantes/08bsg/qrcodeBSG.html?id=986&amp;lat=-23.60402&amp;long=-46.48116&amp;tipo=S","QRCODE")</f>
        <v>QRCODE</v>
      </c>
      <c r="C1743" t="s">
        <v>5273</v>
      </c>
      <c r="D1743" t="s">
        <v>20</v>
      </c>
      <c r="E1743" t="s">
        <v>20</v>
      </c>
      <c r="F1743" t="s">
        <v>21</v>
      </c>
      <c r="G1743" t="s">
        <v>4138</v>
      </c>
      <c r="H1743">
        <v>1</v>
      </c>
      <c r="I1743">
        <v>2</v>
      </c>
      <c r="J1743">
        <v>0</v>
      </c>
      <c r="K1743">
        <v>0</v>
      </c>
      <c r="L1743">
        <v>0</v>
      </c>
    </row>
    <row r="1744" spans="1:12">
      <c r="A1744" t="str">
        <f>HYPERLINK("http://bombeiros.sp.gov.br/hidrantes/03individual/2040.html","2040")</f>
        <v>2040</v>
      </c>
      <c r="B1744" t="str">
        <f>HYPERLINK("http://bombeiros.sp.gov.br/hidrantes/08bsg/qrcodeBSG.html?id=2040&amp;lat=-23.61017&amp;long=-46.47478&amp;tipo=S","QRCODE")</f>
        <v>QRCODE</v>
      </c>
      <c r="C1744" t="s">
        <v>5273</v>
      </c>
      <c r="D1744" t="s">
        <v>20</v>
      </c>
      <c r="E1744" t="s">
        <v>20</v>
      </c>
      <c r="F1744" t="s">
        <v>21</v>
      </c>
      <c r="G1744" t="s">
        <v>2103</v>
      </c>
      <c r="H1744">
        <v>0</v>
      </c>
      <c r="I1744">
        <v>2</v>
      </c>
      <c r="J1744">
        <v>0</v>
      </c>
      <c r="K1744">
        <v>0</v>
      </c>
      <c r="L1744">
        <v>0</v>
      </c>
    </row>
    <row r="1745" spans="1:12">
      <c r="A1745" t="str">
        <f>HYPERLINK("http://bombeiros.sp.gov.br/hidrantes/03individual/2042.html","2042")</f>
        <v>2042</v>
      </c>
      <c r="B1745" t="str">
        <f>HYPERLINK("http://bombeiros.sp.gov.br/hidrantes/08bsg/qrcodeBSG.html?id=2042&amp;lat=-23.60117&amp;long=-46.47425&amp;tipo=S","QRCODE")</f>
        <v>QRCODE</v>
      </c>
      <c r="C1745" t="s">
        <v>5273</v>
      </c>
      <c r="D1745" t="s">
        <v>20</v>
      </c>
      <c r="E1745" t="s">
        <v>20</v>
      </c>
      <c r="F1745" t="s">
        <v>21</v>
      </c>
      <c r="G1745" t="s">
        <v>4938</v>
      </c>
      <c r="H1745">
        <v>0</v>
      </c>
      <c r="I1745">
        <v>1</v>
      </c>
      <c r="J1745">
        <v>0</v>
      </c>
      <c r="K1745">
        <v>0</v>
      </c>
      <c r="L1745">
        <v>0</v>
      </c>
    </row>
    <row r="1746" spans="1:12">
      <c r="A1746" t="str">
        <f>HYPERLINK("http://bombeiros.sp.gov.br/hidrantes/03individual/2064.html","2064")</f>
        <v>2064</v>
      </c>
      <c r="B1746" t="str">
        <f>HYPERLINK("http://bombeiros.sp.gov.br/hidrantes/08bsg/qrcodeBSG.html?id=2064&amp;lat=-23.61379&amp;long=-46.47840&amp;tipo=S","QRCODE")</f>
        <v>QRCODE</v>
      </c>
      <c r="C1746" t="s">
        <v>5273</v>
      </c>
      <c r="D1746" t="s">
        <v>20</v>
      </c>
      <c r="E1746" t="s">
        <v>20</v>
      </c>
      <c r="F1746" t="s">
        <v>21</v>
      </c>
      <c r="G1746" t="s">
        <v>3878</v>
      </c>
      <c r="H1746">
        <v>1</v>
      </c>
      <c r="I1746">
        <v>1</v>
      </c>
      <c r="J1746">
        <v>0</v>
      </c>
      <c r="K1746">
        <v>0</v>
      </c>
      <c r="L1746">
        <v>0</v>
      </c>
    </row>
    <row r="1747" spans="1:12">
      <c r="A1747" t="str">
        <f>HYPERLINK("http://bombeiros.sp.gov.br/hidrantes/03individual/3785.html","3785")</f>
        <v>3785</v>
      </c>
      <c r="B1747" t="str">
        <f>HYPERLINK("http://bombeiros.sp.gov.br/hidrantes/08bsg/qrcodeBSG.html?id=3785&amp;lat=-23.60925&amp;long=-46.49634&amp;tipo=S","QRCODE")</f>
        <v>QRCODE</v>
      </c>
      <c r="C1747" t="s">
        <v>5273</v>
      </c>
      <c r="D1747" t="s">
        <v>20</v>
      </c>
      <c r="E1747" t="s">
        <v>20</v>
      </c>
      <c r="F1747" t="s">
        <v>21</v>
      </c>
      <c r="G1747" t="s">
        <v>3882</v>
      </c>
      <c r="H1747">
        <v>1</v>
      </c>
      <c r="I1747">
        <v>1</v>
      </c>
      <c r="J1747">
        <v>0</v>
      </c>
      <c r="K1747">
        <v>0</v>
      </c>
      <c r="L1747">
        <v>0</v>
      </c>
    </row>
    <row r="1748" spans="1:12">
      <c r="A1748" t="str">
        <f>HYPERLINK("http://bombeiros.sp.gov.br/hidrantes/03individual/3862.html","3862")</f>
        <v>3862</v>
      </c>
      <c r="B1748" t="str">
        <f>HYPERLINK("http://bombeiros.sp.gov.br/hidrantes/08bsg/qrcodeBSG.html?id=3862&amp;lat=-23.60844&amp;long=-46.48394&amp;tipo=S","QRCODE")</f>
        <v>QRCODE</v>
      </c>
      <c r="C1748" t="s">
        <v>5273</v>
      </c>
      <c r="D1748" t="s">
        <v>20</v>
      </c>
      <c r="E1748" t="s">
        <v>20</v>
      </c>
      <c r="F1748" t="s">
        <v>21</v>
      </c>
      <c r="G1748" t="s">
        <v>74</v>
      </c>
      <c r="H1748">
        <v>1</v>
      </c>
      <c r="I1748">
        <v>2</v>
      </c>
      <c r="J1748">
        <v>0</v>
      </c>
      <c r="K1748">
        <v>0</v>
      </c>
      <c r="L1748">
        <v>0</v>
      </c>
    </row>
    <row r="1749" spans="1:12">
      <c r="A1749" t="str">
        <f>HYPERLINK("http://bombeiros.sp.gov.br/hidrantes/03individual/4206.html","4206")</f>
        <v>4206</v>
      </c>
      <c r="B1749" t="str">
        <f>HYPERLINK("http://bombeiros.sp.gov.br/hidrantes/08bsg/qrcodeBSG.html?id=4206&amp;lat=-23.62076&amp;long=-46.48333&amp;tipo=S","QRCODE")</f>
        <v>QRCODE</v>
      </c>
      <c r="C1749" t="s">
        <v>5273</v>
      </c>
      <c r="D1749" t="s">
        <v>20</v>
      </c>
      <c r="E1749" t="s">
        <v>20</v>
      </c>
      <c r="F1749" t="s">
        <v>21</v>
      </c>
      <c r="G1749" t="s">
        <v>3890</v>
      </c>
      <c r="H1749">
        <v>0</v>
      </c>
      <c r="I1749">
        <v>1</v>
      </c>
      <c r="J1749">
        <v>0</v>
      </c>
      <c r="K1749">
        <v>0</v>
      </c>
      <c r="L1749">
        <v>0</v>
      </c>
    </row>
    <row r="1750" spans="1:12">
      <c r="A1750" t="str">
        <f>HYPERLINK("http://bombeiros.sp.gov.br/hidrantes/03individual/6787.html","6787")</f>
        <v>6787</v>
      </c>
      <c r="B1750" t="str">
        <f>HYPERLINK("http://bombeiros.sp.gov.br/hidrantes/08bsg/qrcodeBSG.html?id=6787&amp;lat=-23.59910&amp;long=-46.47950&amp;tipo=S","QRCODE")</f>
        <v>QRCODE</v>
      </c>
      <c r="C1750" t="s">
        <v>5273</v>
      </c>
      <c r="D1750" t="s">
        <v>20</v>
      </c>
      <c r="E1750" t="s">
        <v>20</v>
      </c>
      <c r="F1750" t="s">
        <v>21</v>
      </c>
      <c r="G1750" t="s">
        <v>4121</v>
      </c>
      <c r="H1750">
        <v>0</v>
      </c>
      <c r="I1750">
        <v>1</v>
      </c>
      <c r="J1750">
        <v>0</v>
      </c>
      <c r="K1750">
        <v>0</v>
      </c>
      <c r="L1750">
        <v>0</v>
      </c>
    </row>
    <row r="1751" spans="1:12">
      <c r="A1751" t="str">
        <f>HYPERLINK("http://bombeiros.sp.gov.br/hidrantes/03individual/17732.html","17732")</f>
        <v>17732</v>
      </c>
      <c r="B1751" t="str">
        <f>HYPERLINK("http://bombeiros.sp.gov.br/hidrantes/08bsg/qrcodeBSG.html?id=17732&amp;lat=-23.59961&amp;long=-46.49527&amp;tipo=S","QRCODE")</f>
        <v>QRCODE</v>
      </c>
      <c r="C1751" t="s">
        <v>5273</v>
      </c>
      <c r="D1751" t="s">
        <v>20</v>
      </c>
      <c r="E1751" t="s">
        <v>20</v>
      </c>
      <c r="F1751" t="s">
        <v>21</v>
      </c>
      <c r="G1751" t="s">
        <v>3078</v>
      </c>
      <c r="H1751">
        <v>1</v>
      </c>
      <c r="I1751">
        <v>1</v>
      </c>
      <c r="J1751">
        <v>0</v>
      </c>
      <c r="K1751">
        <v>0</v>
      </c>
      <c r="L1751">
        <v>0</v>
      </c>
    </row>
    <row r="1752" spans="1:12">
      <c r="A1752" t="str">
        <f>HYPERLINK("http://bombeiros.sp.gov.br/hidrantes/03individual/26813.html","26813")</f>
        <v>26813</v>
      </c>
      <c r="B1752" t="str">
        <f>HYPERLINK("http://bombeiros.sp.gov.br/hidrantes/08bsg/qrcodeBSG.html?id=26813&amp;lat=-23.60214&amp;long=-46.49147&amp;tipo=S","QRCODE")</f>
        <v>QRCODE</v>
      </c>
      <c r="C1752" t="s">
        <v>5273</v>
      </c>
      <c r="D1752" t="s">
        <v>20</v>
      </c>
      <c r="E1752" t="s">
        <v>20</v>
      </c>
      <c r="F1752" t="s">
        <v>21</v>
      </c>
      <c r="G1752" t="s">
        <v>3905</v>
      </c>
      <c r="H1752">
        <v>0</v>
      </c>
      <c r="I1752">
        <v>1</v>
      </c>
      <c r="J1752">
        <v>0</v>
      </c>
      <c r="K1752">
        <v>0</v>
      </c>
      <c r="L1752">
        <v>0</v>
      </c>
    </row>
    <row r="1753" spans="1:12">
      <c r="A1753" t="str">
        <f>HYPERLINK("http://bombeiros.sp.gov.br/hidrantes/03individual/4340.html","4340")</f>
        <v>4340</v>
      </c>
      <c r="B1753" t="str">
        <f>HYPERLINK("http://bombeiros.sp.gov.br/hidrantes/08bsg/qrcodeBSG.html?id=4340&amp;lat=-23.49732&amp;long=-46.44133&amp;tipo=C","QRCODE")</f>
        <v>QRCODE</v>
      </c>
      <c r="C1753" t="s">
        <v>5273</v>
      </c>
      <c r="D1753" t="s">
        <v>5322</v>
      </c>
      <c r="E1753" t="s">
        <v>63</v>
      </c>
      <c r="F1753" t="s">
        <v>12</v>
      </c>
      <c r="G1753" t="s">
        <v>2559</v>
      </c>
      <c r="H1753">
        <v>0</v>
      </c>
      <c r="I1753">
        <v>2</v>
      </c>
      <c r="J1753">
        <v>0</v>
      </c>
      <c r="K1753">
        <v>0</v>
      </c>
      <c r="L1753">
        <v>0</v>
      </c>
    </row>
    <row r="1754" spans="1:12">
      <c r="A1754" t="str">
        <f>HYPERLINK("http://bombeiros.sp.gov.br/hidrantes/03individual/25235.html","25235")</f>
        <v>25235</v>
      </c>
      <c r="B1754" t="str">
        <f>HYPERLINK("http://bombeiros.sp.gov.br/hidrantes/08bsg/qrcodeBSG.html?id=25235&amp;lat=-23.49155&amp;long=-46.44443&amp;tipo=C","QRCODE")</f>
        <v>QRCODE</v>
      </c>
      <c r="C1754" t="s">
        <v>5273</v>
      </c>
      <c r="D1754" t="s">
        <v>5322</v>
      </c>
      <c r="E1754" t="s">
        <v>63</v>
      </c>
      <c r="F1754" t="s">
        <v>12</v>
      </c>
      <c r="G1754" t="s">
        <v>3423</v>
      </c>
      <c r="H1754">
        <v>0</v>
      </c>
      <c r="I1754">
        <v>1</v>
      </c>
      <c r="J1754">
        <v>0</v>
      </c>
      <c r="K1754">
        <v>0</v>
      </c>
      <c r="L1754">
        <v>0</v>
      </c>
    </row>
    <row r="1755" spans="1:12">
      <c r="A1755" t="str">
        <f>HYPERLINK("http://bombeiros.sp.gov.br/hidrantes/03individual/2019.html","2019")</f>
        <v>2019</v>
      </c>
      <c r="B1755" t="str">
        <f>HYPERLINK("http://bombeiros.sp.gov.br/hidrantes/08bsg/qrcodeBSG.html?id=2019&amp;lat=-23.49109&amp;long=-46.44266&amp;tipo=S","QRCODE")</f>
        <v>QRCODE</v>
      </c>
      <c r="C1755" t="s">
        <v>5273</v>
      </c>
      <c r="D1755" t="s">
        <v>5322</v>
      </c>
      <c r="E1755" t="s">
        <v>63</v>
      </c>
      <c r="F1755" t="s">
        <v>21</v>
      </c>
      <c r="G1755" t="s">
        <v>2546</v>
      </c>
      <c r="H1755">
        <v>1</v>
      </c>
      <c r="I1755">
        <v>2</v>
      </c>
      <c r="J1755">
        <v>0</v>
      </c>
      <c r="K1755">
        <v>0</v>
      </c>
      <c r="L1755">
        <v>0</v>
      </c>
    </row>
    <row r="1756" spans="1:12">
      <c r="A1756" t="str">
        <f>HYPERLINK("http://bombeiros.sp.gov.br/hidrantes/03individual/2034.html","2034")</f>
        <v>2034</v>
      </c>
      <c r="B1756" t="str">
        <f>HYPERLINK("http://bombeiros.sp.gov.br/hidrantes/08bsg/qrcodeBSG.html?id=2034&amp;lat=-23.49328&amp;long=-46.43179&amp;tipo=S","QRCODE")</f>
        <v>QRCODE</v>
      </c>
      <c r="C1756" t="s">
        <v>5273</v>
      </c>
      <c r="D1756" t="s">
        <v>5322</v>
      </c>
      <c r="E1756" t="s">
        <v>63</v>
      </c>
      <c r="F1756" t="s">
        <v>21</v>
      </c>
      <c r="G1756" t="s">
        <v>85</v>
      </c>
      <c r="H1756">
        <v>1</v>
      </c>
      <c r="I1756">
        <v>2</v>
      </c>
      <c r="J1756">
        <v>0</v>
      </c>
      <c r="K1756">
        <v>0</v>
      </c>
      <c r="L1756">
        <v>0</v>
      </c>
    </row>
    <row r="1757" spans="1:12">
      <c r="A1757" t="str">
        <f>HYPERLINK("http://bombeiros.sp.gov.br/hidrantes/03individual/2036.html","2036")</f>
        <v>2036</v>
      </c>
      <c r="B1757" t="str">
        <f>HYPERLINK("http://bombeiros.sp.gov.br/hidrantes/08bsg/qrcodeBSG.html?id=2036&amp;lat=-23.50251&amp;long=-46.43578&amp;tipo=S","QRCODE")</f>
        <v>QRCODE</v>
      </c>
      <c r="C1757" t="s">
        <v>5273</v>
      </c>
      <c r="D1757" t="s">
        <v>5322</v>
      </c>
      <c r="E1757" t="s">
        <v>63</v>
      </c>
      <c r="F1757" t="s">
        <v>21</v>
      </c>
      <c r="G1757" t="s">
        <v>2547</v>
      </c>
      <c r="H1757">
        <v>0</v>
      </c>
      <c r="I1757">
        <v>2</v>
      </c>
      <c r="J1757">
        <v>0</v>
      </c>
      <c r="K1757">
        <v>0</v>
      </c>
      <c r="L1757">
        <v>0</v>
      </c>
    </row>
    <row r="1758" spans="1:12">
      <c r="A1758" t="str">
        <f>HYPERLINK("http://bombeiros.sp.gov.br/hidrantes/03individual/2045.html","2045")</f>
        <v>2045</v>
      </c>
      <c r="B1758" t="str">
        <f>HYPERLINK("http://bombeiros.sp.gov.br/hidrantes/08bsg/qrcodeBSG.html?id=2045&amp;lat=-23.50105&amp;long=-46.43008&amp;tipo=S","QRCODE")</f>
        <v>QRCODE</v>
      </c>
      <c r="C1758" t="s">
        <v>5273</v>
      </c>
      <c r="D1758" t="s">
        <v>5322</v>
      </c>
      <c r="E1758" t="s">
        <v>63</v>
      </c>
      <c r="F1758" t="s">
        <v>21</v>
      </c>
      <c r="G1758" t="s">
        <v>2540</v>
      </c>
      <c r="H1758">
        <v>0</v>
      </c>
      <c r="I1758">
        <v>2</v>
      </c>
      <c r="J1758">
        <v>0</v>
      </c>
      <c r="K1758">
        <v>0</v>
      </c>
      <c r="L1758">
        <v>0</v>
      </c>
    </row>
    <row r="1759" spans="1:12">
      <c r="A1759" t="str">
        <f>HYPERLINK("http://bombeiros.sp.gov.br/hidrantes/03individual/2057.html","2057")</f>
        <v>2057</v>
      </c>
      <c r="B1759" t="str">
        <f>HYPERLINK("http://bombeiros.sp.gov.br/hidrantes/08bsg/qrcodeBSG.html?id=2057&amp;lat=-23.49747&amp;long=-46.43222&amp;tipo=S","QRCODE")</f>
        <v>QRCODE</v>
      </c>
      <c r="C1759" t="s">
        <v>5273</v>
      </c>
      <c r="D1759" t="s">
        <v>5322</v>
      </c>
      <c r="E1759" t="s">
        <v>63</v>
      </c>
      <c r="F1759" t="s">
        <v>21</v>
      </c>
      <c r="G1759" t="s">
        <v>88</v>
      </c>
      <c r="H1759">
        <v>1</v>
      </c>
      <c r="I1759">
        <v>2</v>
      </c>
      <c r="J1759">
        <v>0</v>
      </c>
      <c r="K1759">
        <v>0</v>
      </c>
      <c r="L1759">
        <v>0</v>
      </c>
    </row>
    <row r="1760" spans="1:12">
      <c r="A1760" t="str">
        <f>HYPERLINK("http://bombeiros.sp.gov.br/hidrantes/03individual/3440.html","3440")</f>
        <v>3440</v>
      </c>
      <c r="B1760" t="str">
        <f>HYPERLINK("http://bombeiros.sp.gov.br/hidrantes/08bsg/qrcodeBSG.html?id=3440&amp;lat=-23.50057&amp;long=-46.43398&amp;tipo=S","QRCODE")</f>
        <v>QRCODE</v>
      </c>
      <c r="C1760" t="s">
        <v>5273</v>
      </c>
      <c r="D1760" t="s">
        <v>5322</v>
      </c>
      <c r="E1760" t="s">
        <v>63</v>
      </c>
      <c r="F1760" t="s">
        <v>21</v>
      </c>
      <c r="G1760" t="s">
        <v>1697</v>
      </c>
      <c r="H1760">
        <v>0</v>
      </c>
      <c r="I1760">
        <v>2</v>
      </c>
      <c r="J1760">
        <v>0</v>
      </c>
      <c r="K1760">
        <v>0</v>
      </c>
      <c r="L1760">
        <v>0</v>
      </c>
    </row>
    <row r="1761" spans="1:12">
      <c r="A1761" t="str">
        <f>HYPERLINK("http://bombeiros.sp.gov.br/hidrantes/03individual/3443.html","3443")</f>
        <v>3443</v>
      </c>
      <c r="B1761" t="str">
        <f>HYPERLINK("http://bombeiros.sp.gov.br/hidrantes/08bsg/qrcodeBSG.html?id=3443&amp;lat=-23.50885&amp;long=-46.43623&amp;tipo=S","QRCODE")</f>
        <v>QRCODE</v>
      </c>
      <c r="C1761" t="s">
        <v>5273</v>
      </c>
      <c r="D1761" t="s">
        <v>5322</v>
      </c>
      <c r="E1761" t="s">
        <v>63</v>
      </c>
      <c r="F1761" t="s">
        <v>21</v>
      </c>
      <c r="G1761" t="s">
        <v>4112</v>
      </c>
      <c r="H1761">
        <v>0</v>
      </c>
      <c r="I1761">
        <v>2</v>
      </c>
      <c r="J1761">
        <v>0</v>
      </c>
      <c r="K1761">
        <v>0</v>
      </c>
      <c r="L1761">
        <v>0</v>
      </c>
    </row>
    <row r="1762" spans="1:12">
      <c r="A1762" t="str">
        <f>HYPERLINK("http://bombeiros.sp.gov.br/hidrantes/03individual/3511.html","3511")</f>
        <v>3511</v>
      </c>
      <c r="B1762" t="str">
        <f>HYPERLINK("http://bombeiros.sp.gov.br/hidrantes/08bsg/qrcodeBSG.html?id=3511&amp;lat=-23.49135&amp;long=-46.44000&amp;tipo=S","QRCODE")</f>
        <v>QRCODE</v>
      </c>
      <c r="C1762" t="s">
        <v>5273</v>
      </c>
      <c r="D1762" t="s">
        <v>5322</v>
      </c>
      <c r="E1762" t="s">
        <v>63</v>
      </c>
      <c r="F1762" t="s">
        <v>21</v>
      </c>
      <c r="G1762" t="s">
        <v>4123</v>
      </c>
      <c r="H1762">
        <v>1</v>
      </c>
      <c r="I1762">
        <v>1</v>
      </c>
      <c r="J1762">
        <v>0</v>
      </c>
      <c r="K1762">
        <v>0</v>
      </c>
      <c r="L1762">
        <v>0</v>
      </c>
    </row>
    <row r="1763" spans="1:12">
      <c r="A1763" t="str">
        <f>HYPERLINK("http://bombeiros.sp.gov.br/hidrantes/03individual/3513.html","3513")</f>
        <v>3513</v>
      </c>
      <c r="B1763" t="str">
        <f>HYPERLINK("http://bombeiros.sp.gov.br/hidrantes/08bsg/qrcodeBSG.html?id=3513&amp;lat=-23.49114&amp;long=-46.44112&amp;tipo=S","QRCODE")</f>
        <v>QRCODE</v>
      </c>
      <c r="C1763" t="s">
        <v>5273</v>
      </c>
      <c r="D1763" t="s">
        <v>5322</v>
      </c>
      <c r="E1763" t="s">
        <v>63</v>
      </c>
      <c r="F1763" t="s">
        <v>21</v>
      </c>
      <c r="G1763" t="s">
        <v>4124</v>
      </c>
      <c r="H1763">
        <v>2</v>
      </c>
      <c r="I1763">
        <v>2</v>
      </c>
      <c r="J1763">
        <v>0</v>
      </c>
      <c r="K1763">
        <v>0</v>
      </c>
      <c r="L1763">
        <v>0</v>
      </c>
    </row>
    <row r="1764" spans="1:12">
      <c r="A1764" t="str">
        <f>HYPERLINK("http://bombeiros.sp.gov.br/hidrantes/03individual/3531.html","3531")</f>
        <v>3531</v>
      </c>
      <c r="B1764" t="str">
        <f>HYPERLINK("http://bombeiros.sp.gov.br/hidrantes/08bsg/qrcodeBSG.html?id=3531&amp;lat=-23.49509&amp;long=-46.43457&amp;tipo=S","QRCODE")</f>
        <v>QRCODE</v>
      </c>
      <c r="C1764" t="s">
        <v>5273</v>
      </c>
      <c r="D1764" t="s">
        <v>5322</v>
      </c>
      <c r="E1764" t="s">
        <v>63</v>
      </c>
      <c r="F1764" t="s">
        <v>21</v>
      </c>
      <c r="G1764" t="s">
        <v>62</v>
      </c>
      <c r="H1764">
        <v>0</v>
      </c>
      <c r="I1764">
        <v>3</v>
      </c>
      <c r="J1764">
        <v>0</v>
      </c>
      <c r="K1764">
        <v>0</v>
      </c>
      <c r="L1764">
        <v>0</v>
      </c>
    </row>
    <row r="1765" spans="1:12">
      <c r="A1765" t="str">
        <f>HYPERLINK("http://bombeiros.sp.gov.br/hidrantes/03individual/3549.html","3549")</f>
        <v>3549</v>
      </c>
      <c r="B1765" t="str">
        <f>HYPERLINK("http://bombeiros.sp.gov.br/hidrantes/08bsg/qrcodeBSG.html?id=3549&amp;lat=-23.49143&amp;long=-46.43649&amp;tipo=S","QRCODE")</f>
        <v>QRCODE</v>
      </c>
      <c r="C1765" t="s">
        <v>5273</v>
      </c>
      <c r="D1765" t="s">
        <v>5322</v>
      </c>
      <c r="E1765" t="s">
        <v>63</v>
      </c>
      <c r="F1765" t="s">
        <v>21</v>
      </c>
      <c r="G1765" t="s">
        <v>4125</v>
      </c>
      <c r="H1765">
        <v>1</v>
      </c>
      <c r="I1765">
        <v>1</v>
      </c>
      <c r="J1765">
        <v>0</v>
      </c>
      <c r="K1765">
        <v>0</v>
      </c>
      <c r="L1765">
        <v>0</v>
      </c>
    </row>
    <row r="1766" spans="1:12">
      <c r="A1766" t="str">
        <f>HYPERLINK("http://bombeiros.sp.gov.br/hidrantes/03individual/17793.html","17793")</f>
        <v>17793</v>
      </c>
      <c r="B1766" t="str">
        <f>HYPERLINK("http://bombeiros.sp.gov.br/hidrantes/08bsg/qrcodeBSG.html?id=17793&amp;lat=-23.49599&amp;long=-46.44211&amp;tipo=S","QRCODE")</f>
        <v>QRCODE</v>
      </c>
      <c r="C1766" t="s">
        <v>5273</v>
      </c>
      <c r="D1766" t="s">
        <v>5322</v>
      </c>
      <c r="E1766" t="s">
        <v>63</v>
      </c>
      <c r="F1766" t="s">
        <v>21</v>
      </c>
      <c r="G1766" t="s">
        <v>2588</v>
      </c>
      <c r="H1766">
        <v>0</v>
      </c>
      <c r="I1766">
        <v>2</v>
      </c>
      <c r="J1766">
        <v>0</v>
      </c>
      <c r="K1766">
        <v>0</v>
      </c>
      <c r="L1766">
        <v>0</v>
      </c>
    </row>
    <row r="1767" spans="1:12">
      <c r="A1767" t="str">
        <f>HYPERLINK("http://bombeiros.sp.gov.br/hidrantes/03individual/17796.html","17796")</f>
        <v>17796</v>
      </c>
      <c r="B1767" t="str">
        <f>HYPERLINK("http://bombeiros.sp.gov.br/hidrantes/08bsg/qrcodeBSG.html?id=17796&amp;lat=-23.49229&amp;long=-46.44090&amp;tipo=S","QRCODE")</f>
        <v>QRCODE</v>
      </c>
      <c r="C1767" t="s">
        <v>5273</v>
      </c>
      <c r="D1767" t="s">
        <v>5322</v>
      </c>
      <c r="E1767" t="s">
        <v>63</v>
      </c>
      <c r="F1767" t="s">
        <v>21</v>
      </c>
      <c r="G1767" t="s">
        <v>3642</v>
      </c>
      <c r="H1767">
        <v>1</v>
      </c>
      <c r="I1767">
        <v>1</v>
      </c>
      <c r="J1767">
        <v>0</v>
      </c>
      <c r="K1767">
        <v>0</v>
      </c>
      <c r="L1767">
        <v>0</v>
      </c>
    </row>
    <row r="1768" spans="1:12">
      <c r="A1768" t="str">
        <f>HYPERLINK("http://bombeiros.sp.gov.br/hidrantes/03individual/17863.html","17863")</f>
        <v>17863</v>
      </c>
      <c r="B1768" t="str">
        <f>HYPERLINK("http://bombeiros.sp.gov.br/hidrantes/08bsg/qrcodeBSG.html?id=17863&amp;lat=-23.49093&amp;long=-46.43768&amp;tipo=S","QRCODE")</f>
        <v>QRCODE</v>
      </c>
      <c r="C1768" t="s">
        <v>5273</v>
      </c>
      <c r="D1768" t="s">
        <v>5322</v>
      </c>
      <c r="E1768" t="s">
        <v>63</v>
      </c>
      <c r="F1768" t="s">
        <v>21</v>
      </c>
      <c r="G1768" t="s">
        <v>4108</v>
      </c>
      <c r="H1768">
        <v>1</v>
      </c>
      <c r="I1768">
        <v>1</v>
      </c>
      <c r="J1768">
        <v>0</v>
      </c>
      <c r="K1768">
        <v>0</v>
      </c>
      <c r="L1768">
        <v>0</v>
      </c>
    </row>
    <row r="1769" spans="1:12">
      <c r="A1769" t="str">
        <f>HYPERLINK("http://bombeiros.sp.gov.br/hidrantes/03individual/4423.html","4423")</f>
        <v>4423</v>
      </c>
      <c r="B1769" t="str">
        <f>HYPERLINK("http://bombeiros.sp.gov.br/hidrantes/08bsg/qrcodeBSG.html?id=4423&amp;lat=-23.49906&amp;long=-46.44582&amp;tipo=B","QRCODE")</f>
        <v>QRCODE</v>
      </c>
      <c r="C1769" t="s">
        <v>5273</v>
      </c>
      <c r="D1769" t="s">
        <v>5322</v>
      </c>
      <c r="E1769" t="s">
        <v>44</v>
      </c>
      <c r="F1769" t="s">
        <v>1719</v>
      </c>
      <c r="G1769" t="s">
        <v>1720</v>
      </c>
      <c r="H1769">
        <v>0</v>
      </c>
      <c r="I1769">
        <v>2</v>
      </c>
      <c r="J1769">
        <v>0</v>
      </c>
      <c r="K1769">
        <v>0</v>
      </c>
      <c r="L1769">
        <v>0</v>
      </c>
    </row>
    <row r="1770" spans="1:12">
      <c r="A1770" t="str">
        <f>HYPERLINK("http://bombeiros.sp.gov.br/hidrantes/03individual/3486.html","3486")</f>
        <v>3486</v>
      </c>
      <c r="B1770" t="str">
        <f>HYPERLINK("http://bombeiros.sp.gov.br/hidrantes/08bsg/qrcodeBSG.html?id=3486&amp;lat=-23.49815&amp;long=-46.44522&amp;tipo=C","QRCODE")</f>
        <v>QRCODE</v>
      </c>
      <c r="C1770" t="s">
        <v>5273</v>
      </c>
      <c r="D1770" t="s">
        <v>5322</v>
      </c>
      <c r="E1770" t="s">
        <v>44</v>
      </c>
      <c r="F1770" t="s">
        <v>12</v>
      </c>
      <c r="G1770" t="s">
        <v>1704</v>
      </c>
      <c r="H1770">
        <v>0</v>
      </c>
      <c r="I1770">
        <v>2</v>
      </c>
      <c r="J1770">
        <v>0</v>
      </c>
      <c r="K1770">
        <v>0</v>
      </c>
      <c r="L1770">
        <v>0</v>
      </c>
    </row>
    <row r="1771" spans="1:12">
      <c r="A1771" t="str">
        <f>HYPERLINK("http://bombeiros.sp.gov.br/hidrantes/03individual/1986.html","1986")</f>
        <v>1986</v>
      </c>
      <c r="B1771" t="str">
        <f>HYPERLINK("http://bombeiros.sp.gov.br/hidrantes/08bsg/qrcodeBSG.html?id=1986&amp;lat=-23.50066&amp;long=-46.44019&amp;tipo=S","QRCODE")</f>
        <v>QRCODE</v>
      </c>
      <c r="C1771" t="s">
        <v>5273</v>
      </c>
      <c r="D1771" t="s">
        <v>5322</v>
      </c>
      <c r="E1771" t="s">
        <v>44</v>
      </c>
      <c r="F1771" t="s">
        <v>21</v>
      </c>
      <c r="G1771" t="s">
        <v>2543</v>
      </c>
      <c r="H1771">
        <v>0</v>
      </c>
      <c r="I1771">
        <v>2</v>
      </c>
      <c r="J1771">
        <v>0</v>
      </c>
      <c r="K1771">
        <v>0</v>
      </c>
      <c r="L1771">
        <v>0</v>
      </c>
    </row>
    <row r="1772" spans="1:12">
      <c r="A1772" t="str">
        <f>HYPERLINK("http://bombeiros.sp.gov.br/hidrantes/03individual/2024.html","2024")</f>
        <v>2024</v>
      </c>
      <c r="B1772" t="str">
        <f>HYPERLINK("http://bombeiros.sp.gov.br/hidrantes/08bsg/qrcodeBSG.html?id=2024&amp;lat=-23.50486&amp;long=-46.44640&amp;tipo=S","QRCODE")</f>
        <v>QRCODE</v>
      </c>
      <c r="C1772" t="s">
        <v>5273</v>
      </c>
      <c r="D1772" t="s">
        <v>5322</v>
      </c>
      <c r="E1772" t="s">
        <v>44</v>
      </c>
      <c r="F1772" t="s">
        <v>21</v>
      </c>
      <c r="G1772" t="s">
        <v>4128</v>
      </c>
      <c r="H1772">
        <v>1</v>
      </c>
      <c r="I1772">
        <v>1</v>
      </c>
      <c r="J1772">
        <v>0</v>
      </c>
      <c r="K1772">
        <v>0</v>
      </c>
      <c r="L1772">
        <v>0</v>
      </c>
    </row>
    <row r="1773" spans="1:12">
      <c r="A1773" t="str">
        <f>HYPERLINK("http://bombeiros.sp.gov.br/hidrantes/03individual/3447.html","3447")</f>
        <v>3447</v>
      </c>
      <c r="B1773" t="str">
        <f>HYPERLINK("http://bombeiros.sp.gov.br/hidrantes/08bsg/qrcodeBSG.html?id=3447&amp;lat=-23.50511&amp;long=-46.44309&amp;tipo=S","QRCODE")</f>
        <v>QRCODE</v>
      </c>
      <c r="C1773" t="s">
        <v>5273</v>
      </c>
      <c r="D1773" t="s">
        <v>5322</v>
      </c>
      <c r="E1773" t="s">
        <v>44</v>
      </c>
      <c r="F1773" t="s">
        <v>21</v>
      </c>
      <c r="G1773" t="s">
        <v>4113</v>
      </c>
      <c r="H1773">
        <v>1</v>
      </c>
      <c r="I1773">
        <v>1</v>
      </c>
      <c r="J1773">
        <v>0</v>
      </c>
      <c r="K1773">
        <v>0</v>
      </c>
      <c r="L1773">
        <v>0</v>
      </c>
    </row>
    <row r="1774" spans="1:12">
      <c r="A1774" t="str">
        <f>HYPERLINK("http://bombeiros.sp.gov.br/hidrantes/03individual/3448.html","3448")</f>
        <v>3448</v>
      </c>
      <c r="B1774" t="str">
        <f>HYPERLINK("http://bombeiros.sp.gov.br/hidrantes/08bsg/qrcodeBSG.html?id=3448&amp;lat=-23.50700&amp;long=-46.44331&amp;tipo=S","QRCODE")</f>
        <v>QRCODE</v>
      </c>
      <c r="C1774" t="s">
        <v>5273</v>
      </c>
      <c r="D1774" t="s">
        <v>5322</v>
      </c>
      <c r="E1774" t="s">
        <v>44</v>
      </c>
      <c r="F1774" t="s">
        <v>21</v>
      </c>
      <c r="G1774" t="s">
        <v>2578</v>
      </c>
      <c r="H1774">
        <v>0</v>
      </c>
      <c r="I1774">
        <v>2</v>
      </c>
      <c r="J1774">
        <v>0</v>
      </c>
      <c r="K1774">
        <v>0</v>
      </c>
      <c r="L1774">
        <v>0</v>
      </c>
    </row>
    <row r="1775" spans="1:12">
      <c r="A1775" t="str">
        <f>HYPERLINK("http://bombeiros.sp.gov.br/hidrantes/03individual/3452.html","3452")</f>
        <v>3452</v>
      </c>
      <c r="B1775" t="str">
        <f>HYPERLINK("http://bombeiros.sp.gov.br/hidrantes/08bsg/qrcodeBSG.html?id=3452&amp;lat=-23.50515&amp;long=-46.44553&amp;tipo=S","QRCODE")</f>
        <v>QRCODE</v>
      </c>
      <c r="C1775" t="s">
        <v>5273</v>
      </c>
      <c r="D1775" t="s">
        <v>5322</v>
      </c>
      <c r="E1775" t="s">
        <v>44</v>
      </c>
      <c r="F1775" t="s">
        <v>21</v>
      </c>
      <c r="G1775" t="s">
        <v>2579</v>
      </c>
      <c r="H1775">
        <v>0</v>
      </c>
      <c r="I1775">
        <v>2</v>
      </c>
      <c r="J1775">
        <v>0</v>
      </c>
      <c r="K1775">
        <v>0</v>
      </c>
      <c r="L1775">
        <v>0</v>
      </c>
    </row>
    <row r="1776" spans="1:12">
      <c r="A1776" t="str">
        <f>HYPERLINK("http://bombeiros.sp.gov.br/hidrantes/03individual/3473.html","3473")</f>
        <v>3473</v>
      </c>
      <c r="B1776" t="str">
        <f>HYPERLINK("http://bombeiros.sp.gov.br/hidrantes/08bsg/qrcodeBSG.html?id=3473&amp;lat=-23.49157&amp;long=-46.44683&amp;tipo=S","QRCODE")</f>
        <v>QRCODE</v>
      </c>
      <c r="C1776" t="s">
        <v>5273</v>
      </c>
      <c r="D1776" t="s">
        <v>5322</v>
      </c>
      <c r="E1776" t="s">
        <v>44</v>
      </c>
      <c r="F1776" t="s">
        <v>21</v>
      </c>
      <c r="G1776" t="s">
        <v>1706</v>
      </c>
      <c r="H1776">
        <v>0</v>
      </c>
      <c r="I1776">
        <v>2</v>
      </c>
      <c r="J1776">
        <v>0</v>
      </c>
      <c r="K1776">
        <v>0</v>
      </c>
      <c r="L1776">
        <v>0</v>
      </c>
    </row>
    <row r="1777" spans="1:12">
      <c r="A1777" t="str">
        <f>HYPERLINK("http://bombeiros.sp.gov.br/hidrantes/03individual/3478.html","3478")</f>
        <v>3478</v>
      </c>
      <c r="B1777" t="str">
        <f>HYPERLINK("http://bombeiros.sp.gov.br/hidrantes/08bsg/qrcodeBSG.html?id=3478&amp;lat=-23.49142&amp;long=-46.44842&amp;tipo=S","QRCODE")</f>
        <v>QRCODE</v>
      </c>
      <c r="C1777" t="s">
        <v>5273</v>
      </c>
      <c r="D1777" t="s">
        <v>5322</v>
      </c>
      <c r="E1777" t="s">
        <v>44</v>
      </c>
      <c r="F1777" t="s">
        <v>21</v>
      </c>
      <c r="G1777" t="s">
        <v>4218</v>
      </c>
      <c r="H1777">
        <v>0</v>
      </c>
      <c r="I1777">
        <v>1</v>
      </c>
      <c r="J1777">
        <v>0</v>
      </c>
      <c r="K1777">
        <v>0</v>
      </c>
      <c r="L1777">
        <v>0</v>
      </c>
    </row>
    <row r="1778" spans="1:12">
      <c r="A1778" t="str">
        <f>HYPERLINK("http://bombeiros.sp.gov.br/hidrantes/03individual/4200.html","4200")</f>
        <v>4200</v>
      </c>
      <c r="B1778" t="str">
        <f>HYPERLINK("http://bombeiros.sp.gov.br/hidrantes/08bsg/qrcodeBSG.html?id=4200&amp;lat=-23.49429&amp;long=-46.44447&amp;tipo=S","QRCODE")</f>
        <v>QRCODE</v>
      </c>
      <c r="C1778" t="s">
        <v>5273</v>
      </c>
      <c r="D1778" t="s">
        <v>5322</v>
      </c>
      <c r="E1778" t="s">
        <v>44</v>
      </c>
      <c r="F1778" t="s">
        <v>21</v>
      </c>
      <c r="G1778" t="s">
        <v>2556</v>
      </c>
      <c r="H1778">
        <v>0</v>
      </c>
      <c r="I1778">
        <v>2</v>
      </c>
      <c r="J1778">
        <v>0</v>
      </c>
      <c r="K1778">
        <v>0</v>
      </c>
      <c r="L1778">
        <v>0</v>
      </c>
    </row>
    <row r="1779" spans="1:12">
      <c r="A1779" t="str">
        <f>HYPERLINK("http://bombeiros.sp.gov.br/hidrantes/03individual/4203.html","4203")</f>
        <v>4203</v>
      </c>
      <c r="B1779" t="str">
        <f>HYPERLINK("http://bombeiros.sp.gov.br/hidrantes/08bsg/qrcodeBSG.html?id=4203&amp;lat=-23.49670&amp;long=-46.44884&amp;tipo=S","QRCODE")</f>
        <v>QRCODE</v>
      </c>
      <c r="C1779" t="s">
        <v>5273</v>
      </c>
      <c r="D1779" t="s">
        <v>5322</v>
      </c>
      <c r="E1779" t="s">
        <v>44</v>
      </c>
      <c r="F1779" t="s">
        <v>21</v>
      </c>
      <c r="G1779" t="s">
        <v>1724</v>
      </c>
      <c r="H1779">
        <v>0</v>
      </c>
      <c r="I1779">
        <v>2</v>
      </c>
      <c r="J1779">
        <v>0</v>
      </c>
      <c r="K1779">
        <v>0</v>
      </c>
      <c r="L1779">
        <v>0</v>
      </c>
    </row>
    <row r="1780" spans="1:12">
      <c r="A1780" t="str">
        <f>HYPERLINK("http://bombeiros.sp.gov.br/hidrantes/03individual/26815.html","26815")</f>
        <v>26815</v>
      </c>
      <c r="B1780" t="str">
        <f>HYPERLINK("http://bombeiros.sp.gov.br/hidrantes/08bsg/qrcodeBSG.html?id=26815&amp;lat=-23.49656&amp;long=-46.44410&amp;tipo=S","QRCODE")</f>
        <v>QRCODE</v>
      </c>
      <c r="C1780" t="s">
        <v>5273</v>
      </c>
      <c r="D1780" t="s">
        <v>5322</v>
      </c>
      <c r="E1780" t="s">
        <v>44</v>
      </c>
      <c r="F1780" t="s">
        <v>21</v>
      </c>
      <c r="G1780" t="s">
        <v>3785</v>
      </c>
      <c r="H1780">
        <v>0</v>
      </c>
      <c r="I1780">
        <v>1</v>
      </c>
      <c r="J1780">
        <v>0</v>
      </c>
      <c r="K1780">
        <v>0</v>
      </c>
      <c r="L1780">
        <v>0</v>
      </c>
    </row>
    <row r="1781" spans="1:12">
      <c r="A1781" t="str">
        <f>HYPERLINK("http://bombeiros.sp.gov.br/hidrantes/03individual/2020.html","2020")</f>
        <v>2020</v>
      </c>
      <c r="B1781" t="str">
        <f>HYPERLINK("http://bombeiros.sp.gov.br/hidrantes/08bsg/qrcodeBSG.html?id=2020&amp;lat=-23.52368&amp;long=-46.44402&amp;tipo=S","QRCODE")</f>
        <v>QRCODE</v>
      </c>
      <c r="C1781" t="s">
        <v>5273</v>
      </c>
      <c r="D1781" t="s">
        <v>5322</v>
      </c>
      <c r="E1781" t="s">
        <v>1682</v>
      </c>
      <c r="F1781" t="s">
        <v>21</v>
      </c>
      <c r="G1781" t="s">
        <v>4478</v>
      </c>
      <c r="H1781">
        <v>0</v>
      </c>
      <c r="I1781">
        <v>2</v>
      </c>
      <c r="J1781">
        <v>0</v>
      </c>
      <c r="K1781">
        <v>0</v>
      </c>
      <c r="L1781">
        <v>0</v>
      </c>
    </row>
    <row r="1782" spans="1:12">
      <c r="A1782" t="str">
        <f>HYPERLINK("http://bombeiros.sp.gov.br/hidrantes/03individual/3401.html","3401")</f>
        <v>3401</v>
      </c>
      <c r="B1782" t="str">
        <f>HYPERLINK("http://bombeiros.sp.gov.br/hidrantes/08bsg/qrcodeBSG.html?id=3401&amp;lat=-23.52064&amp;long=-46.43995&amp;tipo=S","QRCODE")</f>
        <v>QRCODE</v>
      </c>
      <c r="C1782" t="s">
        <v>5273</v>
      </c>
      <c r="D1782" t="s">
        <v>5322</v>
      </c>
      <c r="E1782" t="s">
        <v>1682</v>
      </c>
      <c r="F1782" t="s">
        <v>21</v>
      </c>
      <c r="G1782" t="s">
        <v>2577</v>
      </c>
      <c r="H1782">
        <v>0</v>
      </c>
      <c r="I1782">
        <v>2</v>
      </c>
      <c r="J1782">
        <v>0</v>
      </c>
      <c r="K1782">
        <v>0</v>
      </c>
      <c r="L1782">
        <v>0</v>
      </c>
    </row>
    <row r="1783" spans="1:12">
      <c r="A1783" t="str">
        <f>HYPERLINK("http://bombeiros.sp.gov.br/hidrantes/03individual/4329.html","4329")</f>
        <v>4329</v>
      </c>
      <c r="B1783" t="str">
        <f>HYPERLINK("http://bombeiros.sp.gov.br/hidrantes/08bsg/qrcodeBSG.html?id=4329&amp;lat=-23.52026&amp;long=-46.43572&amp;tipo=S","QRCODE")</f>
        <v>QRCODE</v>
      </c>
      <c r="C1783" t="s">
        <v>5273</v>
      </c>
      <c r="D1783" t="s">
        <v>5322</v>
      </c>
      <c r="E1783" t="s">
        <v>1682</v>
      </c>
      <c r="F1783" t="s">
        <v>21</v>
      </c>
      <c r="G1783" t="s">
        <v>3110</v>
      </c>
      <c r="H1783">
        <v>0</v>
      </c>
      <c r="I1783">
        <v>2</v>
      </c>
      <c r="J1783">
        <v>0</v>
      </c>
      <c r="K1783">
        <v>0</v>
      </c>
      <c r="L1783">
        <v>0</v>
      </c>
    </row>
    <row r="1784" spans="1:12">
      <c r="A1784" t="str">
        <f>HYPERLINK("http://bombeiros.sp.gov.br/hidrantes/03individual/17795.html","17795")</f>
        <v>17795</v>
      </c>
      <c r="B1784" t="str">
        <f>HYPERLINK("http://bombeiros.sp.gov.br/hidrantes/08bsg/qrcodeBSG.html?id=17795&amp;lat=-23.51535&amp;long=-46.43607&amp;tipo=S","QRCODE")</f>
        <v>QRCODE</v>
      </c>
      <c r="C1784" t="s">
        <v>5273</v>
      </c>
      <c r="D1784" t="s">
        <v>5322</v>
      </c>
      <c r="E1784" t="s">
        <v>1682</v>
      </c>
      <c r="F1784" t="s">
        <v>21</v>
      </c>
      <c r="G1784" t="s">
        <v>5087</v>
      </c>
      <c r="H1784">
        <v>0</v>
      </c>
      <c r="I1784">
        <v>1</v>
      </c>
      <c r="J1784">
        <v>0</v>
      </c>
      <c r="K1784">
        <v>0</v>
      </c>
      <c r="L1784">
        <v>0</v>
      </c>
    </row>
    <row r="1785" spans="1:12">
      <c r="A1785" t="str">
        <f>HYPERLINK("http://bombeiros.sp.gov.br/hidrantes/03individual/2082.html","2082")</f>
        <v>2082</v>
      </c>
      <c r="B1785" t="str">
        <f>HYPERLINK("http://bombeiros.sp.gov.br/hidrantes/08bsg/qrcodeBSG.html?id=2082&amp;lat=-23.64112&amp;long=-46.45226&amp;tipo=C","QRCODE")</f>
        <v>QRCODE</v>
      </c>
      <c r="C1785" t="s">
        <v>5273</v>
      </c>
      <c r="D1785" t="s">
        <v>5323</v>
      </c>
      <c r="E1785" t="s">
        <v>530</v>
      </c>
      <c r="F1785" t="s">
        <v>12</v>
      </c>
      <c r="G1785" t="s">
        <v>2102</v>
      </c>
      <c r="H1785">
        <v>0</v>
      </c>
      <c r="I1785">
        <v>2</v>
      </c>
      <c r="J1785">
        <v>0</v>
      </c>
      <c r="K1785">
        <v>0</v>
      </c>
      <c r="L1785">
        <v>0</v>
      </c>
    </row>
    <row r="1786" spans="1:12">
      <c r="A1786" t="str">
        <f>HYPERLINK("http://bombeiros.sp.gov.br/hidrantes/03individual/3872.html","3872")</f>
        <v>3872</v>
      </c>
      <c r="B1786" t="str">
        <f>HYPERLINK("http://bombeiros.sp.gov.br/hidrantes/08bsg/qrcodeBSG.html?id=3872&amp;lat=-23.63406&amp;long=-46.45771&amp;tipo=C","QRCODE")</f>
        <v>QRCODE</v>
      </c>
      <c r="C1786" t="s">
        <v>5273</v>
      </c>
      <c r="D1786" t="s">
        <v>5323</v>
      </c>
      <c r="E1786" t="s">
        <v>530</v>
      </c>
      <c r="F1786" t="s">
        <v>12</v>
      </c>
      <c r="G1786" t="s">
        <v>529</v>
      </c>
      <c r="H1786">
        <v>0</v>
      </c>
      <c r="I1786">
        <v>2</v>
      </c>
      <c r="J1786">
        <v>0</v>
      </c>
      <c r="K1786">
        <v>0</v>
      </c>
      <c r="L1786">
        <v>0</v>
      </c>
    </row>
    <row r="1787" spans="1:12">
      <c r="A1787" t="str">
        <f>HYPERLINK("http://bombeiros.sp.gov.br/hidrantes/03individual/3915.html","3915")</f>
        <v>3915</v>
      </c>
      <c r="B1787" t="str">
        <f>HYPERLINK("http://bombeiros.sp.gov.br/hidrantes/08bsg/qrcodeBSG.html?id=3915&amp;lat=-23.62292&amp;long=-46.44869&amp;tipo=C","QRCODE")</f>
        <v>QRCODE</v>
      </c>
      <c r="C1787" t="s">
        <v>5273</v>
      </c>
      <c r="D1787" t="s">
        <v>5323</v>
      </c>
      <c r="E1787" t="s">
        <v>530</v>
      </c>
      <c r="F1787" t="s">
        <v>12</v>
      </c>
      <c r="G1787" t="s">
        <v>2144</v>
      </c>
      <c r="H1787">
        <v>0</v>
      </c>
      <c r="I1787">
        <v>2</v>
      </c>
      <c r="J1787">
        <v>0</v>
      </c>
      <c r="K1787">
        <v>0</v>
      </c>
      <c r="L1787">
        <v>0</v>
      </c>
    </row>
    <row r="1788" spans="1:12">
      <c r="A1788" t="str">
        <f>HYPERLINK("http://bombeiros.sp.gov.br/hidrantes/03individual/5615.html","5615")</f>
        <v>5615</v>
      </c>
      <c r="B1788" t="str">
        <f>HYPERLINK("http://bombeiros.sp.gov.br/hidrantes/08bsg/qrcodeBSG.html?id=5615&amp;lat=-23.62963&amp;long=-46.45337&amp;tipo=C","QRCODE")</f>
        <v>QRCODE</v>
      </c>
      <c r="C1788" t="s">
        <v>5273</v>
      </c>
      <c r="D1788" t="s">
        <v>5323</v>
      </c>
      <c r="E1788" t="s">
        <v>530</v>
      </c>
      <c r="F1788" t="s">
        <v>12</v>
      </c>
      <c r="G1788" t="s">
        <v>2148</v>
      </c>
      <c r="H1788">
        <v>0</v>
      </c>
      <c r="I1788">
        <v>2</v>
      </c>
      <c r="J1788">
        <v>0</v>
      </c>
      <c r="K1788">
        <v>0</v>
      </c>
      <c r="L1788">
        <v>0</v>
      </c>
    </row>
    <row r="1789" spans="1:12">
      <c r="A1789" t="str">
        <f>HYPERLINK("http://bombeiros.sp.gov.br/hidrantes/03individual/5644.html","5644")</f>
        <v>5644</v>
      </c>
      <c r="B1789" t="str">
        <f>HYPERLINK("http://bombeiros.sp.gov.br/hidrantes/08bsg/qrcodeBSG.html?id=5644&amp;lat=-23.62447&amp;long=-46.44815&amp;tipo=C","QRCODE")</f>
        <v>QRCODE</v>
      </c>
      <c r="C1789" t="s">
        <v>5273</v>
      </c>
      <c r="D1789" t="s">
        <v>5323</v>
      </c>
      <c r="E1789" t="s">
        <v>530</v>
      </c>
      <c r="F1789" t="s">
        <v>12</v>
      </c>
      <c r="G1789" t="s">
        <v>539</v>
      </c>
      <c r="H1789">
        <v>0</v>
      </c>
      <c r="I1789">
        <v>2</v>
      </c>
      <c r="J1789">
        <v>0</v>
      </c>
      <c r="K1789">
        <v>0</v>
      </c>
      <c r="L1789">
        <v>0</v>
      </c>
    </row>
    <row r="1790" spans="1:12">
      <c r="A1790" t="str">
        <f>HYPERLINK("http://bombeiros.sp.gov.br/hidrantes/03individual/10004.html","10004")</f>
        <v>10004</v>
      </c>
      <c r="B1790" t="str">
        <f>HYPERLINK("http://bombeiros.sp.gov.br/hidrantes/08bsg/qrcodeBSG.html?id=10004&amp;lat=-23.63057&amp;long=-46.45235&amp;tipo=C","QRCODE")</f>
        <v>QRCODE</v>
      </c>
      <c r="C1790" t="s">
        <v>5273</v>
      </c>
      <c r="D1790" t="s">
        <v>5323</v>
      </c>
      <c r="E1790" t="s">
        <v>530</v>
      </c>
      <c r="F1790" t="s">
        <v>12</v>
      </c>
      <c r="G1790" t="s">
        <v>553</v>
      </c>
      <c r="H1790">
        <v>1</v>
      </c>
      <c r="I1790">
        <v>1</v>
      </c>
      <c r="J1790">
        <v>0</v>
      </c>
      <c r="K1790">
        <v>0</v>
      </c>
      <c r="L1790">
        <v>0</v>
      </c>
    </row>
    <row r="1791" spans="1:12">
      <c r="A1791" t="str">
        <f>HYPERLINK("http://bombeiros.sp.gov.br/hidrantes/03individual/10005.html","10005")</f>
        <v>10005</v>
      </c>
      <c r="B1791" t="str">
        <f>HYPERLINK("http://bombeiros.sp.gov.br/hidrantes/08bsg/qrcodeBSG.html?id=10005&amp;lat=-23.62875&amp;long=-46.45568&amp;tipo=C","QRCODE")</f>
        <v>QRCODE</v>
      </c>
      <c r="C1791" t="s">
        <v>5273</v>
      </c>
      <c r="D1791" t="s">
        <v>5323</v>
      </c>
      <c r="E1791" t="s">
        <v>530</v>
      </c>
      <c r="F1791" t="s">
        <v>12</v>
      </c>
      <c r="G1791" t="s">
        <v>554</v>
      </c>
      <c r="H1791">
        <v>0</v>
      </c>
      <c r="I1791">
        <v>2</v>
      </c>
      <c r="J1791">
        <v>0</v>
      </c>
      <c r="K1791">
        <v>0</v>
      </c>
      <c r="L1791">
        <v>0</v>
      </c>
    </row>
    <row r="1792" spans="1:12">
      <c r="A1792" t="str">
        <f>HYPERLINK("http://bombeiros.sp.gov.br/hidrantes/03individual/2102.html","2102")</f>
        <v>2102</v>
      </c>
      <c r="B1792" t="str">
        <f>HYPERLINK("http://bombeiros.sp.gov.br/hidrantes/08bsg/qrcodeBSG.html?id=2102&amp;lat=-23.62858&amp;long=-46.46194&amp;tipo=S","QRCODE")</f>
        <v>QRCODE</v>
      </c>
      <c r="C1792" t="s">
        <v>5273</v>
      </c>
      <c r="D1792" t="s">
        <v>5323</v>
      </c>
      <c r="E1792" t="s">
        <v>530</v>
      </c>
      <c r="F1792" t="s">
        <v>21</v>
      </c>
      <c r="G1792" t="s">
        <v>2098</v>
      </c>
      <c r="H1792">
        <v>0</v>
      </c>
      <c r="I1792">
        <v>2</v>
      </c>
      <c r="J1792">
        <v>0</v>
      </c>
      <c r="K1792">
        <v>0</v>
      </c>
      <c r="L1792">
        <v>0</v>
      </c>
    </row>
    <row r="1793" spans="1:12">
      <c r="A1793" t="str">
        <f>HYPERLINK("http://bombeiros.sp.gov.br/hidrantes/03individual/2104.html","2104")</f>
        <v>2104</v>
      </c>
      <c r="B1793" t="str">
        <f>HYPERLINK("http://bombeiros.sp.gov.br/hidrantes/08bsg/qrcodeBSG.html?id=2104&amp;lat=-23.63161&amp;long=-46.46191&amp;tipo=S","QRCODE")</f>
        <v>QRCODE</v>
      </c>
      <c r="C1793" t="s">
        <v>5273</v>
      </c>
      <c r="D1793" t="s">
        <v>5323</v>
      </c>
      <c r="E1793" t="s">
        <v>530</v>
      </c>
      <c r="F1793" t="s">
        <v>21</v>
      </c>
      <c r="G1793" t="s">
        <v>2099</v>
      </c>
      <c r="H1793">
        <v>0</v>
      </c>
      <c r="I1793">
        <v>2</v>
      </c>
      <c r="J1793">
        <v>0</v>
      </c>
      <c r="K1793">
        <v>0</v>
      </c>
      <c r="L1793">
        <v>0</v>
      </c>
    </row>
    <row r="1794" spans="1:12">
      <c r="A1794" t="str">
        <f>HYPERLINK("http://bombeiros.sp.gov.br/hidrantes/03individual/4380.html","4380")</f>
        <v>4380</v>
      </c>
      <c r="B1794" t="str">
        <f>HYPERLINK("http://bombeiros.sp.gov.br/hidrantes/08bsg/qrcodeBSG.html?id=4380&amp;lat=-23.62021&amp;long=-46.43794&amp;tipo=S","QRCODE")</f>
        <v>QRCODE</v>
      </c>
      <c r="C1794" t="s">
        <v>5273</v>
      </c>
      <c r="D1794" t="s">
        <v>5323</v>
      </c>
      <c r="E1794" t="s">
        <v>530</v>
      </c>
      <c r="F1794" t="s">
        <v>21</v>
      </c>
      <c r="G1794" t="s">
        <v>3936</v>
      </c>
      <c r="H1794">
        <v>0</v>
      </c>
      <c r="I1794">
        <v>1</v>
      </c>
      <c r="J1794">
        <v>0</v>
      </c>
      <c r="K1794">
        <v>0</v>
      </c>
      <c r="L1794">
        <v>0</v>
      </c>
    </row>
    <row r="1795" spans="1:12">
      <c r="A1795" t="str">
        <f>HYPERLINK("http://bombeiros.sp.gov.br/hidrantes/03individual/5642.html","5642")</f>
        <v>5642</v>
      </c>
      <c r="B1795" t="str">
        <f>HYPERLINK("http://bombeiros.sp.gov.br/hidrantes/08bsg/qrcodeBSG.html?id=5642&amp;lat=-23.62534&amp;long=-46.44585&amp;tipo=S","QRCODE")</f>
        <v>QRCODE</v>
      </c>
      <c r="C1795" t="s">
        <v>5273</v>
      </c>
      <c r="D1795" t="s">
        <v>5323</v>
      </c>
      <c r="E1795" t="s">
        <v>530</v>
      </c>
      <c r="F1795" t="s">
        <v>21</v>
      </c>
      <c r="G1795" t="s">
        <v>3935</v>
      </c>
      <c r="H1795">
        <v>1</v>
      </c>
      <c r="I1795">
        <v>1</v>
      </c>
      <c r="J1795">
        <v>0</v>
      </c>
      <c r="K1795">
        <v>0</v>
      </c>
      <c r="L1795">
        <v>0</v>
      </c>
    </row>
    <row r="1796" spans="1:12">
      <c r="A1796" t="str">
        <f>HYPERLINK("http://bombeiros.sp.gov.br/hidrantes/03individual/3917.html","3917")</f>
        <v>3917</v>
      </c>
      <c r="B1796" t="str">
        <f>HYPERLINK("http://bombeiros.sp.gov.br/hidrantes/08bsg/qrcodeBSG.html?id=3917&amp;lat=-23.62174&amp;long=-46.45124&amp;tipo=C","QRCODE")</f>
        <v>QRCODE</v>
      </c>
      <c r="C1796" t="s">
        <v>5273</v>
      </c>
      <c r="D1796" t="s">
        <v>5323</v>
      </c>
      <c r="E1796" t="s">
        <v>50</v>
      </c>
      <c r="F1796" t="s">
        <v>12</v>
      </c>
      <c r="G1796" t="s">
        <v>3947</v>
      </c>
      <c r="H1796">
        <v>1</v>
      </c>
      <c r="I1796">
        <v>2</v>
      </c>
      <c r="J1796">
        <v>0</v>
      </c>
      <c r="K1796">
        <v>0</v>
      </c>
      <c r="L1796">
        <v>0</v>
      </c>
    </row>
    <row r="1797" spans="1:12">
      <c r="A1797" t="str">
        <f>HYPERLINK("http://bombeiros.sp.gov.br/hidrantes/03individual/5651.html","5651")</f>
        <v>5651</v>
      </c>
      <c r="B1797" t="str">
        <f>HYPERLINK("http://bombeiros.sp.gov.br/hidrantes/08bsg/qrcodeBSG.html?id=5651&amp;lat=-23.61927&amp;long=-46.45638&amp;tipo=C","QRCODE")</f>
        <v>QRCODE</v>
      </c>
      <c r="C1797" t="s">
        <v>5273</v>
      </c>
      <c r="D1797" t="s">
        <v>5323</v>
      </c>
      <c r="E1797" t="s">
        <v>50</v>
      </c>
      <c r="F1797" t="s">
        <v>12</v>
      </c>
      <c r="G1797" t="s">
        <v>4942</v>
      </c>
      <c r="H1797">
        <v>0</v>
      </c>
      <c r="I1797">
        <v>1</v>
      </c>
      <c r="J1797">
        <v>0</v>
      </c>
      <c r="K1797">
        <v>0</v>
      </c>
      <c r="L1797">
        <v>0</v>
      </c>
    </row>
    <row r="1798" spans="1:12">
      <c r="A1798" t="str">
        <f>HYPERLINK("http://bombeiros.sp.gov.br/hidrantes/03individual/2062.html","2062")</f>
        <v>2062</v>
      </c>
      <c r="B1798" t="str">
        <f>HYPERLINK("http://bombeiros.sp.gov.br/hidrantes/08bsg/qrcodeBSG.html?id=2062&amp;lat=-23.62095&amp;long=-46.47814&amp;tipo=S","QRCODE")</f>
        <v>QRCODE</v>
      </c>
      <c r="C1798" t="s">
        <v>5273</v>
      </c>
      <c r="D1798" t="s">
        <v>5323</v>
      </c>
      <c r="E1798" t="s">
        <v>50</v>
      </c>
      <c r="F1798" t="s">
        <v>21</v>
      </c>
      <c r="G1798" t="s">
        <v>3456</v>
      </c>
      <c r="H1798">
        <v>0</v>
      </c>
      <c r="I1798">
        <v>1</v>
      </c>
      <c r="J1798">
        <v>0</v>
      </c>
      <c r="K1798">
        <v>0</v>
      </c>
      <c r="L1798">
        <v>0</v>
      </c>
    </row>
    <row r="1799" spans="1:12">
      <c r="A1799" t="str">
        <f>HYPERLINK("http://bombeiros.sp.gov.br/hidrantes/03individual/2066.html","2066")</f>
        <v>2066</v>
      </c>
      <c r="B1799" t="str">
        <f>HYPERLINK("http://bombeiros.sp.gov.br/hidrantes/08bsg/qrcodeBSG.html?id=2066&amp;lat=-23.63244&amp;long=-46.46781&amp;tipo=S","QRCODE")</f>
        <v>QRCODE</v>
      </c>
      <c r="C1799" t="s">
        <v>5273</v>
      </c>
      <c r="D1799" t="s">
        <v>5323</v>
      </c>
      <c r="E1799" t="s">
        <v>50</v>
      </c>
      <c r="F1799" t="s">
        <v>21</v>
      </c>
      <c r="G1799" t="s">
        <v>2104</v>
      </c>
      <c r="H1799">
        <v>0</v>
      </c>
      <c r="I1799">
        <v>2</v>
      </c>
      <c r="J1799">
        <v>0</v>
      </c>
      <c r="K1799">
        <v>0</v>
      </c>
      <c r="L1799">
        <v>0</v>
      </c>
    </row>
    <row r="1800" spans="1:12">
      <c r="A1800" t="str">
        <f>HYPERLINK("http://bombeiros.sp.gov.br/hidrantes/03individual/2078.html","2078")</f>
        <v>2078</v>
      </c>
      <c r="B1800" t="str">
        <f>HYPERLINK("http://bombeiros.sp.gov.br/hidrantes/08bsg/qrcodeBSG.html?id=2078&amp;lat=-23.62192&amp;long=-46.46716&amp;tipo=S","QRCODE")</f>
        <v>QRCODE</v>
      </c>
      <c r="C1800" t="s">
        <v>5273</v>
      </c>
      <c r="D1800" t="s">
        <v>5323</v>
      </c>
      <c r="E1800" t="s">
        <v>50</v>
      </c>
      <c r="F1800" t="s">
        <v>21</v>
      </c>
      <c r="G1800" t="s">
        <v>3457</v>
      </c>
      <c r="H1800">
        <v>1</v>
      </c>
      <c r="I1800">
        <v>1</v>
      </c>
      <c r="J1800">
        <v>0</v>
      </c>
      <c r="K1800">
        <v>0</v>
      </c>
      <c r="L1800">
        <v>0</v>
      </c>
    </row>
    <row r="1801" spans="1:12">
      <c r="A1801" t="str">
        <f>HYPERLINK("http://bombeiros.sp.gov.br/hidrantes/03individual/2080.html","2080")</f>
        <v>2080</v>
      </c>
      <c r="B1801" t="str">
        <f>HYPERLINK("http://bombeiros.sp.gov.br/hidrantes/08bsg/qrcodeBSG.html?id=2080&amp;lat=-23.62797&amp;long=-46.46518&amp;tipo=S","QRCODE")</f>
        <v>QRCODE</v>
      </c>
      <c r="C1801" t="s">
        <v>5273</v>
      </c>
      <c r="D1801" t="s">
        <v>5323</v>
      </c>
      <c r="E1801" t="s">
        <v>50</v>
      </c>
      <c r="F1801" t="s">
        <v>21</v>
      </c>
      <c r="G1801" t="s">
        <v>2101</v>
      </c>
      <c r="H1801">
        <v>0</v>
      </c>
      <c r="I1801">
        <v>2</v>
      </c>
      <c r="J1801">
        <v>0</v>
      </c>
      <c r="K1801">
        <v>0</v>
      </c>
      <c r="L1801">
        <v>0</v>
      </c>
    </row>
    <row r="1802" spans="1:12">
      <c r="A1802" t="str">
        <f>HYPERLINK("http://bombeiros.sp.gov.br/hidrantes/03individual/2088.html","2088")</f>
        <v>2088</v>
      </c>
      <c r="B1802" t="str">
        <f>HYPERLINK("http://bombeiros.sp.gov.br/hidrantes/08bsg/qrcodeBSG.html?id=2088&amp;lat=-23.62407&amp;long=-46.46242&amp;tipo=S","QRCODE")</f>
        <v>QRCODE</v>
      </c>
      <c r="C1802" t="s">
        <v>5273</v>
      </c>
      <c r="D1802" t="s">
        <v>5323</v>
      </c>
      <c r="E1802" t="s">
        <v>50</v>
      </c>
      <c r="F1802" t="s">
        <v>21</v>
      </c>
      <c r="G1802" t="s">
        <v>2100</v>
      </c>
      <c r="H1802">
        <v>0</v>
      </c>
      <c r="I1802">
        <v>3</v>
      </c>
      <c r="J1802">
        <v>0</v>
      </c>
      <c r="K1802">
        <v>0</v>
      </c>
      <c r="L1802">
        <v>0</v>
      </c>
    </row>
    <row r="1803" spans="1:12">
      <c r="A1803" t="str">
        <f>HYPERLINK("http://bombeiros.sp.gov.br/hidrantes/03individual/3871.html","3871")</f>
        <v>3871</v>
      </c>
      <c r="B1803" t="str">
        <f>HYPERLINK("http://bombeiros.sp.gov.br/hidrantes/08bsg/qrcodeBSG.html?id=3871&amp;lat=-23.62916&amp;long=-46.47437&amp;tipo=S","QRCODE")</f>
        <v>QRCODE</v>
      </c>
      <c r="C1803" t="s">
        <v>5273</v>
      </c>
      <c r="D1803" t="s">
        <v>5323</v>
      </c>
      <c r="E1803" t="s">
        <v>50</v>
      </c>
      <c r="F1803" t="s">
        <v>21</v>
      </c>
      <c r="G1803" t="s">
        <v>2141</v>
      </c>
      <c r="H1803">
        <v>0</v>
      </c>
      <c r="I1803">
        <v>2</v>
      </c>
      <c r="J1803">
        <v>0</v>
      </c>
      <c r="K1803">
        <v>0</v>
      </c>
      <c r="L1803">
        <v>0</v>
      </c>
    </row>
    <row r="1804" spans="1:12">
      <c r="A1804" t="str">
        <f>HYPERLINK("http://bombeiros.sp.gov.br/hidrantes/03individual/3922.html","3922")</f>
        <v>3922</v>
      </c>
      <c r="B1804" t="str">
        <f>HYPERLINK("http://bombeiros.sp.gov.br/hidrantes/08bsg/qrcodeBSG.html?id=3922&amp;lat=-23.61483&amp;long=-46.44909&amp;tipo=S","QRCODE")</f>
        <v>QRCODE</v>
      </c>
      <c r="C1804" t="s">
        <v>5273</v>
      </c>
      <c r="D1804" t="s">
        <v>5323</v>
      </c>
      <c r="E1804" t="s">
        <v>50</v>
      </c>
      <c r="F1804" t="s">
        <v>21</v>
      </c>
      <c r="G1804" t="s">
        <v>77</v>
      </c>
      <c r="H1804">
        <v>0</v>
      </c>
      <c r="I1804">
        <v>2</v>
      </c>
      <c r="J1804">
        <v>0</v>
      </c>
      <c r="K1804">
        <v>0</v>
      </c>
      <c r="L1804">
        <v>0</v>
      </c>
    </row>
    <row r="1805" spans="1:12">
      <c r="A1805" t="str">
        <f>HYPERLINK("http://bombeiros.sp.gov.br/hidrantes/03individual/5628.html","5628")</f>
        <v>5628</v>
      </c>
      <c r="B1805" t="str">
        <f>HYPERLINK("http://bombeiros.sp.gov.br/hidrantes/08bsg/qrcodeBSG.html?id=5628&amp;lat=-23.61588&amp;long=-46.45481&amp;tipo=S","QRCODE")</f>
        <v>QRCODE</v>
      </c>
      <c r="C1805" t="s">
        <v>5273</v>
      </c>
      <c r="D1805" t="s">
        <v>5323</v>
      </c>
      <c r="E1805" t="s">
        <v>50</v>
      </c>
      <c r="F1805" t="s">
        <v>21</v>
      </c>
      <c r="G1805" t="s">
        <v>5018</v>
      </c>
      <c r="H1805">
        <v>0</v>
      </c>
      <c r="I1805">
        <v>1</v>
      </c>
      <c r="J1805">
        <v>0</v>
      </c>
      <c r="K1805">
        <v>0</v>
      </c>
      <c r="L1805">
        <v>0</v>
      </c>
    </row>
    <row r="1806" spans="1:12">
      <c r="A1806" t="str">
        <f>HYPERLINK("http://bombeiros.sp.gov.br/hidrantes/03individual/17782.html","17782")</f>
        <v>17782</v>
      </c>
      <c r="B1806" t="str">
        <f>HYPERLINK("http://bombeiros.sp.gov.br/hidrantes/08bsg/qrcodeBSG.html?id=17782&amp;lat=-23.61796&amp;long=-46.46858&amp;tipo=S","QRCODE")</f>
        <v>QRCODE</v>
      </c>
      <c r="C1806" t="s">
        <v>5273</v>
      </c>
      <c r="D1806" t="s">
        <v>5323</v>
      </c>
      <c r="E1806" t="s">
        <v>50</v>
      </c>
      <c r="F1806" t="s">
        <v>21</v>
      </c>
      <c r="G1806" t="s">
        <v>3348</v>
      </c>
      <c r="H1806">
        <v>1</v>
      </c>
      <c r="I1806">
        <v>1</v>
      </c>
      <c r="J1806">
        <v>0</v>
      </c>
      <c r="K1806">
        <v>0</v>
      </c>
      <c r="L1806">
        <v>0</v>
      </c>
    </row>
    <row r="1807" spans="1:12">
      <c r="A1807" t="str">
        <f>HYPERLINK("http://bombeiros.sp.gov.br/hidrantes/03individual/17783.html","17783")</f>
        <v>17783</v>
      </c>
      <c r="B1807" t="str">
        <f>HYPERLINK("http://bombeiros.sp.gov.br/hidrantes/08bsg/qrcodeBSG.html?id=17783&amp;lat=-23.61896&amp;long=-46.46123&amp;tipo=S","QRCODE")</f>
        <v>QRCODE</v>
      </c>
      <c r="C1807" t="s">
        <v>5273</v>
      </c>
      <c r="D1807" t="s">
        <v>5323</v>
      </c>
      <c r="E1807" t="s">
        <v>50</v>
      </c>
      <c r="F1807" t="s">
        <v>21</v>
      </c>
      <c r="G1807" t="s">
        <v>4106</v>
      </c>
      <c r="H1807">
        <v>1</v>
      </c>
      <c r="I1807">
        <v>1</v>
      </c>
      <c r="J1807">
        <v>0</v>
      </c>
      <c r="K1807">
        <v>0</v>
      </c>
      <c r="L1807">
        <v>0</v>
      </c>
    </row>
    <row r="1808" spans="1:12">
      <c r="A1808" t="str">
        <f>HYPERLINK("http://bombeiros.sp.gov.br/hidrantes/03individual/26848.html","26848")</f>
        <v>26848</v>
      </c>
      <c r="B1808" t="str">
        <f>HYPERLINK("http://bombeiros.sp.gov.br/hidrantes/08bsg/qrcodeBSG.html?id=26848&amp;lat=-23.61466&amp;long=-46.45772&amp;tipo=S","QRCODE")</f>
        <v>QRCODE</v>
      </c>
      <c r="C1808" t="s">
        <v>5273</v>
      </c>
      <c r="D1808" t="s">
        <v>5323</v>
      </c>
      <c r="E1808" t="s">
        <v>50</v>
      </c>
      <c r="F1808" t="s">
        <v>21</v>
      </c>
      <c r="G1808" t="s">
        <v>49</v>
      </c>
      <c r="H1808">
        <v>0</v>
      </c>
      <c r="I1808">
        <v>2</v>
      </c>
      <c r="J1808">
        <v>0</v>
      </c>
      <c r="K1808">
        <v>0</v>
      </c>
      <c r="L1808">
        <v>0</v>
      </c>
    </row>
    <row r="1809" spans="1:12">
      <c r="A1809" t="str">
        <f>HYPERLINK("http://bombeiros.sp.gov.br/hidrantes/03individual/3724.html","3724")</f>
        <v>3724</v>
      </c>
      <c r="B1809" t="str">
        <f>HYPERLINK("http://bombeiros.sp.gov.br/hidrantes/08bsg/qrcodeBSG.html?id=3724&amp;lat=-23.62326&amp;long=-46.50027&amp;tipo=C","QRCODE")</f>
        <v>QRCODE</v>
      </c>
      <c r="C1809" t="s">
        <v>5273</v>
      </c>
      <c r="D1809" t="s">
        <v>5324</v>
      </c>
      <c r="E1809" t="s">
        <v>534</v>
      </c>
      <c r="F1809" t="s">
        <v>12</v>
      </c>
      <c r="G1809" t="s">
        <v>1889</v>
      </c>
      <c r="H1809">
        <v>0</v>
      </c>
      <c r="I1809">
        <v>2</v>
      </c>
      <c r="J1809">
        <v>0</v>
      </c>
      <c r="K1809">
        <v>0</v>
      </c>
      <c r="L1809">
        <v>0</v>
      </c>
    </row>
    <row r="1810" spans="1:12">
      <c r="A1810" t="str">
        <f>HYPERLINK("http://bombeiros.sp.gov.br/hidrantes/03individual/3869.html","3869")</f>
        <v>3869</v>
      </c>
      <c r="B1810" t="str">
        <f>HYPERLINK("http://bombeiros.sp.gov.br/hidrantes/08bsg/qrcodeBSG.html?id=3869&amp;lat=-23.61339&amp;long=-46.48578&amp;tipo=C","QRCODE")</f>
        <v>QRCODE</v>
      </c>
      <c r="C1810" t="s">
        <v>5273</v>
      </c>
      <c r="D1810" t="s">
        <v>5324</v>
      </c>
      <c r="E1810" t="s">
        <v>534</v>
      </c>
      <c r="F1810" t="s">
        <v>12</v>
      </c>
      <c r="G1810" t="s">
        <v>533</v>
      </c>
      <c r="H1810">
        <v>0</v>
      </c>
      <c r="I1810">
        <v>2</v>
      </c>
      <c r="J1810">
        <v>0</v>
      </c>
      <c r="K1810">
        <v>0</v>
      </c>
      <c r="L1810">
        <v>0</v>
      </c>
    </row>
    <row r="1811" spans="1:12">
      <c r="A1811" t="str">
        <f>HYPERLINK("http://bombeiros.sp.gov.br/hidrantes/03individual/3902.html","3902")</f>
        <v>3902</v>
      </c>
      <c r="B1811" t="str">
        <f>HYPERLINK("http://bombeiros.sp.gov.br/hidrantes/08bsg/qrcodeBSG.html?id=3902&amp;lat=-23.61312&amp;long=-46.49015&amp;tipo=C","QRCODE")</f>
        <v>QRCODE</v>
      </c>
      <c r="C1811" t="s">
        <v>5273</v>
      </c>
      <c r="D1811" t="s">
        <v>5324</v>
      </c>
      <c r="E1811" t="s">
        <v>534</v>
      </c>
      <c r="F1811" t="s">
        <v>12</v>
      </c>
      <c r="G1811" t="s">
        <v>4059</v>
      </c>
      <c r="H1811">
        <v>0</v>
      </c>
      <c r="I1811">
        <v>1</v>
      </c>
      <c r="J1811">
        <v>0</v>
      </c>
      <c r="K1811">
        <v>0</v>
      </c>
      <c r="L1811">
        <v>0</v>
      </c>
    </row>
    <row r="1812" spans="1:12">
      <c r="A1812" t="str">
        <f>HYPERLINK("http://bombeiros.sp.gov.br/hidrantes/03individual/1942.html","1942")</f>
        <v>1942</v>
      </c>
      <c r="B1812" t="str">
        <f>HYPERLINK("http://bombeiros.sp.gov.br/hidrantes/08bsg/qrcodeBSG.html?id=1942&amp;lat=-23.61610&amp;long=-46.49649&amp;tipo=S","QRCODE")</f>
        <v>QRCODE</v>
      </c>
      <c r="C1812" t="s">
        <v>5273</v>
      </c>
      <c r="D1812" t="s">
        <v>5324</v>
      </c>
      <c r="E1812" t="s">
        <v>534</v>
      </c>
      <c r="F1812" t="s">
        <v>21</v>
      </c>
      <c r="G1812" t="s">
        <v>2541</v>
      </c>
      <c r="H1812">
        <v>0</v>
      </c>
      <c r="I1812">
        <v>2</v>
      </c>
      <c r="J1812">
        <v>0</v>
      </c>
      <c r="K1812">
        <v>0</v>
      </c>
      <c r="L1812">
        <v>0</v>
      </c>
    </row>
    <row r="1813" spans="1:12">
      <c r="A1813" t="str">
        <f>HYPERLINK("http://bombeiros.sp.gov.br/hidrantes/03individual/1978.html","1978")</f>
        <v>1978</v>
      </c>
      <c r="B1813" t="str">
        <f>HYPERLINK("http://bombeiros.sp.gov.br/hidrantes/08bsg/qrcodeBSG.html?id=1978&amp;lat=-23.61812&amp;long=-46.49666&amp;tipo=S","QRCODE")</f>
        <v>QRCODE</v>
      </c>
      <c r="C1813" t="s">
        <v>5273</v>
      </c>
      <c r="D1813" t="s">
        <v>5324</v>
      </c>
      <c r="E1813" t="s">
        <v>534</v>
      </c>
      <c r="F1813" t="s">
        <v>21</v>
      </c>
      <c r="G1813" t="s">
        <v>4040</v>
      </c>
      <c r="H1813">
        <v>0</v>
      </c>
      <c r="I1813">
        <v>1</v>
      </c>
      <c r="J1813">
        <v>0</v>
      </c>
      <c r="K1813">
        <v>0</v>
      </c>
      <c r="L1813">
        <v>0</v>
      </c>
    </row>
    <row r="1814" spans="1:12">
      <c r="A1814" t="str">
        <f>HYPERLINK("http://bombeiros.sp.gov.br/hidrantes/03individual/1998.html","1998")</f>
        <v>1998</v>
      </c>
      <c r="B1814" t="str">
        <f>HYPERLINK("http://bombeiros.sp.gov.br/hidrantes/08bsg/qrcodeBSG.html?id=1998&amp;lat=-23.61670&amp;long=-46.49462&amp;tipo=S","QRCODE")</f>
        <v>QRCODE</v>
      </c>
      <c r="C1814" t="s">
        <v>5273</v>
      </c>
      <c r="D1814" t="s">
        <v>5324</v>
      </c>
      <c r="E1814" t="s">
        <v>534</v>
      </c>
      <c r="F1814" t="s">
        <v>21</v>
      </c>
      <c r="G1814" t="s">
        <v>4058</v>
      </c>
      <c r="H1814">
        <v>0</v>
      </c>
      <c r="I1814">
        <v>1</v>
      </c>
      <c r="J1814">
        <v>0</v>
      </c>
      <c r="K1814">
        <v>0</v>
      </c>
      <c r="L1814">
        <v>0</v>
      </c>
    </row>
    <row r="1815" spans="1:12">
      <c r="A1815" t="str">
        <f>HYPERLINK("http://bombeiros.sp.gov.br/hidrantes/03individual/2000.html","2000")</f>
        <v>2000</v>
      </c>
      <c r="B1815" t="str">
        <f>HYPERLINK("http://bombeiros.sp.gov.br/hidrantes/08bsg/qrcodeBSG.html?id=2000&amp;lat=-23.61162&amp;long=-46.48870&amp;tipo=S","QRCODE")</f>
        <v>QRCODE</v>
      </c>
      <c r="C1815" t="s">
        <v>5273</v>
      </c>
      <c r="D1815" t="s">
        <v>5324</v>
      </c>
      <c r="E1815" t="s">
        <v>534</v>
      </c>
      <c r="F1815" t="s">
        <v>21</v>
      </c>
      <c r="G1815" t="s">
        <v>2544</v>
      </c>
      <c r="H1815">
        <v>0</v>
      </c>
      <c r="I1815">
        <v>2</v>
      </c>
      <c r="J1815">
        <v>0</v>
      </c>
      <c r="K1815">
        <v>0</v>
      </c>
      <c r="L1815">
        <v>0</v>
      </c>
    </row>
    <row r="1816" spans="1:12">
      <c r="A1816" t="str">
        <f>HYPERLINK("http://bombeiros.sp.gov.br/hidrantes/03individual/2032.html","2032")</f>
        <v>2032</v>
      </c>
      <c r="B1816" t="str">
        <f>HYPERLINK("http://bombeiros.sp.gov.br/hidrantes/08bsg/qrcodeBSG.html?id=2032&amp;lat=-23.61566&amp;long=-46.49518&amp;tipo=S","QRCODE")</f>
        <v>QRCODE</v>
      </c>
      <c r="C1816" t="s">
        <v>5273</v>
      </c>
      <c r="D1816" t="s">
        <v>5324</v>
      </c>
      <c r="E1816" t="s">
        <v>534</v>
      </c>
      <c r="F1816" t="s">
        <v>21</v>
      </c>
      <c r="G1816" t="s">
        <v>2548</v>
      </c>
      <c r="H1816">
        <v>0</v>
      </c>
      <c r="I1816">
        <v>2</v>
      </c>
      <c r="J1816">
        <v>0</v>
      </c>
      <c r="K1816">
        <v>0</v>
      </c>
      <c r="L1816">
        <v>0</v>
      </c>
    </row>
    <row r="1817" spans="1:12">
      <c r="A1817" t="str">
        <f>HYPERLINK("http://bombeiros.sp.gov.br/hidrantes/03individual/3868.html","3868")</f>
        <v>3868</v>
      </c>
      <c r="B1817" t="str">
        <f>HYPERLINK("http://bombeiros.sp.gov.br/hidrantes/08bsg/qrcodeBSG.html?id=3868&amp;lat=-23.62277&amp;long=-46.49809&amp;tipo=S","QRCODE")</f>
        <v>QRCODE</v>
      </c>
      <c r="C1817" t="s">
        <v>5273</v>
      </c>
      <c r="D1817" t="s">
        <v>5324</v>
      </c>
      <c r="E1817" t="s">
        <v>534</v>
      </c>
      <c r="F1817" t="s">
        <v>21</v>
      </c>
      <c r="G1817" t="s">
        <v>1890</v>
      </c>
      <c r="H1817">
        <v>0</v>
      </c>
      <c r="I1817">
        <v>2</v>
      </c>
      <c r="J1817">
        <v>0</v>
      </c>
      <c r="K1817">
        <v>0</v>
      </c>
      <c r="L1817">
        <v>0</v>
      </c>
    </row>
    <row r="1818" spans="1:12">
      <c r="A1818" t="str">
        <f>HYPERLINK("http://bombeiros.sp.gov.br/hidrantes/03individual/4362.html","4362")</f>
        <v>4362</v>
      </c>
      <c r="B1818" t="str">
        <f>HYPERLINK("http://bombeiros.sp.gov.br/hidrantes/08bsg/qrcodeBSG.html?id=4362&amp;lat=-23.61009&amp;long=-46.49215&amp;tipo=S","QRCODE")</f>
        <v>QRCODE</v>
      </c>
      <c r="C1818" t="s">
        <v>5273</v>
      </c>
      <c r="D1818" t="s">
        <v>5324</v>
      </c>
      <c r="E1818" t="s">
        <v>534</v>
      </c>
      <c r="F1818" t="s">
        <v>21</v>
      </c>
      <c r="G1818" t="s">
        <v>2560</v>
      </c>
      <c r="H1818">
        <v>0</v>
      </c>
      <c r="I1818">
        <v>2</v>
      </c>
      <c r="J1818">
        <v>0</v>
      </c>
      <c r="K1818">
        <v>0</v>
      </c>
      <c r="L1818">
        <v>0</v>
      </c>
    </row>
    <row r="1819" spans="1:12">
      <c r="A1819" t="str">
        <f>HYPERLINK("http://bombeiros.sp.gov.br/hidrantes/03individual/10006.html","10006")</f>
        <v>10006</v>
      </c>
      <c r="B1819" t="str">
        <f>HYPERLINK("http://bombeiros.sp.gov.br/hidrantes/08bsg/qrcodeBSG.html?id=10006&amp;lat=-23.62450&amp;long=-46.49006&amp;tipo=S","QRCODE")</f>
        <v>QRCODE</v>
      </c>
      <c r="C1819" t="s">
        <v>5273</v>
      </c>
      <c r="D1819" t="s">
        <v>5324</v>
      </c>
      <c r="E1819" t="s">
        <v>534</v>
      </c>
      <c r="F1819" t="s">
        <v>21</v>
      </c>
      <c r="G1819" t="s">
        <v>1892</v>
      </c>
      <c r="H1819">
        <v>0</v>
      </c>
      <c r="I1819">
        <v>2</v>
      </c>
      <c r="J1819">
        <v>0</v>
      </c>
      <c r="K1819">
        <v>0</v>
      </c>
      <c r="L1819">
        <v>0</v>
      </c>
    </row>
    <row r="1820" spans="1:12">
      <c r="A1820" t="str">
        <f>HYPERLINK("http://bombeiros.sp.gov.br/hidrantes/03individual/17723.html","17723")</f>
        <v>17723</v>
      </c>
      <c r="B1820" t="str">
        <f>HYPERLINK("http://bombeiros.sp.gov.br/hidrantes/08bsg/qrcodeBSG.html?id=17723&amp;lat=-23.61048&amp;long=-46.49500&amp;tipo=S","QRCODE")</f>
        <v>QRCODE</v>
      </c>
      <c r="C1820" t="s">
        <v>5273</v>
      </c>
      <c r="D1820" t="s">
        <v>5324</v>
      </c>
      <c r="E1820" t="s">
        <v>534</v>
      </c>
      <c r="F1820" t="s">
        <v>21</v>
      </c>
      <c r="G1820" t="s">
        <v>4087</v>
      </c>
      <c r="H1820">
        <v>0</v>
      </c>
      <c r="I1820">
        <v>1</v>
      </c>
      <c r="J1820">
        <v>0</v>
      </c>
      <c r="K1820">
        <v>0</v>
      </c>
      <c r="L1820">
        <v>0</v>
      </c>
    </row>
    <row r="1821" spans="1:12">
      <c r="A1821" t="str">
        <f>HYPERLINK("http://bombeiros.sp.gov.br/hidrantes/03individual/17724.html","17724")</f>
        <v>17724</v>
      </c>
      <c r="B1821" t="str">
        <f>HYPERLINK("http://bombeiros.sp.gov.br/hidrantes/08bsg/qrcodeBSG.html?id=17724&amp;lat=-23.61489&amp;long=-46.50098&amp;tipo=S","QRCODE")</f>
        <v>QRCODE</v>
      </c>
      <c r="C1821" t="s">
        <v>5273</v>
      </c>
      <c r="D1821" t="s">
        <v>5324</v>
      </c>
      <c r="E1821" t="s">
        <v>534</v>
      </c>
      <c r="F1821" t="s">
        <v>21</v>
      </c>
      <c r="G1821" t="s">
        <v>1852</v>
      </c>
      <c r="H1821">
        <v>0</v>
      </c>
      <c r="I1821">
        <v>2</v>
      </c>
      <c r="J1821">
        <v>0</v>
      </c>
      <c r="K1821">
        <v>0</v>
      </c>
      <c r="L1821">
        <v>0</v>
      </c>
    </row>
    <row r="1822" spans="1:12">
      <c r="A1822" t="str">
        <f>HYPERLINK("http://bombeiros.sp.gov.br/hidrantes/03individual/973.html","973")</f>
        <v>973</v>
      </c>
      <c r="B1822" t="str">
        <f>HYPERLINK("http://bombeiros.sp.gov.br/hidrantes/08bsg/qrcodeBSG.html?id=973&amp;lat=-23.58875&amp;long=-46.52399&amp;tipo=C","QRCODE")</f>
        <v>QRCODE</v>
      </c>
      <c r="C1822" t="s">
        <v>5273</v>
      </c>
      <c r="D1822" t="s">
        <v>5324</v>
      </c>
      <c r="E1822" t="s">
        <v>991</v>
      </c>
      <c r="F1822" t="s">
        <v>12</v>
      </c>
      <c r="G1822" t="s">
        <v>1049</v>
      </c>
      <c r="H1822">
        <v>0</v>
      </c>
      <c r="I1822">
        <v>2</v>
      </c>
      <c r="J1822">
        <v>0</v>
      </c>
      <c r="K1822">
        <v>0</v>
      </c>
      <c r="L1822">
        <v>0</v>
      </c>
    </row>
    <row r="1823" spans="1:12">
      <c r="A1823" t="str">
        <f>HYPERLINK("http://bombeiros.sp.gov.br/hidrantes/03individual/2959.html","2959")</f>
        <v>2959</v>
      </c>
      <c r="B1823" t="str">
        <f>HYPERLINK("http://bombeiros.sp.gov.br/hidrantes/08bsg/qrcodeBSG.html?id=2959&amp;lat=-23.59918&amp;long=-46.51440&amp;tipo=C","QRCODE")</f>
        <v>QRCODE</v>
      </c>
      <c r="C1823" t="s">
        <v>5273</v>
      </c>
      <c r="D1823" t="s">
        <v>5324</v>
      </c>
      <c r="E1823" t="s">
        <v>991</v>
      </c>
      <c r="F1823" t="s">
        <v>12</v>
      </c>
      <c r="G1823" t="s">
        <v>4070</v>
      </c>
      <c r="H1823">
        <v>0</v>
      </c>
      <c r="I1823">
        <v>1</v>
      </c>
      <c r="J1823">
        <v>0</v>
      </c>
      <c r="K1823">
        <v>0</v>
      </c>
      <c r="L1823">
        <v>0</v>
      </c>
    </row>
    <row r="1824" spans="1:12">
      <c r="A1824" t="str">
        <f>HYPERLINK("http://bombeiros.sp.gov.br/hidrantes/03individual/3000.html","3000")</f>
        <v>3000</v>
      </c>
      <c r="B1824" t="str">
        <f>HYPERLINK("http://bombeiros.sp.gov.br/hidrantes/08bsg/qrcodeBSG.html?id=3000&amp;lat=-23.58562&amp;long=-46.52411&amp;tipo=C","QRCODE")</f>
        <v>QRCODE</v>
      </c>
      <c r="C1824" t="s">
        <v>5273</v>
      </c>
      <c r="D1824" t="s">
        <v>5324</v>
      </c>
      <c r="E1824" t="s">
        <v>991</v>
      </c>
      <c r="F1824" t="s">
        <v>12</v>
      </c>
      <c r="G1824" t="s">
        <v>4553</v>
      </c>
      <c r="H1824">
        <v>0</v>
      </c>
      <c r="I1824">
        <v>2</v>
      </c>
      <c r="J1824">
        <v>0</v>
      </c>
      <c r="K1824">
        <v>0</v>
      </c>
      <c r="L1824">
        <v>0</v>
      </c>
    </row>
    <row r="1825" spans="1:12">
      <c r="A1825" t="str">
        <f>HYPERLINK("http://bombeiros.sp.gov.br/hidrantes/03individual/27022.html","27022")</f>
        <v>27022</v>
      </c>
      <c r="B1825" t="str">
        <f>HYPERLINK("http://bombeiros.sp.gov.br/hidrantes/08bsg/qrcodeBSG.html?id=27022&amp;lat=-23.59801&amp;long=-46.52549&amp;tipo=C","QRCODE")</f>
        <v>QRCODE</v>
      </c>
      <c r="C1825" t="s">
        <v>5273</v>
      </c>
      <c r="D1825" t="s">
        <v>5324</v>
      </c>
      <c r="E1825" t="s">
        <v>991</v>
      </c>
      <c r="F1825" t="s">
        <v>12</v>
      </c>
      <c r="G1825" t="s">
        <v>4080</v>
      </c>
      <c r="H1825">
        <v>0</v>
      </c>
      <c r="I1825">
        <v>1</v>
      </c>
      <c r="J1825">
        <v>0</v>
      </c>
      <c r="K1825">
        <v>0</v>
      </c>
      <c r="L1825">
        <v>0</v>
      </c>
    </row>
    <row r="1826" spans="1:12">
      <c r="A1826" t="str">
        <f>HYPERLINK("http://bombeiros.sp.gov.br/hidrantes/03individual/987.html","987")</f>
        <v>987</v>
      </c>
      <c r="B1826" t="str">
        <f>HYPERLINK("http://bombeiros.sp.gov.br/hidrantes/08bsg/qrcodeBSG.html?id=987&amp;lat=-23.59208&amp;long=-46.51966&amp;tipo=S","QRCODE")</f>
        <v>QRCODE</v>
      </c>
      <c r="C1826" t="s">
        <v>5273</v>
      </c>
      <c r="D1826" t="s">
        <v>5324</v>
      </c>
      <c r="E1826" t="s">
        <v>991</v>
      </c>
      <c r="F1826" t="s">
        <v>21</v>
      </c>
      <c r="G1826" t="s">
        <v>1048</v>
      </c>
      <c r="H1826">
        <v>0</v>
      </c>
      <c r="I1826">
        <v>2</v>
      </c>
      <c r="J1826">
        <v>0</v>
      </c>
      <c r="K1826">
        <v>0</v>
      </c>
      <c r="L1826">
        <v>0</v>
      </c>
    </row>
    <row r="1827" spans="1:12">
      <c r="A1827" t="str">
        <f>HYPERLINK("http://bombeiros.sp.gov.br/hidrantes/03individual/1642.html","1642")</f>
        <v>1642</v>
      </c>
      <c r="B1827" t="str">
        <f>HYPERLINK("http://bombeiros.sp.gov.br/hidrantes/08bsg/qrcodeBSG.html?id=1642&amp;lat=-23.59192&amp;long=-46.52978&amp;tipo=S","QRCODE")</f>
        <v>QRCODE</v>
      </c>
      <c r="C1827" t="s">
        <v>5273</v>
      </c>
      <c r="D1827" t="s">
        <v>5324</v>
      </c>
      <c r="E1827" t="s">
        <v>991</v>
      </c>
      <c r="F1827" t="s">
        <v>21</v>
      </c>
      <c r="G1827" t="s">
        <v>1019</v>
      </c>
      <c r="H1827">
        <v>0</v>
      </c>
      <c r="I1827">
        <v>2</v>
      </c>
      <c r="J1827">
        <v>0</v>
      </c>
      <c r="K1827">
        <v>0</v>
      </c>
      <c r="L1827">
        <v>0</v>
      </c>
    </row>
    <row r="1828" spans="1:12">
      <c r="A1828" t="str">
        <f>HYPERLINK("http://bombeiros.sp.gov.br/hidrantes/03individual/1687.html","1687")</f>
        <v>1687</v>
      </c>
      <c r="B1828" t="str">
        <f>HYPERLINK("http://bombeiros.sp.gov.br/hidrantes/08bsg/qrcodeBSG.html?id=1687&amp;lat=-23.59426&amp;long=-46.52731&amp;tipo=S","QRCODE")</f>
        <v>QRCODE</v>
      </c>
      <c r="C1828" t="s">
        <v>5273</v>
      </c>
      <c r="D1828" t="s">
        <v>5324</v>
      </c>
      <c r="E1828" t="s">
        <v>991</v>
      </c>
      <c r="F1828" t="s">
        <v>21</v>
      </c>
      <c r="G1828" t="s">
        <v>2664</v>
      </c>
      <c r="H1828">
        <v>0</v>
      </c>
      <c r="I1828">
        <v>2</v>
      </c>
      <c r="J1828">
        <v>0</v>
      </c>
      <c r="K1828">
        <v>0</v>
      </c>
      <c r="L1828">
        <v>0</v>
      </c>
    </row>
    <row r="1829" spans="1:12">
      <c r="A1829" t="str">
        <f>HYPERLINK("http://bombeiros.sp.gov.br/hidrantes/03individual/1689.html","1689")</f>
        <v>1689</v>
      </c>
      <c r="B1829" t="str">
        <f>HYPERLINK("http://bombeiros.sp.gov.br/hidrantes/08bsg/qrcodeBSG.html?id=1689&amp;lat=-23.59716&amp;long=-46.53045&amp;tipo=S","QRCODE")</f>
        <v>QRCODE</v>
      </c>
      <c r="C1829" t="s">
        <v>5273</v>
      </c>
      <c r="D1829" t="s">
        <v>5324</v>
      </c>
      <c r="E1829" t="s">
        <v>991</v>
      </c>
      <c r="F1829" t="s">
        <v>21</v>
      </c>
      <c r="G1829" t="s">
        <v>4603</v>
      </c>
      <c r="H1829">
        <v>0</v>
      </c>
      <c r="I1829">
        <v>2</v>
      </c>
      <c r="J1829">
        <v>0</v>
      </c>
      <c r="K1829">
        <v>0</v>
      </c>
      <c r="L1829">
        <v>0</v>
      </c>
    </row>
    <row r="1830" spans="1:12">
      <c r="A1830" t="str">
        <f>HYPERLINK("http://bombeiros.sp.gov.br/hidrantes/03individual/1930.html","1930")</f>
        <v>1930</v>
      </c>
      <c r="B1830" t="str">
        <f>HYPERLINK("http://bombeiros.sp.gov.br/hidrantes/08bsg/qrcodeBSG.html?id=1930&amp;lat=-23.59664&amp;long=-46.52093&amp;tipo=S","QRCODE")</f>
        <v>QRCODE</v>
      </c>
      <c r="C1830" t="s">
        <v>5273</v>
      </c>
      <c r="D1830" t="s">
        <v>5324</v>
      </c>
      <c r="E1830" t="s">
        <v>991</v>
      </c>
      <c r="F1830" t="s">
        <v>21</v>
      </c>
      <c r="G1830" t="s">
        <v>4146</v>
      </c>
      <c r="H1830">
        <v>0</v>
      </c>
      <c r="I1830">
        <v>1</v>
      </c>
      <c r="J1830">
        <v>0</v>
      </c>
      <c r="K1830">
        <v>0</v>
      </c>
      <c r="L1830">
        <v>0</v>
      </c>
    </row>
    <row r="1831" spans="1:12">
      <c r="A1831" t="str">
        <f>HYPERLINK("http://bombeiros.sp.gov.br/hidrantes/03individual/1933.html","1933")</f>
        <v>1933</v>
      </c>
      <c r="B1831" t="str">
        <f>HYPERLINK("http://bombeiros.sp.gov.br/hidrantes/08bsg/qrcodeBSG.html?id=1933&amp;lat=-23.59681&amp;long=-46.51659&amp;tipo=S","QRCODE")</f>
        <v>QRCODE</v>
      </c>
      <c r="C1831" t="s">
        <v>5273</v>
      </c>
      <c r="D1831" t="s">
        <v>5324</v>
      </c>
      <c r="E1831" t="s">
        <v>991</v>
      </c>
      <c r="F1831" t="s">
        <v>21</v>
      </c>
      <c r="G1831" t="s">
        <v>4145</v>
      </c>
      <c r="H1831">
        <v>0</v>
      </c>
      <c r="I1831">
        <v>1</v>
      </c>
      <c r="J1831">
        <v>0</v>
      </c>
      <c r="K1831">
        <v>0</v>
      </c>
      <c r="L1831">
        <v>0</v>
      </c>
    </row>
    <row r="1832" spans="1:12">
      <c r="A1832" t="str">
        <f>HYPERLINK("http://bombeiros.sp.gov.br/hidrantes/03individual/3080.html","3080")</f>
        <v>3080</v>
      </c>
      <c r="B1832" t="str">
        <f>HYPERLINK("http://bombeiros.sp.gov.br/hidrantes/08bsg/qrcodeBSG.html?id=3080&amp;lat=-23.59008&amp;long=-46.53139&amp;tipo=S","QRCODE")</f>
        <v>QRCODE</v>
      </c>
      <c r="C1832" t="s">
        <v>5273</v>
      </c>
      <c r="D1832" t="s">
        <v>5324</v>
      </c>
      <c r="E1832" t="s">
        <v>991</v>
      </c>
      <c r="F1832" t="s">
        <v>21</v>
      </c>
      <c r="G1832" t="s">
        <v>990</v>
      </c>
      <c r="H1832">
        <v>0</v>
      </c>
      <c r="I1832">
        <v>2</v>
      </c>
      <c r="J1832">
        <v>0</v>
      </c>
      <c r="K1832">
        <v>0</v>
      </c>
      <c r="L1832">
        <v>0</v>
      </c>
    </row>
    <row r="1833" spans="1:12">
      <c r="A1833" t="str">
        <f>HYPERLINK("http://bombeiros.sp.gov.br/hidrantes/03individual/3081.html","3081")</f>
        <v>3081</v>
      </c>
      <c r="B1833" t="str">
        <f>HYPERLINK("http://bombeiros.sp.gov.br/hidrantes/08bsg/qrcodeBSG.html?id=3081&amp;lat=-23.59159&amp;long=-46.53264&amp;tipo=S","QRCODE")</f>
        <v>QRCODE</v>
      </c>
      <c r="C1833" t="s">
        <v>5273</v>
      </c>
      <c r="D1833" t="s">
        <v>5324</v>
      </c>
      <c r="E1833" t="s">
        <v>991</v>
      </c>
      <c r="F1833" t="s">
        <v>21</v>
      </c>
      <c r="G1833" t="s">
        <v>2602</v>
      </c>
      <c r="H1833">
        <v>0</v>
      </c>
      <c r="I1833">
        <v>2</v>
      </c>
      <c r="J1833">
        <v>0</v>
      </c>
      <c r="K1833">
        <v>0</v>
      </c>
      <c r="L1833">
        <v>0</v>
      </c>
    </row>
    <row r="1834" spans="1:12">
      <c r="A1834" t="str">
        <f>HYPERLINK("http://bombeiros.sp.gov.br/hidrantes/03individual/3688.html","3688")</f>
        <v>3688</v>
      </c>
      <c r="B1834" t="str">
        <f>HYPERLINK("http://bombeiros.sp.gov.br/hidrantes/08bsg/qrcodeBSG.html?id=3688&amp;lat=-23.60124&amp;long=-46.52565&amp;tipo=S","QRCODE")</f>
        <v>QRCODE</v>
      </c>
      <c r="C1834" t="s">
        <v>5273</v>
      </c>
      <c r="D1834" t="s">
        <v>5324</v>
      </c>
      <c r="E1834" t="s">
        <v>991</v>
      </c>
      <c r="F1834" t="s">
        <v>21</v>
      </c>
      <c r="G1834" t="s">
        <v>4062</v>
      </c>
      <c r="H1834">
        <v>0</v>
      </c>
      <c r="I1834">
        <v>1</v>
      </c>
      <c r="J1834">
        <v>0</v>
      </c>
      <c r="K1834">
        <v>0</v>
      </c>
      <c r="L1834">
        <v>0</v>
      </c>
    </row>
    <row r="1835" spans="1:12">
      <c r="A1835" t="str">
        <f>HYPERLINK("http://bombeiros.sp.gov.br/hidrantes/03individual/17734.html","17734")</f>
        <v>17734</v>
      </c>
      <c r="B1835" t="str">
        <f>HYPERLINK("http://bombeiros.sp.gov.br/hidrantes/08bsg/qrcodeBSG.html?id=17734&amp;lat=-23.59548&amp;long=-46.53021&amp;tipo=S","QRCODE")</f>
        <v>QRCODE</v>
      </c>
      <c r="C1835" t="s">
        <v>5273</v>
      </c>
      <c r="D1835" t="s">
        <v>5324</v>
      </c>
      <c r="E1835" t="s">
        <v>991</v>
      </c>
      <c r="F1835" t="s">
        <v>21</v>
      </c>
      <c r="G1835" t="s">
        <v>4538</v>
      </c>
      <c r="H1835">
        <v>0</v>
      </c>
      <c r="I1835">
        <v>2</v>
      </c>
      <c r="J1835">
        <v>0</v>
      </c>
      <c r="K1835">
        <v>0</v>
      </c>
      <c r="L1835">
        <v>0</v>
      </c>
    </row>
    <row r="1836" spans="1:12">
      <c r="A1836" t="str">
        <f>HYPERLINK("http://bombeiros.sp.gov.br/hidrantes/03individual/1910.html","1910")</f>
        <v>1910</v>
      </c>
      <c r="B1836" t="str">
        <f>HYPERLINK("http://bombeiros.sp.gov.br/hidrantes/08bsg/qrcodeBSG.html?id=1910&amp;lat=-23.60737&amp;long=-46.51974&amp;tipo=S","QRCODE")</f>
        <v>QRCODE</v>
      </c>
      <c r="C1836" t="s">
        <v>5273</v>
      </c>
      <c r="D1836" t="s">
        <v>5324</v>
      </c>
      <c r="E1836" t="s">
        <v>1800</v>
      </c>
      <c r="F1836" t="s">
        <v>21</v>
      </c>
      <c r="G1836" t="s">
        <v>4297</v>
      </c>
      <c r="H1836">
        <v>0</v>
      </c>
      <c r="I1836">
        <v>1</v>
      </c>
      <c r="J1836">
        <v>0</v>
      </c>
      <c r="K1836">
        <v>0</v>
      </c>
      <c r="L1836">
        <v>0</v>
      </c>
    </row>
    <row r="1837" spans="1:12">
      <c r="A1837" t="str">
        <f>HYPERLINK("http://bombeiros.sp.gov.br/hidrantes/03individual/3704.html","3704")</f>
        <v>3704</v>
      </c>
      <c r="B1837" t="str">
        <f>HYPERLINK("http://bombeiros.sp.gov.br/hidrantes/08bsg/qrcodeBSG.html?id=3704&amp;lat=-23.60904&amp;long=-46.51443&amp;tipo=S","QRCODE")</f>
        <v>QRCODE</v>
      </c>
      <c r="C1837" t="s">
        <v>5273</v>
      </c>
      <c r="D1837" t="s">
        <v>5324</v>
      </c>
      <c r="E1837" t="s">
        <v>1800</v>
      </c>
      <c r="F1837" t="s">
        <v>21</v>
      </c>
      <c r="G1837" t="s">
        <v>1888</v>
      </c>
      <c r="H1837">
        <v>0</v>
      </c>
      <c r="I1837">
        <v>2</v>
      </c>
      <c r="J1837">
        <v>0</v>
      </c>
      <c r="K1837">
        <v>0</v>
      </c>
      <c r="L1837">
        <v>0</v>
      </c>
    </row>
    <row r="1838" spans="1:12">
      <c r="A1838" t="str">
        <f>HYPERLINK("http://bombeiros.sp.gov.br/hidrantes/03individual/3706.html","3706")</f>
        <v>3706</v>
      </c>
      <c r="B1838" t="str">
        <f>HYPERLINK("http://bombeiros.sp.gov.br/hidrantes/08bsg/qrcodeBSG.html?id=3706&amp;lat=-23.60824&amp;long=-46.51065&amp;tipo=S","QRCODE")</f>
        <v>QRCODE</v>
      </c>
      <c r="C1838" t="s">
        <v>5273</v>
      </c>
      <c r="D1838" t="s">
        <v>5324</v>
      </c>
      <c r="E1838" t="s">
        <v>1800</v>
      </c>
      <c r="F1838" t="s">
        <v>21</v>
      </c>
      <c r="G1838" t="s">
        <v>1887</v>
      </c>
      <c r="H1838">
        <v>0</v>
      </c>
      <c r="I1838">
        <v>2</v>
      </c>
      <c r="J1838">
        <v>0</v>
      </c>
      <c r="K1838">
        <v>0</v>
      </c>
      <c r="L1838">
        <v>0</v>
      </c>
    </row>
    <row r="1839" spans="1:12">
      <c r="A1839" t="str">
        <f>HYPERLINK("http://bombeiros.sp.gov.br/hidrantes/03individual/3707.html","3707")</f>
        <v>3707</v>
      </c>
      <c r="B1839" t="str">
        <f>HYPERLINK("http://bombeiros.sp.gov.br/hidrantes/08bsg/qrcodeBSG.html?id=3707&amp;lat=-23.60551&amp;long=-46.51290&amp;tipo=S","QRCODE")</f>
        <v>QRCODE</v>
      </c>
      <c r="C1839" t="s">
        <v>5273</v>
      </c>
      <c r="D1839" t="s">
        <v>5324</v>
      </c>
      <c r="E1839" t="s">
        <v>1800</v>
      </c>
      <c r="F1839" t="s">
        <v>21</v>
      </c>
      <c r="G1839" t="s">
        <v>1886</v>
      </c>
      <c r="H1839">
        <v>0</v>
      </c>
      <c r="I1839">
        <v>2</v>
      </c>
      <c r="J1839">
        <v>0</v>
      </c>
      <c r="K1839">
        <v>0</v>
      </c>
      <c r="L1839">
        <v>0</v>
      </c>
    </row>
    <row r="1840" spans="1:12">
      <c r="A1840" t="str">
        <f>HYPERLINK("http://bombeiros.sp.gov.br/hidrantes/03individual/4194.html","4194")</f>
        <v>4194</v>
      </c>
      <c r="B1840" t="str">
        <f>HYPERLINK("http://bombeiros.sp.gov.br/hidrantes/08bsg/qrcodeBSG.html?id=4194&amp;lat=-23.60931&amp;long=-46.52133&amp;tipo=S","QRCODE")</f>
        <v>QRCODE</v>
      </c>
      <c r="C1840" t="s">
        <v>5273</v>
      </c>
      <c r="D1840" t="s">
        <v>5324</v>
      </c>
      <c r="E1840" t="s">
        <v>1800</v>
      </c>
      <c r="F1840" t="s">
        <v>21</v>
      </c>
      <c r="G1840" t="s">
        <v>1894</v>
      </c>
      <c r="H1840">
        <v>0</v>
      </c>
      <c r="I1840">
        <v>2</v>
      </c>
      <c r="J1840">
        <v>0</v>
      </c>
      <c r="K1840">
        <v>0</v>
      </c>
      <c r="L1840">
        <v>0</v>
      </c>
    </row>
    <row r="1841" spans="1:12">
      <c r="A1841" t="str">
        <f>HYPERLINK("http://bombeiros.sp.gov.br/hidrantes/03individual/4347.html","4347")</f>
        <v>4347</v>
      </c>
      <c r="B1841" t="str">
        <f>HYPERLINK("http://bombeiros.sp.gov.br/hidrantes/08bsg/qrcodeBSG.html?id=4347&amp;lat=-23.60539&amp;long=-46.52255&amp;tipo=S","QRCODE")</f>
        <v>QRCODE</v>
      </c>
      <c r="C1841" t="s">
        <v>5273</v>
      </c>
      <c r="D1841" t="s">
        <v>5324</v>
      </c>
      <c r="E1841" t="s">
        <v>1800</v>
      </c>
      <c r="F1841" t="s">
        <v>21</v>
      </c>
      <c r="G1841" t="s">
        <v>1799</v>
      </c>
      <c r="H1841">
        <v>0</v>
      </c>
      <c r="I1841">
        <v>2</v>
      </c>
      <c r="J1841">
        <v>0</v>
      </c>
      <c r="K1841">
        <v>0</v>
      </c>
      <c r="L1841">
        <v>0</v>
      </c>
    </row>
    <row r="1842" spans="1:12">
      <c r="A1842" t="str">
        <f>HYPERLINK("http://bombeiros.sp.gov.br/hidrantes/03individual/25201.html","25201")</f>
        <v>25201</v>
      </c>
      <c r="B1842" t="str">
        <f>HYPERLINK("http://bombeiros.sp.gov.br/hidrantes/08bsg/qrcodeBSG.html?id=25201&amp;lat=-23.60322&amp;long=-46.51888&amp;tipo=S","QRCODE")</f>
        <v>QRCODE</v>
      </c>
      <c r="C1842" t="s">
        <v>5273</v>
      </c>
      <c r="D1842" t="s">
        <v>5324</v>
      </c>
      <c r="E1842" t="s">
        <v>1800</v>
      </c>
      <c r="F1842" t="s">
        <v>21</v>
      </c>
      <c r="G1842" t="s">
        <v>4994</v>
      </c>
      <c r="H1842">
        <v>0</v>
      </c>
      <c r="I1842">
        <v>1</v>
      </c>
      <c r="J1842">
        <v>0</v>
      </c>
      <c r="K1842">
        <v>0</v>
      </c>
      <c r="L1842">
        <v>0</v>
      </c>
    </row>
    <row r="1843" spans="1:12">
      <c r="A1843" t="str">
        <f>HYPERLINK("http://bombeiros.sp.gov.br/hidrantes/03individual/26769.html","26769")</f>
        <v>26769</v>
      </c>
      <c r="B1843" t="str">
        <f>HYPERLINK("http://bombeiros.sp.gov.br/hidrantes/08bsg/qrcodeBSG.html?id=26769&amp;lat=-23.60488&amp;long=-46.51010&amp;tipo=S","QRCODE")</f>
        <v>QRCODE</v>
      </c>
      <c r="C1843" t="s">
        <v>5273</v>
      </c>
      <c r="D1843" t="s">
        <v>5324</v>
      </c>
      <c r="E1843" t="s">
        <v>1800</v>
      </c>
      <c r="F1843" t="s">
        <v>21</v>
      </c>
      <c r="G1843" t="s">
        <v>4075</v>
      </c>
      <c r="H1843">
        <v>0</v>
      </c>
      <c r="I1843">
        <v>1</v>
      </c>
      <c r="J1843">
        <v>0</v>
      </c>
      <c r="K1843">
        <v>0</v>
      </c>
      <c r="L1843">
        <v>0</v>
      </c>
    </row>
    <row r="1844" spans="1:12">
      <c r="A1844" t="str">
        <f>HYPERLINK("http://bombeiros.sp.gov.br/hidrantes/03individual/44.html","44")</f>
        <v>44</v>
      </c>
      <c r="B1844" t="str">
        <f>HYPERLINK("http://bombeiros.sp.gov.br/hidrantes/08bsg/qrcodeBSG.html?id=44&amp;lat=-23.59072&amp;long=-46.50978&amp;tipo=C","QRCODE")</f>
        <v>QRCODE</v>
      </c>
      <c r="C1844" t="s">
        <v>5273</v>
      </c>
      <c r="D1844" t="s">
        <v>5324</v>
      </c>
      <c r="E1844" t="s">
        <v>27</v>
      </c>
      <c r="F1844" t="s">
        <v>12</v>
      </c>
      <c r="G1844" t="s">
        <v>2533</v>
      </c>
      <c r="H1844">
        <v>0</v>
      </c>
      <c r="I1844">
        <v>2</v>
      </c>
      <c r="J1844">
        <v>0</v>
      </c>
      <c r="K1844">
        <v>0</v>
      </c>
      <c r="L1844">
        <v>0</v>
      </c>
    </row>
    <row r="1845" spans="1:12">
      <c r="A1845" t="str">
        <f>HYPERLINK("http://bombeiros.sp.gov.br/hidrantes/03individual/806.html","806")</f>
        <v>806</v>
      </c>
      <c r="B1845" t="str">
        <f>HYPERLINK("http://bombeiros.sp.gov.br/hidrantes/08bsg/qrcodeBSG.html?id=806&amp;lat=-23.58931&amp;long=-46.50986&amp;tipo=C","QRCODE")</f>
        <v>QRCODE</v>
      </c>
      <c r="C1845" t="s">
        <v>5273</v>
      </c>
      <c r="D1845" t="s">
        <v>5324</v>
      </c>
      <c r="E1845" t="s">
        <v>27</v>
      </c>
      <c r="F1845" t="s">
        <v>12</v>
      </c>
      <c r="G1845" t="s">
        <v>2524</v>
      </c>
      <c r="H1845">
        <v>0</v>
      </c>
      <c r="I1845">
        <v>2</v>
      </c>
      <c r="J1845">
        <v>0</v>
      </c>
      <c r="K1845">
        <v>0</v>
      </c>
      <c r="L1845">
        <v>0</v>
      </c>
    </row>
    <row r="1846" spans="1:12">
      <c r="A1846" t="str">
        <f>HYPERLINK("http://bombeiros.sp.gov.br/hidrantes/03individual/824.html","824")</f>
        <v>824</v>
      </c>
      <c r="B1846" t="str">
        <f>HYPERLINK("http://bombeiros.sp.gov.br/hidrantes/08bsg/qrcodeBSG.html?id=824&amp;lat=-23.58968&amp;long=-46.50831&amp;tipo=C","QRCODE")</f>
        <v>QRCODE</v>
      </c>
      <c r="C1846" t="s">
        <v>5273</v>
      </c>
      <c r="D1846" t="s">
        <v>5324</v>
      </c>
      <c r="E1846" t="s">
        <v>27</v>
      </c>
      <c r="F1846" t="s">
        <v>12</v>
      </c>
      <c r="G1846" t="s">
        <v>5133</v>
      </c>
      <c r="H1846">
        <v>0</v>
      </c>
      <c r="I1846">
        <v>1</v>
      </c>
      <c r="J1846">
        <v>0</v>
      </c>
      <c r="K1846">
        <v>0</v>
      </c>
      <c r="L1846">
        <v>0</v>
      </c>
    </row>
    <row r="1847" spans="1:12">
      <c r="A1847" t="str">
        <f>HYPERLINK("http://bombeiros.sp.gov.br/hidrantes/03individual/826.html","826")</f>
        <v>826</v>
      </c>
      <c r="B1847" t="str">
        <f>HYPERLINK("http://bombeiros.sp.gov.br/hidrantes/08bsg/qrcodeBSG.html?id=826&amp;lat=-23.59151&amp;long=-46.50872&amp;tipo=C","QRCODE")</f>
        <v>QRCODE</v>
      </c>
      <c r="C1847" t="s">
        <v>5273</v>
      </c>
      <c r="D1847" t="s">
        <v>5324</v>
      </c>
      <c r="E1847" t="s">
        <v>27</v>
      </c>
      <c r="F1847" t="s">
        <v>12</v>
      </c>
      <c r="G1847" t="s">
        <v>3807</v>
      </c>
      <c r="H1847">
        <v>0</v>
      </c>
      <c r="I1847">
        <v>2</v>
      </c>
      <c r="J1847">
        <v>0</v>
      </c>
      <c r="K1847">
        <v>0</v>
      </c>
      <c r="L1847">
        <v>0</v>
      </c>
    </row>
    <row r="1848" spans="1:12">
      <c r="A1848" t="str">
        <f>HYPERLINK("http://bombeiros.sp.gov.br/hidrantes/03individual/838.html","838")</f>
        <v>838</v>
      </c>
      <c r="B1848" t="str">
        <f>HYPERLINK("http://bombeiros.sp.gov.br/hidrantes/08bsg/qrcodeBSG.html?id=838&amp;lat=-23.59008&amp;long=-46.50740&amp;tipo=C","QRCODE")</f>
        <v>QRCODE</v>
      </c>
      <c r="C1848" t="s">
        <v>5273</v>
      </c>
      <c r="D1848" t="s">
        <v>5324</v>
      </c>
      <c r="E1848" t="s">
        <v>27</v>
      </c>
      <c r="F1848" t="s">
        <v>12</v>
      </c>
      <c r="G1848" t="s">
        <v>1415</v>
      </c>
      <c r="H1848">
        <v>0</v>
      </c>
      <c r="I1848">
        <v>3</v>
      </c>
      <c r="J1848">
        <v>0</v>
      </c>
      <c r="K1848">
        <v>0</v>
      </c>
      <c r="L1848">
        <v>0</v>
      </c>
    </row>
    <row r="1849" spans="1:12">
      <c r="A1849" t="str">
        <f>HYPERLINK("http://bombeiros.sp.gov.br/hidrantes/03individual/884.html","884")</f>
        <v>884</v>
      </c>
      <c r="B1849" t="str">
        <f>HYPERLINK("http://bombeiros.sp.gov.br/hidrantes/08bsg/qrcodeBSG.html?id=884&amp;lat=-23.59670&amp;long=-46.49986&amp;tipo=C","QRCODE")</f>
        <v>QRCODE</v>
      </c>
      <c r="C1849" t="s">
        <v>5273</v>
      </c>
      <c r="D1849" t="s">
        <v>5324</v>
      </c>
      <c r="E1849" t="s">
        <v>27</v>
      </c>
      <c r="F1849" t="s">
        <v>12</v>
      </c>
      <c r="G1849" t="s">
        <v>4229</v>
      </c>
      <c r="H1849">
        <v>0</v>
      </c>
      <c r="I1849">
        <v>1</v>
      </c>
      <c r="J1849">
        <v>0</v>
      </c>
      <c r="K1849">
        <v>0</v>
      </c>
      <c r="L1849">
        <v>0</v>
      </c>
    </row>
    <row r="1850" spans="1:12">
      <c r="A1850" t="str">
        <f>HYPERLINK("http://bombeiros.sp.gov.br/hidrantes/03individual/885.html","885")</f>
        <v>885</v>
      </c>
      <c r="B1850" t="str">
        <f>HYPERLINK("http://bombeiros.sp.gov.br/hidrantes/08bsg/qrcodeBSG.html?id=885&amp;lat=-23.59924&amp;long=-46.49907&amp;tipo=C","QRCODE")</f>
        <v>QRCODE</v>
      </c>
      <c r="C1850" t="s">
        <v>5273</v>
      </c>
      <c r="D1850" t="s">
        <v>5324</v>
      </c>
      <c r="E1850" t="s">
        <v>27</v>
      </c>
      <c r="F1850" t="s">
        <v>12</v>
      </c>
      <c r="G1850" t="s">
        <v>5146</v>
      </c>
      <c r="H1850">
        <v>0</v>
      </c>
      <c r="I1850">
        <v>1</v>
      </c>
      <c r="J1850">
        <v>0</v>
      </c>
      <c r="K1850">
        <v>0</v>
      </c>
      <c r="L1850">
        <v>0</v>
      </c>
    </row>
    <row r="1851" spans="1:12">
      <c r="A1851" t="str">
        <f>HYPERLINK("http://bombeiros.sp.gov.br/hidrantes/03individual/887.html","887")</f>
        <v>887</v>
      </c>
      <c r="B1851" t="str">
        <f>HYPERLINK("http://bombeiros.sp.gov.br/hidrantes/08bsg/qrcodeBSG.html?id=887&amp;lat=-23.59715&amp;long=-46.49772&amp;tipo=C","QRCODE")</f>
        <v>QRCODE</v>
      </c>
      <c r="C1851" t="s">
        <v>5273</v>
      </c>
      <c r="D1851" t="s">
        <v>5324</v>
      </c>
      <c r="E1851" t="s">
        <v>27</v>
      </c>
      <c r="F1851" t="s">
        <v>12</v>
      </c>
      <c r="G1851" t="s">
        <v>3875</v>
      </c>
      <c r="H1851">
        <v>0</v>
      </c>
      <c r="I1851">
        <v>1</v>
      </c>
      <c r="J1851">
        <v>0</v>
      </c>
      <c r="K1851">
        <v>0</v>
      </c>
      <c r="L1851">
        <v>0</v>
      </c>
    </row>
    <row r="1852" spans="1:12">
      <c r="A1852" t="str">
        <f>HYPERLINK("http://bombeiros.sp.gov.br/hidrantes/03individual/889.html","889")</f>
        <v>889</v>
      </c>
      <c r="B1852" t="str">
        <f>HYPERLINK("http://bombeiros.sp.gov.br/hidrantes/08bsg/qrcodeBSG.html?id=889&amp;lat=-23.59993&amp;long=-46.50844&amp;tipo=C","QRCODE")</f>
        <v>QRCODE</v>
      </c>
      <c r="C1852" t="s">
        <v>5273</v>
      </c>
      <c r="D1852" t="s">
        <v>5324</v>
      </c>
      <c r="E1852" t="s">
        <v>27</v>
      </c>
      <c r="F1852" t="s">
        <v>12</v>
      </c>
      <c r="G1852" t="s">
        <v>2520</v>
      </c>
      <c r="H1852">
        <v>0</v>
      </c>
      <c r="I1852">
        <v>2</v>
      </c>
      <c r="J1852">
        <v>0</v>
      </c>
      <c r="K1852">
        <v>0</v>
      </c>
      <c r="L1852">
        <v>0</v>
      </c>
    </row>
    <row r="1853" spans="1:12">
      <c r="A1853" t="str">
        <f>HYPERLINK("http://bombeiros.sp.gov.br/hidrantes/03individual/988.html","988")</f>
        <v>988</v>
      </c>
      <c r="B1853" t="str">
        <f>HYPERLINK("http://bombeiros.sp.gov.br/hidrantes/08bsg/qrcodeBSG.html?id=988&amp;lat=-23.59289&amp;long=-46.51978&amp;tipo=C","QRCODE")</f>
        <v>QRCODE</v>
      </c>
      <c r="C1853" t="s">
        <v>5273</v>
      </c>
      <c r="D1853" t="s">
        <v>5324</v>
      </c>
      <c r="E1853" t="s">
        <v>27</v>
      </c>
      <c r="F1853" t="s">
        <v>12</v>
      </c>
      <c r="G1853" t="s">
        <v>4574</v>
      </c>
      <c r="H1853">
        <v>0</v>
      </c>
      <c r="I1853">
        <v>2</v>
      </c>
      <c r="J1853">
        <v>0</v>
      </c>
      <c r="K1853">
        <v>0</v>
      </c>
      <c r="L1853">
        <v>0</v>
      </c>
    </row>
    <row r="1854" spans="1:12">
      <c r="A1854" t="str">
        <f>HYPERLINK("http://bombeiros.sp.gov.br/hidrantes/03individual/4309.html","4309")</f>
        <v>4309</v>
      </c>
      <c r="B1854" t="str">
        <f>HYPERLINK("http://bombeiros.sp.gov.br/hidrantes/08bsg/qrcodeBSG.html?id=4309&amp;lat=-23.59772&amp;long=-46.49955&amp;tipo=C","QRCODE")</f>
        <v>QRCODE</v>
      </c>
      <c r="C1854" t="s">
        <v>5273</v>
      </c>
      <c r="D1854" t="s">
        <v>5324</v>
      </c>
      <c r="E1854" t="s">
        <v>27</v>
      </c>
      <c r="F1854" t="s">
        <v>12</v>
      </c>
      <c r="G1854" t="s">
        <v>4203</v>
      </c>
      <c r="H1854">
        <v>0</v>
      </c>
      <c r="I1854">
        <v>1</v>
      </c>
      <c r="J1854">
        <v>0</v>
      </c>
      <c r="K1854">
        <v>0</v>
      </c>
      <c r="L1854">
        <v>0</v>
      </c>
    </row>
    <row r="1855" spans="1:12">
      <c r="A1855" t="str">
        <f>HYPERLINK("http://bombeiros.sp.gov.br/hidrantes/03individual/4310.html","4310")</f>
        <v>4310</v>
      </c>
      <c r="B1855" t="str">
        <f>HYPERLINK("http://bombeiros.sp.gov.br/hidrantes/08bsg/qrcodeBSG.html?id=4310&amp;lat=-23.59763&amp;long=-46.49909&amp;tipo=C","QRCODE")</f>
        <v>QRCODE</v>
      </c>
      <c r="C1855" t="s">
        <v>5273</v>
      </c>
      <c r="D1855" t="s">
        <v>5324</v>
      </c>
      <c r="E1855" t="s">
        <v>27</v>
      </c>
      <c r="F1855" t="s">
        <v>12</v>
      </c>
      <c r="G1855" t="s">
        <v>4204</v>
      </c>
      <c r="H1855">
        <v>0</v>
      </c>
      <c r="I1855">
        <v>1</v>
      </c>
      <c r="J1855">
        <v>0</v>
      </c>
      <c r="K1855">
        <v>0</v>
      </c>
      <c r="L1855">
        <v>0</v>
      </c>
    </row>
    <row r="1856" spans="1:12">
      <c r="A1856" t="str">
        <f>HYPERLINK("http://bombeiros.sp.gov.br/hidrantes/03individual/4351.html","4351")</f>
        <v>4351</v>
      </c>
      <c r="B1856" t="str">
        <f>HYPERLINK("http://bombeiros.sp.gov.br/hidrantes/08bsg/qrcodeBSG.html?id=4351&amp;lat=-23.60642&amp;long=-46.50257&amp;tipo=C","QRCODE")</f>
        <v>QRCODE</v>
      </c>
      <c r="C1856" t="s">
        <v>5273</v>
      </c>
      <c r="D1856" t="s">
        <v>5324</v>
      </c>
      <c r="E1856" t="s">
        <v>27</v>
      </c>
      <c r="F1856" t="s">
        <v>12</v>
      </c>
      <c r="G1856" t="s">
        <v>5145</v>
      </c>
      <c r="H1856">
        <v>0</v>
      </c>
      <c r="I1856">
        <v>1</v>
      </c>
      <c r="J1856">
        <v>0</v>
      </c>
      <c r="K1856">
        <v>0</v>
      </c>
      <c r="L1856">
        <v>0</v>
      </c>
    </row>
    <row r="1857" spans="1:12">
      <c r="A1857" t="str">
        <f>HYPERLINK("http://bombeiros.sp.gov.br/hidrantes/03individual/14915.html","14915")</f>
        <v>14915</v>
      </c>
      <c r="B1857" t="str">
        <f>HYPERLINK("http://bombeiros.sp.gov.br/hidrantes/08bsg/qrcodeBSG.html?id=14915&amp;lat=-23.60648&amp;long=-46.50245&amp;tipo=C","QRCODE")</f>
        <v>QRCODE</v>
      </c>
      <c r="C1857" t="s">
        <v>5273</v>
      </c>
      <c r="D1857" t="s">
        <v>5324</v>
      </c>
      <c r="E1857" t="s">
        <v>27</v>
      </c>
      <c r="F1857" t="s">
        <v>12</v>
      </c>
      <c r="G1857" t="s">
        <v>2591</v>
      </c>
      <c r="H1857">
        <v>0</v>
      </c>
      <c r="I1857">
        <v>2</v>
      </c>
      <c r="J1857">
        <v>0</v>
      </c>
      <c r="K1857">
        <v>0</v>
      </c>
      <c r="L1857">
        <v>0</v>
      </c>
    </row>
    <row r="1858" spans="1:12">
      <c r="A1858" t="str">
        <f>HYPERLINK("http://bombeiros.sp.gov.br/hidrantes/03individual/27020.html","27020")</f>
        <v>27020</v>
      </c>
      <c r="B1858" t="str">
        <f>HYPERLINK("http://bombeiros.sp.gov.br/hidrantes/08bsg/qrcodeBSG.html?id=27020&amp;lat=-23.60716&amp;long=-46.50744&amp;tipo=C","QRCODE")</f>
        <v>QRCODE</v>
      </c>
      <c r="C1858" t="s">
        <v>5273</v>
      </c>
      <c r="D1858" t="s">
        <v>5324</v>
      </c>
      <c r="E1858" t="s">
        <v>27</v>
      </c>
      <c r="F1858" t="s">
        <v>12</v>
      </c>
      <c r="G1858" t="s">
        <v>4081</v>
      </c>
      <c r="H1858">
        <v>0</v>
      </c>
      <c r="I1858">
        <v>1</v>
      </c>
      <c r="J1858">
        <v>0</v>
      </c>
      <c r="K1858">
        <v>0</v>
      </c>
      <c r="L1858">
        <v>0</v>
      </c>
    </row>
    <row r="1859" spans="1:12">
      <c r="A1859" t="str">
        <f>HYPERLINK("http://bombeiros.sp.gov.br/hidrantes/03individual/1928.html","1928")</f>
        <v>1928</v>
      </c>
      <c r="B1859" t="str">
        <f>HYPERLINK("http://bombeiros.sp.gov.br/hidrantes/08bsg/qrcodeBSG.html?id=1928&amp;lat=-23.59341&amp;long=-46.51383&amp;tipo=S","QRCODE")</f>
        <v>QRCODE</v>
      </c>
      <c r="C1859" t="s">
        <v>5273</v>
      </c>
      <c r="D1859" t="s">
        <v>5324</v>
      </c>
      <c r="E1859" t="s">
        <v>27</v>
      </c>
      <c r="F1859" t="s">
        <v>21</v>
      </c>
      <c r="G1859" t="s">
        <v>2542</v>
      </c>
      <c r="H1859">
        <v>0</v>
      </c>
      <c r="I1859">
        <v>2</v>
      </c>
      <c r="J1859">
        <v>0</v>
      </c>
      <c r="K1859">
        <v>0</v>
      </c>
      <c r="L1859">
        <v>0</v>
      </c>
    </row>
    <row r="1860" spans="1:12">
      <c r="A1860" t="str">
        <f>HYPERLINK("http://bombeiros.sp.gov.br/hidrantes/03individual/1944.html","1944")</f>
        <v>1944</v>
      </c>
      <c r="B1860" t="str">
        <f>HYPERLINK("http://bombeiros.sp.gov.br/hidrantes/08bsg/qrcodeBSG.html?id=1944&amp;lat=-23.60119&amp;long=-46.50657&amp;tipo=S","QRCODE")</f>
        <v>QRCODE</v>
      </c>
      <c r="C1860" t="s">
        <v>5273</v>
      </c>
      <c r="D1860" t="s">
        <v>5324</v>
      </c>
      <c r="E1860" t="s">
        <v>27</v>
      </c>
      <c r="F1860" t="s">
        <v>21</v>
      </c>
      <c r="G1860" t="s">
        <v>4222</v>
      </c>
      <c r="H1860">
        <v>0</v>
      </c>
      <c r="I1860">
        <v>1</v>
      </c>
      <c r="J1860">
        <v>0</v>
      </c>
      <c r="K1860">
        <v>0</v>
      </c>
      <c r="L1860">
        <v>0</v>
      </c>
    </row>
    <row r="1861" spans="1:12">
      <c r="A1861" t="str">
        <f>HYPERLINK("http://bombeiros.sp.gov.br/hidrantes/03individual/2984.html","2984")</f>
        <v>2984</v>
      </c>
      <c r="B1861" t="str">
        <f>HYPERLINK("http://bombeiros.sp.gov.br/hidrantes/08bsg/qrcodeBSG.html?id=2984&amp;lat=-23.58688&amp;long=-46.51759&amp;tipo=S","QRCODE")</f>
        <v>QRCODE</v>
      </c>
      <c r="C1861" t="s">
        <v>5273</v>
      </c>
      <c r="D1861" t="s">
        <v>5324</v>
      </c>
      <c r="E1861" t="s">
        <v>27</v>
      </c>
      <c r="F1861" t="s">
        <v>21</v>
      </c>
      <c r="G1861" t="s">
        <v>26</v>
      </c>
      <c r="H1861">
        <v>0</v>
      </c>
      <c r="I1861">
        <v>3</v>
      </c>
      <c r="J1861">
        <v>0</v>
      </c>
      <c r="K1861">
        <v>0</v>
      </c>
      <c r="L1861">
        <v>0</v>
      </c>
    </row>
    <row r="1862" spans="1:12">
      <c r="A1862" t="str">
        <f>HYPERLINK("http://bombeiros.sp.gov.br/hidrantes/03individual/3095.html","3095")</f>
        <v>3095</v>
      </c>
      <c r="B1862" t="str">
        <f>HYPERLINK("http://bombeiros.sp.gov.br/hidrantes/08bsg/qrcodeBSG.html?id=3095&amp;lat=-23.59221&amp;long=-46.51347&amp;tipo=S","QRCODE")</f>
        <v>QRCODE</v>
      </c>
      <c r="C1862" t="s">
        <v>5273</v>
      </c>
      <c r="D1862" t="s">
        <v>5324</v>
      </c>
      <c r="E1862" t="s">
        <v>27</v>
      </c>
      <c r="F1862" t="s">
        <v>21</v>
      </c>
      <c r="G1862" t="s">
        <v>2565</v>
      </c>
      <c r="H1862">
        <v>0</v>
      </c>
      <c r="I1862">
        <v>2</v>
      </c>
      <c r="J1862">
        <v>0</v>
      </c>
      <c r="K1862">
        <v>0</v>
      </c>
      <c r="L1862">
        <v>0</v>
      </c>
    </row>
    <row r="1863" spans="1:12">
      <c r="A1863" t="str">
        <f>HYPERLINK("http://bombeiros.sp.gov.br/hidrantes/03individual/17722.html","17722")</f>
        <v>17722</v>
      </c>
      <c r="B1863" t="str">
        <f>HYPERLINK("http://bombeiros.sp.gov.br/hidrantes/08bsg/qrcodeBSG.html?id=17722&amp;lat=-23.60614&amp;long=-46.50319&amp;tipo=S","QRCODE")</f>
        <v>QRCODE</v>
      </c>
      <c r="C1863" t="s">
        <v>5273</v>
      </c>
      <c r="D1863" t="s">
        <v>5324</v>
      </c>
      <c r="E1863" t="s">
        <v>27</v>
      </c>
      <c r="F1863" t="s">
        <v>21</v>
      </c>
      <c r="G1863" t="s">
        <v>1851</v>
      </c>
      <c r="H1863">
        <v>0</v>
      </c>
      <c r="I1863">
        <v>2</v>
      </c>
      <c r="J1863">
        <v>0</v>
      </c>
      <c r="K1863">
        <v>0</v>
      </c>
      <c r="L1863">
        <v>0</v>
      </c>
    </row>
    <row r="1864" spans="1:12">
      <c r="A1864" t="str">
        <f>HYPERLINK("http://bombeiros.sp.gov.br/hidrantes/03individual/26675.html","26675")</f>
        <v>26675</v>
      </c>
      <c r="B1864" t="str">
        <f>HYPERLINK("http://bombeiros.sp.gov.br/hidrantes/08bsg/qrcodeBSG.html?id=26675&amp;lat=-23.59545&amp;long=-46.50758&amp;tipo=S","QRCODE")</f>
        <v>QRCODE</v>
      </c>
      <c r="C1864" t="s">
        <v>5273</v>
      </c>
      <c r="D1864" t="s">
        <v>5324</v>
      </c>
      <c r="E1864" t="s">
        <v>27</v>
      </c>
      <c r="F1864" t="s">
        <v>21</v>
      </c>
      <c r="G1864" t="s">
        <v>4535</v>
      </c>
      <c r="H1864">
        <v>0</v>
      </c>
      <c r="I1864">
        <v>2</v>
      </c>
      <c r="J1864">
        <v>0</v>
      </c>
      <c r="K1864">
        <v>0</v>
      </c>
      <c r="L1864">
        <v>0</v>
      </c>
    </row>
    <row r="1865" spans="1:12">
      <c r="A1865" t="str">
        <f>HYPERLINK("http://bombeiros.sp.gov.br/hidrantes/03individual/27021.html","27021")</f>
        <v>27021</v>
      </c>
      <c r="B1865" t="str">
        <f>HYPERLINK("http://bombeiros.sp.gov.br/hidrantes/08bsg/qrcodeBSG.html?id=27021&amp;lat=-23.59103&amp;long=-46.50746&amp;tipo=S","QRCODE")</f>
        <v>QRCODE</v>
      </c>
      <c r="C1865" t="s">
        <v>5273</v>
      </c>
      <c r="D1865" t="s">
        <v>5324</v>
      </c>
      <c r="E1865" t="s">
        <v>27</v>
      </c>
      <c r="F1865" t="s">
        <v>21</v>
      </c>
      <c r="G1865" t="s">
        <v>3897</v>
      </c>
      <c r="H1865">
        <v>0</v>
      </c>
      <c r="I1865">
        <v>1</v>
      </c>
      <c r="J1865">
        <v>0</v>
      </c>
      <c r="K1865">
        <v>0</v>
      </c>
      <c r="L1865">
        <v>0</v>
      </c>
    </row>
    <row r="1866" spans="1:12">
      <c r="A1866" t="str">
        <f>HYPERLINK("http://bombeiros.sp.gov.br/hidrantes/03individual/4197.html","4197")</f>
        <v>4197</v>
      </c>
      <c r="B1866" t="str">
        <f>HYPERLINK("http://bombeiros.sp.gov.br/hidrantes/08bsg/qrcodeBSG.html?id=4197&amp;lat=-23.62399&amp;long=-46.50736&amp;tipo=C","QRCODE")</f>
        <v>QRCODE</v>
      </c>
      <c r="C1866" t="s">
        <v>5273</v>
      </c>
      <c r="D1866" t="s">
        <v>5324</v>
      </c>
      <c r="E1866" t="s">
        <v>1849</v>
      </c>
      <c r="F1866" t="s">
        <v>12</v>
      </c>
      <c r="G1866" t="s">
        <v>1895</v>
      </c>
      <c r="H1866">
        <v>0</v>
      </c>
      <c r="I1866">
        <v>2</v>
      </c>
      <c r="J1866">
        <v>0</v>
      </c>
      <c r="K1866">
        <v>0</v>
      </c>
      <c r="L1866">
        <v>0</v>
      </c>
    </row>
    <row r="1867" spans="1:12">
      <c r="A1867" t="str">
        <f>HYPERLINK("http://bombeiros.sp.gov.br/hidrantes/03individual/1912.html","1912")</f>
        <v>1912</v>
      </c>
      <c r="B1867" t="str">
        <f>HYPERLINK("http://bombeiros.sp.gov.br/hidrantes/08bsg/qrcodeBSG.html?id=1912&amp;lat=-23.61464&amp;long=-46.51244&amp;tipo=S","QRCODE")</f>
        <v>QRCODE</v>
      </c>
      <c r="C1867" t="s">
        <v>5273</v>
      </c>
      <c r="D1867" t="s">
        <v>5324</v>
      </c>
      <c r="E1867" t="s">
        <v>1849</v>
      </c>
      <c r="F1867" t="s">
        <v>21</v>
      </c>
      <c r="G1867" t="s">
        <v>4223</v>
      </c>
      <c r="H1867">
        <v>0</v>
      </c>
      <c r="I1867">
        <v>1</v>
      </c>
      <c r="J1867">
        <v>0</v>
      </c>
      <c r="K1867">
        <v>0</v>
      </c>
      <c r="L1867">
        <v>0</v>
      </c>
    </row>
    <row r="1868" spans="1:12">
      <c r="A1868" t="str">
        <f>HYPERLINK("http://bombeiros.sp.gov.br/hidrantes/03individual/17725.html","17725")</f>
        <v>17725</v>
      </c>
      <c r="B1868" t="str">
        <f>HYPERLINK("http://bombeiros.sp.gov.br/hidrantes/08bsg/qrcodeBSG.html?id=17725&amp;lat=-23.61336&amp;long=-46.50475&amp;tipo=S","QRCODE")</f>
        <v>QRCODE</v>
      </c>
      <c r="C1868" t="s">
        <v>5273</v>
      </c>
      <c r="D1868" t="s">
        <v>5324</v>
      </c>
      <c r="E1868" t="s">
        <v>1849</v>
      </c>
      <c r="F1868" t="s">
        <v>21</v>
      </c>
      <c r="G1868" t="s">
        <v>2589</v>
      </c>
      <c r="H1868">
        <v>0</v>
      </c>
      <c r="I1868">
        <v>2</v>
      </c>
      <c r="J1868">
        <v>0</v>
      </c>
      <c r="K1868">
        <v>0</v>
      </c>
      <c r="L1868">
        <v>0</v>
      </c>
    </row>
    <row r="1869" spans="1:12">
      <c r="A1869" t="str">
        <f>HYPERLINK("http://bombeiros.sp.gov.br/hidrantes/03individual/17781.html","17781")</f>
        <v>17781</v>
      </c>
      <c r="B1869" t="str">
        <f>HYPERLINK("http://bombeiros.sp.gov.br/hidrantes/08bsg/qrcodeBSG.html?id=17781&amp;lat=-23.61965&amp;long=-46.50546&amp;tipo=S","QRCODE")</f>
        <v>QRCODE</v>
      </c>
      <c r="C1869" t="s">
        <v>5273</v>
      </c>
      <c r="D1869" t="s">
        <v>5324</v>
      </c>
      <c r="E1869" t="s">
        <v>1849</v>
      </c>
      <c r="F1869" t="s">
        <v>21</v>
      </c>
      <c r="G1869" t="s">
        <v>1848</v>
      </c>
      <c r="H1869">
        <v>0</v>
      </c>
      <c r="I1869">
        <v>2</v>
      </c>
      <c r="J1869">
        <v>0</v>
      </c>
      <c r="K1869">
        <v>0</v>
      </c>
      <c r="L1869">
        <v>0</v>
      </c>
    </row>
    <row r="1870" spans="1:12">
      <c r="A1870" t="str">
        <f>HYPERLINK("http://bombeiros.sp.gov.br/hidrantes/03individual/831.html","831")</f>
        <v>831</v>
      </c>
      <c r="B1870" t="str">
        <f>HYPERLINK("http://bombeiros.sp.gov.br/hidrantes/08bsg/qrcodeBSG.html?id=831&amp;lat=-23.53119&amp;long=-46.57552&amp;tipo=C","QRCODE")</f>
        <v>QRCODE</v>
      </c>
      <c r="C1870" t="s">
        <v>5273</v>
      </c>
      <c r="D1870" t="s">
        <v>693</v>
      </c>
      <c r="E1870" t="s">
        <v>699</v>
      </c>
      <c r="F1870" t="s">
        <v>12</v>
      </c>
      <c r="G1870" t="s">
        <v>4051</v>
      </c>
      <c r="H1870">
        <v>0</v>
      </c>
      <c r="I1870">
        <v>1</v>
      </c>
      <c r="J1870">
        <v>0</v>
      </c>
      <c r="K1870">
        <v>0</v>
      </c>
      <c r="L1870">
        <v>0</v>
      </c>
    </row>
    <row r="1871" spans="1:12">
      <c r="A1871" t="str">
        <f>HYPERLINK("http://bombeiros.sp.gov.br/hidrantes/03individual/3284.html","3284")</f>
        <v>3284</v>
      </c>
      <c r="B1871" t="str">
        <f>HYPERLINK("http://bombeiros.sp.gov.br/hidrantes/08bsg/qrcodeBSG.html?id=3284&amp;lat=-23.53160&amp;long=-46.56969&amp;tipo=C","QRCODE")</f>
        <v>QRCODE</v>
      </c>
      <c r="C1871" t="s">
        <v>5273</v>
      </c>
      <c r="D1871" t="s">
        <v>693</v>
      </c>
      <c r="E1871" t="s">
        <v>699</v>
      </c>
      <c r="F1871" t="s">
        <v>12</v>
      </c>
      <c r="G1871" t="s">
        <v>698</v>
      </c>
      <c r="H1871">
        <v>1</v>
      </c>
      <c r="I1871">
        <v>2</v>
      </c>
      <c r="J1871">
        <v>0</v>
      </c>
      <c r="K1871">
        <v>0</v>
      </c>
      <c r="L1871">
        <v>0</v>
      </c>
    </row>
    <row r="1872" spans="1:12">
      <c r="A1872" t="str">
        <f>HYPERLINK("http://bombeiros.sp.gov.br/hidrantes/03individual/3293.html","3293")</f>
        <v>3293</v>
      </c>
      <c r="B1872" t="str">
        <f>HYPERLINK("http://bombeiros.sp.gov.br/hidrantes/08bsg/qrcodeBSG.html?id=3293&amp;lat=-23.53170&amp;long=-46.58268&amp;tipo=C","QRCODE")</f>
        <v>QRCODE</v>
      </c>
      <c r="C1872" t="s">
        <v>5273</v>
      </c>
      <c r="D1872" t="s">
        <v>693</v>
      </c>
      <c r="E1872" t="s">
        <v>699</v>
      </c>
      <c r="F1872" t="s">
        <v>12</v>
      </c>
      <c r="G1872" t="s">
        <v>4862</v>
      </c>
      <c r="H1872">
        <v>1</v>
      </c>
      <c r="I1872">
        <v>1</v>
      </c>
      <c r="J1872">
        <v>0</v>
      </c>
      <c r="K1872">
        <v>0</v>
      </c>
      <c r="L1872">
        <v>0</v>
      </c>
    </row>
    <row r="1873" spans="1:12">
      <c r="A1873" t="str">
        <f>HYPERLINK("http://bombeiros.sp.gov.br/hidrantes/03individual/4304.html","4304")</f>
        <v>4304</v>
      </c>
      <c r="B1873" t="str">
        <f>HYPERLINK("http://bombeiros.sp.gov.br/hidrantes/08bsg/qrcodeBSG.html?id=4304&amp;lat=-23.53585&amp;long=-46.57231&amp;tipo=C","QRCODE")</f>
        <v>QRCODE</v>
      </c>
      <c r="C1873" t="s">
        <v>5273</v>
      </c>
      <c r="D1873" t="s">
        <v>693</v>
      </c>
      <c r="E1873" t="s">
        <v>699</v>
      </c>
      <c r="F1873" t="s">
        <v>12</v>
      </c>
      <c r="G1873" t="s">
        <v>737</v>
      </c>
      <c r="H1873">
        <v>0</v>
      </c>
      <c r="I1873">
        <v>3</v>
      </c>
      <c r="J1873">
        <v>0</v>
      </c>
      <c r="K1873">
        <v>0</v>
      </c>
      <c r="L1873">
        <v>0</v>
      </c>
    </row>
    <row r="1874" spans="1:12">
      <c r="A1874" t="str">
        <f>HYPERLINK("http://bombeiros.sp.gov.br/hidrantes/03individual/1701.html","1701")</f>
        <v>1701</v>
      </c>
      <c r="B1874" t="str">
        <f>HYPERLINK("http://bombeiros.sp.gov.br/hidrantes/08bsg/qrcodeBSG.html?id=1701&amp;lat=-23.53851&amp;long=-46.57684&amp;tipo=S","QRCODE")</f>
        <v>QRCODE</v>
      </c>
      <c r="C1874" t="s">
        <v>5273</v>
      </c>
      <c r="D1874" t="s">
        <v>693</v>
      </c>
      <c r="E1874" t="s">
        <v>699</v>
      </c>
      <c r="F1874" t="s">
        <v>21</v>
      </c>
      <c r="G1874" t="s">
        <v>5150</v>
      </c>
      <c r="H1874">
        <v>0</v>
      </c>
      <c r="I1874">
        <v>1</v>
      </c>
      <c r="J1874">
        <v>0</v>
      </c>
      <c r="K1874">
        <v>0</v>
      </c>
      <c r="L1874">
        <v>0</v>
      </c>
    </row>
    <row r="1875" spans="1:12">
      <c r="A1875" t="str">
        <f>HYPERLINK("http://bombeiros.sp.gov.br/hidrantes/03individual/1727.html","1727")</f>
        <v>1727</v>
      </c>
      <c r="B1875" t="str">
        <f>HYPERLINK("http://bombeiros.sp.gov.br/hidrantes/08bsg/qrcodeBSG.html?id=1727&amp;lat=-23.53495&amp;long=-46.56962&amp;tipo=S","QRCODE")</f>
        <v>QRCODE</v>
      </c>
      <c r="C1875" t="s">
        <v>5273</v>
      </c>
      <c r="D1875" t="s">
        <v>693</v>
      </c>
      <c r="E1875" t="s">
        <v>699</v>
      </c>
      <c r="F1875" t="s">
        <v>21</v>
      </c>
      <c r="G1875" t="s">
        <v>4043</v>
      </c>
      <c r="H1875">
        <v>0</v>
      </c>
      <c r="I1875">
        <v>1</v>
      </c>
      <c r="J1875">
        <v>0</v>
      </c>
      <c r="K1875">
        <v>0</v>
      </c>
      <c r="L1875">
        <v>0</v>
      </c>
    </row>
    <row r="1876" spans="1:12">
      <c r="A1876" t="str">
        <f>HYPERLINK("http://bombeiros.sp.gov.br/hidrantes/03individual/1752.html","1752")</f>
        <v>1752</v>
      </c>
      <c r="B1876" t="str">
        <f>HYPERLINK("http://bombeiros.sp.gov.br/hidrantes/08bsg/qrcodeBSG.html?id=1752&amp;lat=-23.53497&amp;long=-46.57725&amp;tipo=S","QRCODE")</f>
        <v>QRCODE</v>
      </c>
      <c r="C1876" t="s">
        <v>5273</v>
      </c>
      <c r="D1876" t="s">
        <v>693</v>
      </c>
      <c r="E1876" t="s">
        <v>699</v>
      </c>
      <c r="F1876" t="s">
        <v>21</v>
      </c>
      <c r="G1876" t="s">
        <v>5106</v>
      </c>
      <c r="H1876">
        <v>0</v>
      </c>
      <c r="I1876">
        <v>1</v>
      </c>
      <c r="J1876">
        <v>0</v>
      </c>
      <c r="K1876">
        <v>0</v>
      </c>
      <c r="L1876">
        <v>0</v>
      </c>
    </row>
    <row r="1877" spans="1:12">
      <c r="A1877" t="str">
        <f>HYPERLINK("http://bombeiros.sp.gov.br/hidrantes/03individual/1753.html","1753")</f>
        <v>1753</v>
      </c>
      <c r="B1877" t="str">
        <f>HYPERLINK("http://bombeiros.sp.gov.br/hidrantes/08bsg/qrcodeBSG.html?id=1753&amp;lat=-23.53519&amp;long=-46.57809&amp;tipo=S","QRCODE")</f>
        <v>QRCODE</v>
      </c>
      <c r="C1877" t="s">
        <v>5273</v>
      </c>
      <c r="D1877" t="s">
        <v>693</v>
      </c>
      <c r="E1877" t="s">
        <v>699</v>
      </c>
      <c r="F1877" t="s">
        <v>21</v>
      </c>
      <c r="G1877" t="s">
        <v>5107</v>
      </c>
      <c r="H1877">
        <v>0</v>
      </c>
      <c r="I1877">
        <v>1</v>
      </c>
      <c r="J1877">
        <v>0</v>
      </c>
      <c r="K1877">
        <v>0</v>
      </c>
      <c r="L1877">
        <v>0</v>
      </c>
    </row>
    <row r="1878" spans="1:12">
      <c r="A1878" t="str">
        <f>HYPERLINK("http://bombeiros.sp.gov.br/hidrantes/03individual/1755.html","1755")</f>
        <v>1755</v>
      </c>
      <c r="B1878" t="str">
        <f>HYPERLINK("http://bombeiros.sp.gov.br/hidrantes/08bsg/qrcodeBSG.html?id=1755&amp;lat=-23.53529&amp;long=-46.57442&amp;tipo=S","QRCODE")</f>
        <v>QRCODE</v>
      </c>
      <c r="C1878" t="s">
        <v>5273</v>
      </c>
      <c r="D1878" t="s">
        <v>693</v>
      </c>
      <c r="E1878" t="s">
        <v>699</v>
      </c>
      <c r="F1878" t="s">
        <v>21</v>
      </c>
      <c r="G1878" t="s">
        <v>5105</v>
      </c>
      <c r="H1878">
        <v>0</v>
      </c>
      <c r="I1878">
        <v>1</v>
      </c>
      <c r="J1878">
        <v>0</v>
      </c>
      <c r="K1878">
        <v>0</v>
      </c>
      <c r="L1878">
        <v>0</v>
      </c>
    </row>
    <row r="1879" spans="1:12">
      <c r="A1879" t="str">
        <f>HYPERLINK("http://bombeiros.sp.gov.br/hidrantes/03individual/1756.html","1756")</f>
        <v>1756</v>
      </c>
      <c r="B1879" t="str">
        <f>HYPERLINK("http://bombeiros.sp.gov.br/hidrantes/08bsg/qrcodeBSG.html?id=1756&amp;lat=-23.53098&amp;long=-46.57072&amp;tipo=S","QRCODE")</f>
        <v>QRCODE</v>
      </c>
      <c r="C1879" t="s">
        <v>5273</v>
      </c>
      <c r="D1879" t="s">
        <v>693</v>
      </c>
      <c r="E1879" t="s">
        <v>699</v>
      </c>
      <c r="F1879" t="s">
        <v>21</v>
      </c>
      <c r="G1879" t="s">
        <v>5212</v>
      </c>
      <c r="H1879">
        <v>1</v>
      </c>
      <c r="I1879">
        <v>0</v>
      </c>
      <c r="J1879">
        <v>0</v>
      </c>
      <c r="K1879">
        <v>0</v>
      </c>
      <c r="L1879">
        <v>0</v>
      </c>
    </row>
    <row r="1880" spans="1:12">
      <c r="A1880" t="str">
        <f>HYPERLINK("http://bombeiros.sp.gov.br/hidrantes/03individual/3146.html","3146")</f>
        <v>3146</v>
      </c>
      <c r="B1880" t="str">
        <f>HYPERLINK("http://bombeiros.sp.gov.br/hidrantes/08bsg/qrcodeBSG.html?id=3146&amp;lat=-23.53635&amp;long=-46.57714&amp;tipo=S","QRCODE")</f>
        <v>QRCODE</v>
      </c>
      <c r="C1880" t="s">
        <v>5273</v>
      </c>
      <c r="D1880" t="s">
        <v>693</v>
      </c>
      <c r="E1880" t="s">
        <v>699</v>
      </c>
      <c r="F1880" t="s">
        <v>21</v>
      </c>
      <c r="G1880" t="s">
        <v>3105</v>
      </c>
      <c r="H1880">
        <v>1</v>
      </c>
      <c r="I1880">
        <v>1</v>
      </c>
      <c r="J1880">
        <v>0</v>
      </c>
      <c r="K1880">
        <v>0</v>
      </c>
      <c r="L1880">
        <v>0</v>
      </c>
    </row>
    <row r="1881" spans="1:12">
      <c r="A1881" t="str">
        <f>HYPERLINK("http://bombeiros.sp.gov.br/hidrantes/03individual/3148.html","3148")</f>
        <v>3148</v>
      </c>
      <c r="B1881" t="str">
        <f>HYPERLINK("http://bombeiros.sp.gov.br/hidrantes/08bsg/qrcodeBSG.html?id=3148&amp;lat=-23.53513&amp;long=-46.57545&amp;tipo=S","QRCODE")</f>
        <v>QRCODE</v>
      </c>
      <c r="C1881" t="s">
        <v>5273</v>
      </c>
      <c r="D1881" t="s">
        <v>693</v>
      </c>
      <c r="E1881" t="s">
        <v>699</v>
      </c>
      <c r="F1881" t="s">
        <v>21</v>
      </c>
      <c r="G1881" t="s">
        <v>4019</v>
      </c>
      <c r="H1881">
        <v>0</v>
      </c>
      <c r="I1881">
        <v>1</v>
      </c>
      <c r="J1881">
        <v>0</v>
      </c>
      <c r="K1881">
        <v>0</v>
      </c>
      <c r="L1881">
        <v>0</v>
      </c>
    </row>
    <row r="1882" spans="1:12">
      <c r="A1882" t="str">
        <f>HYPERLINK("http://bombeiros.sp.gov.br/hidrantes/03individual/3310.html","3310")</f>
        <v>3310</v>
      </c>
      <c r="B1882" t="str">
        <f>HYPERLINK("http://bombeiros.sp.gov.br/hidrantes/08bsg/qrcodeBSG.html?id=3310&amp;lat=-23.53998&amp;long=-46.58078&amp;tipo=S","QRCODE")</f>
        <v>QRCODE</v>
      </c>
      <c r="C1882" t="s">
        <v>5273</v>
      </c>
      <c r="D1882" t="s">
        <v>693</v>
      </c>
      <c r="E1882" t="s">
        <v>699</v>
      </c>
      <c r="F1882" t="s">
        <v>21</v>
      </c>
      <c r="G1882" t="s">
        <v>2427</v>
      </c>
      <c r="H1882">
        <v>0</v>
      </c>
      <c r="I1882">
        <v>2</v>
      </c>
      <c r="J1882">
        <v>0</v>
      </c>
      <c r="K1882">
        <v>0</v>
      </c>
      <c r="L1882">
        <v>0</v>
      </c>
    </row>
    <row r="1883" spans="1:12">
      <c r="A1883" t="str">
        <f>HYPERLINK("http://bombeiros.sp.gov.br/hidrantes/03individual/3324.html","3324")</f>
        <v>3324</v>
      </c>
      <c r="B1883" t="str">
        <f>HYPERLINK("http://bombeiros.sp.gov.br/hidrantes/08bsg/qrcodeBSG.html?id=3324&amp;lat=-23.53484&amp;long=-46.57951&amp;tipo=S","QRCODE")</f>
        <v>QRCODE</v>
      </c>
      <c r="C1883" t="s">
        <v>5273</v>
      </c>
      <c r="D1883" t="s">
        <v>693</v>
      </c>
      <c r="E1883" t="s">
        <v>699</v>
      </c>
      <c r="F1883" t="s">
        <v>21</v>
      </c>
      <c r="G1883" t="s">
        <v>898</v>
      </c>
      <c r="H1883">
        <v>0</v>
      </c>
      <c r="I1883">
        <v>2</v>
      </c>
      <c r="J1883">
        <v>0</v>
      </c>
      <c r="K1883">
        <v>0</v>
      </c>
      <c r="L1883">
        <v>0</v>
      </c>
    </row>
    <row r="1884" spans="1:12">
      <c r="A1884" t="str">
        <f>HYPERLINK("http://bombeiros.sp.gov.br/hidrantes/03individual/3326.html","3326")</f>
        <v>3326</v>
      </c>
      <c r="B1884" t="str">
        <f>HYPERLINK("http://bombeiros.sp.gov.br/hidrantes/08bsg/qrcodeBSG.html?id=3326&amp;lat=-23.53506&amp;long=-46.57913&amp;tipo=S","QRCODE")</f>
        <v>QRCODE</v>
      </c>
      <c r="C1884" t="s">
        <v>5273</v>
      </c>
      <c r="D1884" t="s">
        <v>693</v>
      </c>
      <c r="E1884" t="s">
        <v>699</v>
      </c>
      <c r="F1884" t="s">
        <v>21</v>
      </c>
      <c r="G1884" t="s">
        <v>899</v>
      </c>
      <c r="H1884">
        <v>0</v>
      </c>
      <c r="I1884">
        <v>3</v>
      </c>
      <c r="J1884">
        <v>0</v>
      </c>
      <c r="K1884">
        <v>0</v>
      </c>
      <c r="L1884">
        <v>0</v>
      </c>
    </row>
    <row r="1885" spans="1:12">
      <c r="A1885" t="str">
        <f>HYPERLINK("http://bombeiros.sp.gov.br/hidrantes/03individual/26803.html","26803")</f>
        <v>26803</v>
      </c>
      <c r="B1885" t="str">
        <f>HYPERLINK("http://bombeiros.sp.gov.br/hidrantes/08bsg/qrcodeBSG.html?id=26803&amp;lat=-23.53075&amp;long=-46.57879&amp;tipo=S","QRCODE")</f>
        <v>QRCODE</v>
      </c>
      <c r="C1885" t="s">
        <v>5273</v>
      </c>
      <c r="D1885" t="s">
        <v>693</v>
      </c>
      <c r="E1885" t="s">
        <v>699</v>
      </c>
      <c r="F1885" t="s">
        <v>21</v>
      </c>
      <c r="G1885" t="s">
        <v>4000</v>
      </c>
      <c r="H1885">
        <v>0</v>
      </c>
      <c r="I1885">
        <v>1</v>
      </c>
      <c r="J1885">
        <v>0</v>
      </c>
      <c r="K1885">
        <v>0</v>
      </c>
      <c r="L1885">
        <v>0</v>
      </c>
    </row>
    <row r="1886" spans="1:12">
      <c r="A1886" t="str">
        <f>HYPERLINK("http://bombeiros.sp.gov.br/hidrantes/03individual/27306.html","27306")</f>
        <v>27306</v>
      </c>
      <c r="B1886" t="str">
        <f>HYPERLINK("http://bombeiros.sp.gov.br/hidrantes/08bsg/qrcodeBSG.html?id=27306&amp;lat=-23.52973&amp;long=-46.57583&amp;tipo=S","QRCODE")</f>
        <v>QRCODE</v>
      </c>
      <c r="C1886" t="s">
        <v>5273</v>
      </c>
      <c r="D1886" t="s">
        <v>693</v>
      </c>
      <c r="E1886" t="s">
        <v>699</v>
      </c>
      <c r="F1886" t="s">
        <v>21</v>
      </c>
      <c r="G1886" t="s">
        <v>5325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>
      <c r="A1887" t="str">
        <f>HYPERLINK("http://bombeiros.sp.gov.br/hidrantes/03individual/1017.html","1017")</f>
        <v>1017</v>
      </c>
      <c r="B1887" t="str">
        <f>HYPERLINK("http://bombeiros.sp.gov.br/hidrantes/08bsg/qrcodeBSG.html?id=1017&amp;lat=-23.55490&amp;long=-46.55859&amp;tipo=C","QRCODE")</f>
        <v>QRCODE</v>
      </c>
      <c r="C1887" t="s">
        <v>5273</v>
      </c>
      <c r="D1887" t="s">
        <v>693</v>
      </c>
      <c r="E1887" t="s">
        <v>688</v>
      </c>
      <c r="F1887" t="s">
        <v>12</v>
      </c>
      <c r="G1887" t="s">
        <v>5013</v>
      </c>
      <c r="H1887">
        <v>0</v>
      </c>
      <c r="I1887">
        <v>2</v>
      </c>
      <c r="J1887">
        <v>0</v>
      </c>
      <c r="K1887">
        <v>0</v>
      </c>
      <c r="L1887">
        <v>0</v>
      </c>
    </row>
    <row r="1888" spans="1:12">
      <c r="A1888" t="str">
        <f>HYPERLINK("http://bombeiros.sp.gov.br/hidrantes/03individual/3281.html","3281")</f>
        <v>3281</v>
      </c>
      <c r="B1888" t="str">
        <f>HYPERLINK("http://bombeiros.sp.gov.br/hidrantes/08bsg/qrcodeBSG.html?id=3281&amp;lat=-23.53960&amp;long=-46.56497&amp;tipo=C","QRCODE")</f>
        <v>QRCODE</v>
      </c>
      <c r="C1888" t="s">
        <v>5273</v>
      </c>
      <c r="D1888" t="s">
        <v>693</v>
      </c>
      <c r="E1888" t="s">
        <v>688</v>
      </c>
      <c r="F1888" t="s">
        <v>12</v>
      </c>
      <c r="G1888" t="s">
        <v>892</v>
      </c>
      <c r="H1888">
        <v>1</v>
      </c>
      <c r="I1888">
        <v>2</v>
      </c>
      <c r="J1888">
        <v>0</v>
      </c>
      <c r="K1888">
        <v>0</v>
      </c>
      <c r="L1888">
        <v>0</v>
      </c>
    </row>
    <row r="1889" spans="1:12">
      <c r="A1889" t="str">
        <f>HYPERLINK("http://bombeiros.sp.gov.br/hidrantes/03individual/1436.html","1436")</f>
        <v>1436</v>
      </c>
      <c r="B1889" t="str">
        <f>HYPERLINK("http://bombeiros.sp.gov.br/hidrantes/08bsg/qrcodeBSG.html?id=1436&amp;lat=-23.55153&amp;long=-46.56506&amp;tipo=S","QRCODE")</f>
        <v>QRCODE</v>
      </c>
      <c r="C1889" t="s">
        <v>5273</v>
      </c>
      <c r="D1889" t="s">
        <v>693</v>
      </c>
      <c r="E1889" t="s">
        <v>688</v>
      </c>
      <c r="F1889" t="s">
        <v>21</v>
      </c>
      <c r="G1889" t="s">
        <v>5190</v>
      </c>
      <c r="H1889">
        <v>0</v>
      </c>
      <c r="I1889">
        <v>1</v>
      </c>
      <c r="J1889">
        <v>0</v>
      </c>
      <c r="K1889">
        <v>0</v>
      </c>
      <c r="L1889">
        <v>0</v>
      </c>
    </row>
    <row r="1890" spans="1:12">
      <c r="A1890" t="str">
        <f>HYPERLINK("http://bombeiros.sp.gov.br/hidrantes/03individual/1445.html","1445")</f>
        <v>1445</v>
      </c>
      <c r="B1890" t="str">
        <f>HYPERLINK("http://bombeiros.sp.gov.br/hidrantes/08bsg/qrcodeBSG.html?id=1445&amp;lat=-23.54630&amp;long=-46.56362&amp;tipo=S","QRCODE")</f>
        <v>QRCODE</v>
      </c>
      <c r="C1890" t="s">
        <v>5273</v>
      </c>
      <c r="D1890" t="s">
        <v>693</v>
      </c>
      <c r="E1890" t="s">
        <v>688</v>
      </c>
      <c r="F1890" t="s">
        <v>21</v>
      </c>
      <c r="G1890" t="s">
        <v>861</v>
      </c>
      <c r="H1890">
        <v>0</v>
      </c>
      <c r="I1890">
        <v>2</v>
      </c>
      <c r="J1890">
        <v>0</v>
      </c>
      <c r="K1890">
        <v>0</v>
      </c>
      <c r="L1890">
        <v>0</v>
      </c>
    </row>
    <row r="1891" spans="1:12">
      <c r="A1891" t="str">
        <f>HYPERLINK("http://bombeiros.sp.gov.br/hidrantes/03individual/1446.html","1446")</f>
        <v>1446</v>
      </c>
      <c r="B1891" t="str">
        <f>HYPERLINK("http://bombeiros.sp.gov.br/hidrantes/08bsg/qrcodeBSG.html?id=1446&amp;lat=-23.54297&amp;long=-46.56447&amp;tipo=S","QRCODE")</f>
        <v>QRCODE</v>
      </c>
      <c r="C1891" t="s">
        <v>5273</v>
      </c>
      <c r="D1891" t="s">
        <v>693</v>
      </c>
      <c r="E1891" t="s">
        <v>688</v>
      </c>
      <c r="F1891" t="s">
        <v>21</v>
      </c>
      <c r="G1891" t="s">
        <v>5024</v>
      </c>
      <c r="H1891">
        <v>0</v>
      </c>
      <c r="I1891">
        <v>1</v>
      </c>
      <c r="J1891">
        <v>0</v>
      </c>
      <c r="K1891">
        <v>0</v>
      </c>
      <c r="L1891">
        <v>0</v>
      </c>
    </row>
    <row r="1892" spans="1:12">
      <c r="A1892" t="str">
        <f>HYPERLINK("http://bombeiros.sp.gov.br/hidrantes/03individual/1448.html","1448")</f>
        <v>1448</v>
      </c>
      <c r="B1892" t="str">
        <f>HYPERLINK("http://bombeiros.sp.gov.br/hidrantes/08bsg/qrcodeBSG.html?id=1448&amp;lat=-23.54181&amp;long=-46.56733&amp;tipo=S","QRCODE")</f>
        <v>QRCODE</v>
      </c>
      <c r="C1892" t="s">
        <v>5273</v>
      </c>
      <c r="D1892" t="s">
        <v>693</v>
      </c>
      <c r="E1892" t="s">
        <v>688</v>
      </c>
      <c r="F1892" t="s">
        <v>21</v>
      </c>
      <c r="G1892" t="s">
        <v>862</v>
      </c>
      <c r="H1892">
        <v>0</v>
      </c>
      <c r="I1892">
        <v>2</v>
      </c>
      <c r="J1892">
        <v>0</v>
      </c>
      <c r="K1892">
        <v>0</v>
      </c>
      <c r="L1892">
        <v>0</v>
      </c>
    </row>
    <row r="1893" spans="1:12">
      <c r="A1893" t="str">
        <f>HYPERLINK("http://bombeiros.sp.gov.br/hidrantes/03individual/1449.html","1449")</f>
        <v>1449</v>
      </c>
      <c r="B1893" t="str">
        <f>HYPERLINK("http://bombeiros.sp.gov.br/hidrantes/08bsg/qrcodeBSG.html?id=1449&amp;lat=-23.54222&amp;long=-46.56188&amp;tipo=S","QRCODE")</f>
        <v>QRCODE</v>
      </c>
      <c r="C1893" t="s">
        <v>5273</v>
      </c>
      <c r="D1893" t="s">
        <v>693</v>
      </c>
      <c r="E1893" t="s">
        <v>688</v>
      </c>
      <c r="F1893" t="s">
        <v>21</v>
      </c>
      <c r="G1893" t="s">
        <v>4854</v>
      </c>
      <c r="H1893">
        <v>0</v>
      </c>
      <c r="I1893">
        <v>1</v>
      </c>
      <c r="J1893">
        <v>0</v>
      </c>
      <c r="K1893">
        <v>0</v>
      </c>
      <c r="L1893">
        <v>0</v>
      </c>
    </row>
    <row r="1894" spans="1:12">
      <c r="A1894" t="str">
        <f>HYPERLINK("http://bombeiros.sp.gov.br/hidrantes/03individual/1451.html","1451")</f>
        <v>1451</v>
      </c>
      <c r="B1894" t="str">
        <f>HYPERLINK("http://bombeiros.sp.gov.br/hidrantes/08bsg/qrcodeBSG.html?id=1451&amp;lat=-23.55193&amp;long=-46.56227&amp;tipo=S","QRCODE")</f>
        <v>QRCODE</v>
      </c>
      <c r="C1894" t="s">
        <v>5273</v>
      </c>
      <c r="D1894" t="s">
        <v>693</v>
      </c>
      <c r="E1894" t="s">
        <v>688</v>
      </c>
      <c r="F1894" t="s">
        <v>21</v>
      </c>
      <c r="G1894" t="s">
        <v>863</v>
      </c>
      <c r="H1894">
        <v>0</v>
      </c>
      <c r="I1894">
        <v>2</v>
      </c>
      <c r="J1894">
        <v>0</v>
      </c>
      <c r="K1894">
        <v>0</v>
      </c>
      <c r="L1894">
        <v>0</v>
      </c>
    </row>
    <row r="1895" spans="1:12">
      <c r="A1895" t="str">
        <f>HYPERLINK("http://bombeiros.sp.gov.br/hidrantes/03individual/1452.html","1452")</f>
        <v>1452</v>
      </c>
      <c r="B1895" t="str">
        <f>HYPERLINK("http://bombeiros.sp.gov.br/hidrantes/08bsg/qrcodeBSG.html?id=1452&amp;lat=-23.54914&amp;long=-46.56295&amp;tipo=S","QRCODE")</f>
        <v>QRCODE</v>
      </c>
      <c r="C1895" t="s">
        <v>5273</v>
      </c>
      <c r="D1895" t="s">
        <v>693</v>
      </c>
      <c r="E1895" t="s">
        <v>688</v>
      </c>
      <c r="F1895" t="s">
        <v>21</v>
      </c>
      <c r="G1895" t="s">
        <v>864</v>
      </c>
      <c r="H1895">
        <v>0</v>
      </c>
      <c r="I1895">
        <v>2</v>
      </c>
      <c r="J1895">
        <v>0</v>
      </c>
      <c r="K1895">
        <v>0</v>
      </c>
      <c r="L1895">
        <v>0</v>
      </c>
    </row>
    <row r="1896" spans="1:12">
      <c r="A1896" t="str">
        <f>HYPERLINK("http://bombeiros.sp.gov.br/hidrantes/03individual/1453.html","1453")</f>
        <v>1453</v>
      </c>
      <c r="B1896" t="str">
        <f>HYPERLINK("http://bombeiros.sp.gov.br/hidrantes/08bsg/qrcodeBSG.html?id=1453&amp;lat=-23.54373&amp;long=-46.56120&amp;tipo=S","QRCODE")</f>
        <v>QRCODE</v>
      </c>
      <c r="C1896" t="s">
        <v>5273</v>
      </c>
      <c r="D1896" t="s">
        <v>693</v>
      </c>
      <c r="E1896" t="s">
        <v>688</v>
      </c>
      <c r="F1896" t="s">
        <v>21</v>
      </c>
      <c r="G1896" t="s">
        <v>5025</v>
      </c>
      <c r="H1896">
        <v>0</v>
      </c>
      <c r="I1896">
        <v>1</v>
      </c>
      <c r="J1896">
        <v>0</v>
      </c>
      <c r="K1896">
        <v>0</v>
      </c>
      <c r="L1896">
        <v>0</v>
      </c>
    </row>
    <row r="1897" spans="1:12">
      <c r="A1897" t="str">
        <f>HYPERLINK("http://bombeiros.sp.gov.br/hidrantes/03individual/1454.html","1454")</f>
        <v>1454</v>
      </c>
      <c r="B1897" t="str">
        <f>HYPERLINK("http://bombeiros.sp.gov.br/hidrantes/08bsg/qrcodeBSG.html?id=1454&amp;lat=-23.53861&amp;long=-46.56013&amp;tipo=S","QRCODE")</f>
        <v>QRCODE</v>
      </c>
      <c r="C1897" t="s">
        <v>5273</v>
      </c>
      <c r="D1897" t="s">
        <v>693</v>
      </c>
      <c r="E1897" t="s">
        <v>688</v>
      </c>
      <c r="F1897" t="s">
        <v>21</v>
      </c>
      <c r="G1897" t="s">
        <v>2415</v>
      </c>
      <c r="H1897">
        <v>0</v>
      </c>
      <c r="I1897">
        <v>2</v>
      </c>
      <c r="J1897">
        <v>0</v>
      </c>
      <c r="K1897">
        <v>0</v>
      </c>
      <c r="L1897">
        <v>0</v>
      </c>
    </row>
    <row r="1898" spans="1:12">
      <c r="A1898" t="str">
        <f>HYPERLINK("http://bombeiros.sp.gov.br/hidrantes/03individual/1456.html","1456")</f>
        <v>1456</v>
      </c>
      <c r="B1898" t="str">
        <f>HYPERLINK("http://bombeiros.sp.gov.br/hidrantes/08bsg/qrcodeBSG.html?id=1456&amp;lat=-23.54152&amp;long=-46.55931&amp;tipo=S","QRCODE")</f>
        <v>QRCODE</v>
      </c>
      <c r="C1898" t="s">
        <v>5273</v>
      </c>
      <c r="D1898" t="s">
        <v>693</v>
      </c>
      <c r="E1898" t="s">
        <v>688</v>
      </c>
      <c r="F1898" t="s">
        <v>21</v>
      </c>
      <c r="G1898" t="s">
        <v>1004</v>
      </c>
      <c r="H1898">
        <v>0</v>
      </c>
      <c r="I1898">
        <v>2</v>
      </c>
      <c r="J1898">
        <v>0</v>
      </c>
      <c r="K1898">
        <v>0</v>
      </c>
      <c r="L1898">
        <v>0</v>
      </c>
    </row>
    <row r="1899" spans="1:12">
      <c r="A1899" t="str">
        <f>HYPERLINK("http://bombeiros.sp.gov.br/hidrantes/03individual/1497.html","1497")</f>
        <v>1497</v>
      </c>
      <c r="B1899" t="str">
        <f>HYPERLINK("http://bombeiros.sp.gov.br/hidrantes/08bsg/qrcodeBSG.html?id=1497&amp;lat=-23.54412&amp;long=-46.56327&amp;tipo=S","QRCODE")</f>
        <v>QRCODE</v>
      </c>
      <c r="C1899" t="s">
        <v>5273</v>
      </c>
      <c r="D1899" t="s">
        <v>693</v>
      </c>
      <c r="E1899" t="s">
        <v>688</v>
      </c>
      <c r="F1899" t="s">
        <v>21</v>
      </c>
      <c r="G1899" t="s">
        <v>5023</v>
      </c>
      <c r="H1899">
        <v>0</v>
      </c>
      <c r="I1899">
        <v>1</v>
      </c>
      <c r="J1899">
        <v>0</v>
      </c>
      <c r="K1899">
        <v>0</v>
      </c>
      <c r="L1899">
        <v>0</v>
      </c>
    </row>
    <row r="1900" spans="1:12">
      <c r="A1900" t="str">
        <f>HYPERLINK("http://bombeiros.sp.gov.br/hidrantes/03individual/1500.html","1500")</f>
        <v>1500</v>
      </c>
      <c r="B1900" t="str">
        <f>HYPERLINK("http://bombeiros.sp.gov.br/hidrantes/08bsg/qrcodeBSG.html?id=1500&amp;lat=-23.54909&amp;long=-46.55732&amp;tipo=S","QRCODE")</f>
        <v>QRCODE</v>
      </c>
      <c r="C1900" t="s">
        <v>5273</v>
      </c>
      <c r="D1900" t="s">
        <v>693</v>
      </c>
      <c r="E1900" t="s">
        <v>688</v>
      </c>
      <c r="F1900" t="s">
        <v>21</v>
      </c>
      <c r="G1900" t="s">
        <v>4937</v>
      </c>
      <c r="H1900">
        <v>0</v>
      </c>
      <c r="I1900">
        <v>1</v>
      </c>
      <c r="J1900">
        <v>0</v>
      </c>
      <c r="K1900">
        <v>0</v>
      </c>
      <c r="L1900">
        <v>0</v>
      </c>
    </row>
    <row r="1901" spans="1:12">
      <c r="A1901" t="str">
        <f>HYPERLINK("http://bombeiros.sp.gov.br/hidrantes/03individual/3248.html","3248")</f>
        <v>3248</v>
      </c>
      <c r="B1901" t="str">
        <f>HYPERLINK("http://bombeiros.sp.gov.br/hidrantes/08bsg/qrcodeBSG.html?id=3248&amp;lat=-23.54463&amp;long=-46.56646&amp;tipo=S","QRCODE")</f>
        <v>QRCODE</v>
      </c>
      <c r="C1901" t="s">
        <v>5273</v>
      </c>
      <c r="D1901" t="s">
        <v>693</v>
      </c>
      <c r="E1901" t="s">
        <v>688</v>
      </c>
      <c r="F1901" t="s">
        <v>21</v>
      </c>
      <c r="G1901" t="s">
        <v>893</v>
      </c>
      <c r="H1901">
        <v>2</v>
      </c>
      <c r="I1901">
        <v>2</v>
      </c>
      <c r="J1901">
        <v>0</v>
      </c>
      <c r="K1901">
        <v>0</v>
      </c>
      <c r="L1901">
        <v>0</v>
      </c>
    </row>
    <row r="1902" spans="1:12">
      <c r="A1902" t="str">
        <f>HYPERLINK("http://bombeiros.sp.gov.br/hidrantes/03individual/3278.html","3278")</f>
        <v>3278</v>
      </c>
      <c r="B1902" t="str">
        <f>HYPERLINK("http://bombeiros.sp.gov.br/hidrantes/08bsg/qrcodeBSG.html?id=3278&amp;lat=-23.54109&amp;long=-46.56180&amp;tipo=S","QRCODE")</f>
        <v>QRCODE</v>
      </c>
      <c r="C1902" t="s">
        <v>5273</v>
      </c>
      <c r="D1902" t="s">
        <v>693</v>
      </c>
      <c r="E1902" t="s">
        <v>688</v>
      </c>
      <c r="F1902" t="s">
        <v>21</v>
      </c>
      <c r="G1902" t="s">
        <v>4020</v>
      </c>
      <c r="H1902">
        <v>0</v>
      </c>
      <c r="I1902">
        <v>1</v>
      </c>
      <c r="J1902">
        <v>0</v>
      </c>
      <c r="K1902">
        <v>0</v>
      </c>
      <c r="L1902">
        <v>0</v>
      </c>
    </row>
    <row r="1903" spans="1:12">
      <c r="A1903" t="str">
        <f>HYPERLINK("http://bombeiros.sp.gov.br/hidrantes/03individual/3280.html","3280")</f>
        <v>3280</v>
      </c>
      <c r="B1903" t="str">
        <f>HYPERLINK("http://bombeiros.sp.gov.br/hidrantes/08bsg/qrcodeBSG.html?id=3280&amp;lat=-23.53970&amp;long=-46.56505&amp;tipo=S","QRCODE")</f>
        <v>QRCODE</v>
      </c>
      <c r="C1903" t="s">
        <v>5273</v>
      </c>
      <c r="D1903" t="s">
        <v>693</v>
      </c>
      <c r="E1903" t="s">
        <v>688</v>
      </c>
      <c r="F1903" t="s">
        <v>21</v>
      </c>
      <c r="G1903" t="s">
        <v>5240</v>
      </c>
      <c r="H1903">
        <v>1</v>
      </c>
      <c r="I1903">
        <v>0</v>
      </c>
      <c r="J1903">
        <v>0</v>
      </c>
      <c r="K1903">
        <v>0</v>
      </c>
      <c r="L1903">
        <v>0</v>
      </c>
    </row>
    <row r="1904" spans="1:12">
      <c r="A1904" t="str">
        <f>HYPERLINK("http://bombeiros.sp.gov.br/hidrantes/03individual/3318.html","3318")</f>
        <v>3318</v>
      </c>
      <c r="B1904" t="str">
        <f>HYPERLINK("http://bombeiros.sp.gov.br/hidrantes/08bsg/qrcodeBSG.html?id=3318&amp;lat=-23.55592&amp;long=-46.55491&amp;tipo=S","QRCODE")</f>
        <v>QRCODE</v>
      </c>
      <c r="C1904" t="s">
        <v>5273</v>
      </c>
      <c r="D1904" t="s">
        <v>693</v>
      </c>
      <c r="E1904" t="s">
        <v>688</v>
      </c>
      <c r="F1904" t="s">
        <v>21</v>
      </c>
      <c r="G1904" t="s">
        <v>4518</v>
      </c>
      <c r="H1904">
        <v>0</v>
      </c>
      <c r="I1904">
        <v>2</v>
      </c>
      <c r="J1904">
        <v>0</v>
      </c>
      <c r="K1904">
        <v>0</v>
      </c>
      <c r="L1904">
        <v>0</v>
      </c>
    </row>
    <row r="1905" spans="1:12">
      <c r="A1905" t="str">
        <f>HYPERLINK("http://bombeiros.sp.gov.br/hidrantes/03individual/3319.html","3319")</f>
        <v>3319</v>
      </c>
      <c r="B1905" t="str">
        <f>HYPERLINK("http://bombeiros.sp.gov.br/hidrantes/08bsg/qrcodeBSG.html?id=3319&amp;lat=-23.54892&amp;long=-46.56608&amp;tipo=S","QRCODE")</f>
        <v>QRCODE</v>
      </c>
      <c r="C1905" t="s">
        <v>5273</v>
      </c>
      <c r="D1905" t="s">
        <v>693</v>
      </c>
      <c r="E1905" t="s">
        <v>688</v>
      </c>
      <c r="F1905" t="s">
        <v>21</v>
      </c>
      <c r="G1905" t="s">
        <v>687</v>
      </c>
      <c r="H1905">
        <v>1</v>
      </c>
      <c r="I1905">
        <v>2</v>
      </c>
      <c r="J1905">
        <v>0</v>
      </c>
      <c r="K1905">
        <v>0</v>
      </c>
      <c r="L1905">
        <v>0</v>
      </c>
    </row>
    <row r="1906" spans="1:12">
      <c r="A1906" t="str">
        <f>HYPERLINK("http://bombeiros.sp.gov.br/hidrantes/03individual/3322.html","3322")</f>
        <v>3322</v>
      </c>
      <c r="B1906" t="str">
        <f>HYPERLINK("http://bombeiros.sp.gov.br/hidrantes/08bsg/qrcodeBSG.html?id=3322&amp;lat=-23.55316&amp;long=-46.55638&amp;tipo=S","QRCODE")</f>
        <v>QRCODE</v>
      </c>
      <c r="C1906" t="s">
        <v>5273</v>
      </c>
      <c r="D1906" t="s">
        <v>693</v>
      </c>
      <c r="E1906" t="s">
        <v>688</v>
      </c>
      <c r="F1906" t="s">
        <v>21</v>
      </c>
      <c r="G1906" t="s">
        <v>4169</v>
      </c>
      <c r="H1906">
        <v>0</v>
      </c>
      <c r="I1906">
        <v>1</v>
      </c>
      <c r="J1906">
        <v>0</v>
      </c>
      <c r="K1906">
        <v>0</v>
      </c>
      <c r="L1906">
        <v>0</v>
      </c>
    </row>
    <row r="1907" spans="1:12">
      <c r="A1907" t="str">
        <f>HYPERLINK("http://bombeiros.sp.gov.br/hidrantes/03individual/3351.html","3351")</f>
        <v>3351</v>
      </c>
      <c r="B1907" t="str">
        <f>HYPERLINK("http://bombeiros.sp.gov.br/hidrantes/08bsg/qrcodeBSG.html?id=3351&amp;lat=-23.55027&amp;long=-46.55723&amp;tipo=S","QRCODE")</f>
        <v>QRCODE</v>
      </c>
      <c r="C1907" t="s">
        <v>5273</v>
      </c>
      <c r="D1907" t="s">
        <v>693</v>
      </c>
      <c r="E1907" t="s">
        <v>688</v>
      </c>
      <c r="F1907" t="s">
        <v>21</v>
      </c>
      <c r="G1907" t="s">
        <v>962</v>
      </c>
      <c r="H1907">
        <v>1</v>
      </c>
      <c r="I1907">
        <v>3</v>
      </c>
      <c r="J1907">
        <v>0</v>
      </c>
      <c r="K1907">
        <v>0</v>
      </c>
      <c r="L1907">
        <v>0</v>
      </c>
    </row>
    <row r="1908" spans="1:12">
      <c r="A1908" t="str">
        <f>HYPERLINK("http://bombeiros.sp.gov.br/hidrantes/03individual/3490.html","3490")</f>
        <v>3490</v>
      </c>
      <c r="B1908" t="str">
        <f>HYPERLINK("http://bombeiros.sp.gov.br/hidrantes/08bsg/qrcodeBSG.html?id=3490&amp;lat=-23.54818&amp;long=-46.56311&amp;tipo=S","QRCODE")</f>
        <v>QRCODE</v>
      </c>
      <c r="C1908" t="s">
        <v>5273</v>
      </c>
      <c r="D1908" t="s">
        <v>693</v>
      </c>
      <c r="E1908" t="s">
        <v>688</v>
      </c>
      <c r="F1908" t="s">
        <v>21</v>
      </c>
      <c r="G1908" t="s">
        <v>868</v>
      </c>
      <c r="H1908">
        <v>0</v>
      </c>
      <c r="I1908">
        <v>2</v>
      </c>
      <c r="J1908">
        <v>0</v>
      </c>
      <c r="K1908">
        <v>0</v>
      </c>
      <c r="L1908">
        <v>0</v>
      </c>
    </row>
    <row r="1909" spans="1:12">
      <c r="A1909" t="str">
        <f>HYPERLINK("http://bombeiros.sp.gov.br/hidrantes/03individual/1784.html","1784")</f>
        <v>1784</v>
      </c>
      <c r="B1909" t="str">
        <f>HYPERLINK("http://bombeiros.sp.gov.br/hidrantes/08bsg/qrcodeBSG.html?id=1784&amp;lat=-23.53003&amp;long=-46.56686&amp;tipo=C","QRCODE")</f>
        <v>QRCODE</v>
      </c>
      <c r="C1909" t="s">
        <v>5273</v>
      </c>
      <c r="D1909" t="s">
        <v>693</v>
      </c>
      <c r="E1909" t="s">
        <v>701</v>
      </c>
      <c r="F1909" t="s">
        <v>12</v>
      </c>
      <c r="G1909" t="s">
        <v>1088</v>
      </c>
      <c r="H1909">
        <v>1</v>
      </c>
      <c r="I1909">
        <v>2</v>
      </c>
      <c r="J1909">
        <v>0</v>
      </c>
      <c r="K1909">
        <v>0</v>
      </c>
      <c r="L1909">
        <v>0</v>
      </c>
    </row>
    <row r="1910" spans="1:12">
      <c r="A1910" t="str">
        <f>HYPERLINK("http://bombeiros.sp.gov.br/hidrantes/03individual/3136.html","3136")</f>
        <v>3136</v>
      </c>
      <c r="B1910" t="str">
        <f>HYPERLINK("http://bombeiros.sp.gov.br/hidrantes/08bsg/qrcodeBSG.html?id=3136&amp;lat=-23.53370&amp;long=-46.56659&amp;tipo=C","QRCODE")</f>
        <v>QRCODE</v>
      </c>
      <c r="C1910" t="s">
        <v>5273</v>
      </c>
      <c r="D1910" t="s">
        <v>693</v>
      </c>
      <c r="E1910" t="s">
        <v>701</v>
      </c>
      <c r="F1910" t="s">
        <v>12</v>
      </c>
      <c r="G1910" t="s">
        <v>1104</v>
      </c>
      <c r="H1910">
        <v>0</v>
      </c>
      <c r="I1910">
        <v>2</v>
      </c>
      <c r="J1910">
        <v>0</v>
      </c>
      <c r="K1910">
        <v>0</v>
      </c>
      <c r="L1910">
        <v>0</v>
      </c>
    </row>
    <row r="1911" spans="1:12">
      <c r="A1911" t="str">
        <f>HYPERLINK("http://bombeiros.sp.gov.br/hidrantes/03individual/3140.html","3140")</f>
        <v>3140</v>
      </c>
      <c r="B1911" t="str">
        <f>HYPERLINK("http://bombeiros.sp.gov.br/hidrantes/08bsg/qrcodeBSG.html?id=3140&amp;lat=-23.53174&amp;long=-46.56025&amp;tipo=C","QRCODE")</f>
        <v>QRCODE</v>
      </c>
      <c r="C1911" t="s">
        <v>5273</v>
      </c>
      <c r="D1911" t="s">
        <v>693</v>
      </c>
      <c r="E1911" t="s">
        <v>701</v>
      </c>
      <c r="F1911" t="s">
        <v>12</v>
      </c>
      <c r="G1911" t="s">
        <v>5241</v>
      </c>
      <c r="H1911">
        <v>1</v>
      </c>
      <c r="I1911">
        <v>0</v>
      </c>
      <c r="J1911">
        <v>0</v>
      </c>
      <c r="K1911">
        <v>0</v>
      </c>
      <c r="L1911">
        <v>0</v>
      </c>
    </row>
    <row r="1912" spans="1:12">
      <c r="A1912" t="str">
        <f>HYPERLINK("http://bombeiros.sp.gov.br/hidrantes/03individual/3141.html","3141")</f>
        <v>3141</v>
      </c>
      <c r="B1912" t="str">
        <f>HYPERLINK("http://bombeiros.sp.gov.br/hidrantes/08bsg/qrcodeBSG.html?id=3141&amp;lat=-23.53302&amp;long=-46.55954&amp;tipo=C","QRCODE")</f>
        <v>QRCODE</v>
      </c>
      <c r="C1912" t="s">
        <v>5273</v>
      </c>
      <c r="D1912" t="s">
        <v>693</v>
      </c>
      <c r="E1912" t="s">
        <v>701</v>
      </c>
      <c r="F1912" t="s">
        <v>12</v>
      </c>
      <c r="G1912" t="s">
        <v>2188</v>
      </c>
      <c r="H1912">
        <v>1</v>
      </c>
      <c r="I1912">
        <v>2</v>
      </c>
      <c r="J1912">
        <v>0</v>
      </c>
      <c r="K1912">
        <v>0</v>
      </c>
      <c r="L1912">
        <v>0</v>
      </c>
    </row>
    <row r="1913" spans="1:12">
      <c r="A1913" t="str">
        <f>HYPERLINK("http://bombeiros.sp.gov.br/hidrantes/03individual/3295.html","3295")</f>
        <v>3295</v>
      </c>
      <c r="B1913" t="str">
        <f>HYPERLINK("http://bombeiros.sp.gov.br/hidrantes/08bsg/qrcodeBSG.html?id=3295&amp;lat=-23.53729&amp;long=-46.56393&amp;tipo=C","QRCODE")</f>
        <v>QRCODE</v>
      </c>
      <c r="C1913" t="s">
        <v>5273</v>
      </c>
      <c r="D1913" t="s">
        <v>693</v>
      </c>
      <c r="E1913" t="s">
        <v>701</v>
      </c>
      <c r="F1913" t="s">
        <v>12</v>
      </c>
      <c r="G1913" t="s">
        <v>700</v>
      </c>
      <c r="H1913">
        <v>1</v>
      </c>
      <c r="I1913">
        <v>2</v>
      </c>
      <c r="J1913">
        <v>0</v>
      </c>
      <c r="K1913">
        <v>0</v>
      </c>
      <c r="L1913">
        <v>0</v>
      </c>
    </row>
    <row r="1914" spans="1:12">
      <c r="A1914" t="str">
        <f>HYPERLINK("http://bombeiros.sp.gov.br/hidrantes/03individual/3328.html","3328")</f>
        <v>3328</v>
      </c>
      <c r="B1914" t="str">
        <f>HYPERLINK("http://bombeiros.sp.gov.br/hidrantes/08bsg/qrcodeBSG.html?id=3328&amp;lat=-23.53058&amp;long=-46.55610&amp;tipo=C","QRCODE")</f>
        <v>QRCODE</v>
      </c>
      <c r="C1914" t="s">
        <v>5273</v>
      </c>
      <c r="D1914" t="s">
        <v>693</v>
      </c>
      <c r="E1914" t="s">
        <v>701</v>
      </c>
      <c r="F1914" t="s">
        <v>12</v>
      </c>
      <c r="G1914" t="s">
        <v>5054</v>
      </c>
      <c r="H1914">
        <v>0</v>
      </c>
      <c r="I1914">
        <v>1</v>
      </c>
      <c r="J1914">
        <v>0</v>
      </c>
      <c r="K1914">
        <v>0</v>
      </c>
      <c r="L1914">
        <v>0</v>
      </c>
    </row>
    <row r="1915" spans="1:12">
      <c r="A1915" t="str">
        <f>HYPERLINK("http://bombeiros.sp.gov.br/hidrantes/03individual/27351.html","27351")</f>
        <v>27351</v>
      </c>
      <c r="B1915" t="str">
        <f>HYPERLINK("http://bombeiros.sp.gov.br/hidrantes/08bsg/qrcodeBSG.html?id=27351&amp;lat=-23.53320&amp;long=-46.56455&amp;tipo=C","QRCODE")</f>
        <v>QRCODE</v>
      </c>
      <c r="C1915" t="s">
        <v>5273</v>
      </c>
      <c r="D1915" t="s">
        <v>693</v>
      </c>
      <c r="E1915" t="s">
        <v>701</v>
      </c>
      <c r="F1915" t="s">
        <v>12</v>
      </c>
      <c r="G1915" t="s">
        <v>4041</v>
      </c>
      <c r="H1915">
        <v>0</v>
      </c>
      <c r="I1915">
        <v>0</v>
      </c>
      <c r="J1915">
        <v>0</v>
      </c>
      <c r="K1915">
        <v>0</v>
      </c>
      <c r="L1915">
        <v>0</v>
      </c>
    </row>
    <row r="1916" spans="1:12">
      <c r="A1916" t="str">
        <f>HYPERLINK("http://bombeiros.sp.gov.br/hidrantes/03individual/1729.html","1729")</f>
        <v>1729</v>
      </c>
      <c r="B1916" t="str">
        <f>HYPERLINK("http://bombeiros.sp.gov.br/hidrantes/08bsg/qrcodeBSG.html?id=1729&amp;lat=-23.52887&amp;long=-46.56928&amp;tipo=S","QRCODE")</f>
        <v>QRCODE</v>
      </c>
      <c r="C1916" t="s">
        <v>5273</v>
      </c>
      <c r="D1916" t="s">
        <v>693</v>
      </c>
      <c r="E1916" t="s">
        <v>701</v>
      </c>
      <c r="F1916" t="s">
        <v>21</v>
      </c>
      <c r="G1916" t="s">
        <v>1089</v>
      </c>
      <c r="H1916">
        <v>1</v>
      </c>
      <c r="I1916">
        <v>2</v>
      </c>
      <c r="J1916">
        <v>0</v>
      </c>
      <c r="K1916">
        <v>0</v>
      </c>
      <c r="L1916">
        <v>0</v>
      </c>
    </row>
    <row r="1917" spans="1:12">
      <c r="A1917" t="str">
        <f>HYPERLINK("http://bombeiros.sp.gov.br/hidrantes/03individual/1783.html","1783")</f>
        <v>1783</v>
      </c>
      <c r="B1917" t="str">
        <f>HYPERLINK("http://bombeiros.sp.gov.br/hidrantes/08bsg/qrcodeBSG.html?id=1783&amp;lat=-23.53210&amp;long=-46.56708&amp;tipo=S","QRCODE")</f>
        <v>QRCODE</v>
      </c>
      <c r="C1917" t="s">
        <v>5273</v>
      </c>
      <c r="D1917" t="s">
        <v>693</v>
      </c>
      <c r="E1917" t="s">
        <v>701</v>
      </c>
      <c r="F1917" t="s">
        <v>21</v>
      </c>
      <c r="G1917" t="s">
        <v>1087</v>
      </c>
      <c r="H1917">
        <v>1</v>
      </c>
      <c r="I1917">
        <v>2</v>
      </c>
      <c r="J1917">
        <v>0</v>
      </c>
      <c r="K1917">
        <v>0</v>
      </c>
      <c r="L1917">
        <v>0</v>
      </c>
    </row>
    <row r="1918" spans="1:12">
      <c r="A1918" t="str">
        <f>HYPERLINK("http://bombeiros.sp.gov.br/hidrantes/03individual/1808.html","1808")</f>
        <v>1808</v>
      </c>
      <c r="B1918" t="str">
        <f>HYPERLINK("http://bombeiros.sp.gov.br/hidrantes/08bsg/qrcodeBSG.html?id=1808&amp;lat=-23.53626&amp;long=-46.55853&amp;tipo=S","QRCODE")</f>
        <v>QRCODE</v>
      </c>
      <c r="C1918" t="s">
        <v>5273</v>
      </c>
      <c r="D1918" t="s">
        <v>693</v>
      </c>
      <c r="E1918" t="s">
        <v>701</v>
      </c>
      <c r="F1918" t="s">
        <v>21</v>
      </c>
      <c r="G1918" t="s">
        <v>4781</v>
      </c>
      <c r="H1918">
        <v>1</v>
      </c>
      <c r="I1918">
        <v>1</v>
      </c>
      <c r="J1918">
        <v>0</v>
      </c>
      <c r="K1918">
        <v>0</v>
      </c>
      <c r="L1918">
        <v>0</v>
      </c>
    </row>
    <row r="1919" spans="1:12">
      <c r="A1919" t="str">
        <f>HYPERLINK("http://bombeiros.sp.gov.br/hidrantes/03individual/1821.html","1821")</f>
        <v>1821</v>
      </c>
      <c r="B1919" t="str">
        <f>HYPERLINK("http://bombeiros.sp.gov.br/hidrantes/08bsg/qrcodeBSG.html?id=1821&amp;lat=-23.53308&amp;long=-46.56435&amp;tipo=S","QRCODE")</f>
        <v>QRCODE</v>
      </c>
      <c r="C1919" t="s">
        <v>5273</v>
      </c>
      <c r="D1919" t="s">
        <v>693</v>
      </c>
      <c r="E1919" t="s">
        <v>701</v>
      </c>
      <c r="F1919" t="s">
        <v>21</v>
      </c>
      <c r="G1919" t="s">
        <v>4041</v>
      </c>
      <c r="H1919">
        <v>0</v>
      </c>
      <c r="I1919">
        <v>1</v>
      </c>
      <c r="J1919">
        <v>0</v>
      </c>
      <c r="K1919">
        <v>0</v>
      </c>
      <c r="L1919">
        <v>0</v>
      </c>
    </row>
    <row r="1920" spans="1:12">
      <c r="A1920" t="str">
        <f>HYPERLINK("http://bombeiros.sp.gov.br/hidrantes/03individual/1823.html","1823")</f>
        <v>1823</v>
      </c>
      <c r="B1920" t="str">
        <f>HYPERLINK("http://bombeiros.sp.gov.br/hidrantes/08bsg/qrcodeBSG.html?id=1823&amp;lat=-23.53274&amp;long=-46.56337&amp;tipo=S","QRCODE")</f>
        <v>QRCODE</v>
      </c>
      <c r="C1920" t="s">
        <v>5273</v>
      </c>
      <c r="D1920" t="s">
        <v>693</v>
      </c>
      <c r="E1920" t="s">
        <v>701</v>
      </c>
      <c r="F1920" t="s">
        <v>21</v>
      </c>
      <c r="G1920" t="s">
        <v>5232</v>
      </c>
      <c r="H1920">
        <v>1</v>
      </c>
      <c r="I1920">
        <v>0</v>
      </c>
      <c r="J1920">
        <v>0</v>
      </c>
      <c r="K1920">
        <v>0</v>
      </c>
      <c r="L1920">
        <v>0</v>
      </c>
    </row>
    <row r="1921" spans="1:12">
      <c r="A1921" t="str">
        <f>HYPERLINK("http://bombeiros.sp.gov.br/hidrantes/03individual/1825.html","1825")</f>
        <v>1825</v>
      </c>
      <c r="B1921" t="str">
        <f>HYPERLINK("http://bombeiros.sp.gov.br/hidrantes/08bsg/qrcodeBSG.html?id=1825&amp;lat=-23.52819&amp;long=-46.56110&amp;tipo=S","QRCODE")</f>
        <v>QRCODE</v>
      </c>
      <c r="C1921" t="s">
        <v>5273</v>
      </c>
      <c r="D1921" t="s">
        <v>693</v>
      </c>
      <c r="E1921" t="s">
        <v>701</v>
      </c>
      <c r="F1921" t="s">
        <v>21</v>
      </c>
      <c r="G1921" t="s">
        <v>4783</v>
      </c>
      <c r="H1921">
        <v>1</v>
      </c>
      <c r="I1921">
        <v>1</v>
      </c>
      <c r="J1921">
        <v>0</v>
      </c>
      <c r="K1921">
        <v>0</v>
      </c>
      <c r="L1921">
        <v>0</v>
      </c>
    </row>
    <row r="1922" spans="1:12">
      <c r="A1922" t="str">
        <f>HYPERLINK("http://bombeiros.sp.gov.br/hidrantes/03individual/1826.html","1826")</f>
        <v>1826</v>
      </c>
      <c r="B1922" t="str">
        <f>HYPERLINK("http://bombeiros.sp.gov.br/hidrantes/08bsg/qrcodeBSG.html?id=1826&amp;lat=-23.52934&amp;long=-46.56045&amp;tipo=S","QRCODE")</f>
        <v>QRCODE</v>
      </c>
      <c r="C1922" t="s">
        <v>5273</v>
      </c>
      <c r="D1922" t="s">
        <v>693</v>
      </c>
      <c r="E1922" t="s">
        <v>701</v>
      </c>
      <c r="F1922" t="s">
        <v>21</v>
      </c>
      <c r="G1922" t="s">
        <v>4782</v>
      </c>
      <c r="H1922">
        <v>1</v>
      </c>
      <c r="I1922">
        <v>1</v>
      </c>
      <c r="J1922">
        <v>0</v>
      </c>
      <c r="K1922">
        <v>0</v>
      </c>
      <c r="L1922">
        <v>0</v>
      </c>
    </row>
    <row r="1923" spans="1:12">
      <c r="A1923" t="str">
        <f>HYPERLINK("http://bombeiros.sp.gov.br/hidrantes/03individual/1827.html","1827")</f>
        <v>1827</v>
      </c>
      <c r="B1923" t="str">
        <f>HYPERLINK("http://bombeiros.sp.gov.br/hidrantes/08bsg/qrcodeBSG.html?id=1827&amp;lat=-23.53519&amp;long=-46.56930&amp;tipo=S","QRCODE")</f>
        <v>QRCODE</v>
      </c>
      <c r="C1923" t="s">
        <v>5273</v>
      </c>
      <c r="D1923" t="s">
        <v>693</v>
      </c>
      <c r="E1923" t="s">
        <v>701</v>
      </c>
      <c r="F1923" t="s">
        <v>21</v>
      </c>
      <c r="G1923" t="s">
        <v>4042</v>
      </c>
      <c r="H1923">
        <v>0</v>
      </c>
      <c r="I1923">
        <v>1</v>
      </c>
      <c r="J1923">
        <v>0</v>
      </c>
      <c r="K1923">
        <v>0</v>
      </c>
      <c r="L1923">
        <v>0</v>
      </c>
    </row>
    <row r="1924" spans="1:12">
      <c r="A1924" t="str">
        <f>HYPERLINK("http://bombeiros.sp.gov.br/hidrantes/03individual/1828.html","1828")</f>
        <v>1828</v>
      </c>
      <c r="B1924" t="str">
        <f>HYPERLINK("http://bombeiros.sp.gov.br/hidrantes/08bsg/qrcodeBSG.html?id=1828&amp;lat=-23.53541&amp;long=-46.56696&amp;tipo=S","QRCODE")</f>
        <v>QRCODE</v>
      </c>
      <c r="C1924" t="s">
        <v>5273</v>
      </c>
      <c r="D1924" t="s">
        <v>693</v>
      </c>
      <c r="E1924" t="s">
        <v>701</v>
      </c>
      <c r="F1924" t="s">
        <v>21</v>
      </c>
      <c r="G1924" t="s">
        <v>3680</v>
      </c>
      <c r="H1924">
        <v>1</v>
      </c>
      <c r="I1924">
        <v>1</v>
      </c>
      <c r="J1924">
        <v>0</v>
      </c>
      <c r="K1924">
        <v>0</v>
      </c>
      <c r="L1924">
        <v>0</v>
      </c>
    </row>
    <row r="1925" spans="1:12">
      <c r="A1925" t="str">
        <f>HYPERLINK("http://bombeiros.sp.gov.br/hidrantes/03individual/1830.html","1830")</f>
        <v>1830</v>
      </c>
      <c r="B1925" t="str">
        <f>HYPERLINK("http://bombeiros.sp.gov.br/hidrantes/08bsg/qrcodeBSG.html?id=1830&amp;lat=-23.53794&amp;long=-46.56715&amp;tipo=S","QRCODE")</f>
        <v>QRCODE</v>
      </c>
      <c r="C1925" t="s">
        <v>5273</v>
      </c>
      <c r="D1925" t="s">
        <v>693</v>
      </c>
      <c r="E1925" t="s">
        <v>701</v>
      </c>
      <c r="F1925" t="s">
        <v>21</v>
      </c>
      <c r="G1925" t="s">
        <v>5199</v>
      </c>
      <c r="H1925">
        <v>1</v>
      </c>
      <c r="I1925">
        <v>0</v>
      </c>
      <c r="J1925">
        <v>0</v>
      </c>
      <c r="K1925">
        <v>0</v>
      </c>
      <c r="L1925">
        <v>0</v>
      </c>
    </row>
    <row r="1926" spans="1:12">
      <c r="A1926" t="str">
        <f>HYPERLINK("http://bombeiros.sp.gov.br/hidrantes/03individual/3137.html","3137")</f>
        <v>3137</v>
      </c>
      <c r="B1926" t="str">
        <f>HYPERLINK("http://bombeiros.sp.gov.br/hidrantes/08bsg/qrcodeBSG.html?id=3137&amp;lat=-23.53404&amp;long=-46.56650&amp;tipo=S","QRCODE")</f>
        <v>QRCODE</v>
      </c>
      <c r="C1926" t="s">
        <v>5273</v>
      </c>
      <c r="D1926" t="s">
        <v>693</v>
      </c>
      <c r="E1926" t="s">
        <v>701</v>
      </c>
      <c r="F1926" t="s">
        <v>21</v>
      </c>
      <c r="G1926" t="s">
        <v>4987</v>
      </c>
      <c r="H1926">
        <v>0</v>
      </c>
      <c r="I1926">
        <v>1</v>
      </c>
      <c r="J1926">
        <v>0</v>
      </c>
      <c r="K1926">
        <v>0</v>
      </c>
      <c r="L1926">
        <v>0</v>
      </c>
    </row>
    <row r="1927" spans="1:12">
      <c r="A1927" t="str">
        <f>HYPERLINK("http://bombeiros.sp.gov.br/hidrantes/03individual/3142.html","3142")</f>
        <v>3142</v>
      </c>
      <c r="B1927" t="str">
        <f>HYPERLINK("http://bombeiros.sp.gov.br/hidrantes/08bsg/qrcodeBSG.html?id=3142&amp;lat=-23.53030&amp;long=-46.56019&amp;tipo=S","QRCODE")</f>
        <v>QRCODE</v>
      </c>
      <c r="C1927" t="s">
        <v>5273</v>
      </c>
      <c r="D1927" t="s">
        <v>693</v>
      </c>
      <c r="E1927" t="s">
        <v>701</v>
      </c>
      <c r="F1927" t="s">
        <v>21</v>
      </c>
      <c r="G1927" t="s">
        <v>5233</v>
      </c>
      <c r="H1927">
        <v>1</v>
      </c>
      <c r="I1927">
        <v>0</v>
      </c>
      <c r="J1927">
        <v>0</v>
      </c>
      <c r="K1927">
        <v>0</v>
      </c>
      <c r="L1927">
        <v>0</v>
      </c>
    </row>
    <row r="1928" spans="1:12">
      <c r="A1928" t="str">
        <f>HYPERLINK("http://bombeiros.sp.gov.br/hidrantes/03individual/3285.html","3285")</f>
        <v>3285</v>
      </c>
      <c r="B1928" t="str">
        <f>HYPERLINK("http://bombeiros.sp.gov.br/hidrantes/08bsg/qrcodeBSG.html?id=3285&amp;lat=-23.53763&amp;long=-46.56590&amp;tipo=S","QRCODE")</f>
        <v>QRCODE</v>
      </c>
      <c r="C1928" t="s">
        <v>5273</v>
      </c>
      <c r="D1928" t="s">
        <v>693</v>
      </c>
      <c r="E1928" t="s">
        <v>701</v>
      </c>
      <c r="F1928" t="s">
        <v>21</v>
      </c>
      <c r="G1928" t="s">
        <v>4859</v>
      </c>
      <c r="H1928">
        <v>1</v>
      </c>
      <c r="I1928">
        <v>1</v>
      </c>
      <c r="J1928">
        <v>0</v>
      </c>
      <c r="K1928">
        <v>0</v>
      </c>
      <c r="L1928">
        <v>0</v>
      </c>
    </row>
    <row r="1929" spans="1:12">
      <c r="A1929" t="str">
        <f>HYPERLINK("http://bombeiros.sp.gov.br/hidrantes/03individual/3291.html","3291")</f>
        <v>3291</v>
      </c>
      <c r="B1929" t="str">
        <f>HYPERLINK("http://bombeiros.sp.gov.br/hidrantes/08bsg/qrcodeBSG.html?id=3291&amp;lat=-23.53504&amp;long=-46.56358&amp;tipo=S","QRCODE")</f>
        <v>QRCODE</v>
      </c>
      <c r="C1929" t="s">
        <v>5273</v>
      </c>
      <c r="D1929" t="s">
        <v>693</v>
      </c>
      <c r="E1929" t="s">
        <v>701</v>
      </c>
      <c r="F1929" t="s">
        <v>21</v>
      </c>
      <c r="G1929" t="s">
        <v>4021</v>
      </c>
      <c r="H1929">
        <v>0</v>
      </c>
      <c r="I1929">
        <v>1</v>
      </c>
      <c r="J1929">
        <v>0</v>
      </c>
      <c r="K1929">
        <v>0</v>
      </c>
      <c r="L1929">
        <v>0</v>
      </c>
    </row>
    <row r="1930" spans="1:12">
      <c r="A1930" t="str">
        <f>HYPERLINK("http://bombeiros.sp.gov.br/hidrantes/03individual/3227.html","3227")</f>
        <v>3227</v>
      </c>
      <c r="B1930" t="str">
        <f>HYPERLINK("http://bombeiros.sp.gov.br/hidrantes/08bsg/qrcodeBSG.html?id=3227&amp;lat=-23.54627&amp;long=-46.57534&amp;tipo=C","QRCODE")</f>
        <v>QRCODE</v>
      </c>
      <c r="C1930" t="s">
        <v>5273</v>
      </c>
      <c r="D1930" t="s">
        <v>693</v>
      </c>
      <c r="E1930" t="s">
        <v>693</v>
      </c>
      <c r="F1930" t="s">
        <v>12</v>
      </c>
      <c r="G1930" t="s">
        <v>696</v>
      </c>
      <c r="H1930">
        <v>0</v>
      </c>
      <c r="I1930">
        <v>2</v>
      </c>
      <c r="J1930">
        <v>0</v>
      </c>
      <c r="K1930">
        <v>0</v>
      </c>
      <c r="L1930">
        <v>0</v>
      </c>
    </row>
    <row r="1931" spans="1:12">
      <c r="A1931" t="str">
        <f>HYPERLINK("http://bombeiros.sp.gov.br/hidrantes/03individual/1391.html","1391")</f>
        <v>1391</v>
      </c>
      <c r="B1931" t="str">
        <f>HYPERLINK("http://bombeiros.sp.gov.br/hidrantes/08bsg/qrcodeBSG.html?id=1391&amp;lat=-23.54252&amp;long=-46.57806&amp;tipo=S","QRCODE")</f>
        <v>QRCODE</v>
      </c>
      <c r="C1931" t="s">
        <v>5273</v>
      </c>
      <c r="D1931" t="s">
        <v>693</v>
      </c>
      <c r="E1931" t="s">
        <v>693</v>
      </c>
      <c r="F1931" t="s">
        <v>21</v>
      </c>
      <c r="G1931" t="s">
        <v>2416</v>
      </c>
      <c r="H1931">
        <v>0</v>
      </c>
      <c r="I1931">
        <v>2</v>
      </c>
      <c r="J1931">
        <v>0</v>
      </c>
      <c r="K1931">
        <v>0</v>
      </c>
      <c r="L1931">
        <v>0</v>
      </c>
    </row>
    <row r="1932" spans="1:12">
      <c r="A1932" t="str">
        <f>HYPERLINK("http://bombeiros.sp.gov.br/hidrantes/03individual/1437.html","1437")</f>
        <v>1437</v>
      </c>
      <c r="B1932" t="str">
        <f>HYPERLINK("http://bombeiros.sp.gov.br/hidrantes/08bsg/qrcodeBSG.html?id=1437&amp;lat=-23.54733&amp;long=-46.56879&amp;tipo=S","QRCODE")</f>
        <v>QRCODE</v>
      </c>
      <c r="C1932" t="s">
        <v>5273</v>
      </c>
      <c r="D1932" t="s">
        <v>693</v>
      </c>
      <c r="E1932" t="s">
        <v>693</v>
      </c>
      <c r="F1932" t="s">
        <v>21</v>
      </c>
      <c r="G1932" t="s">
        <v>748</v>
      </c>
      <c r="H1932">
        <v>0</v>
      </c>
      <c r="I1932">
        <v>2</v>
      </c>
      <c r="J1932">
        <v>0</v>
      </c>
      <c r="K1932">
        <v>0</v>
      </c>
      <c r="L1932">
        <v>0</v>
      </c>
    </row>
    <row r="1933" spans="1:12">
      <c r="A1933" t="str">
        <f>HYPERLINK("http://bombeiros.sp.gov.br/hidrantes/03individual/1440.html","1440")</f>
        <v>1440</v>
      </c>
      <c r="B1933" t="str">
        <f>HYPERLINK("http://bombeiros.sp.gov.br/hidrantes/08bsg/qrcodeBSG.html?id=1440&amp;lat=-23.54789&amp;long=-46.57201&amp;tipo=S","QRCODE")</f>
        <v>QRCODE</v>
      </c>
      <c r="C1933" t="s">
        <v>5273</v>
      </c>
      <c r="D1933" t="s">
        <v>693</v>
      </c>
      <c r="E1933" t="s">
        <v>693</v>
      </c>
      <c r="F1933" t="s">
        <v>21</v>
      </c>
      <c r="G1933" t="s">
        <v>2414</v>
      </c>
      <c r="H1933">
        <v>0</v>
      </c>
      <c r="I1933">
        <v>2</v>
      </c>
      <c r="J1933">
        <v>0</v>
      </c>
      <c r="K1933">
        <v>0</v>
      </c>
      <c r="L1933">
        <v>0</v>
      </c>
    </row>
    <row r="1934" spans="1:12">
      <c r="A1934" t="str">
        <f>HYPERLINK("http://bombeiros.sp.gov.br/hidrantes/03individual/1441.html","1441")</f>
        <v>1441</v>
      </c>
      <c r="B1934" t="str">
        <f>HYPERLINK("http://bombeiros.sp.gov.br/hidrantes/08bsg/qrcodeBSG.html?id=1441&amp;lat=-23.55118&amp;long=-46.56782&amp;tipo=S","QRCODE")</f>
        <v>QRCODE</v>
      </c>
      <c r="C1934" t="s">
        <v>5273</v>
      </c>
      <c r="D1934" t="s">
        <v>693</v>
      </c>
      <c r="E1934" t="s">
        <v>693</v>
      </c>
      <c r="F1934" t="s">
        <v>21</v>
      </c>
      <c r="G1934" t="s">
        <v>749</v>
      </c>
      <c r="H1934">
        <v>0</v>
      </c>
      <c r="I1934">
        <v>2</v>
      </c>
      <c r="J1934">
        <v>0</v>
      </c>
      <c r="K1934">
        <v>0</v>
      </c>
      <c r="L1934">
        <v>0</v>
      </c>
    </row>
    <row r="1935" spans="1:12">
      <c r="A1935" t="str">
        <f>HYPERLINK("http://bombeiros.sp.gov.br/hidrantes/03individual/1443.html","1443")</f>
        <v>1443</v>
      </c>
      <c r="B1935" t="str">
        <f>HYPERLINK("http://bombeiros.sp.gov.br/hidrantes/08bsg/qrcodeBSG.html?id=1443&amp;lat=-23.55257&amp;long=-46.56693&amp;tipo=S","QRCODE")</f>
        <v>QRCODE</v>
      </c>
      <c r="C1935" t="s">
        <v>5273</v>
      </c>
      <c r="D1935" t="s">
        <v>693</v>
      </c>
      <c r="E1935" t="s">
        <v>693</v>
      </c>
      <c r="F1935" t="s">
        <v>21</v>
      </c>
      <c r="G1935" t="s">
        <v>750</v>
      </c>
      <c r="H1935">
        <v>1</v>
      </c>
      <c r="I1935">
        <v>3</v>
      </c>
      <c r="J1935">
        <v>0</v>
      </c>
      <c r="K1935">
        <v>0</v>
      </c>
      <c r="L1935">
        <v>0</v>
      </c>
    </row>
    <row r="1936" spans="1:12">
      <c r="A1936" t="str">
        <f>HYPERLINK("http://bombeiros.sp.gov.br/hidrantes/03individual/3211.html","3211")</f>
        <v>3211</v>
      </c>
      <c r="B1936" t="str">
        <f>HYPERLINK("http://bombeiros.sp.gov.br/hidrantes/08bsg/qrcodeBSG.html?id=3211&amp;lat=-23.55068&amp;long=-46.57592&amp;tipo=S","QRCODE")</f>
        <v>QRCODE</v>
      </c>
      <c r="C1936" t="s">
        <v>5273</v>
      </c>
      <c r="D1936" t="s">
        <v>693</v>
      </c>
      <c r="E1936" t="s">
        <v>693</v>
      </c>
      <c r="F1936" t="s">
        <v>21</v>
      </c>
      <c r="G1936" t="s">
        <v>695</v>
      </c>
      <c r="H1936">
        <v>1</v>
      </c>
      <c r="I1936">
        <v>2</v>
      </c>
      <c r="J1936">
        <v>0</v>
      </c>
      <c r="K1936">
        <v>0</v>
      </c>
      <c r="L1936">
        <v>0</v>
      </c>
    </row>
    <row r="1937" spans="1:12">
      <c r="A1937" t="str">
        <f>HYPERLINK("http://bombeiros.sp.gov.br/hidrantes/03individual/3214.html","3214")</f>
        <v>3214</v>
      </c>
      <c r="B1937" t="str">
        <f>HYPERLINK("http://bombeiros.sp.gov.br/hidrantes/08bsg/qrcodeBSG.html?id=3214&amp;lat=-23.55231&amp;long=-46.57261&amp;tipo=S","QRCODE")</f>
        <v>QRCODE</v>
      </c>
      <c r="C1937" t="s">
        <v>5273</v>
      </c>
      <c r="D1937" t="s">
        <v>693</v>
      </c>
      <c r="E1937" t="s">
        <v>693</v>
      </c>
      <c r="F1937" t="s">
        <v>21</v>
      </c>
      <c r="G1937" t="s">
        <v>694</v>
      </c>
      <c r="H1937">
        <v>0</v>
      </c>
      <c r="I1937">
        <v>2</v>
      </c>
      <c r="J1937">
        <v>0</v>
      </c>
      <c r="K1937">
        <v>0</v>
      </c>
      <c r="L1937">
        <v>0</v>
      </c>
    </row>
    <row r="1938" spans="1:12">
      <c r="A1938" t="str">
        <f>HYPERLINK("http://bombeiros.sp.gov.br/hidrantes/03individual/3218.html","3218")</f>
        <v>3218</v>
      </c>
      <c r="B1938" t="str">
        <f>HYPERLINK("http://bombeiros.sp.gov.br/hidrantes/08bsg/qrcodeBSG.html?id=3218&amp;lat=-23.54732&amp;long=-46.57727&amp;tipo=S","QRCODE")</f>
        <v>QRCODE</v>
      </c>
      <c r="C1938" t="s">
        <v>5273</v>
      </c>
      <c r="D1938" t="s">
        <v>693</v>
      </c>
      <c r="E1938" t="s">
        <v>693</v>
      </c>
      <c r="F1938" t="s">
        <v>21</v>
      </c>
      <c r="G1938" t="s">
        <v>2423</v>
      </c>
      <c r="H1938">
        <v>0</v>
      </c>
      <c r="I1938">
        <v>2</v>
      </c>
      <c r="J1938">
        <v>0</v>
      </c>
      <c r="K1938">
        <v>0</v>
      </c>
      <c r="L1938">
        <v>0</v>
      </c>
    </row>
    <row r="1939" spans="1:12">
      <c r="A1939" t="str">
        <f>HYPERLINK("http://bombeiros.sp.gov.br/hidrantes/03individual/3221.html","3221")</f>
        <v>3221</v>
      </c>
      <c r="B1939" t="str">
        <f>HYPERLINK("http://bombeiros.sp.gov.br/hidrantes/08bsg/qrcodeBSG.html?id=3221&amp;lat=-23.54710&amp;long=-46.57630&amp;tipo=S","QRCODE")</f>
        <v>QRCODE</v>
      </c>
      <c r="C1939" t="s">
        <v>5273</v>
      </c>
      <c r="D1939" t="s">
        <v>693</v>
      </c>
      <c r="E1939" t="s">
        <v>693</v>
      </c>
      <c r="F1939" t="s">
        <v>21</v>
      </c>
      <c r="G1939" t="s">
        <v>2422</v>
      </c>
      <c r="H1939">
        <v>0</v>
      </c>
      <c r="I1939">
        <v>2</v>
      </c>
      <c r="J1939">
        <v>0</v>
      </c>
      <c r="K1939">
        <v>0</v>
      </c>
      <c r="L1939">
        <v>0</v>
      </c>
    </row>
    <row r="1940" spans="1:12">
      <c r="A1940" t="str">
        <f>HYPERLINK("http://bombeiros.sp.gov.br/hidrantes/03individual/3230.html","3230")</f>
        <v>3230</v>
      </c>
      <c r="B1940" t="str">
        <f>HYPERLINK("http://bombeiros.sp.gov.br/hidrantes/08bsg/qrcodeBSG.html?id=3230&amp;lat=-23.54513&amp;long=-46.57457&amp;tipo=S","QRCODE")</f>
        <v>QRCODE</v>
      </c>
      <c r="C1940" t="s">
        <v>5273</v>
      </c>
      <c r="D1940" t="s">
        <v>693</v>
      </c>
      <c r="E1940" t="s">
        <v>693</v>
      </c>
      <c r="F1940" t="s">
        <v>21</v>
      </c>
      <c r="G1940" t="s">
        <v>4022</v>
      </c>
      <c r="H1940">
        <v>0</v>
      </c>
      <c r="I1940">
        <v>1</v>
      </c>
      <c r="J1940">
        <v>0</v>
      </c>
      <c r="K1940">
        <v>0</v>
      </c>
      <c r="L1940">
        <v>0</v>
      </c>
    </row>
    <row r="1941" spans="1:12">
      <c r="A1941" t="str">
        <f>HYPERLINK("http://bombeiros.sp.gov.br/hidrantes/03individual/3233.html","3233")</f>
        <v>3233</v>
      </c>
      <c r="B1941" t="str">
        <f>HYPERLINK("http://bombeiros.sp.gov.br/hidrantes/08bsg/qrcodeBSG.html?id=3233&amp;lat=-23.54466&amp;long=-46.57467&amp;tipo=S","QRCODE")</f>
        <v>QRCODE</v>
      </c>
      <c r="C1941" t="s">
        <v>5273</v>
      </c>
      <c r="D1941" t="s">
        <v>693</v>
      </c>
      <c r="E1941" t="s">
        <v>693</v>
      </c>
      <c r="F1941" t="s">
        <v>21</v>
      </c>
      <c r="G1941" t="s">
        <v>697</v>
      </c>
      <c r="H1941">
        <v>1</v>
      </c>
      <c r="I1941">
        <v>2</v>
      </c>
      <c r="J1941">
        <v>0</v>
      </c>
      <c r="K1941">
        <v>0</v>
      </c>
      <c r="L1941">
        <v>0</v>
      </c>
    </row>
    <row r="1942" spans="1:12">
      <c r="A1942" t="str">
        <f>HYPERLINK("http://bombeiros.sp.gov.br/hidrantes/03individual/3311.html","3311")</f>
        <v>3311</v>
      </c>
      <c r="B1942" t="str">
        <f>HYPERLINK("http://bombeiros.sp.gov.br/hidrantes/08bsg/qrcodeBSG.html?id=3311&amp;lat=-23.54398&amp;long=-46.57602&amp;tipo=S","QRCODE")</f>
        <v>QRCODE</v>
      </c>
      <c r="C1942" t="s">
        <v>5273</v>
      </c>
      <c r="D1942" t="s">
        <v>693</v>
      </c>
      <c r="E1942" t="s">
        <v>693</v>
      </c>
      <c r="F1942" t="s">
        <v>21</v>
      </c>
      <c r="G1942" t="s">
        <v>692</v>
      </c>
      <c r="H1942">
        <v>0</v>
      </c>
      <c r="I1942">
        <v>2</v>
      </c>
      <c r="J1942">
        <v>0</v>
      </c>
      <c r="K1942">
        <v>0</v>
      </c>
      <c r="L1942">
        <v>0</v>
      </c>
    </row>
    <row r="1943" spans="1:12">
      <c r="A1943" t="str">
        <f>HYPERLINK("http://bombeiros.sp.gov.br/hidrantes/03individual/3312.html","3312")</f>
        <v>3312</v>
      </c>
      <c r="B1943" t="str">
        <f>HYPERLINK("http://bombeiros.sp.gov.br/hidrantes/08bsg/qrcodeBSG.html?id=3312&amp;lat=-23.54456&amp;long=-46.57634&amp;tipo=S","QRCODE")</f>
        <v>QRCODE</v>
      </c>
      <c r="C1943" t="s">
        <v>5273</v>
      </c>
      <c r="D1943" t="s">
        <v>693</v>
      </c>
      <c r="E1943" t="s">
        <v>693</v>
      </c>
      <c r="F1943" t="s">
        <v>21</v>
      </c>
      <c r="G1943" t="s">
        <v>2425</v>
      </c>
      <c r="H1943">
        <v>0</v>
      </c>
      <c r="I1943">
        <v>2</v>
      </c>
      <c r="J1943">
        <v>0</v>
      </c>
      <c r="K1943">
        <v>0</v>
      </c>
      <c r="L1943">
        <v>0</v>
      </c>
    </row>
    <row r="1944" spans="1:12">
      <c r="A1944" t="str">
        <f>HYPERLINK("http://bombeiros.sp.gov.br/hidrantes/03individual/3314.html","3314")</f>
        <v>3314</v>
      </c>
      <c r="B1944" t="str">
        <f>HYPERLINK("http://bombeiros.sp.gov.br/hidrantes/08bsg/qrcodeBSG.html?id=3314&amp;lat=-23.54396&amp;long=-46.57748&amp;tipo=S","QRCODE")</f>
        <v>QRCODE</v>
      </c>
      <c r="C1944" t="s">
        <v>5273</v>
      </c>
      <c r="D1944" t="s">
        <v>693</v>
      </c>
      <c r="E1944" t="s">
        <v>693</v>
      </c>
      <c r="F1944" t="s">
        <v>21</v>
      </c>
      <c r="G1944" t="s">
        <v>2426</v>
      </c>
      <c r="H1944">
        <v>0</v>
      </c>
      <c r="I1944">
        <v>2</v>
      </c>
      <c r="J1944">
        <v>0</v>
      </c>
      <c r="K1944">
        <v>0</v>
      </c>
      <c r="L1944">
        <v>0</v>
      </c>
    </row>
    <row r="1945" spans="1:12">
      <c r="A1945" t="str">
        <f>HYPERLINK("http://bombeiros.sp.gov.br/hidrantes/03individual/4343.html","4343")</f>
        <v>4343</v>
      </c>
      <c r="B1945" t="str">
        <f>HYPERLINK("http://bombeiros.sp.gov.br/hidrantes/08bsg/qrcodeBSG.html?id=4343&amp;lat=-23.54906&amp;long=-46.57580&amp;tipo=S","QRCODE")</f>
        <v>QRCODE</v>
      </c>
      <c r="C1945" t="s">
        <v>5273</v>
      </c>
      <c r="D1945" t="s">
        <v>693</v>
      </c>
      <c r="E1945" t="s">
        <v>693</v>
      </c>
      <c r="F1945" t="s">
        <v>21</v>
      </c>
      <c r="G1945" t="s">
        <v>5016</v>
      </c>
      <c r="H1945">
        <v>0</v>
      </c>
      <c r="I1945">
        <v>1</v>
      </c>
      <c r="J1945">
        <v>0</v>
      </c>
      <c r="K1945">
        <v>0</v>
      </c>
      <c r="L1945">
        <v>0</v>
      </c>
    </row>
    <row r="1946" spans="1:12">
      <c r="A1946" t="str">
        <f>HYPERLINK("http://bombeiros.sp.gov.br/hidrantes/03individual/3404.html","3404")</f>
        <v>3404</v>
      </c>
      <c r="B1946" t="str">
        <f>HYPERLINK("http://bombeiros.sp.gov.br/hidrantes/08bsg/qrcodeBSG.html?id=3404&amp;lat=-23.52392&amp;long=-46.41601&amp;tipo=C","QRCODE")</f>
        <v>QRCODE</v>
      </c>
      <c r="C1946" t="s">
        <v>5273</v>
      </c>
      <c r="D1946" t="s">
        <v>43</v>
      </c>
      <c r="E1946" t="s">
        <v>54</v>
      </c>
      <c r="F1946" t="s">
        <v>12</v>
      </c>
      <c r="G1946" t="s">
        <v>2886</v>
      </c>
      <c r="H1946">
        <v>0</v>
      </c>
      <c r="I1946">
        <v>2</v>
      </c>
      <c r="J1946">
        <v>0</v>
      </c>
      <c r="K1946">
        <v>0</v>
      </c>
      <c r="L1946">
        <v>0</v>
      </c>
    </row>
    <row r="1947" spans="1:12">
      <c r="A1947" t="str">
        <f>HYPERLINK("http://bombeiros.sp.gov.br/hidrantes/03individual/17869.html","17869")</f>
        <v>17869</v>
      </c>
      <c r="B1947" t="str">
        <f>HYPERLINK("http://bombeiros.sp.gov.br/hidrantes/08bsg/qrcodeBSG.html?id=17869&amp;lat=-23.51289&amp;long=-46.42512&amp;tipo=C","QRCODE")</f>
        <v>QRCODE</v>
      </c>
      <c r="C1947" t="s">
        <v>5273</v>
      </c>
      <c r="D1947" t="s">
        <v>43</v>
      </c>
      <c r="E1947" t="s">
        <v>54</v>
      </c>
      <c r="F1947" t="s">
        <v>12</v>
      </c>
      <c r="G1947" t="s">
        <v>1686</v>
      </c>
      <c r="H1947">
        <v>1</v>
      </c>
      <c r="I1947">
        <v>2</v>
      </c>
      <c r="J1947">
        <v>0</v>
      </c>
      <c r="K1947">
        <v>0</v>
      </c>
      <c r="L1947">
        <v>0</v>
      </c>
    </row>
    <row r="1948" spans="1:12">
      <c r="A1948" t="str">
        <f>HYPERLINK("http://bombeiros.sp.gov.br/hidrantes/03individual/26930.html","26930")</f>
        <v>26930</v>
      </c>
      <c r="B1948" t="str">
        <f>HYPERLINK("http://bombeiros.sp.gov.br/hidrantes/08bsg/qrcodeBSG.html?id=26930&amp;lat=-23.51021&amp;long=-46.41903&amp;tipo=C","QRCODE")</f>
        <v>QRCODE</v>
      </c>
      <c r="C1948" t="s">
        <v>5273</v>
      </c>
      <c r="D1948" t="s">
        <v>43</v>
      </c>
      <c r="E1948" t="s">
        <v>54</v>
      </c>
      <c r="F1948" t="s">
        <v>12</v>
      </c>
      <c r="G1948" t="s">
        <v>53</v>
      </c>
      <c r="H1948">
        <v>0</v>
      </c>
      <c r="I1948">
        <v>2</v>
      </c>
      <c r="J1948">
        <v>0</v>
      </c>
      <c r="K1948">
        <v>0</v>
      </c>
      <c r="L1948">
        <v>0</v>
      </c>
    </row>
    <row r="1949" spans="1:12">
      <c r="A1949" t="str">
        <f>HYPERLINK("http://bombeiros.sp.gov.br/hidrantes/03individual/3365.html","3365")</f>
        <v>3365</v>
      </c>
      <c r="B1949" t="str">
        <f>HYPERLINK("http://bombeiros.sp.gov.br/hidrantes/08bsg/qrcodeBSG.html?id=3365&amp;lat=-23.51850&amp;long=-46.42342&amp;tipo=S","QRCODE")</f>
        <v>QRCODE</v>
      </c>
      <c r="C1949" t="s">
        <v>5273</v>
      </c>
      <c r="D1949" t="s">
        <v>43</v>
      </c>
      <c r="E1949" t="s">
        <v>54</v>
      </c>
      <c r="F1949" t="s">
        <v>21</v>
      </c>
      <c r="G1949" t="s">
        <v>55</v>
      </c>
      <c r="H1949">
        <v>0</v>
      </c>
      <c r="I1949">
        <v>2</v>
      </c>
      <c r="J1949">
        <v>0</v>
      </c>
      <c r="K1949">
        <v>0</v>
      </c>
      <c r="L1949">
        <v>0</v>
      </c>
    </row>
    <row r="1950" spans="1:12">
      <c r="A1950" t="str">
        <f>HYPERLINK("http://bombeiros.sp.gov.br/hidrantes/03individual/3428.html","3428")</f>
        <v>3428</v>
      </c>
      <c r="B1950" t="str">
        <f>HYPERLINK("http://bombeiros.sp.gov.br/hidrantes/08bsg/qrcodeBSG.html?id=3428&amp;lat=-23.52009&amp;long=-46.40069&amp;tipo=S","QRCODE")</f>
        <v>QRCODE</v>
      </c>
      <c r="C1950" t="s">
        <v>5273</v>
      </c>
      <c r="D1950" t="s">
        <v>43</v>
      </c>
      <c r="E1950" t="s">
        <v>54</v>
      </c>
      <c r="F1950" t="s">
        <v>21</v>
      </c>
      <c r="G1950" t="s">
        <v>1672</v>
      </c>
      <c r="H1950">
        <v>0</v>
      </c>
      <c r="I1950">
        <v>2</v>
      </c>
      <c r="J1950">
        <v>0</v>
      </c>
      <c r="K1950">
        <v>0</v>
      </c>
      <c r="L1950">
        <v>0</v>
      </c>
    </row>
    <row r="1951" spans="1:12">
      <c r="A1951" t="str">
        <f>HYPERLINK("http://bombeiros.sp.gov.br/hidrantes/03individual/3431.html","3431")</f>
        <v>3431</v>
      </c>
      <c r="B1951" t="str">
        <f>HYPERLINK("http://bombeiros.sp.gov.br/hidrantes/08bsg/qrcodeBSG.html?id=3431&amp;lat=-23.52519&amp;long=-46.40575&amp;tipo=S","QRCODE")</f>
        <v>QRCODE</v>
      </c>
      <c r="C1951" t="s">
        <v>5273</v>
      </c>
      <c r="D1951" t="s">
        <v>43</v>
      </c>
      <c r="E1951" t="s">
        <v>54</v>
      </c>
      <c r="F1951" t="s">
        <v>21</v>
      </c>
      <c r="G1951" t="s">
        <v>1673</v>
      </c>
      <c r="H1951">
        <v>0</v>
      </c>
      <c r="I1951">
        <v>2</v>
      </c>
      <c r="J1951">
        <v>0</v>
      </c>
      <c r="K1951">
        <v>0</v>
      </c>
      <c r="L1951">
        <v>0</v>
      </c>
    </row>
    <row r="1952" spans="1:12">
      <c r="A1952" t="str">
        <f>HYPERLINK("http://bombeiros.sp.gov.br/hidrantes/03individual/3821.html","3821")</f>
        <v>3821</v>
      </c>
      <c r="B1952" t="str">
        <f>HYPERLINK("http://bombeiros.sp.gov.br/hidrantes/08bsg/qrcodeBSG.html?id=3821&amp;lat=-23.52333&amp;long=-46.39943&amp;tipo=S","QRCODE")</f>
        <v>QRCODE</v>
      </c>
      <c r="C1952" t="s">
        <v>5273</v>
      </c>
      <c r="D1952" t="s">
        <v>43</v>
      </c>
      <c r="E1952" t="s">
        <v>54</v>
      </c>
      <c r="F1952" t="s">
        <v>21</v>
      </c>
      <c r="G1952" t="s">
        <v>2220</v>
      </c>
      <c r="H1952">
        <v>0</v>
      </c>
      <c r="I1952">
        <v>2</v>
      </c>
      <c r="J1952">
        <v>0</v>
      </c>
      <c r="K1952">
        <v>0</v>
      </c>
      <c r="L1952">
        <v>0</v>
      </c>
    </row>
    <row r="1953" spans="1:12">
      <c r="A1953" t="str">
        <f>HYPERLINK("http://bombeiros.sp.gov.br/hidrantes/03individual/1881.html","1881")</f>
        <v>1881</v>
      </c>
      <c r="B1953" t="str">
        <f>HYPERLINK("http://bombeiros.sp.gov.br/hidrantes/08bsg/qrcodeBSG.html?id=1881&amp;lat=-23.49475&amp;long=-46.41167&amp;tipo=C","QRCODE")</f>
        <v>QRCODE</v>
      </c>
      <c r="C1953" t="s">
        <v>5273</v>
      </c>
      <c r="D1953" t="s">
        <v>43</v>
      </c>
      <c r="E1953" t="s">
        <v>43</v>
      </c>
      <c r="F1953" t="s">
        <v>12</v>
      </c>
      <c r="G1953" t="s">
        <v>3600</v>
      </c>
      <c r="H1953">
        <v>1</v>
      </c>
      <c r="I1953">
        <v>1</v>
      </c>
      <c r="J1953">
        <v>0</v>
      </c>
      <c r="K1953">
        <v>0</v>
      </c>
      <c r="L1953">
        <v>0</v>
      </c>
    </row>
    <row r="1954" spans="1:12">
      <c r="A1954" t="str">
        <f>HYPERLINK("http://bombeiros.sp.gov.br/hidrantes/03individual/3349.html","3349")</f>
        <v>3349</v>
      </c>
      <c r="B1954" t="str">
        <f>HYPERLINK("http://bombeiros.sp.gov.br/hidrantes/08bsg/qrcodeBSG.html?id=3349&amp;lat=-23.51328&amp;long=-46.40469&amp;tipo=C","QRCODE")</f>
        <v>QRCODE</v>
      </c>
      <c r="C1954" t="s">
        <v>5273</v>
      </c>
      <c r="D1954" t="s">
        <v>43</v>
      </c>
      <c r="E1954" t="s">
        <v>43</v>
      </c>
      <c r="F1954" t="s">
        <v>12</v>
      </c>
      <c r="G1954" t="s">
        <v>3402</v>
      </c>
      <c r="H1954">
        <v>1</v>
      </c>
      <c r="I1954">
        <v>1</v>
      </c>
      <c r="J1954">
        <v>0</v>
      </c>
      <c r="K1954">
        <v>0</v>
      </c>
      <c r="L1954">
        <v>0</v>
      </c>
    </row>
    <row r="1955" spans="1:12">
      <c r="A1955" t="str">
        <f>HYPERLINK("http://bombeiros.sp.gov.br/hidrantes/03individual/3352.html","3352")</f>
        <v>3352</v>
      </c>
      <c r="B1955" t="str">
        <f>HYPERLINK("http://bombeiros.sp.gov.br/hidrantes/08bsg/qrcodeBSG.html?id=3352&amp;lat=-23.51271&amp;long=-46.40767&amp;tipo=C","QRCODE")</f>
        <v>QRCODE</v>
      </c>
      <c r="C1955" t="s">
        <v>5273</v>
      </c>
      <c r="D1955" t="s">
        <v>43</v>
      </c>
      <c r="E1955" t="s">
        <v>43</v>
      </c>
      <c r="F1955" t="s">
        <v>12</v>
      </c>
      <c r="G1955" t="s">
        <v>2163</v>
      </c>
      <c r="H1955">
        <v>0</v>
      </c>
      <c r="I1955">
        <v>2</v>
      </c>
      <c r="J1955">
        <v>0</v>
      </c>
      <c r="K1955">
        <v>0</v>
      </c>
      <c r="L1955">
        <v>0</v>
      </c>
    </row>
    <row r="1956" spans="1:12">
      <c r="A1956" t="str">
        <f>HYPERLINK("http://bombeiros.sp.gov.br/hidrantes/03individual/3353.html","3353")</f>
        <v>3353</v>
      </c>
      <c r="B1956" t="str">
        <f>HYPERLINK("http://bombeiros.sp.gov.br/hidrantes/08bsg/qrcodeBSG.html?id=3353&amp;lat=-23.51234&amp;long=-46.40922&amp;tipo=C","QRCODE")</f>
        <v>QRCODE</v>
      </c>
      <c r="C1956" t="s">
        <v>5273</v>
      </c>
      <c r="D1956" t="s">
        <v>43</v>
      </c>
      <c r="E1956" t="s">
        <v>43</v>
      </c>
      <c r="F1956" t="s">
        <v>12</v>
      </c>
      <c r="G1956" t="s">
        <v>1680</v>
      </c>
      <c r="H1956">
        <v>4</v>
      </c>
      <c r="I1956">
        <v>2</v>
      </c>
      <c r="J1956">
        <v>0</v>
      </c>
      <c r="K1956">
        <v>0</v>
      </c>
      <c r="L1956">
        <v>0</v>
      </c>
    </row>
    <row r="1957" spans="1:12">
      <c r="A1957" t="str">
        <f>HYPERLINK("http://bombeiros.sp.gov.br/hidrantes/03individual/3354.html","3354")</f>
        <v>3354</v>
      </c>
      <c r="B1957" t="str">
        <f>HYPERLINK("http://bombeiros.sp.gov.br/hidrantes/08bsg/qrcodeBSG.html?id=3354&amp;lat=-23.51252&amp;long=-46.41012&amp;tipo=C","QRCODE")</f>
        <v>QRCODE</v>
      </c>
      <c r="C1957" t="s">
        <v>5273</v>
      </c>
      <c r="D1957" t="s">
        <v>43</v>
      </c>
      <c r="E1957" t="s">
        <v>43</v>
      </c>
      <c r="F1957" t="s">
        <v>12</v>
      </c>
      <c r="G1957" t="s">
        <v>2164</v>
      </c>
      <c r="H1957">
        <v>0</v>
      </c>
      <c r="I1957">
        <v>2</v>
      </c>
      <c r="J1957">
        <v>0</v>
      </c>
      <c r="K1957">
        <v>0</v>
      </c>
      <c r="L1957">
        <v>0</v>
      </c>
    </row>
    <row r="1958" spans="1:12">
      <c r="A1958" t="str">
        <f>HYPERLINK("http://bombeiros.sp.gov.br/hidrantes/03individual/3484.html","3484")</f>
        <v>3484</v>
      </c>
      <c r="B1958" t="str">
        <f>HYPERLINK("http://bombeiros.sp.gov.br/hidrantes/08bsg/qrcodeBSG.html?id=3484&amp;lat=-23.49399&amp;long=-46.41789&amp;tipo=C","QRCODE")</f>
        <v>QRCODE</v>
      </c>
      <c r="C1958" t="s">
        <v>5273</v>
      </c>
      <c r="D1958" t="s">
        <v>43</v>
      </c>
      <c r="E1958" t="s">
        <v>43</v>
      </c>
      <c r="F1958" t="s">
        <v>12</v>
      </c>
      <c r="G1958" t="s">
        <v>1705</v>
      </c>
      <c r="H1958">
        <v>0</v>
      </c>
      <c r="I1958">
        <v>2</v>
      </c>
      <c r="J1958">
        <v>0</v>
      </c>
      <c r="K1958">
        <v>0</v>
      </c>
      <c r="L1958">
        <v>0</v>
      </c>
    </row>
    <row r="1959" spans="1:12">
      <c r="A1959" t="str">
        <f>HYPERLINK("http://bombeiros.sp.gov.br/hidrantes/03individual/4433.html","4433")</f>
        <v>4433</v>
      </c>
      <c r="B1959" t="str">
        <f>HYPERLINK("http://bombeiros.sp.gov.br/hidrantes/08bsg/qrcodeBSG.html?id=4433&amp;lat=-23.49425&amp;long=-46.41491&amp;tipo=C","QRCODE")</f>
        <v>QRCODE</v>
      </c>
      <c r="C1959" t="s">
        <v>5273</v>
      </c>
      <c r="D1959" t="s">
        <v>43</v>
      </c>
      <c r="E1959" t="s">
        <v>43</v>
      </c>
      <c r="F1959" t="s">
        <v>12</v>
      </c>
      <c r="G1959" t="s">
        <v>3800</v>
      </c>
      <c r="H1959">
        <v>0</v>
      </c>
      <c r="I1959">
        <v>1</v>
      </c>
      <c r="J1959">
        <v>0</v>
      </c>
      <c r="K1959">
        <v>0</v>
      </c>
      <c r="L1959">
        <v>0</v>
      </c>
    </row>
    <row r="1960" spans="1:12">
      <c r="A1960" t="str">
        <f>HYPERLINK("http://bombeiros.sp.gov.br/hidrantes/03individual/1899.html","1899")</f>
        <v>1899</v>
      </c>
      <c r="B1960" t="str">
        <f>HYPERLINK("http://bombeiros.sp.gov.br/hidrantes/08bsg/qrcodeBSG.html?id=1899&amp;lat=-23.49810&amp;long=-46.42102&amp;tipo=S","QRCODE")</f>
        <v>QRCODE</v>
      </c>
      <c r="C1960" t="s">
        <v>5273</v>
      </c>
      <c r="D1960" t="s">
        <v>43</v>
      </c>
      <c r="E1960" t="s">
        <v>43</v>
      </c>
      <c r="F1960" t="s">
        <v>21</v>
      </c>
      <c r="G1960" t="s">
        <v>1741</v>
      </c>
      <c r="H1960">
        <v>0</v>
      </c>
      <c r="I1960">
        <v>2</v>
      </c>
      <c r="J1960">
        <v>0</v>
      </c>
      <c r="K1960">
        <v>0</v>
      </c>
      <c r="L1960">
        <v>0</v>
      </c>
    </row>
    <row r="1961" spans="1:12">
      <c r="A1961" t="str">
        <f>HYPERLINK("http://bombeiros.sp.gov.br/hidrantes/03individual/1900.html","1900")</f>
        <v>1900</v>
      </c>
      <c r="B1961" t="str">
        <f>HYPERLINK("http://bombeiros.sp.gov.br/hidrantes/08bsg/qrcodeBSG.html?id=1900&amp;lat=-23.50496&amp;long=-46.41952&amp;tipo=S","QRCODE")</f>
        <v>QRCODE</v>
      </c>
      <c r="C1961" t="s">
        <v>5273</v>
      </c>
      <c r="D1961" t="s">
        <v>43</v>
      </c>
      <c r="E1961" t="s">
        <v>43</v>
      </c>
      <c r="F1961" t="s">
        <v>21</v>
      </c>
      <c r="G1961" t="s">
        <v>2111</v>
      </c>
      <c r="H1961">
        <v>0</v>
      </c>
      <c r="I1961">
        <v>2</v>
      </c>
      <c r="J1961">
        <v>0</v>
      </c>
      <c r="K1961">
        <v>0</v>
      </c>
      <c r="L1961">
        <v>0</v>
      </c>
    </row>
    <row r="1962" spans="1:12">
      <c r="A1962" t="str">
        <f>HYPERLINK("http://bombeiros.sp.gov.br/hidrantes/03individual/1902.html","1902")</f>
        <v>1902</v>
      </c>
      <c r="B1962" t="str">
        <f>HYPERLINK("http://bombeiros.sp.gov.br/hidrantes/08bsg/qrcodeBSG.html?id=1902&amp;lat=-23.50093&amp;long=-46.42126&amp;tipo=S","QRCODE")</f>
        <v>QRCODE</v>
      </c>
      <c r="C1962" t="s">
        <v>5273</v>
      </c>
      <c r="D1962" t="s">
        <v>43</v>
      </c>
      <c r="E1962" t="s">
        <v>43</v>
      </c>
      <c r="F1962" t="s">
        <v>21</v>
      </c>
      <c r="G1962" t="s">
        <v>2112</v>
      </c>
      <c r="H1962">
        <v>0</v>
      </c>
      <c r="I1962">
        <v>2</v>
      </c>
      <c r="J1962">
        <v>0</v>
      </c>
      <c r="K1962">
        <v>0</v>
      </c>
      <c r="L1962">
        <v>0</v>
      </c>
    </row>
    <row r="1963" spans="1:12">
      <c r="A1963" t="str">
        <f>HYPERLINK("http://bombeiros.sp.gov.br/hidrantes/03individual/1904.html","1904")</f>
        <v>1904</v>
      </c>
      <c r="B1963" t="str">
        <f>HYPERLINK("http://bombeiros.sp.gov.br/hidrantes/08bsg/qrcodeBSG.html?id=1904&amp;lat=-23.49955&amp;long=-46.41114&amp;tipo=S","QRCODE")</f>
        <v>QRCODE</v>
      </c>
      <c r="C1963" t="s">
        <v>5273</v>
      </c>
      <c r="D1963" t="s">
        <v>43</v>
      </c>
      <c r="E1963" t="s">
        <v>43</v>
      </c>
      <c r="F1963" t="s">
        <v>21</v>
      </c>
      <c r="G1963" t="s">
        <v>1740</v>
      </c>
      <c r="H1963">
        <v>0</v>
      </c>
      <c r="I1963">
        <v>2</v>
      </c>
      <c r="J1963">
        <v>0</v>
      </c>
      <c r="K1963">
        <v>0</v>
      </c>
      <c r="L1963">
        <v>0</v>
      </c>
    </row>
    <row r="1964" spans="1:12">
      <c r="A1964" t="str">
        <f>HYPERLINK("http://bombeiros.sp.gov.br/hidrantes/03individual/1924.html","1924")</f>
        <v>1924</v>
      </c>
      <c r="B1964" t="str">
        <f>HYPERLINK("http://bombeiros.sp.gov.br/hidrantes/08bsg/qrcodeBSG.html?id=1924&amp;lat=-23.50144&amp;long=-46.41502&amp;tipo=S","QRCODE")</f>
        <v>QRCODE</v>
      </c>
      <c r="C1964" t="s">
        <v>5273</v>
      </c>
      <c r="D1964" t="s">
        <v>43</v>
      </c>
      <c r="E1964" t="s">
        <v>43</v>
      </c>
      <c r="F1964" t="s">
        <v>21</v>
      </c>
      <c r="G1964" t="s">
        <v>1739</v>
      </c>
      <c r="H1964">
        <v>0</v>
      </c>
      <c r="I1964">
        <v>2</v>
      </c>
      <c r="J1964">
        <v>0</v>
      </c>
      <c r="K1964">
        <v>0</v>
      </c>
      <c r="L1964">
        <v>0</v>
      </c>
    </row>
    <row r="1965" spans="1:12">
      <c r="A1965" t="str">
        <f>HYPERLINK("http://bombeiros.sp.gov.br/hidrantes/03individual/1926.html","1926")</f>
        <v>1926</v>
      </c>
      <c r="B1965" t="str">
        <f>HYPERLINK("http://bombeiros.sp.gov.br/hidrantes/08bsg/qrcodeBSG.html?id=1926&amp;lat=-23.50631&amp;long=-46.41290&amp;tipo=S","QRCODE")</f>
        <v>QRCODE</v>
      </c>
      <c r="C1965" t="s">
        <v>5273</v>
      </c>
      <c r="D1965" t="s">
        <v>43</v>
      </c>
      <c r="E1965" t="s">
        <v>43</v>
      </c>
      <c r="F1965" t="s">
        <v>21</v>
      </c>
      <c r="G1965" t="s">
        <v>1621</v>
      </c>
      <c r="H1965">
        <v>0</v>
      </c>
      <c r="I1965">
        <v>3</v>
      </c>
      <c r="J1965">
        <v>0</v>
      </c>
      <c r="K1965">
        <v>0</v>
      </c>
      <c r="L1965">
        <v>0</v>
      </c>
    </row>
    <row r="1966" spans="1:12">
      <c r="A1966" t="str">
        <f>HYPERLINK("http://bombeiros.sp.gov.br/hidrantes/03individual/2072.html","2072")</f>
        <v>2072</v>
      </c>
      <c r="B1966" t="str">
        <f>HYPERLINK("http://bombeiros.sp.gov.br/hidrantes/08bsg/qrcodeBSG.html?id=2072&amp;lat=-23.49506&amp;long=-46.42325&amp;tipo=S","QRCODE")</f>
        <v>QRCODE</v>
      </c>
      <c r="C1966" t="s">
        <v>5273</v>
      </c>
      <c r="D1966" t="s">
        <v>43</v>
      </c>
      <c r="E1966" t="s">
        <v>43</v>
      </c>
      <c r="F1966" t="s">
        <v>21</v>
      </c>
      <c r="G1966" t="s">
        <v>2539</v>
      </c>
      <c r="H1966">
        <v>0</v>
      </c>
      <c r="I1966">
        <v>2</v>
      </c>
      <c r="J1966">
        <v>0</v>
      </c>
      <c r="K1966">
        <v>0</v>
      </c>
      <c r="L1966">
        <v>0</v>
      </c>
    </row>
    <row r="1967" spans="1:12">
      <c r="A1967" t="str">
        <f>HYPERLINK("http://bombeiros.sp.gov.br/hidrantes/03individual/3435.html","3435")</f>
        <v>3435</v>
      </c>
      <c r="B1967" t="str">
        <f>HYPERLINK("http://bombeiros.sp.gov.br/hidrantes/08bsg/qrcodeBSG.html?id=3435&amp;lat=-23.50887&amp;long=-46.40790&amp;tipo=S","QRCODE")</f>
        <v>QRCODE</v>
      </c>
      <c r="C1967" t="s">
        <v>5273</v>
      </c>
      <c r="D1967" t="s">
        <v>43</v>
      </c>
      <c r="E1967" t="s">
        <v>43</v>
      </c>
      <c r="F1967" t="s">
        <v>21</v>
      </c>
      <c r="G1967" t="s">
        <v>2158</v>
      </c>
      <c r="H1967">
        <v>0</v>
      </c>
      <c r="I1967">
        <v>2</v>
      </c>
      <c r="J1967">
        <v>0</v>
      </c>
      <c r="K1967">
        <v>0</v>
      </c>
      <c r="L1967">
        <v>0</v>
      </c>
    </row>
    <row r="1968" spans="1:12">
      <c r="A1968" t="str">
        <f>HYPERLINK("http://bombeiros.sp.gov.br/hidrantes/03individual/4336.html","4336")</f>
        <v>4336</v>
      </c>
      <c r="B1968" t="str">
        <f>HYPERLINK("http://bombeiros.sp.gov.br/hidrantes/08bsg/qrcodeBSG.html?id=4336&amp;lat=-23.49565&amp;long=-46.41489&amp;tipo=S","QRCODE")</f>
        <v>QRCODE</v>
      </c>
      <c r="C1968" t="s">
        <v>5273</v>
      </c>
      <c r="D1968" t="s">
        <v>43</v>
      </c>
      <c r="E1968" t="s">
        <v>43</v>
      </c>
      <c r="F1968" t="s">
        <v>21</v>
      </c>
      <c r="G1968" t="s">
        <v>1727</v>
      </c>
      <c r="H1968">
        <v>0</v>
      </c>
      <c r="I1968">
        <v>2</v>
      </c>
      <c r="J1968">
        <v>0</v>
      </c>
      <c r="K1968">
        <v>0</v>
      </c>
      <c r="L1968">
        <v>0</v>
      </c>
    </row>
    <row r="1969" spans="1:12">
      <c r="A1969" t="str">
        <f>HYPERLINK("http://bombeiros.sp.gov.br/hidrantes/03individual/4337.html","4337")</f>
        <v>4337</v>
      </c>
      <c r="B1969" t="str">
        <f>HYPERLINK("http://bombeiros.sp.gov.br/hidrantes/08bsg/qrcodeBSG.html?id=4337&amp;lat=-23.49687&amp;long=-46.41972&amp;tipo=S","QRCODE")</f>
        <v>QRCODE</v>
      </c>
      <c r="C1969" t="s">
        <v>5273</v>
      </c>
      <c r="D1969" t="s">
        <v>43</v>
      </c>
      <c r="E1969" t="s">
        <v>43</v>
      </c>
      <c r="F1969" t="s">
        <v>21</v>
      </c>
      <c r="G1969" t="s">
        <v>2558</v>
      </c>
      <c r="H1969">
        <v>0</v>
      </c>
      <c r="I1969">
        <v>2</v>
      </c>
      <c r="J1969">
        <v>0</v>
      </c>
      <c r="K1969">
        <v>0</v>
      </c>
      <c r="L1969">
        <v>0</v>
      </c>
    </row>
    <row r="1970" spans="1:12">
      <c r="A1970" t="str">
        <f>HYPERLINK("http://bombeiros.sp.gov.br/hidrantes/03individual/17794.html","17794")</f>
        <v>17794</v>
      </c>
      <c r="B1970" t="str">
        <f>HYPERLINK("http://bombeiros.sp.gov.br/hidrantes/08bsg/qrcodeBSG.html?id=17794&amp;lat=-23.50286&amp;long=-46.42310&amp;tipo=S","QRCODE")</f>
        <v>QRCODE</v>
      </c>
      <c r="C1970" t="s">
        <v>5273</v>
      </c>
      <c r="D1970" t="s">
        <v>43</v>
      </c>
      <c r="E1970" t="s">
        <v>43</v>
      </c>
      <c r="F1970" t="s">
        <v>21</v>
      </c>
      <c r="G1970" t="s">
        <v>42</v>
      </c>
      <c r="H1970">
        <v>0</v>
      </c>
      <c r="I1970">
        <v>2</v>
      </c>
      <c r="J1970">
        <v>0</v>
      </c>
      <c r="K1970">
        <v>0</v>
      </c>
      <c r="L1970">
        <v>0</v>
      </c>
    </row>
    <row r="1971" spans="1:12">
      <c r="A1971" t="str">
        <f>HYPERLINK("http://bombeiros.sp.gov.br/hidrantes/03individual/17854.html","17854")</f>
        <v>17854</v>
      </c>
      <c r="B1971" t="str">
        <f>HYPERLINK("http://bombeiros.sp.gov.br/hidrantes/08bsg/qrcodeBSG.html?id=17854&amp;lat=-23.50617&amp;long=-46.41515&amp;tipo=S","QRCODE")</f>
        <v>QRCODE</v>
      </c>
      <c r="C1971" t="s">
        <v>5273</v>
      </c>
      <c r="D1971" t="s">
        <v>43</v>
      </c>
      <c r="E1971" t="s">
        <v>43</v>
      </c>
      <c r="F1971" t="s">
        <v>21</v>
      </c>
      <c r="G1971" t="s">
        <v>45</v>
      </c>
      <c r="H1971">
        <v>1</v>
      </c>
      <c r="I1971">
        <v>2</v>
      </c>
      <c r="J1971">
        <v>0</v>
      </c>
      <c r="K1971">
        <v>0</v>
      </c>
      <c r="L1971">
        <v>0</v>
      </c>
    </row>
    <row r="1972" spans="1:12">
      <c r="A1972" t="str">
        <f>HYPERLINK("http://bombeiros.sp.gov.br/hidrantes/03individual/26860.html","26860")</f>
        <v>26860</v>
      </c>
      <c r="B1972" t="str">
        <f>HYPERLINK("http://bombeiros.sp.gov.br/hidrantes/08bsg/qrcodeBSG.html?id=26860&amp;lat=-23.49547&amp;long=-46.42640&amp;tipo=S","QRCODE")</f>
        <v>QRCODE</v>
      </c>
      <c r="C1972" t="s">
        <v>5273</v>
      </c>
      <c r="D1972" t="s">
        <v>43</v>
      </c>
      <c r="E1972" t="s">
        <v>43</v>
      </c>
      <c r="F1972" t="s">
        <v>21</v>
      </c>
      <c r="G1972" t="s">
        <v>51</v>
      </c>
      <c r="H1972">
        <v>0</v>
      </c>
      <c r="I1972">
        <v>2</v>
      </c>
      <c r="J1972">
        <v>0</v>
      </c>
      <c r="K1972">
        <v>0</v>
      </c>
      <c r="L1972">
        <v>0</v>
      </c>
    </row>
    <row r="1973" spans="1:12">
      <c r="A1973" t="str">
        <f>HYPERLINK("http://bombeiros.sp.gov.br/hidrantes/03individual/26861.html","26861")</f>
        <v>26861</v>
      </c>
      <c r="B1973" t="str">
        <f>HYPERLINK("http://bombeiros.sp.gov.br/hidrantes/08bsg/qrcodeBSG.html?id=26861&amp;lat=-23.49706&amp;long=-46.42686&amp;tipo=S","QRCODE")</f>
        <v>QRCODE</v>
      </c>
      <c r="C1973" t="s">
        <v>5273</v>
      </c>
      <c r="D1973" t="s">
        <v>43</v>
      </c>
      <c r="E1973" t="s">
        <v>43</v>
      </c>
      <c r="F1973" t="s">
        <v>21</v>
      </c>
      <c r="G1973" t="s">
        <v>3780</v>
      </c>
      <c r="H1973">
        <v>0</v>
      </c>
      <c r="I1973">
        <v>1</v>
      </c>
      <c r="J1973">
        <v>0</v>
      </c>
      <c r="K1973">
        <v>0</v>
      </c>
      <c r="L1973">
        <v>0</v>
      </c>
    </row>
    <row r="1974" spans="1:12">
      <c r="A1974" t="str">
        <f>HYPERLINK("http://bombeiros.sp.gov.br/hidrantes/03individual/26862.html","26862")</f>
        <v>26862</v>
      </c>
      <c r="B1974" t="str">
        <f>HYPERLINK("http://bombeiros.sp.gov.br/hidrantes/08bsg/qrcodeBSG.html?id=26862&amp;lat=-23.49687&amp;long=-46.42133&amp;tipo=S","QRCODE")</f>
        <v>QRCODE</v>
      </c>
      <c r="C1974" t="s">
        <v>5273</v>
      </c>
      <c r="D1974" t="s">
        <v>43</v>
      </c>
      <c r="E1974" t="s">
        <v>43</v>
      </c>
      <c r="F1974" t="s">
        <v>21</v>
      </c>
      <c r="G1974" t="s">
        <v>52</v>
      </c>
      <c r="H1974">
        <v>0</v>
      </c>
      <c r="I1974">
        <v>2</v>
      </c>
      <c r="J1974">
        <v>0</v>
      </c>
      <c r="K1974">
        <v>0</v>
      </c>
      <c r="L1974">
        <v>0</v>
      </c>
    </row>
    <row r="1975" spans="1:12">
      <c r="A1975" t="str">
        <f>HYPERLINK("http://bombeiros.sp.gov.br/hidrantes/03individual/1018.html","1018")</f>
        <v>1018</v>
      </c>
      <c r="B1975" t="str">
        <f>HYPERLINK("http://bombeiros.sp.gov.br/hidrantes/08bsg/qrcodeBSG.html?id=1018&amp;lat=-23.55507&amp;long=-46.55932&amp;tipo=C","QRCODE")</f>
        <v>QRCODE</v>
      </c>
      <c r="C1975" t="s">
        <v>5273</v>
      </c>
      <c r="D1975" t="s">
        <v>890</v>
      </c>
      <c r="E1975" t="s">
        <v>798</v>
      </c>
      <c r="F1975" t="s">
        <v>12</v>
      </c>
      <c r="G1975" t="s">
        <v>797</v>
      </c>
      <c r="H1975">
        <v>0</v>
      </c>
      <c r="I1975">
        <v>3</v>
      </c>
      <c r="J1975">
        <v>0</v>
      </c>
      <c r="K1975">
        <v>0</v>
      </c>
      <c r="L1975">
        <v>0</v>
      </c>
    </row>
    <row r="1976" spans="1:12">
      <c r="A1976" t="str">
        <f>HYPERLINK("http://bombeiros.sp.gov.br/hidrantes/03individual/1019.html","1019")</f>
        <v>1019</v>
      </c>
      <c r="B1976" t="str">
        <f>HYPERLINK("http://bombeiros.sp.gov.br/hidrantes/08bsg/qrcodeBSG.html?id=1019&amp;lat=-23.55770&amp;long=-46.55947&amp;tipo=C","QRCODE")</f>
        <v>QRCODE</v>
      </c>
      <c r="C1976" t="s">
        <v>5273</v>
      </c>
      <c r="D1976" t="s">
        <v>890</v>
      </c>
      <c r="E1976" t="s">
        <v>798</v>
      </c>
      <c r="F1976" t="s">
        <v>12</v>
      </c>
      <c r="G1976" t="s">
        <v>5120</v>
      </c>
      <c r="H1976">
        <v>0</v>
      </c>
      <c r="I1976">
        <v>2</v>
      </c>
      <c r="J1976">
        <v>0</v>
      </c>
      <c r="K1976">
        <v>0</v>
      </c>
      <c r="L1976">
        <v>0</v>
      </c>
    </row>
    <row r="1977" spans="1:12">
      <c r="A1977" t="str">
        <f>HYPERLINK("http://bombeiros.sp.gov.br/hidrantes/03individual/1021.html","1021")</f>
        <v>1021</v>
      </c>
      <c r="B1977" t="str">
        <f>HYPERLINK("http://bombeiros.sp.gov.br/hidrantes/08bsg/qrcodeBSG.html?id=1021&amp;lat=-23.55731&amp;long=-46.56154&amp;tipo=C","QRCODE")</f>
        <v>QRCODE</v>
      </c>
      <c r="C1977" t="s">
        <v>5273</v>
      </c>
      <c r="D1977" t="s">
        <v>890</v>
      </c>
      <c r="E1977" t="s">
        <v>798</v>
      </c>
      <c r="F1977" t="s">
        <v>12</v>
      </c>
      <c r="G1977" t="s">
        <v>5121</v>
      </c>
      <c r="H1977">
        <v>0</v>
      </c>
      <c r="I1977">
        <v>2</v>
      </c>
      <c r="J1977">
        <v>0</v>
      </c>
      <c r="K1977">
        <v>0</v>
      </c>
      <c r="L1977">
        <v>0</v>
      </c>
    </row>
    <row r="1978" spans="1:12">
      <c r="A1978" t="str">
        <f>HYPERLINK("http://bombeiros.sp.gov.br/hidrantes/03individual/1022.html","1022")</f>
        <v>1022</v>
      </c>
      <c r="B1978" t="str">
        <f>HYPERLINK("http://bombeiros.sp.gov.br/hidrantes/08bsg/qrcodeBSG.html?id=1022&amp;lat=-23.56120&amp;long=-46.55670&amp;tipo=C","QRCODE")</f>
        <v>QRCODE</v>
      </c>
      <c r="C1978" t="s">
        <v>5273</v>
      </c>
      <c r="D1978" t="s">
        <v>890</v>
      </c>
      <c r="E1978" t="s">
        <v>798</v>
      </c>
      <c r="F1978" t="s">
        <v>12</v>
      </c>
      <c r="G1978" t="s">
        <v>5189</v>
      </c>
      <c r="H1978">
        <v>0</v>
      </c>
      <c r="I1978">
        <v>1</v>
      </c>
      <c r="J1978">
        <v>0</v>
      </c>
      <c r="K1978">
        <v>0</v>
      </c>
      <c r="L1978">
        <v>0</v>
      </c>
    </row>
    <row r="1979" spans="1:12">
      <c r="A1979" t="str">
        <f>HYPERLINK("http://bombeiros.sp.gov.br/hidrantes/03individual/1023.html","1023")</f>
        <v>1023</v>
      </c>
      <c r="B1979" t="str">
        <f>HYPERLINK("http://bombeiros.sp.gov.br/hidrantes/08bsg/qrcodeBSG.html?id=1023&amp;lat=-23.56170&amp;long=-46.55885&amp;tipo=C","QRCODE")</f>
        <v>QRCODE</v>
      </c>
      <c r="C1979" t="s">
        <v>5273</v>
      </c>
      <c r="D1979" t="s">
        <v>890</v>
      </c>
      <c r="E1979" t="s">
        <v>798</v>
      </c>
      <c r="F1979" t="s">
        <v>12</v>
      </c>
      <c r="G1979" t="s">
        <v>3143</v>
      </c>
      <c r="H1979">
        <v>1</v>
      </c>
      <c r="I1979">
        <v>1</v>
      </c>
      <c r="J1979">
        <v>0</v>
      </c>
      <c r="K1979">
        <v>0</v>
      </c>
      <c r="L1979">
        <v>0</v>
      </c>
    </row>
    <row r="1980" spans="1:12">
      <c r="A1980" t="str">
        <f>HYPERLINK("http://bombeiros.sp.gov.br/hidrantes/03individual/1024.html","1024")</f>
        <v>1024</v>
      </c>
      <c r="B1980" t="str">
        <f>HYPERLINK("http://bombeiros.sp.gov.br/hidrantes/08bsg/qrcodeBSG.html?id=1024&amp;lat=-23.56241&amp;long=-46.55693&amp;tipo=C","QRCODE")</f>
        <v>QRCODE</v>
      </c>
      <c r="C1980" t="s">
        <v>5273</v>
      </c>
      <c r="D1980" t="s">
        <v>890</v>
      </c>
      <c r="E1980" t="s">
        <v>798</v>
      </c>
      <c r="F1980" t="s">
        <v>12</v>
      </c>
      <c r="G1980" t="s">
        <v>5122</v>
      </c>
      <c r="H1980">
        <v>0</v>
      </c>
      <c r="I1980">
        <v>2</v>
      </c>
      <c r="J1980">
        <v>0</v>
      </c>
      <c r="K1980">
        <v>0</v>
      </c>
      <c r="L1980">
        <v>0</v>
      </c>
    </row>
    <row r="1981" spans="1:12">
      <c r="A1981" t="str">
        <f>HYPERLINK("http://bombeiros.sp.gov.br/hidrantes/03individual/3321.html","3321")</f>
        <v>3321</v>
      </c>
      <c r="B1981" t="str">
        <f>HYPERLINK("http://bombeiros.sp.gov.br/hidrantes/08bsg/qrcodeBSG.html?id=3321&amp;lat=-23.55458&amp;long=-46.56660&amp;tipo=C","QRCODE")</f>
        <v>QRCODE</v>
      </c>
      <c r="C1981" t="s">
        <v>5273</v>
      </c>
      <c r="D1981" t="s">
        <v>890</v>
      </c>
      <c r="E1981" t="s">
        <v>798</v>
      </c>
      <c r="F1981" t="s">
        <v>12</v>
      </c>
      <c r="G1981" t="s">
        <v>5156</v>
      </c>
      <c r="H1981">
        <v>0</v>
      </c>
      <c r="I1981">
        <v>1</v>
      </c>
      <c r="J1981">
        <v>0</v>
      </c>
      <c r="K1981">
        <v>0</v>
      </c>
      <c r="L1981">
        <v>0</v>
      </c>
    </row>
    <row r="1982" spans="1:12">
      <c r="A1982" t="str">
        <f>HYPERLINK("http://bombeiros.sp.gov.br/hidrantes/03individual/3327.html","3327")</f>
        <v>3327</v>
      </c>
      <c r="B1982" t="str">
        <f>HYPERLINK("http://bombeiros.sp.gov.br/hidrantes/08bsg/qrcodeBSG.html?id=3327&amp;lat=-23.55683&amp;long=-46.54493&amp;tipo=C","QRCODE")</f>
        <v>QRCODE</v>
      </c>
      <c r="C1982" t="s">
        <v>5273</v>
      </c>
      <c r="D1982" t="s">
        <v>890</v>
      </c>
      <c r="E1982" t="s">
        <v>798</v>
      </c>
      <c r="F1982" t="s">
        <v>12</v>
      </c>
      <c r="G1982" t="s">
        <v>3097</v>
      </c>
      <c r="H1982">
        <v>1</v>
      </c>
      <c r="I1982">
        <v>1</v>
      </c>
      <c r="J1982">
        <v>0</v>
      </c>
      <c r="K1982">
        <v>0</v>
      </c>
      <c r="L1982">
        <v>0</v>
      </c>
    </row>
    <row r="1983" spans="1:12">
      <c r="A1983" t="str">
        <f>HYPERLINK("http://bombeiros.sp.gov.br/hidrantes/03individual/3330.html","3330")</f>
        <v>3330</v>
      </c>
      <c r="B1983" t="str">
        <f>HYPERLINK("http://bombeiros.sp.gov.br/hidrantes/08bsg/qrcodeBSG.html?id=3330&amp;lat=-23.56071&amp;long=-46.55833&amp;tipo=C","QRCODE")</f>
        <v>QRCODE</v>
      </c>
      <c r="C1983" t="s">
        <v>5273</v>
      </c>
      <c r="D1983" t="s">
        <v>890</v>
      </c>
      <c r="E1983" t="s">
        <v>798</v>
      </c>
      <c r="F1983" t="s">
        <v>12</v>
      </c>
      <c r="G1983" t="s">
        <v>4627</v>
      </c>
      <c r="H1983">
        <v>0</v>
      </c>
      <c r="I1983">
        <v>2</v>
      </c>
      <c r="J1983">
        <v>0</v>
      </c>
      <c r="K1983">
        <v>0</v>
      </c>
      <c r="L1983">
        <v>0</v>
      </c>
    </row>
    <row r="1984" spans="1:12">
      <c r="A1984" t="str">
        <f>HYPERLINK("http://bombeiros.sp.gov.br/hidrantes/03individual/5643.html","5643")</f>
        <v>5643</v>
      </c>
      <c r="B1984" t="str">
        <f>HYPERLINK("http://bombeiros.sp.gov.br/hidrantes/08bsg/qrcodeBSG.html?id=5643&amp;lat=-23.56140&amp;long=-46.54281&amp;tipo=C","QRCODE")</f>
        <v>QRCODE</v>
      </c>
      <c r="C1984" t="s">
        <v>5273</v>
      </c>
      <c r="D1984" t="s">
        <v>890</v>
      </c>
      <c r="E1984" t="s">
        <v>798</v>
      </c>
      <c r="F1984" t="s">
        <v>12</v>
      </c>
      <c r="G1984" t="s">
        <v>995</v>
      </c>
      <c r="H1984">
        <v>0</v>
      </c>
      <c r="I1984">
        <v>2</v>
      </c>
      <c r="J1984">
        <v>0</v>
      </c>
      <c r="K1984">
        <v>0</v>
      </c>
      <c r="L1984">
        <v>0</v>
      </c>
    </row>
    <row r="1985" spans="1:12">
      <c r="A1985" t="str">
        <f>HYPERLINK("http://bombeiros.sp.gov.br/hidrantes/03individual/16475.html","16475")</f>
        <v>16475</v>
      </c>
      <c r="B1985" t="str">
        <f>HYPERLINK("http://bombeiros.sp.gov.br/hidrantes/08bsg/qrcodeBSG.html?id=16475&amp;lat=-23.55642&amp;long=-46.55933&amp;tipo=C","QRCODE")</f>
        <v>QRCODE</v>
      </c>
      <c r="C1985" t="s">
        <v>5273</v>
      </c>
      <c r="D1985" t="s">
        <v>890</v>
      </c>
      <c r="E1985" t="s">
        <v>798</v>
      </c>
      <c r="F1985" t="s">
        <v>12</v>
      </c>
      <c r="G1985" t="s">
        <v>5083</v>
      </c>
      <c r="H1985">
        <v>0</v>
      </c>
      <c r="I1985">
        <v>2</v>
      </c>
      <c r="J1985">
        <v>0</v>
      </c>
      <c r="K1985">
        <v>0</v>
      </c>
      <c r="L1985">
        <v>0</v>
      </c>
    </row>
    <row r="1986" spans="1:12">
      <c r="A1986" t="str">
        <f>HYPERLINK("http://bombeiros.sp.gov.br/hidrantes/03individual/26432.html","26432")</f>
        <v>26432</v>
      </c>
      <c r="B1986" t="str">
        <f>HYPERLINK("http://bombeiros.sp.gov.br/hidrantes/08bsg/qrcodeBSG.html?id=26432&amp;lat=-23.55771&amp;long=-46.55592&amp;tipo=C","QRCODE")</f>
        <v>QRCODE</v>
      </c>
      <c r="C1986" t="s">
        <v>5273</v>
      </c>
      <c r="D1986" t="s">
        <v>890</v>
      </c>
      <c r="E1986" t="s">
        <v>798</v>
      </c>
      <c r="F1986" t="s">
        <v>12</v>
      </c>
      <c r="G1986" t="s">
        <v>921</v>
      </c>
      <c r="H1986">
        <v>0</v>
      </c>
      <c r="I1986">
        <v>2</v>
      </c>
      <c r="J1986">
        <v>0</v>
      </c>
      <c r="K1986">
        <v>0</v>
      </c>
      <c r="L1986">
        <v>0</v>
      </c>
    </row>
    <row r="1987" spans="1:12">
      <c r="A1987" t="str">
        <f>HYPERLINK("http://bombeiros.sp.gov.br/hidrantes/03individual/26433.html","26433")</f>
        <v>26433</v>
      </c>
      <c r="B1987" t="str">
        <f>HYPERLINK("http://bombeiros.sp.gov.br/hidrantes/08bsg/qrcodeBSG.html?id=26433&amp;lat=-23.55862&amp;long=-46.55460&amp;tipo=C","QRCODE")</f>
        <v>QRCODE</v>
      </c>
      <c r="C1987" t="s">
        <v>5273</v>
      </c>
      <c r="D1987" t="s">
        <v>890</v>
      </c>
      <c r="E1987" t="s">
        <v>798</v>
      </c>
      <c r="F1987" t="s">
        <v>12</v>
      </c>
      <c r="G1987" t="s">
        <v>921</v>
      </c>
      <c r="H1987">
        <v>0</v>
      </c>
      <c r="I1987">
        <v>1</v>
      </c>
      <c r="J1987">
        <v>0</v>
      </c>
      <c r="K1987">
        <v>0</v>
      </c>
      <c r="L1987">
        <v>0</v>
      </c>
    </row>
    <row r="1988" spans="1:12">
      <c r="A1988" t="str">
        <f>HYPERLINK("http://bombeiros.sp.gov.br/hidrantes/03individual/26434.html","26434")</f>
        <v>26434</v>
      </c>
      <c r="B1988" t="str">
        <f>HYPERLINK("http://bombeiros.sp.gov.br/hidrantes/08bsg/qrcodeBSG.html?id=26434&amp;lat=-23.56029&amp;long=-46.55503&amp;tipo=C","QRCODE")</f>
        <v>QRCODE</v>
      </c>
      <c r="C1988" t="s">
        <v>5273</v>
      </c>
      <c r="D1988" t="s">
        <v>890</v>
      </c>
      <c r="E1988" t="s">
        <v>798</v>
      </c>
      <c r="F1988" t="s">
        <v>12</v>
      </c>
      <c r="G1988" t="s">
        <v>921</v>
      </c>
      <c r="H1988">
        <v>0</v>
      </c>
      <c r="I1988">
        <v>1</v>
      </c>
      <c r="J1988">
        <v>0</v>
      </c>
      <c r="K1988">
        <v>0</v>
      </c>
      <c r="L1988">
        <v>0</v>
      </c>
    </row>
    <row r="1989" spans="1:12">
      <c r="A1989" t="str">
        <f>HYPERLINK("http://bombeiros.sp.gov.br/hidrantes/03individual/26435.html","26435")</f>
        <v>26435</v>
      </c>
      <c r="B1989" t="str">
        <f>HYPERLINK("http://bombeiros.sp.gov.br/hidrantes/08bsg/qrcodeBSG.html?id=26435&amp;lat=-23.55939&amp;long=-46.55742&amp;tipo=C","QRCODE")</f>
        <v>QRCODE</v>
      </c>
      <c r="C1989" t="s">
        <v>5273</v>
      </c>
      <c r="D1989" t="s">
        <v>890</v>
      </c>
      <c r="E1989" t="s">
        <v>798</v>
      </c>
      <c r="F1989" t="s">
        <v>12</v>
      </c>
      <c r="G1989" t="s">
        <v>921</v>
      </c>
      <c r="H1989">
        <v>0</v>
      </c>
      <c r="I1989">
        <v>2</v>
      </c>
      <c r="J1989">
        <v>0</v>
      </c>
      <c r="K1989">
        <v>0</v>
      </c>
      <c r="L1989">
        <v>0</v>
      </c>
    </row>
    <row r="1990" spans="1:12">
      <c r="A1990" t="str">
        <f>HYPERLINK("http://bombeiros.sp.gov.br/hidrantes/03individual/26436.html","26436")</f>
        <v>26436</v>
      </c>
      <c r="B1990" t="str">
        <f>HYPERLINK("http://bombeiros.sp.gov.br/hidrantes/08bsg/qrcodeBSG.html?id=26436&amp;lat=-23.55836&amp;long=-46.55699&amp;tipo=C","QRCODE")</f>
        <v>QRCODE</v>
      </c>
      <c r="C1990" t="s">
        <v>5273</v>
      </c>
      <c r="D1990" t="s">
        <v>890</v>
      </c>
      <c r="E1990" t="s">
        <v>798</v>
      </c>
      <c r="F1990" t="s">
        <v>12</v>
      </c>
      <c r="G1990" t="s">
        <v>4534</v>
      </c>
      <c r="H1990">
        <v>0</v>
      </c>
      <c r="I1990">
        <v>2</v>
      </c>
      <c r="J1990">
        <v>0</v>
      </c>
      <c r="K1990">
        <v>0</v>
      </c>
      <c r="L1990">
        <v>0</v>
      </c>
    </row>
    <row r="1991" spans="1:12">
      <c r="A1991" t="str">
        <f>HYPERLINK("http://bombeiros.sp.gov.br/hidrantes/03individual/26781.html","26781")</f>
        <v>26781</v>
      </c>
      <c r="B1991" t="str">
        <f>HYPERLINK("http://bombeiros.sp.gov.br/hidrantes/08bsg/qrcodeBSG.html?id=26781&amp;lat=-23.56191&amp;long=-46.55572&amp;tipo=C","QRCODE")</f>
        <v>QRCODE</v>
      </c>
      <c r="C1991" t="s">
        <v>5273</v>
      </c>
      <c r="D1991" t="s">
        <v>890</v>
      </c>
      <c r="E1991" t="s">
        <v>798</v>
      </c>
      <c r="F1991" t="s">
        <v>12</v>
      </c>
      <c r="G1991" t="s">
        <v>4536</v>
      </c>
      <c r="H1991">
        <v>0</v>
      </c>
      <c r="I1991">
        <v>2</v>
      </c>
      <c r="J1991">
        <v>0</v>
      </c>
      <c r="K1991">
        <v>0</v>
      </c>
      <c r="L1991">
        <v>0</v>
      </c>
    </row>
    <row r="1992" spans="1:12">
      <c r="A1992" t="str">
        <f>HYPERLINK("http://bombeiros.sp.gov.br/hidrantes/03individual/1520.html","1520")</f>
        <v>1520</v>
      </c>
      <c r="B1992" t="str">
        <f>HYPERLINK("http://bombeiros.sp.gov.br/hidrantes/08bsg/qrcodeBSG.html?id=1520&amp;lat=-23.55927&amp;long=-46.55287&amp;tipo=S","QRCODE")</f>
        <v>QRCODE</v>
      </c>
      <c r="C1992" t="s">
        <v>5273</v>
      </c>
      <c r="D1992" t="s">
        <v>890</v>
      </c>
      <c r="E1992" t="s">
        <v>798</v>
      </c>
      <c r="F1992" t="s">
        <v>21</v>
      </c>
      <c r="G1992" t="s">
        <v>4569</v>
      </c>
      <c r="H1992">
        <v>0</v>
      </c>
      <c r="I1992">
        <v>3</v>
      </c>
      <c r="J1992">
        <v>0</v>
      </c>
      <c r="K1992">
        <v>0</v>
      </c>
      <c r="L1992">
        <v>0</v>
      </c>
    </row>
    <row r="1993" spans="1:12">
      <c r="A1993" t="str">
        <f>HYPERLINK("http://bombeiros.sp.gov.br/hidrantes/03individual/1661.html","1661")</f>
        <v>1661</v>
      </c>
      <c r="B1993" t="str">
        <f>HYPERLINK("http://bombeiros.sp.gov.br/hidrantes/08bsg/qrcodeBSG.html?id=1661&amp;lat=-23.56429&amp;long=-46.54755&amp;tipo=S","QRCODE")</f>
        <v>QRCODE</v>
      </c>
      <c r="C1993" t="s">
        <v>5273</v>
      </c>
      <c r="D1993" t="s">
        <v>890</v>
      </c>
      <c r="E1993" t="s">
        <v>798</v>
      </c>
      <c r="F1993" t="s">
        <v>21</v>
      </c>
      <c r="G1993" t="s">
        <v>4558</v>
      </c>
      <c r="H1993">
        <v>0</v>
      </c>
      <c r="I1993">
        <v>2</v>
      </c>
      <c r="J1993">
        <v>0</v>
      </c>
      <c r="K1993">
        <v>0</v>
      </c>
      <c r="L1993">
        <v>0</v>
      </c>
    </row>
    <row r="1994" spans="1:12">
      <c r="A1994" t="str">
        <f>HYPERLINK("http://bombeiros.sp.gov.br/hidrantes/03individual/1750.html","1750")</f>
        <v>1750</v>
      </c>
      <c r="B1994" t="str">
        <f>HYPERLINK("http://bombeiros.sp.gov.br/hidrantes/08bsg/qrcodeBSG.html?id=1750&amp;lat=-23.56472&amp;long=-46.55529&amp;tipo=S","QRCODE")</f>
        <v>QRCODE</v>
      </c>
      <c r="C1994" t="s">
        <v>5273</v>
      </c>
      <c r="D1994" t="s">
        <v>890</v>
      </c>
      <c r="E1994" t="s">
        <v>798</v>
      </c>
      <c r="F1994" t="s">
        <v>21</v>
      </c>
      <c r="G1994" t="s">
        <v>850</v>
      </c>
      <c r="H1994">
        <v>1</v>
      </c>
      <c r="I1994">
        <v>2</v>
      </c>
      <c r="J1994">
        <v>0</v>
      </c>
      <c r="K1994">
        <v>0</v>
      </c>
      <c r="L1994">
        <v>0</v>
      </c>
    </row>
    <row r="1995" spans="1:12">
      <c r="A1995" t="str">
        <f>HYPERLINK("http://bombeiros.sp.gov.br/hidrantes/03individual/3106.html","3106")</f>
        <v>3106</v>
      </c>
      <c r="B1995" t="str">
        <f>HYPERLINK("http://bombeiros.sp.gov.br/hidrantes/08bsg/qrcodeBSG.html?id=3106&amp;lat=-23.56262&amp;long=-46.54334&amp;tipo=S","QRCODE")</f>
        <v>QRCODE</v>
      </c>
      <c r="C1995" t="s">
        <v>5273</v>
      </c>
      <c r="D1995" t="s">
        <v>890</v>
      </c>
      <c r="E1995" t="s">
        <v>798</v>
      </c>
      <c r="F1995" t="s">
        <v>21</v>
      </c>
      <c r="G1995" t="s">
        <v>992</v>
      </c>
      <c r="H1995">
        <v>0</v>
      </c>
      <c r="I1995">
        <v>2</v>
      </c>
      <c r="J1995">
        <v>0</v>
      </c>
      <c r="K1995">
        <v>0</v>
      </c>
      <c r="L1995">
        <v>0</v>
      </c>
    </row>
    <row r="1996" spans="1:12">
      <c r="A1996" t="str">
        <f>HYPERLINK("http://bombeiros.sp.gov.br/hidrantes/03individual/3107.html","3107")</f>
        <v>3107</v>
      </c>
      <c r="B1996" t="str">
        <f>HYPERLINK("http://bombeiros.sp.gov.br/hidrantes/08bsg/qrcodeBSG.html?id=3107&amp;lat=-23.56521&amp;long=-46.54561&amp;tipo=S","QRCODE")</f>
        <v>QRCODE</v>
      </c>
      <c r="C1996" t="s">
        <v>5273</v>
      </c>
      <c r="D1996" t="s">
        <v>890</v>
      </c>
      <c r="E1996" t="s">
        <v>798</v>
      </c>
      <c r="F1996" t="s">
        <v>21</v>
      </c>
      <c r="G1996" t="s">
        <v>4544</v>
      </c>
      <c r="H1996">
        <v>0</v>
      </c>
      <c r="I1996">
        <v>2</v>
      </c>
      <c r="J1996">
        <v>0</v>
      </c>
      <c r="K1996">
        <v>0</v>
      </c>
      <c r="L1996">
        <v>0</v>
      </c>
    </row>
    <row r="1997" spans="1:12">
      <c r="A1997" t="str">
        <f>HYPERLINK("http://bombeiros.sp.gov.br/hidrantes/03individual/3110.html","3110")</f>
        <v>3110</v>
      </c>
      <c r="B1997" t="str">
        <f>HYPERLINK("http://bombeiros.sp.gov.br/hidrantes/08bsg/qrcodeBSG.html?id=3110&amp;lat=-23.56778&amp;long=-46.54724&amp;tipo=S","QRCODE")</f>
        <v>QRCODE</v>
      </c>
      <c r="C1997" t="s">
        <v>5273</v>
      </c>
      <c r="D1997" t="s">
        <v>890</v>
      </c>
      <c r="E1997" t="s">
        <v>798</v>
      </c>
      <c r="F1997" t="s">
        <v>21</v>
      </c>
      <c r="G1997" t="s">
        <v>4545</v>
      </c>
      <c r="H1997">
        <v>0</v>
      </c>
      <c r="I1997">
        <v>3</v>
      </c>
      <c r="J1997">
        <v>0</v>
      </c>
      <c r="K1997">
        <v>0</v>
      </c>
      <c r="L1997">
        <v>0</v>
      </c>
    </row>
    <row r="1998" spans="1:12">
      <c r="A1998" t="str">
        <f>HYPERLINK("http://bombeiros.sp.gov.br/hidrantes/03individual/3111.html","3111")</f>
        <v>3111</v>
      </c>
      <c r="B1998" t="str">
        <f>HYPERLINK("http://bombeiros.sp.gov.br/hidrantes/08bsg/qrcodeBSG.html?id=3111&amp;lat=-23.56354&amp;long=-46.54949&amp;tipo=S","QRCODE")</f>
        <v>QRCODE</v>
      </c>
      <c r="C1998" t="s">
        <v>5273</v>
      </c>
      <c r="D1998" t="s">
        <v>890</v>
      </c>
      <c r="E1998" t="s">
        <v>798</v>
      </c>
      <c r="F1998" t="s">
        <v>21</v>
      </c>
      <c r="G1998" t="s">
        <v>869</v>
      </c>
      <c r="H1998">
        <v>1</v>
      </c>
      <c r="I1998">
        <v>2</v>
      </c>
      <c r="J1998">
        <v>0</v>
      </c>
      <c r="K1998">
        <v>0</v>
      </c>
      <c r="L1998">
        <v>0</v>
      </c>
    </row>
    <row r="1999" spans="1:12">
      <c r="A1999" t="str">
        <f>HYPERLINK("http://bombeiros.sp.gov.br/hidrantes/03individual/3112.html","3112")</f>
        <v>3112</v>
      </c>
      <c r="B1999" t="str">
        <f>HYPERLINK("http://bombeiros.sp.gov.br/hidrantes/08bsg/qrcodeBSG.html?id=3112&amp;lat=-23.56123&amp;long=-46.55000&amp;tipo=S","QRCODE")</f>
        <v>QRCODE</v>
      </c>
      <c r="C1999" t="s">
        <v>5273</v>
      </c>
      <c r="D1999" t="s">
        <v>890</v>
      </c>
      <c r="E1999" t="s">
        <v>798</v>
      </c>
      <c r="F1999" t="s">
        <v>21</v>
      </c>
      <c r="G1999" t="s">
        <v>4547</v>
      </c>
      <c r="H1999">
        <v>0</v>
      </c>
      <c r="I1999">
        <v>3</v>
      </c>
      <c r="J1999">
        <v>0</v>
      </c>
      <c r="K1999">
        <v>0</v>
      </c>
      <c r="L1999">
        <v>0</v>
      </c>
    </row>
    <row r="2000" spans="1:12">
      <c r="A2000" t="str">
        <f>HYPERLINK("http://bombeiros.sp.gov.br/hidrantes/03individual/3113.html","3113")</f>
        <v>3113</v>
      </c>
      <c r="B2000" t="str">
        <f>HYPERLINK("http://bombeiros.sp.gov.br/hidrantes/08bsg/qrcodeBSG.html?id=3113&amp;lat=-23.56200&amp;long=-46.54667&amp;tipo=S","QRCODE")</f>
        <v>QRCODE</v>
      </c>
      <c r="C2000" t="s">
        <v>5273</v>
      </c>
      <c r="D2000" t="s">
        <v>890</v>
      </c>
      <c r="E2000" t="s">
        <v>798</v>
      </c>
      <c r="F2000" t="s">
        <v>21</v>
      </c>
      <c r="G2000" t="s">
        <v>870</v>
      </c>
      <c r="H2000">
        <v>0</v>
      </c>
      <c r="I2000">
        <v>2</v>
      </c>
      <c r="J2000">
        <v>0</v>
      </c>
      <c r="K2000">
        <v>0</v>
      </c>
      <c r="L2000">
        <v>0</v>
      </c>
    </row>
    <row r="2001" spans="1:12">
      <c r="A2001" t="str">
        <f>HYPERLINK("http://bombeiros.sp.gov.br/hidrantes/03individual/3116.html","3116")</f>
        <v>3116</v>
      </c>
      <c r="B2001" t="str">
        <f>HYPERLINK("http://bombeiros.sp.gov.br/hidrantes/08bsg/qrcodeBSG.html?id=3116&amp;lat=-23.56400&amp;long=-46.54923&amp;tipo=S","QRCODE")</f>
        <v>QRCODE</v>
      </c>
      <c r="C2001" t="s">
        <v>5273</v>
      </c>
      <c r="D2001" t="s">
        <v>890</v>
      </c>
      <c r="E2001" t="s">
        <v>798</v>
      </c>
      <c r="F2001" t="s">
        <v>21</v>
      </c>
      <c r="G2001" t="s">
        <v>4546</v>
      </c>
      <c r="H2001">
        <v>0</v>
      </c>
      <c r="I2001">
        <v>2</v>
      </c>
      <c r="J2001">
        <v>0</v>
      </c>
      <c r="K2001">
        <v>0</v>
      </c>
      <c r="L2001">
        <v>0</v>
      </c>
    </row>
    <row r="2002" spans="1:12">
      <c r="A2002" t="str">
        <f>HYPERLINK("http://bombeiros.sp.gov.br/hidrantes/03individual/3117.html","3117")</f>
        <v>3117</v>
      </c>
      <c r="B2002" t="str">
        <f>HYPERLINK("http://bombeiros.sp.gov.br/hidrantes/08bsg/qrcodeBSG.html?id=3117&amp;lat=-23.56714&amp;long=-46.55006&amp;tipo=S","QRCODE")</f>
        <v>QRCODE</v>
      </c>
      <c r="C2002" t="s">
        <v>5273</v>
      </c>
      <c r="D2002" t="s">
        <v>890</v>
      </c>
      <c r="E2002" t="s">
        <v>798</v>
      </c>
      <c r="F2002" t="s">
        <v>21</v>
      </c>
      <c r="G2002" t="s">
        <v>873</v>
      </c>
      <c r="H2002">
        <v>1</v>
      </c>
      <c r="I2002">
        <v>3</v>
      </c>
      <c r="J2002">
        <v>0</v>
      </c>
      <c r="K2002">
        <v>0</v>
      </c>
      <c r="L2002">
        <v>0</v>
      </c>
    </row>
    <row r="2003" spans="1:12">
      <c r="A2003" t="str">
        <f>HYPERLINK("http://bombeiros.sp.gov.br/hidrantes/03individual/3120.html","3120")</f>
        <v>3120</v>
      </c>
      <c r="B2003" t="str">
        <f>HYPERLINK("http://bombeiros.sp.gov.br/hidrantes/08bsg/qrcodeBSG.html?id=3120&amp;lat=-23.56551&amp;long=-46.55165&amp;tipo=S","QRCODE")</f>
        <v>QRCODE</v>
      </c>
      <c r="C2003" t="s">
        <v>5273</v>
      </c>
      <c r="D2003" t="s">
        <v>890</v>
      </c>
      <c r="E2003" t="s">
        <v>798</v>
      </c>
      <c r="F2003" t="s">
        <v>21</v>
      </c>
      <c r="G2003" t="s">
        <v>872</v>
      </c>
      <c r="H2003">
        <v>0</v>
      </c>
      <c r="I2003">
        <v>2</v>
      </c>
      <c r="J2003">
        <v>0</v>
      </c>
      <c r="K2003">
        <v>0</v>
      </c>
      <c r="L2003">
        <v>0</v>
      </c>
    </row>
    <row r="2004" spans="1:12">
      <c r="A2004" t="str">
        <f>HYPERLINK("http://bombeiros.sp.gov.br/hidrantes/03individual/3121.html","3121")</f>
        <v>3121</v>
      </c>
      <c r="B2004" t="str">
        <f>HYPERLINK("http://bombeiros.sp.gov.br/hidrantes/08bsg/qrcodeBSG.html?id=3121&amp;lat=-23.56425&amp;long=-46.55148&amp;tipo=S","QRCODE")</f>
        <v>QRCODE</v>
      </c>
      <c r="C2004" t="s">
        <v>5273</v>
      </c>
      <c r="D2004" t="s">
        <v>890</v>
      </c>
      <c r="E2004" t="s">
        <v>798</v>
      </c>
      <c r="F2004" t="s">
        <v>21</v>
      </c>
      <c r="G2004" t="s">
        <v>876</v>
      </c>
      <c r="H2004">
        <v>0</v>
      </c>
      <c r="I2004">
        <v>2</v>
      </c>
      <c r="J2004">
        <v>0</v>
      </c>
      <c r="K2004">
        <v>0</v>
      </c>
      <c r="L2004">
        <v>0</v>
      </c>
    </row>
    <row r="2005" spans="1:12">
      <c r="A2005" t="str">
        <f>HYPERLINK("http://bombeiros.sp.gov.br/hidrantes/03individual/3309.html","3309")</f>
        <v>3309</v>
      </c>
      <c r="B2005" t="str">
        <f>HYPERLINK("http://bombeiros.sp.gov.br/hidrantes/08bsg/qrcodeBSG.html?id=3309&amp;lat=-23.57005&amp;long=-46.54839&amp;tipo=S","QRCODE")</f>
        <v>QRCODE</v>
      </c>
      <c r="C2005" t="s">
        <v>5273</v>
      </c>
      <c r="D2005" t="s">
        <v>890</v>
      </c>
      <c r="E2005" t="s">
        <v>798</v>
      </c>
      <c r="F2005" t="s">
        <v>21</v>
      </c>
      <c r="G2005" t="s">
        <v>5138</v>
      </c>
      <c r="H2005">
        <v>0</v>
      </c>
      <c r="I2005">
        <v>2</v>
      </c>
      <c r="J2005">
        <v>0</v>
      </c>
      <c r="K2005">
        <v>0</v>
      </c>
      <c r="L2005">
        <v>0</v>
      </c>
    </row>
    <row r="2006" spans="1:12">
      <c r="A2006" t="str">
        <f>HYPERLINK("http://bombeiros.sp.gov.br/hidrantes/03individual/3329.html","3329")</f>
        <v>3329</v>
      </c>
      <c r="B2006" t="str">
        <f>HYPERLINK("http://bombeiros.sp.gov.br/hidrantes/08bsg/qrcodeBSG.html?id=3329&amp;lat=-23.56240&amp;long=-46.55158&amp;tipo=S","QRCODE")</f>
        <v>QRCODE</v>
      </c>
      <c r="C2006" t="s">
        <v>5273</v>
      </c>
      <c r="D2006" t="s">
        <v>890</v>
      </c>
      <c r="E2006" t="s">
        <v>798</v>
      </c>
      <c r="F2006" t="s">
        <v>21</v>
      </c>
      <c r="G2006" t="s">
        <v>5157</v>
      </c>
      <c r="H2006">
        <v>0</v>
      </c>
      <c r="I2006">
        <v>1</v>
      </c>
      <c r="J2006">
        <v>0</v>
      </c>
      <c r="K2006">
        <v>0</v>
      </c>
      <c r="L2006">
        <v>0</v>
      </c>
    </row>
    <row r="2007" spans="1:12">
      <c r="A2007" t="str">
        <f>HYPERLINK("http://bombeiros.sp.gov.br/hidrantes/03individual/4302.html","4302")</f>
        <v>4302</v>
      </c>
      <c r="B2007" t="str">
        <f>HYPERLINK("http://bombeiros.sp.gov.br/hidrantes/08bsg/qrcodeBSG.html?id=4302&amp;lat=-23.56475&amp;long=-46.54386&amp;tipo=S","QRCODE")</f>
        <v>QRCODE</v>
      </c>
      <c r="C2007" t="s">
        <v>5273</v>
      </c>
      <c r="D2007" t="s">
        <v>890</v>
      </c>
      <c r="E2007" t="s">
        <v>798</v>
      </c>
      <c r="F2007" t="s">
        <v>21</v>
      </c>
      <c r="G2007" t="s">
        <v>4501</v>
      </c>
      <c r="H2007">
        <v>0</v>
      </c>
      <c r="I2007">
        <v>2</v>
      </c>
      <c r="J2007">
        <v>0</v>
      </c>
      <c r="K2007">
        <v>0</v>
      </c>
      <c r="L2007">
        <v>0</v>
      </c>
    </row>
    <row r="2008" spans="1:12">
      <c r="A2008" t="str">
        <f>HYPERLINK("http://bombeiros.sp.gov.br/hidrantes/03individual/4303.html","4303")</f>
        <v>4303</v>
      </c>
      <c r="B2008" t="str">
        <f>HYPERLINK("http://bombeiros.sp.gov.br/hidrantes/08bsg/qrcodeBSG.html?id=4303&amp;lat=-23.55951&amp;long=-46.55048&amp;tipo=S","QRCODE")</f>
        <v>QRCODE</v>
      </c>
      <c r="C2008" t="s">
        <v>5273</v>
      </c>
      <c r="D2008" t="s">
        <v>890</v>
      </c>
      <c r="E2008" t="s">
        <v>798</v>
      </c>
      <c r="F2008" t="s">
        <v>21</v>
      </c>
      <c r="G2008" t="s">
        <v>4502</v>
      </c>
      <c r="H2008">
        <v>0</v>
      </c>
      <c r="I2008">
        <v>2</v>
      </c>
      <c r="J2008">
        <v>0</v>
      </c>
      <c r="K2008">
        <v>0</v>
      </c>
      <c r="L2008">
        <v>0</v>
      </c>
    </row>
    <row r="2009" spans="1:12">
      <c r="A2009" t="str">
        <f>HYPERLINK("http://bombeiros.sp.gov.br/hidrantes/03individual/16654.html","16654")</f>
        <v>16654</v>
      </c>
      <c r="B2009" t="str">
        <f>HYPERLINK("http://bombeiros.sp.gov.br/hidrantes/08bsg/qrcodeBSG.html?id=16654&amp;lat=-23.55545&amp;long=-46.54744&amp;tipo=S","QRCODE")</f>
        <v>QRCODE</v>
      </c>
      <c r="C2009" t="s">
        <v>5273</v>
      </c>
      <c r="D2009" t="s">
        <v>890</v>
      </c>
      <c r="E2009" t="s">
        <v>798</v>
      </c>
      <c r="F2009" t="s">
        <v>21</v>
      </c>
      <c r="G2009" t="s">
        <v>4532</v>
      </c>
      <c r="H2009">
        <v>0</v>
      </c>
      <c r="I2009">
        <v>2</v>
      </c>
      <c r="J2009">
        <v>0</v>
      </c>
      <c r="K2009">
        <v>0</v>
      </c>
      <c r="L2009">
        <v>0</v>
      </c>
    </row>
    <row r="2010" spans="1:12">
      <c r="A2010" t="str">
        <f>HYPERLINK("http://bombeiros.sp.gov.br/hidrantes/03individual/989.html","989")</f>
        <v>989</v>
      </c>
      <c r="B2010" t="str">
        <f>HYPERLINK("http://bombeiros.sp.gov.br/hidrantes/08bsg/qrcodeBSG.html?id=989&amp;lat=-23.57904&amp;long=-46.54085&amp;tipo=C","QRCODE")</f>
        <v>QRCODE</v>
      </c>
      <c r="C2010" t="s">
        <v>5273</v>
      </c>
      <c r="D2010" t="s">
        <v>890</v>
      </c>
      <c r="E2010" t="s">
        <v>890</v>
      </c>
      <c r="F2010" t="s">
        <v>12</v>
      </c>
      <c r="G2010" t="s">
        <v>3141</v>
      </c>
      <c r="H2010">
        <v>1</v>
      </c>
      <c r="I2010">
        <v>1</v>
      </c>
      <c r="J2010">
        <v>0</v>
      </c>
      <c r="K2010">
        <v>0</v>
      </c>
      <c r="L2010">
        <v>0</v>
      </c>
    </row>
    <row r="2011" spans="1:12">
      <c r="A2011" t="str">
        <f>HYPERLINK("http://bombeiros.sp.gov.br/hidrantes/03individual/3269.html","3269")</f>
        <v>3269</v>
      </c>
      <c r="B2011" t="str">
        <f>HYPERLINK("http://bombeiros.sp.gov.br/hidrantes/08bsg/qrcodeBSG.html?id=3269&amp;lat=-23.57782&amp;long=-46.54609&amp;tipo=C","QRCODE")</f>
        <v>QRCODE</v>
      </c>
      <c r="C2011" t="s">
        <v>5273</v>
      </c>
      <c r="D2011" t="s">
        <v>890</v>
      </c>
      <c r="E2011" t="s">
        <v>890</v>
      </c>
      <c r="F2011" t="s">
        <v>12</v>
      </c>
      <c r="G2011" t="s">
        <v>3982</v>
      </c>
      <c r="H2011">
        <v>0</v>
      </c>
      <c r="I2011">
        <v>1</v>
      </c>
      <c r="J2011">
        <v>0</v>
      </c>
      <c r="K2011">
        <v>0</v>
      </c>
      <c r="L2011">
        <v>0</v>
      </c>
    </row>
    <row r="2012" spans="1:12">
      <c r="A2012" t="str">
        <f>HYPERLINK("http://bombeiros.sp.gov.br/hidrantes/03individual/26681.html","26681")</f>
        <v>26681</v>
      </c>
      <c r="B2012" t="str">
        <f>HYPERLINK("http://bombeiros.sp.gov.br/hidrantes/08bsg/qrcodeBSG.html?id=26681&amp;lat=-23.57607&amp;long=-46.53588&amp;tipo=C","QRCODE")</f>
        <v>QRCODE</v>
      </c>
      <c r="C2012" t="s">
        <v>5273</v>
      </c>
      <c r="D2012" t="s">
        <v>890</v>
      </c>
      <c r="E2012" t="s">
        <v>890</v>
      </c>
      <c r="F2012" t="s">
        <v>12</v>
      </c>
      <c r="G2012" t="s">
        <v>1843</v>
      </c>
      <c r="H2012">
        <v>0</v>
      </c>
      <c r="I2012">
        <v>2</v>
      </c>
      <c r="J2012">
        <v>0</v>
      </c>
      <c r="K2012">
        <v>0</v>
      </c>
      <c r="L2012">
        <v>0</v>
      </c>
    </row>
    <row r="2013" spans="1:12">
      <c r="A2013" t="str">
        <f>HYPERLINK("http://bombeiros.sp.gov.br/hidrantes/03individual/990.html","990")</f>
        <v>990</v>
      </c>
      <c r="B2013" t="str">
        <f>HYPERLINK("http://bombeiros.sp.gov.br/hidrantes/08bsg/qrcodeBSG.html?id=990&amp;lat=-23.57694&amp;long=-46.54196&amp;tipo=S","QRCODE")</f>
        <v>QRCODE</v>
      </c>
      <c r="C2013" t="s">
        <v>5273</v>
      </c>
      <c r="D2013" t="s">
        <v>890</v>
      </c>
      <c r="E2013" t="s">
        <v>890</v>
      </c>
      <c r="F2013" t="s">
        <v>21</v>
      </c>
      <c r="G2013" t="s">
        <v>2395</v>
      </c>
      <c r="H2013">
        <v>0</v>
      </c>
      <c r="I2013">
        <v>2</v>
      </c>
      <c r="J2013">
        <v>0</v>
      </c>
      <c r="K2013">
        <v>0</v>
      </c>
      <c r="L2013">
        <v>0</v>
      </c>
    </row>
    <row r="2014" spans="1:12">
      <c r="A2014" t="str">
        <f>HYPERLINK("http://bombeiros.sp.gov.br/hidrantes/03individual/1360.html","1360")</f>
        <v>1360</v>
      </c>
      <c r="B2014" t="str">
        <f>HYPERLINK("http://bombeiros.sp.gov.br/hidrantes/08bsg/qrcodeBSG.html?id=1360&amp;lat=-23.57391&amp;long=-46.54107&amp;tipo=S","QRCODE")</f>
        <v>QRCODE</v>
      </c>
      <c r="C2014" t="s">
        <v>5273</v>
      </c>
      <c r="D2014" t="s">
        <v>890</v>
      </c>
      <c r="E2014" t="s">
        <v>890</v>
      </c>
      <c r="F2014" t="s">
        <v>21</v>
      </c>
      <c r="G2014" t="s">
        <v>2417</v>
      </c>
      <c r="H2014">
        <v>0</v>
      </c>
      <c r="I2014">
        <v>2</v>
      </c>
      <c r="J2014">
        <v>0</v>
      </c>
      <c r="K2014">
        <v>0</v>
      </c>
      <c r="L2014">
        <v>0</v>
      </c>
    </row>
    <row r="2015" spans="1:12">
      <c r="A2015" t="str">
        <f>HYPERLINK("http://bombeiros.sp.gov.br/hidrantes/03individual/1508.html","1508")</f>
        <v>1508</v>
      </c>
      <c r="B2015" t="str">
        <f>HYPERLINK("http://bombeiros.sp.gov.br/hidrantes/08bsg/qrcodeBSG.html?id=1508&amp;lat=-23.57036&amp;long=-46.53760&amp;tipo=S","QRCODE")</f>
        <v>QRCODE</v>
      </c>
      <c r="C2015" t="s">
        <v>5273</v>
      </c>
      <c r="D2015" t="s">
        <v>890</v>
      </c>
      <c r="E2015" t="s">
        <v>890</v>
      </c>
      <c r="F2015" t="s">
        <v>21</v>
      </c>
      <c r="G2015" t="s">
        <v>2412</v>
      </c>
      <c r="H2015">
        <v>1</v>
      </c>
      <c r="I2015">
        <v>2</v>
      </c>
      <c r="J2015">
        <v>0</v>
      </c>
      <c r="K2015">
        <v>0</v>
      </c>
      <c r="L2015">
        <v>0</v>
      </c>
    </row>
    <row r="2016" spans="1:12">
      <c r="A2016" t="str">
        <f>HYPERLINK("http://bombeiros.sp.gov.br/hidrantes/03individual/1749.html","1749")</f>
        <v>1749</v>
      </c>
      <c r="B2016" t="str">
        <f>HYPERLINK("http://bombeiros.sp.gov.br/hidrantes/08bsg/qrcodeBSG.html?id=1749&amp;lat=-23.57443&amp;long=-46.55580&amp;tipo=S","QRCODE")</f>
        <v>QRCODE</v>
      </c>
      <c r="C2016" t="s">
        <v>5273</v>
      </c>
      <c r="D2016" t="s">
        <v>890</v>
      </c>
      <c r="E2016" t="s">
        <v>890</v>
      </c>
      <c r="F2016" t="s">
        <v>21</v>
      </c>
      <c r="G2016" t="s">
        <v>3119</v>
      </c>
      <c r="H2016">
        <v>1</v>
      </c>
      <c r="I2016">
        <v>1</v>
      </c>
      <c r="J2016">
        <v>0</v>
      </c>
      <c r="K2016">
        <v>0</v>
      </c>
      <c r="L2016">
        <v>0</v>
      </c>
    </row>
    <row r="2017" spans="1:12">
      <c r="A2017" t="str">
        <f>HYPERLINK("http://bombeiros.sp.gov.br/hidrantes/03individual/3002.html","3002")</f>
        <v>3002</v>
      </c>
      <c r="B2017" t="str">
        <f>HYPERLINK("http://bombeiros.sp.gov.br/hidrantes/08bsg/qrcodeBSG.html?id=3002&amp;lat=-23.57772&amp;long=-46.52499&amp;tipo=S","QRCODE")</f>
        <v>QRCODE</v>
      </c>
      <c r="C2017" t="s">
        <v>5273</v>
      </c>
      <c r="D2017" t="s">
        <v>890</v>
      </c>
      <c r="E2017" t="s">
        <v>890</v>
      </c>
      <c r="F2017" t="s">
        <v>21</v>
      </c>
      <c r="G2017" t="s">
        <v>3099</v>
      </c>
      <c r="H2017">
        <v>1</v>
      </c>
      <c r="I2017">
        <v>1</v>
      </c>
      <c r="J2017">
        <v>0</v>
      </c>
      <c r="K2017">
        <v>0</v>
      </c>
      <c r="L2017">
        <v>0</v>
      </c>
    </row>
    <row r="2018" spans="1:12">
      <c r="A2018" t="str">
        <f>HYPERLINK("http://bombeiros.sp.gov.br/hidrantes/03individual/3054.html","3054")</f>
        <v>3054</v>
      </c>
      <c r="B2018" t="str">
        <f>HYPERLINK("http://bombeiros.sp.gov.br/hidrantes/08bsg/qrcodeBSG.html?id=3054&amp;lat=-23.57397&amp;long=-46.53394&amp;tipo=S","QRCODE")</f>
        <v>QRCODE</v>
      </c>
      <c r="C2018" t="s">
        <v>5273</v>
      </c>
      <c r="D2018" t="s">
        <v>890</v>
      </c>
      <c r="E2018" t="s">
        <v>890</v>
      </c>
      <c r="F2018" t="s">
        <v>21</v>
      </c>
      <c r="G2018" t="s">
        <v>987</v>
      </c>
      <c r="H2018">
        <v>1</v>
      </c>
      <c r="I2018">
        <v>2</v>
      </c>
      <c r="J2018">
        <v>0</v>
      </c>
      <c r="K2018">
        <v>0</v>
      </c>
      <c r="L2018">
        <v>0</v>
      </c>
    </row>
    <row r="2019" spans="1:12">
      <c r="A2019" t="str">
        <f>HYPERLINK("http://bombeiros.sp.gov.br/hidrantes/03individual/3059.html","3059")</f>
        <v>3059</v>
      </c>
      <c r="B2019" t="str">
        <f>HYPERLINK("http://bombeiros.sp.gov.br/hidrantes/08bsg/qrcodeBSG.html?id=3059&amp;lat=-23.57912&amp;long=-46.53623&amp;tipo=S","QRCODE")</f>
        <v>QRCODE</v>
      </c>
      <c r="C2019" t="s">
        <v>5273</v>
      </c>
      <c r="D2019" t="s">
        <v>890</v>
      </c>
      <c r="E2019" t="s">
        <v>890</v>
      </c>
      <c r="F2019" t="s">
        <v>21</v>
      </c>
      <c r="G2019" t="s">
        <v>1862</v>
      </c>
      <c r="H2019">
        <v>0</v>
      </c>
      <c r="I2019">
        <v>2</v>
      </c>
      <c r="J2019">
        <v>0</v>
      </c>
      <c r="K2019">
        <v>0</v>
      </c>
      <c r="L2019">
        <v>0</v>
      </c>
    </row>
    <row r="2020" spans="1:12">
      <c r="A2020" t="str">
        <f>HYPERLINK("http://bombeiros.sp.gov.br/hidrantes/03individual/3100.html","3100")</f>
        <v>3100</v>
      </c>
      <c r="B2020" t="str">
        <f>HYPERLINK("http://bombeiros.sp.gov.br/hidrantes/08bsg/qrcodeBSG.html?id=3100&amp;lat=-23.57279&amp;long=-46.53789&amp;tipo=S","QRCODE")</f>
        <v>QRCODE</v>
      </c>
      <c r="C2020" t="s">
        <v>5273</v>
      </c>
      <c r="D2020" t="s">
        <v>890</v>
      </c>
      <c r="E2020" t="s">
        <v>890</v>
      </c>
      <c r="F2020" t="s">
        <v>21</v>
      </c>
      <c r="G2020" t="s">
        <v>3983</v>
      </c>
      <c r="H2020">
        <v>0</v>
      </c>
      <c r="I2020">
        <v>1</v>
      </c>
      <c r="J2020">
        <v>0</v>
      </c>
      <c r="K2020">
        <v>0</v>
      </c>
      <c r="L2020">
        <v>0</v>
      </c>
    </row>
    <row r="2021" spans="1:12">
      <c r="A2021" t="str">
        <f>HYPERLINK("http://bombeiros.sp.gov.br/hidrantes/03individual/3122.html","3122")</f>
        <v>3122</v>
      </c>
      <c r="B2021" t="str">
        <f>HYPERLINK("http://bombeiros.sp.gov.br/hidrantes/08bsg/qrcodeBSG.html?id=3122&amp;lat=-23.57057&amp;long=-46.55395&amp;tipo=S","QRCODE")</f>
        <v>QRCODE</v>
      </c>
      <c r="C2021" t="s">
        <v>5273</v>
      </c>
      <c r="D2021" t="s">
        <v>890</v>
      </c>
      <c r="E2021" t="s">
        <v>890</v>
      </c>
      <c r="F2021" t="s">
        <v>21</v>
      </c>
      <c r="G2021" t="s">
        <v>4170</v>
      </c>
      <c r="H2021">
        <v>0</v>
      </c>
      <c r="I2021">
        <v>1</v>
      </c>
      <c r="J2021">
        <v>0</v>
      </c>
      <c r="K2021">
        <v>0</v>
      </c>
      <c r="L2021">
        <v>0</v>
      </c>
    </row>
    <row r="2022" spans="1:12">
      <c r="A2022" t="str">
        <f>HYPERLINK("http://bombeiros.sp.gov.br/hidrantes/03individual/3264.html","3264")</f>
        <v>3264</v>
      </c>
      <c r="B2022" t="str">
        <f>HYPERLINK("http://bombeiros.sp.gov.br/hidrantes/08bsg/qrcodeBSG.html?id=3264&amp;lat=-23.57562&amp;long=-46.55193&amp;tipo=S","QRCODE")</f>
        <v>QRCODE</v>
      </c>
      <c r="C2022" t="s">
        <v>5273</v>
      </c>
      <c r="D2022" t="s">
        <v>890</v>
      </c>
      <c r="E2022" t="s">
        <v>890</v>
      </c>
      <c r="F2022" t="s">
        <v>21</v>
      </c>
      <c r="G2022" t="s">
        <v>4539</v>
      </c>
      <c r="H2022">
        <v>0</v>
      </c>
      <c r="I2022">
        <v>2</v>
      </c>
      <c r="J2022">
        <v>0</v>
      </c>
      <c r="K2022">
        <v>0</v>
      </c>
      <c r="L2022">
        <v>0</v>
      </c>
    </row>
    <row r="2023" spans="1:12">
      <c r="A2023" t="str">
        <f>HYPERLINK("http://bombeiros.sp.gov.br/hidrantes/03individual/3268.html","3268")</f>
        <v>3268</v>
      </c>
      <c r="B2023" t="str">
        <f>HYPERLINK("http://bombeiros.sp.gov.br/hidrantes/08bsg/qrcodeBSG.html?id=3268&amp;lat=-23.57700&amp;long=-46.54484&amp;tipo=S","QRCODE")</f>
        <v>QRCODE</v>
      </c>
      <c r="C2023" t="s">
        <v>5273</v>
      </c>
      <c r="D2023" t="s">
        <v>890</v>
      </c>
      <c r="E2023" t="s">
        <v>890</v>
      </c>
      <c r="F2023" t="s">
        <v>21</v>
      </c>
      <c r="G2023" t="s">
        <v>4273</v>
      </c>
      <c r="H2023">
        <v>0</v>
      </c>
      <c r="I2023">
        <v>1</v>
      </c>
      <c r="J2023">
        <v>0</v>
      </c>
      <c r="K2023">
        <v>0</v>
      </c>
      <c r="L2023">
        <v>0</v>
      </c>
    </row>
    <row r="2024" spans="1:12">
      <c r="A2024" t="str">
        <f>HYPERLINK("http://bombeiros.sp.gov.br/hidrantes/03individual/3292.html","3292")</f>
        <v>3292</v>
      </c>
      <c r="B2024" t="str">
        <f>HYPERLINK("http://bombeiros.sp.gov.br/hidrantes/08bsg/qrcodeBSG.html?id=3292&amp;lat=-23.57083&amp;long=-46.54952&amp;tipo=S","QRCODE")</f>
        <v>QRCODE</v>
      </c>
      <c r="C2024" t="s">
        <v>5273</v>
      </c>
      <c r="D2024" t="s">
        <v>890</v>
      </c>
      <c r="E2024" t="s">
        <v>890</v>
      </c>
      <c r="F2024" t="s">
        <v>21</v>
      </c>
      <c r="G2024" t="s">
        <v>889</v>
      </c>
      <c r="H2024">
        <v>0</v>
      </c>
      <c r="I2024">
        <v>2</v>
      </c>
      <c r="J2024">
        <v>0</v>
      </c>
      <c r="K2024">
        <v>0</v>
      </c>
      <c r="L2024">
        <v>0</v>
      </c>
    </row>
    <row r="2025" spans="1:12">
      <c r="A2025" t="str">
        <f>HYPERLINK("http://bombeiros.sp.gov.br/hidrantes/03individual/3302.html","3302")</f>
        <v>3302</v>
      </c>
      <c r="B2025" t="str">
        <f>HYPERLINK("http://bombeiros.sp.gov.br/hidrantes/08bsg/qrcodeBSG.html?id=3302&amp;lat=-23.56771&amp;long=-46.54370&amp;tipo=S","QRCODE")</f>
        <v>QRCODE</v>
      </c>
      <c r="C2025" t="s">
        <v>5273</v>
      </c>
      <c r="D2025" t="s">
        <v>890</v>
      </c>
      <c r="E2025" t="s">
        <v>890</v>
      </c>
      <c r="F2025" t="s">
        <v>21</v>
      </c>
      <c r="G2025" t="s">
        <v>2429</v>
      </c>
      <c r="H2025">
        <v>0</v>
      </c>
      <c r="I2025">
        <v>2</v>
      </c>
      <c r="J2025">
        <v>0</v>
      </c>
      <c r="K2025">
        <v>0</v>
      </c>
      <c r="L2025">
        <v>0</v>
      </c>
    </row>
    <row r="2026" spans="1:12">
      <c r="A2026" t="str">
        <f>HYPERLINK("http://bombeiros.sp.gov.br/hidrantes/03individual/3306.html","3306")</f>
        <v>3306</v>
      </c>
      <c r="B2026" t="str">
        <f>HYPERLINK("http://bombeiros.sp.gov.br/hidrantes/08bsg/qrcodeBSG.html?id=3306&amp;lat=-23.57040&amp;long=-46.54663&amp;tipo=S","QRCODE")</f>
        <v>QRCODE</v>
      </c>
      <c r="C2026" t="s">
        <v>5273</v>
      </c>
      <c r="D2026" t="s">
        <v>890</v>
      </c>
      <c r="E2026" t="s">
        <v>890</v>
      </c>
      <c r="F2026" t="s">
        <v>21</v>
      </c>
      <c r="G2026" t="s">
        <v>2428</v>
      </c>
      <c r="H2026">
        <v>0</v>
      </c>
      <c r="I2026">
        <v>2</v>
      </c>
      <c r="J2026">
        <v>0</v>
      </c>
      <c r="K2026">
        <v>0</v>
      </c>
      <c r="L2026">
        <v>0</v>
      </c>
    </row>
    <row r="2027" spans="1:12">
      <c r="A2027" t="str">
        <f>HYPERLINK("http://bombeiros.sp.gov.br/hidrantes/03individual/3307.html","3307")</f>
        <v>3307</v>
      </c>
      <c r="B2027" t="str">
        <f>HYPERLINK("http://bombeiros.sp.gov.br/hidrantes/08bsg/qrcodeBSG.html?id=3307&amp;lat=-23.57260&amp;long=-46.54718&amp;tipo=S","QRCODE")</f>
        <v>QRCODE</v>
      </c>
      <c r="C2027" t="s">
        <v>5273</v>
      </c>
      <c r="D2027" t="s">
        <v>890</v>
      </c>
      <c r="E2027" t="s">
        <v>890</v>
      </c>
      <c r="F2027" t="s">
        <v>21</v>
      </c>
      <c r="G2027" t="s">
        <v>896</v>
      </c>
      <c r="H2027">
        <v>0</v>
      </c>
      <c r="I2027">
        <v>2</v>
      </c>
      <c r="J2027">
        <v>0</v>
      </c>
      <c r="K2027">
        <v>0</v>
      </c>
      <c r="L2027">
        <v>0</v>
      </c>
    </row>
    <row r="2028" spans="1:12">
      <c r="A2028" t="str">
        <f>HYPERLINK("http://bombeiros.sp.gov.br/hidrantes/03individual/3332.html","3332")</f>
        <v>3332</v>
      </c>
      <c r="B2028" t="str">
        <f>HYPERLINK("http://bombeiros.sp.gov.br/hidrantes/08bsg/qrcodeBSG.html?id=3332&amp;lat=-23.56924&amp;long=-46.53496&amp;tipo=S","QRCODE")</f>
        <v>QRCODE</v>
      </c>
      <c r="C2028" t="s">
        <v>5273</v>
      </c>
      <c r="D2028" t="s">
        <v>890</v>
      </c>
      <c r="E2028" t="s">
        <v>890</v>
      </c>
      <c r="F2028" t="s">
        <v>21</v>
      </c>
      <c r="G2028" t="s">
        <v>4515</v>
      </c>
      <c r="H2028">
        <v>0</v>
      </c>
      <c r="I2028">
        <v>2</v>
      </c>
      <c r="J2028">
        <v>0</v>
      </c>
      <c r="K2028">
        <v>0</v>
      </c>
      <c r="L2028">
        <v>0</v>
      </c>
    </row>
    <row r="2029" spans="1:12">
      <c r="A2029" t="str">
        <f>HYPERLINK("http://bombeiros.sp.gov.br/hidrantes/03individual/4185.html","4185")</f>
        <v>4185</v>
      </c>
      <c r="B2029" t="str">
        <f>HYPERLINK("http://bombeiros.sp.gov.br/hidrantes/08bsg/qrcodeBSG.html?id=4185&amp;lat=-23.57709&amp;long=-46.53929&amp;tipo=S","QRCODE")</f>
        <v>QRCODE</v>
      </c>
      <c r="C2029" t="s">
        <v>5273</v>
      </c>
      <c r="D2029" t="s">
        <v>890</v>
      </c>
      <c r="E2029" t="s">
        <v>890</v>
      </c>
      <c r="F2029" t="s">
        <v>21</v>
      </c>
      <c r="G2029" t="s">
        <v>1896</v>
      </c>
      <c r="H2029">
        <v>1</v>
      </c>
      <c r="I2029">
        <v>2</v>
      </c>
      <c r="J2029">
        <v>0</v>
      </c>
      <c r="K2029">
        <v>0</v>
      </c>
      <c r="L2029">
        <v>0</v>
      </c>
    </row>
    <row r="2030" spans="1:12">
      <c r="A2030" t="str">
        <f>HYPERLINK("http://bombeiros.sp.gov.br/hidrantes/03individual/4187.html","4187")</f>
        <v>4187</v>
      </c>
      <c r="B2030" t="str">
        <f>HYPERLINK("http://bombeiros.sp.gov.br/hidrantes/08bsg/qrcodeBSG.html?id=4187&amp;lat=-23.56784&amp;long=-46.53829&amp;tipo=S","QRCODE")</f>
        <v>QRCODE</v>
      </c>
      <c r="C2030" t="s">
        <v>5273</v>
      </c>
      <c r="D2030" t="s">
        <v>890</v>
      </c>
      <c r="E2030" t="s">
        <v>890</v>
      </c>
      <c r="F2030" t="s">
        <v>21</v>
      </c>
      <c r="G2030" t="s">
        <v>4754</v>
      </c>
      <c r="H2030">
        <v>1</v>
      </c>
      <c r="I2030">
        <v>1</v>
      </c>
      <c r="J2030">
        <v>0</v>
      </c>
      <c r="K2030">
        <v>0</v>
      </c>
      <c r="L2030">
        <v>0</v>
      </c>
    </row>
    <row r="2031" spans="1:12">
      <c r="A2031" t="str">
        <f>HYPERLINK("http://bombeiros.sp.gov.br/hidrantes/03individual/4293.html","4293")</f>
        <v>4293</v>
      </c>
      <c r="B2031" t="str">
        <f>HYPERLINK("http://bombeiros.sp.gov.br/hidrantes/08bsg/qrcodeBSG.html?id=4293&amp;lat=-23.57284&amp;long=-46.53293&amp;tipo=S","QRCODE")</f>
        <v>QRCODE</v>
      </c>
      <c r="C2031" t="s">
        <v>5273</v>
      </c>
      <c r="D2031" t="s">
        <v>890</v>
      </c>
      <c r="E2031" t="s">
        <v>890</v>
      </c>
      <c r="F2031" t="s">
        <v>21</v>
      </c>
      <c r="G2031" t="s">
        <v>998</v>
      </c>
      <c r="H2031">
        <v>0</v>
      </c>
      <c r="I2031">
        <v>2</v>
      </c>
      <c r="J2031">
        <v>0</v>
      </c>
      <c r="K2031">
        <v>0</v>
      </c>
      <c r="L2031">
        <v>0</v>
      </c>
    </row>
    <row r="2032" spans="1:12">
      <c r="A2032" t="str">
        <f>HYPERLINK("http://bombeiros.sp.gov.br/hidrantes/03individual/4294.html","4294")</f>
        <v>4294</v>
      </c>
      <c r="B2032" t="str">
        <f>HYPERLINK("http://bombeiros.sp.gov.br/hidrantes/08bsg/qrcodeBSG.html?id=4294&amp;lat=-23.57306&amp;long=-46.53387&amp;tipo=S","QRCODE")</f>
        <v>QRCODE</v>
      </c>
      <c r="C2032" t="s">
        <v>5273</v>
      </c>
      <c r="D2032" t="s">
        <v>890</v>
      </c>
      <c r="E2032" t="s">
        <v>890</v>
      </c>
      <c r="F2032" t="s">
        <v>21</v>
      </c>
      <c r="G2032" t="s">
        <v>3112</v>
      </c>
      <c r="H2032">
        <v>1</v>
      </c>
      <c r="I2032">
        <v>1</v>
      </c>
      <c r="J2032">
        <v>0</v>
      </c>
      <c r="K2032">
        <v>0</v>
      </c>
      <c r="L2032">
        <v>0</v>
      </c>
    </row>
    <row r="2033" spans="1:12">
      <c r="A2033" t="str">
        <f>HYPERLINK("http://bombeiros.sp.gov.br/hidrantes/03individual/4295.html","4295")</f>
        <v>4295</v>
      </c>
      <c r="B2033" t="str">
        <f>HYPERLINK("http://bombeiros.sp.gov.br/hidrantes/08bsg/qrcodeBSG.html?id=4295&amp;lat=-23.57570&amp;long=-46.53431&amp;tipo=S","QRCODE")</f>
        <v>QRCODE</v>
      </c>
      <c r="C2033" t="s">
        <v>5273</v>
      </c>
      <c r="D2033" t="s">
        <v>890</v>
      </c>
      <c r="E2033" t="s">
        <v>890</v>
      </c>
      <c r="F2033" t="s">
        <v>21</v>
      </c>
      <c r="G2033" t="s">
        <v>3113</v>
      </c>
      <c r="H2033">
        <v>1</v>
      </c>
      <c r="I2033">
        <v>1</v>
      </c>
      <c r="J2033">
        <v>0</v>
      </c>
      <c r="K2033">
        <v>0</v>
      </c>
      <c r="L2033">
        <v>0</v>
      </c>
    </row>
    <row r="2034" spans="1:12">
      <c r="A2034" t="str">
        <f>HYPERLINK("http://bombeiros.sp.gov.br/hidrantes/03individual/4297.html","4297")</f>
        <v>4297</v>
      </c>
      <c r="B2034" t="str">
        <f>HYPERLINK("http://bombeiros.sp.gov.br/hidrantes/08bsg/qrcodeBSG.html?id=4297&amp;lat=-23.57975&amp;long=-46.52667&amp;tipo=S","QRCODE")</f>
        <v>QRCODE</v>
      </c>
      <c r="C2034" t="s">
        <v>5273</v>
      </c>
      <c r="D2034" t="s">
        <v>890</v>
      </c>
      <c r="E2034" t="s">
        <v>890</v>
      </c>
      <c r="F2034" t="s">
        <v>21</v>
      </c>
      <c r="G2034" t="s">
        <v>4033</v>
      </c>
      <c r="H2034">
        <v>1</v>
      </c>
      <c r="I2034">
        <v>1</v>
      </c>
      <c r="J2034">
        <v>0</v>
      </c>
      <c r="K2034">
        <v>0</v>
      </c>
      <c r="L2034">
        <v>0</v>
      </c>
    </row>
    <row r="2035" spans="1:12">
      <c r="A2035" t="str">
        <f>HYPERLINK("http://bombeiros.sp.gov.br/hidrantes/03individual/4298.html","4298")</f>
        <v>4298</v>
      </c>
      <c r="B2035" t="str">
        <f>HYPERLINK("http://bombeiros.sp.gov.br/hidrantes/08bsg/qrcodeBSG.html?id=4298&amp;lat=-23.57054&amp;long=-46.54014&amp;tipo=S","QRCODE")</f>
        <v>QRCODE</v>
      </c>
      <c r="C2035" t="s">
        <v>5273</v>
      </c>
      <c r="D2035" t="s">
        <v>890</v>
      </c>
      <c r="E2035" t="s">
        <v>890</v>
      </c>
      <c r="F2035" t="s">
        <v>21</v>
      </c>
      <c r="G2035" t="s">
        <v>4775</v>
      </c>
      <c r="H2035">
        <v>1</v>
      </c>
      <c r="I2035">
        <v>1</v>
      </c>
      <c r="J2035">
        <v>0</v>
      </c>
      <c r="K2035">
        <v>0</v>
      </c>
      <c r="L2035">
        <v>0</v>
      </c>
    </row>
    <row r="2036" spans="1:12">
      <c r="A2036" t="str">
        <f>HYPERLINK("http://bombeiros.sp.gov.br/hidrantes/03individual/4299.html","4299")</f>
        <v>4299</v>
      </c>
      <c r="B2036" t="str">
        <f>HYPERLINK("http://bombeiros.sp.gov.br/hidrantes/08bsg/qrcodeBSG.html?id=4299&amp;lat=-23.56860&amp;long=-46.54082&amp;tipo=S","QRCODE")</f>
        <v>QRCODE</v>
      </c>
      <c r="C2036" t="s">
        <v>5273</v>
      </c>
      <c r="D2036" t="s">
        <v>890</v>
      </c>
      <c r="E2036" t="s">
        <v>890</v>
      </c>
      <c r="F2036" t="s">
        <v>21</v>
      </c>
      <c r="G2036" t="s">
        <v>3111</v>
      </c>
      <c r="H2036">
        <v>1</v>
      </c>
      <c r="I2036">
        <v>1</v>
      </c>
      <c r="J2036">
        <v>0</v>
      </c>
      <c r="K2036">
        <v>0</v>
      </c>
      <c r="L2036">
        <v>0</v>
      </c>
    </row>
    <row r="2037" spans="1:12">
      <c r="A2037" t="str">
        <f>HYPERLINK("http://bombeiros.sp.gov.br/hidrantes/03individual/4300.html","4300")</f>
        <v>4300</v>
      </c>
      <c r="B2037" t="str">
        <f>HYPERLINK("http://bombeiros.sp.gov.br/hidrantes/08bsg/qrcodeBSG.html?id=4300&amp;lat=-23.56522&amp;long=-46.53966&amp;tipo=S","QRCODE")</f>
        <v>QRCODE</v>
      </c>
      <c r="C2037" t="s">
        <v>5273</v>
      </c>
      <c r="D2037" t="s">
        <v>890</v>
      </c>
      <c r="E2037" t="s">
        <v>890</v>
      </c>
      <c r="F2037" t="s">
        <v>21</v>
      </c>
      <c r="G2037" t="s">
        <v>996</v>
      </c>
      <c r="H2037">
        <v>0</v>
      </c>
      <c r="I2037">
        <v>2</v>
      </c>
      <c r="J2037">
        <v>0</v>
      </c>
      <c r="K2037">
        <v>0</v>
      </c>
      <c r="L2037">
        <v>0</v>
      </c>
    </row>
    <row r="2038" spans="1:12">
      <c r="A2038" t="str">
        <f>HYPERLINK("http://bombeiros.sp.gov.br/hidrantes/03individual/4301.html","4301")</f>
        <v>4301</v>
      </c>
      <c r="B2038" t="str">
        <f>HYPERLINK("http://bombeiros.sp.gov.br/hidrantes/08bsg/qrcodeBSG.html?id=4301&amp;lat=-23.56549&amp;long=-46.54186&amp;tipo=S","QRCODE")</f>
        <v>QRCODE</v>
      </c>
      <c r="C2038" t="s">
        <v>5273</v>
      </c>
      <c r="D2038" t="s">
        <v>890</v>
      </c>
      <c r="E2038" t="s">
        <v>890</v>
      </c>
      <c r="F2038" t="s">
        <v>21</v>
      </c>
      <c r="G2038" t="s">
        <v>2421</v>
      </c>
      <c r="H2038">
        <v>0</v>
      </c>
      <c r="I2038">
        <v>2</v>
      </c>
      <c r="J2038">
        <v>0</v>
      </c>
      <c r="K2038">
        <v>0</v>
      </c>
      <c r="L2038">
        <v>0</v>
      </c>
    </row>
    <row r="2039" spans="1:12">
      <c r="A2039" t="str">
        <f>HYPERLINK("http://bombeiros.sp.gov.br/hidrantes/03individual/4307.html","4307")</f>
        <v>4307</v>
      </c>
      <c r="B2039" t="str">
        <f>HYPERLINK("http://bombeiros.sp.gov.br/hidrantes/08bsg/qrcodeBSG.html?id=4307&amp;lat=-23.57147&amp;long=-46.54360&amp;tipo=S","QRCODE")</f>
        <v>QRCODE</v>
      </c>
      <c r="C2039" t="s">
        <v>5273</v>
      </c>
      <c r="D2039" t="s">
        <v>890</v>
      </c>
      <c r="E2039" t="s">
        <v>890</v>
      </c>
      <c r="F2039" t="s">
        <v>21</v>
      </c>
      <c r="G2039" t="s">
        <v>4498</v>
      </c>
      <c r="H2039">
        <v>0</v>
      </c>
      <c r="I2039">
        <v>2</v>
      </c>
      <c r="J2039">
        <v>0</v>
      </c>
      <c r="K2039">
        <v>0</v>
      </c>
      <c r="L2039">
        <v>0</v>
      </c>
    </row>
    <row r="2040" spans="1:12">
      <c r="A2040" t="str">
        <f>HYPERLINK("http://bombeiros.sp.gov.br/hidrantes/03individual/4308.html","4308")</f>
        <v>4308</v>
      </c>
      <c r="B2040" t="str">
        <f>HYPERLINK("http://bombeiros.sp.gov.br/hidrantes/08bsg/qrcodeBSG.html?id=4308&amp;lat=-23.57541&amp;long=-46.54137&amp;tipo=S","QRCODE")</f>
        <v>QRCODE</v>
      </c>
      <c r="C2040" t="s">
        <v>5273</v>
      </c>
      <c r="D2040" t="s">
        <v>890</v>
      </c>
      <c r="E2040" t="s">
        <v>890</v>
      </c>
      <c r="F2040" t="s">
        <v>21</v>
      </c>
      <c r="G2040" t="s">
        <v>1897</v>
      </c>
      <c r="H2040">
        <v>0</v>
      </c>
      <c r="I2040">
        <v>2</v>
      </c>
      <c r="J2040">
        <v>0</v>
      </c>
      <c r="K2040">
        <v>0</v>
      </c>
      <c r="L2040">
        <v>0</v>
      </c>
    </row>
    <row r="2041" spans="1:12">
      <c r="A2041" t="str">
        <f>HYPERLINK("http://bombeiros.sp.gov.br/hidrantes/03individual/17738.html","17738")</f>
        <v>17738</v>
      </c>
      <c r="B2041" t="str">
        <f>HYPERLINK("http://bombeiros.sp.gov.br/hidrantes/08bsg/qrcodeBSG.html?id=17738&amp;lat=-23.56569&amp;long=-46.53516&amp;tipo=S","QRCODE")</f>
        <v>QRCODE</v>
      </c>
      <c r="C2041" t="s">
        <v>5273</v>
      </c>
      <c r="D2041" t="s">
        <v>890</v>
      </c>
      <c r="E2041" t="s">
        <v>890</v>
      </c>
      <c r="F2041" t="s">
        <v>21</v>
      </c>
      <c r="G2041" t="s">
        <v>2442</v>
      </c>
      <c r="H2041">
        <v>0</v>
      </c>
      <c r="I2041">
        <v>2</v>
      </c>
      <c r="J2041">
        <v>0</v>
      </c>
      <c r="K2041">
        <v>0</v>
      </c>
      <c r="L2041">
        <v>0</v>
      </c>
    </row>
    <row r="2042" spans="1:12">
      <c r="A2042" t="str">
        <f>HYPERLINK("http://bombeiros.sp.gov.br/hidrantes/03individual/3458.html","3458")</f>
        <v>3458</v>
      </c>
      <c r="B2042" t="str">
        <f>HYPERLINK("http://bombeiros.sp.gov.br/hidrantes/08bsg/qrcodeBSG.html?id=3458&amp;lat=-23.51264&amp;long=-46.46275&amp;tipo=C","QRCODE")</f>
        <v>QRCODE</v>
      </c>
      <c r="C2042" t="s">
        <v>5273</v>
      </c>
      <c r="D2042" t="s">
        <v>1625</v>
      </c>
      <c r="E2042" t="s">
        <v>1675</v>
      </c>
      <c r="F2042" t="s">
        <v>12</v>
      </c>
      <c r="G2042" t="s">
        <v>1674</v>
      </c>
      <c r="H2042">
        <v>0</v>
      </c>
      <c r="I2042">
        <v>2</v>
      </c>
      <c r="J2042">
        <v>0</v>
      </c>
      <c r="K2042">
        <v>0</v>
      </c>
      <c r="L2042">
        <v>0</v>
      </c>
    </row>
    <row r="2043" spans="1:12">
      <c r="A2043" t="str">
        <f>HYPERLINK("http://bombeiros.sp.gov.br/hidrantes/03individual/17860.html","17860")</f>
        <v>17860</v>
      </c>
      <c r="B2043" t="str">
        <f>HYPERLINK("http://bombeiros.sp.gov.br/hidrantes/08bsg/qrcodeBSG.html?id=17860&amp;lat=-23.50547&amp;long=-46.46942&amp;tipo=C","QRCODE")</f>
        <v>QRCODE</v>
      </c>
      <c r="C2043" t="s">
        <v>5273</v>
      </c>
      <c r="D2043" t="s">
        <v>1625</v>
      </c>
      <c r="E2043" t="s">
        <v>1675</v>
      </c>
      <c r="F2043" t="s">
        <v>12</v>
      </c>
      <c r="G2043" t="s">
        <v>3986</v>
      </c>
      <c r="H2043">
        <v>0</v>
      </c>
      <c r="I2043">
        <v>2</v>
      </c>
      <c r="J2043">
        <v>0</v>
      </c>
      <c r="K2043">
        <v>0</v>
      </c>
      <c r="L2043">
        <v>0</v>
      </c>
    </row>
    <row r="2044" spans="1:12">
      <c r="A2044" t="str">
        <f>HYPERLINK("http://bombeiros.sp.gov.br/hidrantes/03individual/1798.html","1798")</f>
        <v>1798</v>
      </c>
      <c r="B2044" t="str">
        <f>HYPERLINK("http://bombeiros.sp.gov.br/hidrantes/08bsg/qrcodeBSG.html?id=1798&amp;lat=-23.51649&amp;long=-46.47631&amp;tipo=C","QRCODE")</f>
        <v>QRCODE</v>
      </c>
      <c r="C2044" t="s">
        <v>5273</v>
      </c>
      <c r="D2044" t="s">
        <v>1625</v>
      </c>
      <c r="E2044" t="s">
        <v>1645</v>
      </c>
      <c r="F2044" t="s">
        <v>12</v>
      </c>
      <c r="G2044" t="s">
        <v>1644</v>
      </c>
      <c r="H2044">
        <v>0</v>
      </c>
      <c r="I2044">
        <v>3</v>
      </c>
      <c r="J2044">
        <v>0</v>
      </c>
      <c r="K2044">
        <v>0</v>
      </c>
      <c r="L2044">
        <v>0</v>
      </c>
    </row>
    <row r="2045" spans="1:12">
      <c r="A2045" t="str">
        <f>HYPERLINK("http://bombeiros.sp.gov.br/hidrantes/03individual/3395.html","3395")</f>
        <v>3395</v>
      </c>
      <c r="B2045" t="str">
        <f>HYPERLINK("http://bombeiros.sp.gov.br/hidrantes/08bsg/qrcodeBSG.html?id=3395&amp;lat=-23.51208&amp;long=-46.47488&amp;tipo=C","QRCODE")</f>
        <v>QRCODE</v>
      </c>
      <c r="C2045" t="s">
        <v>5273</v>
      </c>
      <c r="D2045" t="s">
        <v>1625</v>
      </c>
      <c r="E2045" t="s">
        <v>1645</v>
      </c>
      <c r="F2045" t="s">
        <v>12</v>
      </c>
      <c r="G2045" t="s">
        <v>2750</v>
      </c>
      <c r="H2045">
        <v>0</v>
      </c>
      <c r="I2045">
        <v>2</v>
      </c>
      <c r="J2045">
        <v>0</v>
      </c>
      <c r="K2045">
        <v>0</v>
      </c>
      <c r="L2045">
        <v>0</v>
      </c>
    </row>
    <row r="2046" spans="1:12">
      <c r="A2046" t="str">
        <f>HYPERLINK("http://bombeiros.sp.gov.br/hidrantes/03individual/4326.html","4326")</f>
        <v>4326</v>
      </c>
      <c r="B2046" t="str">
        <f>HYPERLINK("http://bombeiros.sp.gov.br/hidrantes/08bsg/qrcodeBSG.html?id=4326&amp;lat=-23.51029&amp;long=-46.47244&amp;tipo=C","QRCODE")</f>
        <v>QRCODE</v>
      </c>
      <c r="C2046" t="s">
        <v>5273</v>
      </c>
      <c r="D2046" t="s">
        <v>1625</v>
      </c>
      <c r="E2046" t="s">
        <v>1645</v>
      </c>
      <c r="F2046" t="s">
        <v>12</v>
      </c>
      <c r="G2046" t="s">
        <v>5154</v>
      </c>
      <c r="H2046">
        <v>0</v>
      </c>
      <c r="I2046">
        <v>1</v>
      </c>
      <c r="J2046">
        <v>0</v>
      </c>
      <c r="K2046">
        <v>0</v>
      </c>
      <c r="L2046">
        <v>0</v>
      </c>
    </row>
    <row r="2047" spans="1:12">
      <c r="A2047" t="str">
        <f>HYPERLINK("http://bombeiros.sp.gov.br/hidrantes/03individual/14893.html","14893")</f>
        <v>14893</v>
      </c>
      <c r="B2047" t="str">
        <f>HYPERLINK("http://bombeiros.sp.gov.br/hidrantes/08bsg/qrcodeBSG.html?id=14893&amp;lat=-23.50698&amp;long=-46.47792&amp;tipo=C","QRCODE")</f>
        <v>QRCODE</v>
      </c>
      <c r="C2047" t="s">
        <v>5273</v>
      </c>
      <c r="D2047" t="s">
        <v>1625</v>
      </c>
      <c r="E2047" t="s">
        <v>1645</v>
      </c>
      <c r="F2047" t="s">
        <v>12</v>
      </c>
      <c r="G2047" t="s">
        <v>2172</v>
      </c>
      <c r="H2047">
        <v>0</v>
      </c>
      <c r="I2047">
        <v>2</v>
      </c>
      <c r="J2047">
        <v>0</v>
      </c>
      <c r="K2047">
        <v>0</v>
      </c>
      <c r="L2047">
        <v>0</v>
      </c>
    </row>
    <row r="2048" spans="1:12">
      <c r="A2048" t="str">
        <f>HYPERLINK("http://bombeiros.sp.gov.br/hidrantes/03individual/1877.html","1877")</f>
        <v>1877</v>
      </c>
      <c r="B2048" t="str">
        <f>HYPERLINK("http://bombeiros.sp.gov.br/hidrantes/08bsg/qrcodeBSG.html?id=1877&amp;lat=-23.50828&amp;long=-46.47584&amp;tipo=S","QRCODE")</f>
        <v>QRCODE</v>
      </c>
      <c r="C2048" t="s">
        <v>5273</v>
      </c>
      <c r="D2048" t="s">
        <v>1625</v>
      </c>
      <c r="E2048" t="s">
        <v>1645</v>
      </c>
      <c r="F2048" t="s">
        <v>21</v>
      </c>
      <c r="G2048" t="s">
        <v>4665</v>
      </c>
      <c r="H2048">
        <v>1</v>
      </c>
      <c r="I2048">
        <v>1</v>
      </c>
      <c r="J2048">
        <v>0</v>
      </c>
      <c r="K2048">
        <v>0</v>
      </c>
      <c r="L2048">
        <v>0</v>
      </c>
    </row>
    <row r="2049" spans="1:12">
      <c r="A2049" t="str">
        <f>HYPERLINK("http://bombeiros.sp.gov.br/hidrantes/03individual/1896.html","1896")</f>
        <v>1896</v>
      </c>
      <c r="B2049" t="str">
        <f>HYPERLINK("http://bombeiros.sp.gov.br/hidrantes/08bsg/qrcodeBSG.html?id=1896&amp;lat=-23.50802&amp;long=-46.47724&amp;tipo=S","QRCODE")</f>
        <v>QRCODE</v>
      </c>
      <c r="C2049" t="s">
        <v>5273</v>
      </c>
      <c r="D2049" t="s">
        <v>1625</v>
      </c>
      <c r="E2049" t="s">
        <v>1645</v>
      </c>
      <c r="F2049" t="s">
        <v>21</v>
      </c>
      <c r="G2049" t="s">
        <v>4671</v>
      </c>
      <c r="H2049">
        <v>1</v>
      </c>
      <c r="I2049">
        <v>1</v>
      </c>
      <c r="J2049">
        <v>0</v>
      </c>
      <c r="K2049">
        <v>0</v>
      </c>
      <c r="L2049">
        <v>0</v>
      </c>
    </row>
    <row r="2050" spans="1:12">
      <c r="A2050" t="str">
        <f>HYPERLINK("http://bombeiros.sp.gov.br/hidrantes/03individual/3396.html","3396")</f>
        <v>3396</v>
      </c>
      <c r="B2050" t="str">
        <f>HYPERLINK("http://bombeiros.sp.gov.br/hidrantes/08bsg/qrcodeBSG.html?id=3396&amp;lat=-23.50593&amp;long=-46.47541&amp;tipo=S","QRCODE")</f>
        <v>QRCODE</v>
      </c>
      <c r="C2050" t="s">
        <v>5273</v>
      </c>
      <c r="D2050" t="s">
        <v>1625</v>
      </c>
      <c r="E2050" t="s">
        <v>1645</v>
      </c>
      <c r="F2050" t="s">
        <v>21</v>
      </c>
      <c r="G2050" t="s">
        <v>2162</v>
      </c>
      <c r="H2050">
        <v>0</v>
      </c>
      <c r="I2050">
        <v>2</v>
      </c>
      <c r="J2050">
        <v>0</v>
      </c>
      <c r="K2050">
        <v>0</v>
      </c>
      <c r="L2050">
        <v>0</v>
      </c>
    </row>
    <row r="2051" spans="1:12">
      <c r="A2051" t="str">
        <f>HYPERLINK("http://bombeiros.sp.gov.br/hidrantes/03individual/3409.html","3409")</f>
        <v>3409</v>
      </c>
      <c r="B2051" t="str">
        <f>HYPERLINK("http://bombeiros.sp.gov.br/hidrantes/08bsg/qrcodeBSG.html?id=3409&amp;lat=-23.51245&amp;long=-46.47557&amp;tipo=S","QRCODE")</f>
        <v>QRCODE</v>
      </c>
      <c r="C2051" t="s">
        <v>5273</v>
      </c>
      <c r="D2051" t="s">
        <v>1625</v>
      </c>
      <c r="E2051" t="s">
        <v>1645</v>
      </c>
      <c r="F2051" t="s">
        <v>21</v>
      </c>
      <c r="G2051" t="s">
        <v>1671</v>
      </c>
      <c r="H2051">
        <v>1</v>
      </c>
      <c r="I2051">
        <v>2</v>
      </c>
      <c r="J2051">
        <v>0</v>
      </c>
      <c r="K2051">
        <v>0</v>
      </c>
      <c r="L2051">
        <v>0</v>
      </c>
    </row>
    <row r="2052" spans="1:12">
      <c r="A2052" t="str">
        <f>HYPERLINK("http://bombeiros.sp.gov.br/hidrantes/03individual/26850.html","26850")</f>
        <v>26850</v>
      </c>
      <c r="B2052" t="str">
        <f>HYPERLINK("http://bombeiros.sp.gov.br/hidrantes/08bsg/qrcodeBSG.html?id=26850&amp;lat=-23.50434&amp;long=-46.47271&amp;tipo=S","QRCODE")</f>
        <v>QRCODE</v>
      </c>
      <c r="C2052" t="s">
        <v>5273</v>
      </c>
      <c r="D2052" t="s">
        <v>1625</v>
      </c>
      <c r="E2052" t="s">
        <v>1645</v>
      </c>
      <c r="F2052" t="s">
        <v>21</v>
      </c>
      <c r="G2052" t="s">
        <v>3778</v>
      </c>
      <c r="H2052">
        <v>0</v>
      </c>
      <c r="I2052">
        <v>1</v>
      </c>
      <c r="J2052">
        <v>0</v>
      </c>
      <c r="K2052">
        <v>0</v>
      </c>
      <c r="L2052">
        <v>0</v>
      </c>
    </row>
    <row r="2053" spans="1:12">
      <c r="A2053" t="str">
        <f>HYPERLINK("http://bombeiros.sp.gov.br/hidrantes/03individual/820.html","820")</f>
        <v>820</v>
      </c>
      <c r="B2053" t="str">
        <f>HYPERLINK("http://bombeiros.sp.gov.br/hidrantes/08bsg/qrcodeBSG.html?id=820&amp;lat=-23.48625&amp;long=-46.46419&amp;tipo=C","QRCODE")</f>
        <v>QRCODE</v>
      </c>
      <c r="C2053" t="s">
        <v>5273</v>
      </c>
      <c r="D2053" t="s">
        <v>1625</v>
      </c>
      <c r="E2053" t="s">
        <v>3574</v>
      </c>
      <c r="F2053" t="s">
        <v>12</v>
      </c>
      <c r="G2053" t="s">
        <v>3573</v>
      </c>
      <c r="H2053">
        <v>0</v>
      </c>
      <c r="I2053">
        <v>1</v>
      </c>
      <c r="J2053">
        <v>0</v>
      </c>
      <c r="K2053">
        <v>0</v>
      </c>
      <c r="L2053">
        <v>0</v>
      </c>
    </row>
    <row r="2054" spans="1:12">
      <c r="A2054" t="str">
        <f>HYPERLINK("http://bombeiros.sp.gov.br/hidrantes/03individual/1983.html","1983")</f>
        <v>1983</v>
      </c>
      <c r="B2054" t="str">
        <f>HYPERLINK("http://bombeiros.sp.gov.br/hidrantes/08bsg/qrcodeBSG.html?id=1983&amp;lat=-23.49351&amp;long=-46.45610&amp;tipo=S","QRCODE")</f>
        <v>QRCODE</v>
      </c>
      <c r="C2054" t="s">
        <v>5273</v>
      </c>
      <c r="D2054" t="s">
        <v>1625</v>
      </c>
      <c r="E2054" t="s">
        <v>3574</v>
      </c>
      <c r="F2054" t="s">
        <v>21</v>
      </c>
      <c r="G2054" t="s">
        <v>3599</v>
      </c>
      <c r="H2054">
        <v>1</v>
      </c>
      <c r="I2054">
        <v>1</v>
      </c>
      <c r="J2054">
        <v>0</v>
      </c>
      <c r="K2054">
        <v>0</v>
      </c>
      <c r="L2054">
        <v>0</v>
      </c>
    </row>
    <row r="2055" spans="1:12">
      <c r="A2055" t="str">
        <f>HYPERLINK("http://bombeiros.sp.gov.br/hidrantes/03individual/3472.html","3472")</f>
        <v>3472</v>
      </c>
      <c r="B2055" t="str">
        <f>HYPERLINK("http://bombeiros.sp.gov.br/hidrantes/08bsg/qrcodeBSG.html?id=3472&amp;lat=-23.49158&amp;long=-46.46156&amp;tipo=S","QRCODE")</f>
        <v>QRCODE</v>
      </c>
      <c r="C2055" t="s">
        <v>5273</v>
      </c>
      <c r="D2055" t="s">
        <v>1625</v>
      </c>
      <c r="E2055" t="s">
        <v>3574</v>
      </c>
      <c r="F2055" t="s">
        <v>21</v>
      </c>
      <c r="G2055" t="s">
        <v>3607</v>
      </c>
      <c r="H2055">
        <v>1</v>
      </c>
      <c r="I2055">
        <v>1</v>
      </c>
      <c r="J2055">
        <v>0</v>
      </c>
      <c r="K2055">
        <v>0</v>
      </c>
      <c r="L2055">
        <v>0</v>
      </c>
    </row>
    <row r="2056" spans="1:12">
      <c r="A2056" t="str">
        <f>HYPERLINK("http://bombeiros.sp.gov.br/hidrantes/03individual/3489.html","3489")</f>
        <v>3489</v>
      </c>
      <c r="B2056" t="str">
        <f>HYPERLINK("http://bombeiros.sp.gov.br/hidrantes/08bsg/qrcodeBSG.html?id=3489&amp;lat=-23.49283&amp;long=-46.45996&amp;tipo=S","QRCODE")</f>
        <v>QRCODE</v>
      </c>
      <c r="C2056" t="s">
        <v>5273</v>
      </c>
      <c r="D2056" t="s">
        <v>1625</v>
      </c>
      <c r="E2056" t="s">
        <v>3574</v>
      </c>
      <c r="F2056" t="s">
        <v>21</v>
      </c>
      <c r="G2056" t="s">
        <v>3605</v>
      </c>
      <c r="H2056">
        <v>1</v>
      </c>
      <c r="I2056">
        <v>1</v>
      </c>
      <c r="J2056">
        <v>0</v>
      </c>
      <c r="K2056">
        <v>0</v>
      </c>
      <c r="L2056">
        <v>0</v>
      </c>
    </row>
    <row r="2057" spans="1:12">
      <c r="A2057" t="str">
        <f>HYPERLINK("http://bombeiros.sp.gov.br/hidrantes/03individual/3523.html","3523")</f>
        <v>3523</v>
      </c>
      <c r="B2057" t="str">
        <f>HYPERLINK("http://bombeiros.sp.gov.br/hidrantes/08bsg/qrcodeBSG.html?id=3523&amp;lat=-23.49765&amp;long=-46.46038&amp;tipo=S","QRCODE")</f>
        <v>QRCODE</v>
      </c>
      <c r="C2057" t="s">
        <v>5273</v>
      </c>
      <c r="D2057" t="s">
        <v>1625</v>
      </c>
      <c r="E2057" t="s">
        <v>3574</v>
      </c>
      <c r="F2057" t="s">
        <v>21</v>
      </c>
      <c r="G2057" t="s">
        <v>4153</v>
      </c>
      <c r="H2057">
        <v>0</v>
      </c>
      <c r="I2057">
        <v>1</v>
      </c>
      <c r="J2057">
        <v>0</v>
      </c>
      <c r="K2057">
        <v>0</v>
      </c>
      <c r="L2057">
        <v>0</v>
      </c>
    </row>
    <row r="2058" spans="1:12">
      <c r="A2058" t="str">
        <f>HYPERLINK("http://bombeiros.sp.gov.br/hidrantes/03individual/3527.html","3527")</f>
        <v>3527</v>
      </c>
      <c r="B2058" t="str">
        <f>HYPERLINK("http://bombeiros.sp.gov.br/hidrantes/08bsg/qrcodeBSG.html?id=3527&amp;lat=-23.49545&amp;long=-46.45887&amp;tipo=S","QRCODE")</f>
        <v>QRCODE</v>
      </c>
      <c r="C2058" t="s">
        <v>5273</v>
      </c>
      <c r="D2058" t="s">
        <v>1625</v>
      </c>
      <c r="E2058" t="s">
        <v>3574</v>
      </c>
      <c r="F2058" t="s">
        <v>21</v>
      </c>
      <c r="G2058" t="s">
        <v>3604</v>
      </c>
      <c r="H2058">
        <v>1</v>
      </c>
      <c r="I2058">
        <v>1</v>
      </c>
      <c r="J2058">
        <v>0</v>
      </c>
      <c r="K2058">
        <v>0</v>
      </c>
      <c r="L2058">
        <v>0</v>
      </c>
    </row>
    <row r="2059" spans="1:12">
      <c r="A2059" t="str">
        <f>HYPERLINK("http://bombeiros.sp.gov.br/hidrantes/03individual/3538.html","3538")</f>
        <v>3538</v>
      </c>
      <c r="B2059" t="str">
        <f>HYPERLINK("http://bombeiros.sp.gov.br/hidrantes/08bsg/qrcodeBSG.html?id=3538&amp;lat=-23.49534&amp;long=-46.46346&amp;tipo=S","QRCODE")</f>
        <v>QRCODE</v>
      </c>
      <c r="C2059" t="s">
        <v>5273</v>
      </c>
      <c r="D2059" t="s">
        <v>1625</v>
      </c>
      <c r="E2059" t="s">
        <v>3574</v>
      </c>
      <c r="F2059" t="s">
        <v>21</v>
      </c>
      <c r="G2059" t="s">
        <v>4151</v>
      </c>
      <c r="H2059">
        <v>0</v>
      </c>
      <c r="I2059">
        <v>1</v>
      </c>
      <c r="J2059">
        <v>0</v>
      </c>
      <c r="K2059">
        <v>0</v>
      </c>
      <c r="L2059">
        <v>0</v>
      </c>
    </row>
    <row r="2060" spans="1:12">
      <c r="A2060" t="str">
        <f>HYPERLINK("http://bombeiros.sp.gov.br/hidrantes/03individual/4338.html","4338")</f>
        <v>4338</v>
      </c>
      <c r="B2060" t="str">
        <f>HYPERLINK("http://bombeiros.sp.gov.br/hidrantes/08bsg/qrcodeBSG.html?id=4338&amp;lat=-23.49334&amp;long=-46.46275&amp;tipo=S","QRCODE")</f>
        <v>QRCODE</v>
      </c>
      <c r="C2060" t="s">
        <v>5273</v>
      </c>
      <c r="D2060" t="s">
        <v>1625</v>
      </c>
      <c r="E2060" t="s">
        <v>3574</v>
      </c>
      <c r="F2060" t="s">
        <v>21</v>
      </c>
      <c r="G2060" t="s">
        <v>4206</v>
      </c>
      <c r="H2060">
        <v>0</v>
      </c>
      <c r="I2060">
        <v>1</v>
      </c>
      <c r="J2060">
        <v>0</v>
      </c>
      <c r="K2060">
        <v>0</v>
      </c>
      <c r="L2060">
        <v>0</v>
      </c>
    </row>
    <row r="2061" spans="1:12">
      <c r="A2061" t="str">
        <f>HYPERLINK("http://bombeiros.sp.gov.br/hidrantes/03individual/17791.html","17791")</f>
        <v>17791</v>
      </c>
      <c r="B2061" t="str">
        <f>HYPERLINK("http://bombeiros.sp.gov.br/hidrantes/08bsg/qrcodeBSG.html?id=17791&amp;lat=-23.49397&amp;long=-46.46052&amp;tipo=S","QRCODE")</f>
        <v>QRCODE</v>
      </c>
      <c r="C2061" t="s">
        <v>5273</v>
      </c>
      <c r="D2061" t="s">
        <v>1625</v>
      </c>
      <c r="E2061" t="s">
        <v>3574</v>
      </c>
      <c r="F2061" t="s">
        <v>21</v>
      </c>
      <c r="G2061" t="s">
        <v>4176</v>
      </c>
      <c r="H2061">
        <v>0</v>
      </c>
      <c r="I2061">
        <v>1</v>
      </c>
      <c r="J2061">
        <v>0</v>
      </c>
      <c r="K2061">
        <v>0</v>
      </c>
      <c r="L2061">
        <v>0</v>
      </c>
    </row>
    <row r="2062" spans="1:12">
      <c r="A2062" t="str">
        <f>HYPERLINK("http://bombeiros.sp.gov.br/hidrantes/03individual/17792.html","17792")</f>
        <v>17792</v>
      </c>
      <c r="B2062" t="str">
        <f>HYPERLINK("http://bombeiros.sp.gov.br/hidrantes/08bsg/qrcodeBSG.html?id=17792&amp;lat=-23.49439&amp;long=-46.45763&amp;tipo=S","QRCODE")</f>
        <v>QRCODE</v>
      </c>
      <c r="C2062" t="s">
        <v>5273</v>
      </c>
      <c r="D2062" t="s">
        <v>1625</v>
      </c>
      <c r="E2062" t="s">
        <v>3574</v>
      </c>
      <c r="F2062" t="s">
        <v>21</v>
      </c>
      <c r="G2062" t="s">
        <v>4177</v>
      </c>
      <c r="H2062">
        <v>0</v>
      </c>
      <c r="I2062">
        <v>1</v>
      </c>
      <c r="J2062">
        <v>0</v>
      </c>
      <c r="K2062">
        <v>0</v>
      </c>
      <c r="L2062">
        <v>0</v>
      </c>
    </row>
    <row r="2063" spans="1:12">
      <c r="A2063" t="str">
        <f>HYPERLINK("http://bombeiros.sp.gov.br/hidrantes/03individual/1947.html","1947")</f>
        <v>1947</v>
      </c>
      <c r="B2063" t="str">
        <f>HYPERLINK("http://bombeiros.sp.gov.br/hidrantes/08bsg/qrcodeBSG.html?id=1947&amp;lat=-23.50604&amp;long=-46.46262&amp;tipo=S","QRCODE")</f>
        <v>QRCODE</v>
      </c>
      <c r="C2063" t="s">
        <v>5273</v>
      </c>
      <c r="D2063" t="s">
        <v>1625</v>
      </c>
      <c r="E2063" t="s">
        <v>2114</v>
      </c>
      <c r="F2063" t="s">
        <v>21</v>
      </c>
      <c r="G2063" t="s">
        <v>2113</v>
      </c>
      <c r="H2063">
        <v>0</v>
      </c>
      <c r="I2063">
        <v>2</v>
      </c>
      <c r="J2063">
        <v>0</v>
      </c>
      <c r="K2063">
        <v>0</v>
      </c>
      <c r="L2063">
        <v>0</v>
      </c>
    </row>
    <row r="2064" spans="1:12">
      <c r="A2064" t="str">
        <f>HYPERLINK("http://bombeiros.sp.gov.br/hidrantes/03individual/25225.html","25225")</f>
        <v>25225</v>
      </c>
      <c r="B2064" t="str">
        <f>HYPERLINK("http://bombeiros.sp.gov.br/hidrantes/08bsg/qrcodeBSG.html?id=25225&amp;lat=-23.50122&amp;long=-46.46193&amp;tipo=S","QRCODE")</f>
        <v>QRCODE</v>
      </c>
      <c r="C2064" t="s">
        <v>5273</v>
      </c>
      <c r="D2064" t="s">
        <v>1625</v>
      </c>
      <c r="E2064" t="s">
        <v>2114</v>
      </c>
      <c r="F2064" t="s">
        <v>21</v>
      </c>
      <c r="G2064" t="s">
        <v>4178</v>
      </c>
      <c r="H2064">
        <v>0</v>
      </c>
      <c r="I2064">
        <v>1</v>
      </c>
      <c r="J2064">
        <v>0</v>
      </c>
      <c r="K2064">
        <v>0</v>
      </c>
      <c r="L2064">
        <v>0</v>
      </c>
    </row>
    <row r="2065" spans="1:12">
      <c r="A2065" t="str">
        <f>HYPERLINK("http://bombeiros.sp.gov.br/hidrantes/03individual/3346.html","3346")</f>
        <v>3346</v>
      </c>
      <c r="B2065" t="str">
        <f>HYPERLINK("http://bombeiros.sp.gov.br/hidrantes/08bsg/qrcodeBSG.html?id=3346&amp;lat=-23.51294&amp;long=-46.44377&amp;tipo=C","QRCODE")</f>
        <v>QRCODE</v>
      </c>
      <c r="C2065" t="s">
        <v>5273</v>
      </c>
      <c r="D2065" t="s">
        <v>1625</v>
      </c>
      <c r="E2065" t="s">
        <v>1682</v>
      </c>
      <c r="F2065" t="s">
        <v>12</v>
      </c>
      <c r="G2065" t="s">
        <v>1681</v>
      </c>
      <c r="H2065">
        <v>1</v>
      </c>
      <c r="I2065">
        <v>2</v>
      </c>
      <c r="J2065">
        <v>0</v>
      </c>
      <c r="K2065">
        <v>0</v>
      </c>
      <c r="L2065">
        <v>0</v>
      </c>
    </row>
    <row r="2066" spans="1:12">
      <c r="A2066" t="str">
        <f>HYPERLINK("http://bombeiros.sp.gov.br/hidrantes/03individual/3515.html","3515")</f>
        <v>3515</v>
      </c>
      <c r="B2066" t="str">
        <f>HYPERLINK("http://bombeiros.sp.gov.br/hidrantes/08bsg/qrcodeBSG.html?id=3515&amp;lat=-23.49759&amp;long=-46.45414&amp;tipo=C","QRCODE")</f>
        <v>QRCODE</v>
      </c>
      <c r="C2066" t="s">
        <v>5273</v>
      </c>
      <c r="D2066" t="s">
        <v>1625</v>
      </c>
      <c r="E2066" t="s">
        <v>1625</v>
      </c>
      <c r="F2066" t="s">
        <v>12</v>
      </c>
      <c r="G2066" t="s">
        <v>4152</v>
      </c>
      <c r="H2066">
        <v>0</v>
      </c>
      <c r="I2066">
        <v>1</v>
      </c>
      <c r="J2066">
        <v>0</v>
      </c>
      <c r="K2066">
        <v>0</v>
      </c>
      <c r="L2066">
        <v>0</v>
      </c>
    </row>
    <row r="2067" spans="1:12">
      <c r="A2067" t="str">
        <f>HYPERLINK("http://bombeiros.sp.gov.br/hidrantes/03individual/1987.html","1987")</f>
        <v>1987</v>
      </c>
      <c r="B2067" t="str">
        <f>HYPERLINK("http://bombeiros.sp.gov.br/hidrantes/08bsg/qrcodeBSG.html?id=1987&amp;lat=-23.50876&amp;long=-46.45248&amp;tipo=S","QRCODE")</f>
        <v>QRCODE</v>
      </c>
      <c r="C2067" t="s">
        <v>5273</v>
      </c>
      <c r="D2067" t="s">
        <v>1625</v>
      </c>
      <c r="E2067" t="s">
        <v>1625</v>
      </c>
      <c r="F2067" t="s">
        <v>21</v>
      </c>
      <c r="G2067" t="s">
        <v>1624</v>
      </c>
      <c r="H2067">
        <v>0</v>
      </c>
      <c r="I2067">
        <v>2</v>
      </c>
      <c r="J2067">
        <v>0</v>
      </c>
      <c r="K2067">
        <v>0</v>
      </c>
      <c r="L2067">
        <v>0</v>
      </c>
    </row>
    <row r="2068" spans="1:12">
      <c r="A2068" t="str">
        <f>HYPERLINK("http://bombeiros.sp.gov.br/hidrantes/03individual/1989.html","1989")</f>
        <v>1989</v>
      </c>
      <c r="B2068" t="str">
        <f>HYPERLINK("http://bombeiros.sp.gov.br/hidrantes/08bsg/qrcodeBSG.html?id=1989&amp;lat=-23.50894&amp;long=-46.44848&amp;tipo=S","QRCODE")</f>
        <v>QRCODE</v>
      </c>
      <c r="C2068" t="s">
        <v>5273</v>
      </c>
      <c r="D2068" t="s">
        <v>1625</v>
      </c>
      <c r="E2068" t="s">
        <v>1625</v>
      </c>
      <c r="F2068" t="s">
        <v>21</v>
      </c>
      <c r="G2068" t="s">
        <v>1738</v>
      </c>
      <c r="H2068">
        <v>0</v>
      </c>
      <c r="I2068">
        <v>2</v>
      </c>
      <c r="J2068">
        <v>0</v>
      </c>
      <c r="K2068">
        <v>0</v>
      </c>
      <c r="L2068">
        <v>0</v>
      </c>
    </row>
    <row r="2069" spans="1:12">
      <c r="A2069" t="str">
        <f>HYPERLINK("http://bombeiros.sp.gov.br/hidrantes/03individual/3403.html","3403")</f>
        <v>3403</v>
      </c>
      <c r="B2069" t="str">
        <f>HYPERLINK("http://bombeiros.sp.gov.br/hidrantes/08bsg/qrcodeBSG.html?id=3403&amp;lat=-23.51215&amp;long=-46.44381&amp;tipo=S","QRCODE")</f>
        <v>QRCODE</v>
      </c>
      <c r="C2069" t="s">
        <v>5273</v>
      </c>
      <c r="D2069" t="s">
        <v>1625</v>
      </c>
      <c r="E2069" t="s">
        <v>1625</v>
      </c>
      <c r="F2069" t="s">
        <v>21</v>
      </c>
      <c r="G2069" t="s">
        <v>3094</v>
      </c>
      <c r="H2069">
        <v>1</v>
      </c>
      <c r="I2069">
        <v>2</v>
      </c>
      <c r="J2069">
        <v>0</v>
      </c>
      <c r="K2069">
        <v>0</v>
      </c>
      <c r="L2069">
        <v>0</v>
      </c>
    </row>
    <row r="2070" spans="1:12">
      <c r="A2070" t="str">
        <f>HYPERLINK("http://bombeiros.sp.gov.br/hidrantes/03individual/3453.html","3453")</f>
        <v>3453</v>
      </c>
      <c r="B2070" t="str">
        <f>HYPERLINK("http://bombeiros.sp.gov.br/hidrantes/08bsg/qrcodeBSG.html?id=3453&amp;lat=-23.50272&amp;long=-46.45023&amp;tipo=S","QRCODE")</f>
        <v>QRCODE</v>
      </c>
      <c r="C2070" t="s">
        <v>5273</v>
      </c>
      <c r="D2070" t="s">
        <v>1625</v>
      </c>
      <c r="E2070" t="s">
        <v>1625</v>
      </c>
      <c r="F2070" t="s">
        <v>21</v>
      </c>
      <c r="G2070" t="s">
        <v>1696</v>
      </c>
      <c r="H2070">
        <v>0</v>
      </c>
      <c r="I2070">
        <v>2</v>
      </c>
      <c r="J2070">
        <v>0</v>
      </c>
      <c r="K2070">
        <v>0</v>
      </c>
      <c r="L2070">
        <v>0</v>
      </c>
    </row>
    <row r="2071" spans="1:12">
      <c r="A2071" t="str">
        <f>HYPERLINK("http://bombeiros.sp.gov.br/hidrantes/03individual/4415.html","4415")</f>
        <v>4415</v>
      </c>
      <c r="B2071" t="str">
        <f>HYPERLINK("http://bombeiros.sp.gov.br/hidrantes/08bsg/qrcodeBSG.html?id=4415&amp;lat=-23.49885&amp;long=-46.45619&amp;tipo=S","QRCODE")</f>
        <v>QRCODE</v>
      </c>
      <c r="C2071" t="s">
        <v>5273</v>
      </c>
      <c r="D2071" t="s">
        <v>1625</v>
      </c>
      <c r="E2071" t="s">
        <v>1625</v>
      </c>
      <c r="F2071" t="s">
        <v>21</v>
      </c>
      <c r="G2071" t="s">
        <v>2147</v>
      </c>
      <c r="H2071">
        <v>0</v>
      </c>
      <c r="I2071">
        <v>2</v>
      </c>
      <c r="J2071">
        <v>0</v>
      </c>
      <c r="K2071">
        <v>0</v>
      </c>
      <c r="L2071">
        <v>0</v>
      </c>
    </row>
    <row r="2072" spans="1:12">
      <c r="A2072" t="str">
        <f>HYPERLINK("http://bombeiros.sp.gov.br/hidrantes/03individual/1035.html","1035")</f>
        <v>1035</v>
      </c>
      <c r="B2072" t="str">
        <f>HYPERLINK("http://bombeiros.sp.gov.br/hidrantes/08bsg/qrcodeBSG.html?id=1035&amp;lat=-23.54239&amp;long=-46.51068&amp;tipo=C","QRCODE")</f>
        <v>QRCODE</v>
      </c>
      <c r="C2072" t="s">
        <v>5273</v>
      </c>
      <c r="D2072" t="s">
        <v>966</v>
      </c>
      <c r="E2072" t="s">
        <v>1156</v>
      </c>
      <c r="F2072" t="s">
        <v>12</v>
      </c>
      <c r="G2072" t="s">
        <v>2681</v>
      </c>
      <c r="H2072">
        <v>0</v>
      </c>
      <c r="I2072">
        <v>2</v>
      </c>
      <c r="J2072">
        <v>0</v>
      </c>
      <c r="K2072">
        <v>0</v>
      </c>
      <c r="L2072">
        <v>0</v>
      </c>
    </row>
    <row r="2073" spans="1:12">
      <c r="A2073" t="str">
        <f>HYPERLINK("http://bombeiros.sp.gov.br/hidrantes/03individual/1680.html","1680")</f>
        <v>1680</v>
      </c>
      <c r="B2073" t="str">
        <f>HYPERLINK("http://bombeiros.sp.gov.br/hidrantes/08bsg/qrcodeBSG.html?id=1680&amp;lat=-23.53247&amp;long=-46.51609&amp;tipo=C","QRCODE")</f>
        <v>QRCODE</v>
      </c>
      <c r="C2073" t="s">
        <v>5273</v>
      </c>
      <c r="D2073" t="s">
        <v>966</v>
      </c>
      <c r="E2073" t="s">
        <v>1156</v>
      </c>
      <c r="F2073" t="s">
        <v>12</v>
      </c>
      <c r="G2073" t="s">
        <v>2665</v>
      </c>
      <c r="H2073">
        <v>0</v>
      </c>
      <c r="I2073">
        <v>2</v>
      </c>
      <c r="J2073">
        <v>0</v>
      </c>
      <c r="K2073">
        <v>0</v>
      </c>
      <c r="L2073">
        <v>0</v>
      </c>
    </row>
    <row r="2074" spans="1:12">
      <c r="A2074" t="str">
        <f>HYPERLINK("http://bombeiros.sp.gov.br/hidrantes/03individual/27076.html","27076")</f>
        <v>27076</v>
      </c>
      <c r="B2074" t="str">
        <f>HYPERLINK("http://bombeiros.sp.gov.br/hidrantes/08bsg/qrcodeBSG.html?id=27076&amp;lat=-23.53145&amp;long=-46.51969&amp;tipo=C","QRCODE")</f>
        <v>QRCODE</v>
      </c>
      <c r="C2074" t="s">
        <v>5273</v>
      </c>
      <c r="D2074" t="s">
        <v>966</v>
      </c>
      <c r="E2074" t="s">
        <v>1156</v>
      </c>
      <c r="F2074" t="s">
        <v>12</v>
      </c>
      <c r="G2074" t="s">
        <v>3661</v>
      </c>
      <c r="H2074">
        <v>0</v>
      </c>
      <c r="I2074">
        <v>1</v>
      </c>
      <c r="J2074">
        <v>0</v>
      </c>
      <c r="K2074">
        <v>0</v>
      </c>
      <c r="L2074">
        <v>0</v>
      </c>
    </row>
    <row r="2075" spans="1:12">
      <c r="A2075" t="str">
        <f>HYPERLINK("http://bombeiros.sp.gov.br/hidrantes/03individual/1048.html","1048")</f>
        <v>1048</v>
      </c>
      <c r="B2075" t="str">
        <f>HYPERLINK("http://bombeiros.sp.gov.br/hidrantes/08bsg/qrcodeBSG.html?id=1048&amp;lat=-23.53254&amp;long=-46.50770&amp;tipo=S","QRCODE")</f>
        <v>QRCODE</v>
      </c>
      <c r="C2075" t="s">
        <v>5273</v>
      </c>
      <c r="D2075" t="s">
        <v>966</v>
      </c>
      <c r="E2075" t="s">
        <v>1156</v>
      </c>
      <c r="F2075" t="s">
        <v>21</v>
      </c>
      <c r="G2075" t="s">
        <v>2679</v>
      </c>
      <c r="H2075">
        <v>1</v>
      </c>
      <c r="I2075">
        <v>2</v>
      </c>
      <c r="J2075">
        <v>0</v>
      </c>
      <c r="K2075">
        <v>0</v>
      </c>
      <c r="L2075">
        <v>0</v>
      </c>
    </row>
    <row r="2076" spans="1:12">
      <c r="A2076" t="str">
        <f>HYPERLINK("http://bombeiros.sp.gov.br/hidrantes/03individual/1603.html","1603")</f>
        <v>1603</v>
      </c>
      <c r="B2076" t="str">
        <f>HYPERLINK("http://bombeiros.sp.gov.br/hidrantes/08bsg/qrcodeBSG.html?id=1603&amp;lat=-23.53730&amp;long=-46.51443&amp;tipo=S","QRCODE")</f>
        <v>QRCODE</v>
      </c>
      <c r="C2076" t="s">
        <v>5273</v>
      </c>
      <c r="D2076" t="s">
        <v>966</v>
      </c>
      <c r="E2076" t="s">
        <v>1156</v>
      </c>
      <c r="F2076" t="s">
        <v>21</v>
      </c>
      <c r="G2076" t="s">
        <v>1193</v>
      </c>
      <c r="H2076">
        <v>1</v>
      </c>
      <c r="I2076">
        <v>2</v>
      </c>
      <c r="J2076">
        <v>0</v>
      </c>
      <c r="K2076">
        <v>0</v>
      </c>
      <c r="L2076">
        <v>0</v>
      </c>
    </row>
    <row r="2077" spans="1:12">
      <c r="A2077" t="str">
        <f>HYPERLINK("http://bombeiros.sp.gov.br/hidrantes/03individual/1605.html","1605")</f>
        <v>1605</v>
      </c>
      <c r="B2077" t="str">
        <f>HYPERLINK("http://bombeiros.sp.gov.br/hidrantes/08bsg/qrcodeBSG.html?id=1605&amp;lat=-23.53041&amp;long=-46.51415&amp;tipo=S","QRCODE")</f>
        <v>QRCODE</v>
      </c>
      <c r="C2077" t="s">
        <v>5273</v>
      </c>
      <c r="D2077" t="s">
        <v>966</v>
      </c>
      <c r="E2077" t="s">
        <v>1156</v>
      </c>
      <c r="F2077" t="s">
        <v>21</v>
      </c>
      <c r="G2077" t="s">
        <v>4470</v>
      </c>
      <c r="H2077">
        <v>0</v>
      </c>
      <c r="I2077">
        <v>2</v>
      </c>
      <c r="J2077">
        <v>0</v>
      </c>
      <c r="K2077">
        <v>0</v>
      </c>
      <c r="L2077">
        <v>0</v>
      </c>
    </row>
    <row r="2078" spans="1:12">
      <c r="A2078" t="str">
        <f>HYPERLINK("http://bombeiros.sp.gov.br/hidrantes/03individual/1614.html","1614")</f>
        <v>1614</v>
      </c>
      <c r="B2078" t="str">
        <f>HYPERLINK("http://bombeiros.sp.gov.br/hidrantes/08bsg/qrcodeBSG.html?id=1614&amp;lat=-23.53066&amp;long=-46.51783&amp;tipo=S","QRCODE")</f>
        <v>QRCODE</v>
      </c>
      <c r="C2078" t="s">
        <v>5273</v>
      </c>
      <c r="D2078" t="s">
        <v>966</v>
      </c>
      <c r="E2078" t="s">
        <v>1156</v>
      </c>
      <c r="F2078" t="s">
        <v>21</v>
      </c>
      <c r="G2078" t="s">
        <v>1191</v>
      </c>
      <c r="H2078">
        <v>1</v>
      </c>
      <c r="I2078">
        <v>5</v>
      </c>
      <c r="J2078">
        <v>0</v>
      </c>
      <c r="K2078">
        <v>0</v>
      </c>
      <c r="L2078">
        <v>0</v>
      </c>
    </row>
    <row r="2079" spans="1:12">
      <c r="A2079" t="str">
        <f>HYPERLINK("http://bombeiros.sp.gov.br/hidrantes/03individual/1615.html","1615")</f>
        <v>1615</v>
      </c>
      <c r="B2079" t="str">
        <f>HYPERLINK("http://bombeiros.sp.gov.br/hidrantes/08bsg/qrcodeBSG.html?id=1615&amp;lat=-23.53633&amp;long=-46.51659&amp;tipo=S","QRCODE")</f>
        <v>QRCODE</v>
      </c>
      <c r="C2079" t="s">
        <v>5273</v>
      </c>
      <c r="D2079" t="s">
        <v>966</v>
      </c>
      <c r="E2079" t="s">
        <v>1156</v>
      </c>
      <c r="F2079" t="s">
        <v>21</v>
      </c>
      <c r="G2079" t="s">
        <v>1192</v>
      </c>
      <c r="H2079">
        <v>1</v>
      </c>
      <c r="I2079">
        <v>2</v>
      </c>
      <c r="J2079">
        <v>0</v>
      </c>
      <c r="K2079">
        <v>0</v>
      </c>
      <c r="L2079">
        <v>0</v>
      </c>
    </row>
    <row r="2080" spans="1:12">
      <c r="A2080" t="str">
        <f>HYPERLINK("http://bombeiros.sp.gov.br/hidrantes/03individual/1668.html","1668")</f>
        <v>1668</v>
      </c>
      <c r="B2080" t="str">
        <f>HYPERLINK("http://bombeiros.sp.gov.br/hidrantes/08bsg/qrcodeBSG.html?id=1668&amp;lat=-23.52954&amp;long=-46.51444&amp;tipo=S","QRCODE")</f>
        <v>QRCODE</v>
      </c>
      <c r="C2080" t="s">
        <v>5273</v>
      </c>
      <c r="D2080" t="s">
        <v>966</v>
      </c>
      <c r="E2080" t="s">
        <v>1156</v>
      </c>
      <c r="F2080" t="s">
        <v>21</v>
      </c>
      <c r="G2080" t="s">
        <v>4841</v>
      </c>
      <c r="H2080">
        <v>1</v>
      </c>
      <c r="I2080">
        <v>3</v>
      </c>
      <c r="J2080">
        <v>0</v>
      </c>
      <c r="K2080">
        <v>0</v>
      </c>
      <c r="L2080">
        <v>0</v>
      </c>
    </row>
    <row r="2081" spans="1:12">
      <c r="A2081" t="str">
        <f>HYPERLINK("http://bombeiros.sp.gov.br/hidrantes/03individual/1670.html","1670")</f>
        <v>1670</v>
      </c>
      <c r="B2081" t="str">
        <f>HYPERLINK("http://bombeiros.sp.gov.br/hidrantes/08bsg/qrcodeBSG.html?id=1670&amp;lat=-23.53144&amp;long=-46.51350&amp;tipo=S","QRCODE")</f>
        <v>QRCODE</v>
      </c>
      <c r="C2081" t="s">
        <v>5273</v>
      </c>
      <c r="D2081" t="s">
        <v>966</v>
      </c>
      <c r="E2081" t="s">
        <v>1156</v>
      </c>
      <c r="F2081" t="s">
        <v>21</v>
      </c>
      <c r="G2081" t="s">
        <v>1203</v>
      </c>
      <c r="H2081">
        <v>0</v>
      </c>
      <c r="I2081">
        <v>4</v>
      </c>
      <c r="J2081">
        <v>0</v>
      </c>
      <c r="K2081">
        <v>0</v>
      </c>
      <c r="L2081">
        <v>0</v>
      </c>
    </row>
    <row r="2082" spans="1:12">
      <c r="A2082" t="str">
        <f>HYPERLINK("http://bombeiros.sp.gov.br/hidrantes/03individual/1679.html","1679")</f>
        <v>1679</v>
      </c>
      <c r="B2082" t="str">
        <f>HYPERLINK("http://bombeiros.sp.gov.br/hidrantes/08bsg/qrcodeBSG.html?id=1679&amp;lat=-23.53322&amp;long=-46.51668&amp;tipo=S","QRCODE")</f>
        <v>QRCODE</v>
      </c>
      <c r="C2082" t="s">
        <v>5273</v>
      </c>
      <c r="D2082" t="s">
        <v>966</v>
      </c>
      <c r="E2082" t="s">
        <v>1156</v>
      </c>
      <c r="F2082" t="s">
        <v>21</v>
      </c>
      <c r="G2082" t="s">
        <v>1208</v>
      </c>
      <c r="H2082">
        <v>1</v>
      </c>
      <c r="I2082">
        <v>3</v>
      </c>
      <c r="J2082">
        <v>0</v>
      </c>
      <c r="K2082">
        <v>0</v>
      </c>
      <c r="L2082">
        <v>0</v>
      </c>
    </row>
    <row r="2083" spans="1:12">
      <c r="A2083" t="str">
        <f>HYPERLINK("http://bombeiros.sp.gov.br/hidrantes/03individual/1707.html","1707")</f>
        <v>1707</v>
      </c>
      <c r="B2083" t="str">
        <f>HYPERLINK("http://bombeiros.sp.gov.br/hidrantes/08bsg/qrcodeBSG.html?id=1707&amp;lat=-23.53481&amp;long=-46.50379&amp;tipo=S","QRCODE")</f>
        <v>QRCODE</v>
      </c>
      <c r="C2083" t="s">
        <v>5273</v>
      </c>
      <c r="D2083" t="s">
        <v>966</v>
      </c>
      <c r="E2083" t="s">
        <v>1156</v>
      </c>
      <c r="F2083" t="s">
        <v>21</v>
      </c>
      <c r="G2083" t="s">
        <v>4482</v>
      </c>
      <c r="H2083">
        <v>0</v>
      </c>
      <c r="I2083">
        <v>2</v>
      </c>
      <c r="J2083">
        <v>0</v>
      </c>
      <c r="K2083">
        <v>0</v>
      </c>
      <c r="L2083">
        <v>0</v>
      </c>
    </row>
    <row r="2084" spans="1:12">
      <c r="A2084" t="str">
        <f>HYPERLINK("http://bombeiros.sp.gov.br/hidrantes/03individual/1709.html","1709")</f>
        <v>1709</v>
      </c>
      <c r="B2084" t="str">
        <f>HYPERLINK("http://bombeiros.sp.gov.br/hidrantes/08bsg/qrcodeBSG.html?id=1709&amp;lat=-23.53371&amp;long=-46.50323&amp;tipo=S","QRCODE")</f>
        <v>QRCODE</v>
      </c>
      <c r="C2084" t="s">
        <v>5273</v>
      </c>
      <c r="D2084" t="s">
        <v>966</v>
      </c>
      <c r="E2084" t="s">
        <v>1156</v>
      </c>
      <c r="F2084" t="s">
        <v>21</v>
      </c>
      <c r="G2084" t="s">
        <v>1773</v>
      </c>
      <c r="H2084">
        <v>0</v>
      </c>
      <c r="I2084">
        <v>2</v>
      </c>
      <c r="J2084">
        <v>0</v>
      </c>
      <c r="K2084">
        <v>0</v>
      </c>
      <c r="L2084">
        <v>0</v>
      </c>
    </row>
    <row r="2085" spans="1:12">
      <c r="A2085" t="str">
        <f>HYPERLINK("http://bombeiros.sp.gov.br/hidrantes/03individual/1712.html","1712")</f>
        <v>1712</v>
      </c>
      <c r="B2085" t="str">
        <f>HYPERLINK("http://bombeiros.sp.gov.br/hidrantes/08bsg/qrcodeBSG.html?id=1712&amp;lat=-23.53555&amp;long=-46.50953&amp;tipo=S","QRCODE")</f>
        <v>QRCODE</v>
      </c>
      <c r="C2085" t="s">
        <v>5273</v>
      </c>
      <c r="D2085" t="s">
        <v>966</v>
      </c>
      <c r="E2085" t="s">
        <v>1156</v>
      </c>
      <c r="F2085" t="s">
        <v>21</v>
      </c>
      <c r="G2085" t="s">
        <v>2666</v>
      </c>
      <c r="H2085">
        <v>1</v>
      </c>
      <c r="I2085">
        <v>2</v>
      </c>
      <c r="J2085">
        <v>0</v>
      </c>
      <c r="K2085">
        <v>0</v>
      </c>
      <c r="L2085">
        <v>0</v>
      </c>
    </row>
    <row r="2086" spans="1:12">
      <c r="A2086" t="str">
        <f>HYPERLINK("http://bombeiros.sp.gov.br/hidrantes/03individual/1733.html","1733")</f>
        <v>1733</v>
      </c>
      <c r="B2086" t="str">
        <f>HYPERLINK("http://bombeiros.sp.gov.br/hidrantes/08bsg/qrcodeBSG.html?id=1733&amp;lat=-23.53659&amp;long=-46.51302&amp;tipo=S","QRCODE")</f>
        <v>QRCODE</v>
      </c>
      <c r="C2086" t="s">
        <v>5273</v>
      </c>
      <c r="D2086" t="s">
        <v>966</v>
      </c>
      <c r="E2086" t="s">
        <v>1156</v>
      </c>
      <c r="F2086" t="s">
        <v>21</v>
      </c>
      <c r="G2086" t="s">
        <v>1195</v>
      </c>
      <c r="H2086">
        <v>0</v>
      </c>
      <c r="I2086">
        <v>2</v>
      </c>
      <c r="J2086">
        <v>0</v>
      </c>
      <c r="K2086">
        <v>0</v>
      </c>
      <c r="L2086">
        <v>0</v>
      </c>
    </row>
    <row r="2087" spans="1:12">
      <c r="A2087" t="str">
        <f>HYPERLINK("http://bombeiros.sp.gov.br/hidrantes/03individual/1735.html","1735")</f>
        <v>1735</v>
      </c>
      <c r="B2087" t="str">
        <f>HYPERLINK("http://bombeiros.sp.gov.br/hidrantes/08bsg/qrcodeBSG.html?id=1735&amp;lat=-23.53316&amp;long=-46.51321&amp;tipo=S","QRCODE")</f>
        <v>QRCODE</v>
      </c>
      <c r="C2087" t="s">
        <v>5273</v>
      </c>
      <c r="D2087" t="s">
        <v>966</v>
      </c>
      <c r="E2087" t="s">
        <v>1156</v>
      </c>
      <c r="F2087" t="s">
        <v>21</v>
      </c>
      <c r="G2087" t="s">
        <v>2663</v>
      </c>
      <c r="H2087">
        <v>0</v>
      </c>
      <c r="I2087">
        <v>2</v>
      </c>
      <c r="J2087">
        <v>0</v>
      </c>
      <c r="K2087">
        <v>0</v>
      </c>
      <c r="L2087">
        <v>0</v>
      </c>
    </row>
    <row r="2088" spans="1:12">
      <c r="A2088" t="str">
        <f>HYPERLINK("http://bombeiros.sp.gov.br/hidrantes/03individual/1765.html","1765")</f>
        <v>1765</v>
      </c>
      <c r="B2088" t="str">
        <f>HYPERLINK("http://bombeiros.sp.gov.br/hidrantes/08bsg/qrcodeBSG.html?id=1765&amp;lat=-23.54478&amp;long=-46.50193&amp;tipo=S","QRCODE")</f>
        <v>QRCODE</v>
      </c>
      <c r="C2088" t="s">
        <v>5273</v>
      </c>
      <c r="D2088" t="s">
        <v>966</v>
      </c>
      <c r="E2088" t="s">
        <v>1156</v>
      </c>
      <c r="F2088" t="s">
        <v>21</v>
      </c>
      <c r="G2088" t="s">
        <v>1213</v>
      </c>
      <c r="H2088">
        <v>0</v>
      </c>
      <c r="I2088">
        <v>2</v>
      </c>
      <c r="J2088">
        <v>0</v>
      </c>
      <c r="K2088">
        <v>0</v>
      </c>
      <c r="L2088">
        <v>0</v>
      </c>
    </row>
    <row r="2089" spans="1:12">
      <c r="A2089" t="str">
        <f>HYPERLINK("http://bombeiros.sp.gov.br/hidrantes/03individual/1766.html","1766")</f>
        <v>1766</v>
      </c>
      <c r="B2089" t="str">
        <f>HYPERLINK("http://bombeiros.sp.gov.br/hidrantes/08bsg/qrcodeBSG.html?id=1766&amp;lat=-23.53793&amp;long=-46.49727&amp;tipo=S","QRCODE")</f>
        <v>QRCODE</v>
      </c>
      <c r="C2089" t="s">
        <v>5273</v>
      </c>
      <c r="D2089" t="s">
        <v>966</v>
      </c>
      <c r="E2089" t="s">
        <v>1156</v>
      </c>
      <c r="F2089" t="s">
        <v>21</v>
      </c>
      <c r="G2089" t="s">
        <v>4480</v>
      </c>
      <c r="H2089">
        <v>0</v>
      </c>
      <c r="I2089">
        <v>2</v>
      </c>
      <c r="J2089">
        <v>0</v>
      </c>
      <c r="K2089">
        <v>0</v>
      </c>
      <c r="L2089">
        <v>0</v>
      </c>
    </row>
    <row r="2090" spans="1:12">
      <c r="A2090" t="str">
        <f>HYPERLINK("http://bombeiros.sp.gov.br/hidrantes/03individual/1799.html","1799")</f>
        <v>1799</v>
      </c>
      <c r="B2090" t="str">
        <f>HYPERLINK("http://bombeiros.sp.gov.br/hidrantes/08bsg/qrcodeBSG.html?id=1799&amp;lat=-23.53974&amp;long=-46.49625&amp;tipo=S","QRCODE")</f>
        <v>QRCODE</v>
      </c>
      <c r="C2090" t="s">
        <v>5273</v>
      </c>
      <c r="D2090" t="s">
        <v>966</v>
      </c>
      <c r="E2090" t="s">
        <v>1156</v>
      </c>
      <c r="F2090" t="s">
        <v>21</v>
      </c>
      <c r="G2090" t="s">
        <v>1771</v>
      </c>
      <c r="H2090">
        <v>0</v>
      </c>
      <c r="I2090">
        <v>2</v>
      </c>
      <c r="J2090">
        <v>0</v>
      </c>
      <c r="K2090">
        <v>0</v>
      </c>
      <c r="L2090">
        <v>0</v>
      </c>
    </row>
    <row r="2091" spans="1:12">
      <c r="A2091" t="str">
        <f>HYPERLINK("http://bombeiros.sp.gov.br/hidrantes/03individual/3056.html","3056")</f>
        <v>3056</v>
      </c>
      <c r="B2091" t="str">
        <f>HYPERLINK("http://bombeiros.sp.gov.br/hidrantes/08bsg/qrcodeBSG.html?id=3056&amp;lat=-23.54274&amp;long=-46.50394&amp;tipo=S","QRCODE")</f>
        <v>QRCODE</v>
      </c>
      <c r="C2091" t="s">
        <v>5273</v>
      </c>
      <c r="D2091" t="s">
        <v>966</v>
      </c>
      <c r="E2091" t="s">
        <v>1156</v>
      </c>
      <c r="F2091" t="s">
        <v>21</v>
      </c>
      <c r="G2091" t="s">
        <v>1164</v>
      </c>
      <c r="H2091">
        <v>1</v>
      </c>
      <c r="I2091">
        <v>2</v>
      </c>
      <c r="J2091">
        <v>0</v>
      </c>
      <c r="K2091">
        <v>0</v>
      </c>
      <c r="L2091">
        <v>0</v>
      </c>
    </row>
    <row r="2092" spans="1:12">
      <c r="A2092" t="str">
        <f>HYPERLINK("http://bombeiros.sp.gov.br/hidrantes/03individual/3061.html","3061")</f>
        <v>3061</v>
      </c>
      <c r="B2092" t="str">
        <f>HYPERLINK("http://bombeiros.sp.gov.br/hidrantes/08bsg/qrcodeBSG.html?id=3061&amp;lat=-23.52792&amp;long=-46.50917&amp;tipo=S","QRCODE")</f>
        <v>QRCODE</v>
      </c>
      <c r="C2092" t="s">
        <v>5273</v>
      </c>
      <c r="D2092" t="s">
        <v>966</v>
      </c>
      <c r="E2092" t="s">
        <v>1156</v>
      </c>
      <c r="F2092" t="s">
        <v>21</v>
      </c>
      <c r="G2092" t="s">
        <v>2604</v>
      </c>
      <c r="H2092">
        <v>0</v>
      </c>
      <c r="I2092">
        <v>2</v>
      </c>
      <c r="J2092">
        <v>0</v>
      </c>
      <c r="K2092">
        <v>0</v>
      </c>
      <c r="L2092">
        <v>0</v>
      </c>
    </row>
    <row r="2093" spans="1:12">
      <c r="A2093" t="str">
        <f>HYPERLINK("http://bombeiros.sp.gov.br/hidrantes/03individual/3219.html","3219")</f>
        <v>3219</v>
      </c>
      <c r="B2093" t="str">
        <f>HYPERLINK("http://bombeiros.sp.gov.br/hidrantes/08bsg/qrcodeBSG.html?id=3219&amp;lat=-23.53814&amp;long=-46.50656&amp;tipo=S","QRCODE")</f>
        <v>QRCODE</v>
      </c>
      <c r="C2093" t="s">
        <v>5273</v>
      </c>
      <c r="D2093" t="s">
        <v>966</v>
      </c>
      <c r="E2093" t="s">
        <v>1156</v>
      </c>
      <c r="F2093" t="s">
        <v>21</v>
      </c>
      <c r="G2093" t="s">
        <v>3638</v>
      </c>
      <c r="H2093">
        <v>1</v>
      </c>
      <c r="I2093">
        <v>1</v>
      </c>
      <c r="J2093">
        <v>0</v>
      </c>
      <c r="K2093">
        <v>0</v>
      </c>
      <c r="L2093">
        <v>0</v>
      </c>
    </row>
    <row r="2094" spans="1:12">
      <c r="A2094" t="str">
        <f>HYPERLINK("http://bombeiros.sp.gov.br/hidrantes/03individual/3220.html","3220")</f>
        <v>3220</v>
      </c>
      <c r="B2094" t="str">
        <f>HYPERLINK("http://bombeiros.sp.gov.br/hidrantes/08bsg/qrcodeBSG.html?id=3220&amp;lat=-23.53654&amp;long=-46.51021&amp;tipo=S","QRCODE")</f>
        <v>QRCODE</v>
      </c>
      <c r="C2094" t="s">
        <v>5273</v>
      </c>
      <c r="D2094" t="s">
        <v>966</v>
      </c>
      <c r="E2094" t="s">
        <v>1156</v>
      </c>
      <c r="F2094" t="s">
        <v>21</v>
      </c>
      <c r="G2094" t="s">
        <v>5051</v>
      </c>
      <c r="H2094">
        <v>0</v>
      </c>
      <c r="I2094">
        <v>1</v>
      </c>
      <c r="J2094">
        <v>0</v>
      </c>
      <c r="K2094">
        <v>0</v>
      </c>
      <c r="L2094">
        <v>0</v>
      </c>
    </row>
    <row r="2095" spans="1:12">
      <c r="A2095" t="str">
        <f>HYPERLINK("http://bombeiros.sp.gov.br/hidrantes/03individual/3222.html","3222")</f>
        <v>3222</v>
      </c>
      <c r="B2095" t="str">
        <f>HYPERLINK("http://bombeiros.sp.gov.br/hidrantes/08bsg/qrcodeBSG.html?id=3222&amp;lat=-23.53090&amp;long=-46.51238&amp;tipo=S","QRCODE")</f>
        <v>QRCODE</v>
      </c>
      <c r="C2095" t="s">
        <v>5273</v>
      </c>
      <c r="D2095" t="s">
        <v>966</v>
      </c>
      <c r="E2095" t="s">
        <v>1156</v>
      </c>
      <c r="F2095" t="s">
        <v>21</v>
      </c>
      <c r="G2095" t="s">
        <v>4163</v>
      </c>
      <c r="H2095">
        <v>0</v>
      </c>
      <c r="I2095">
        <v>1</v>
      </c>
      <c r="J2095">
        <v>0</v>
      </c>
      <c r="K2095">
        <v>0</v>
      </c>
      <c r="L2095">
        <v>0</v>
      </c>
    </row>
    <row r="2096" spans="1:12">
      <c r="A2096" t="str">
        <f>HYPERLINK("http://bombeiros.sp.gov.br/hidrantes/03individual/3237.html","3237")</f>
        <v>3237</v>
      </c>
      <c r="B2096" t="str">
        <f>HYPERLINK("http://bombeiros.sp.gov.br/hidrantes/08bsg/qrcodeBSG.html?id=3237&amp;lat=-23.53197&amp;long=-46.51662&amp;tipo=S","QRCODE")</f>
        <v>QRCODE</v>
      </c>
      <c r="C2096" t="s">
        <v>5273</v>
      </c>
      <c r="D2096" t="s">
        <v>966</v>
      </c>
      <c r="E2096" t="s">
        <v>1156</v>
      </c>
      <c r="F2096" t="s">
        <v>21</v>
      </c>
      <c r="G2096" t="s">
        <v>1157</v>
      </c>
      <c r="H2096">
        <v>0</v>
      </c>
      <c r="I2096">
        <v>2</v>
      </c>
      <c r="J2096">
        <v>0</v>
      </c>
      <c r="K2096">
        <v>0</v>
      </c>
      <c r="L2096">
        <v>0</v>
      </c>
    </row>
    <row r="2097" spans="1:12">
      <c r="A2097" t="str">
        <f>HYPERLINK("http://bombeiros.sp.gov.br/hidrantes/03individual/3246.html","3246")</f>
        <v>3246</v>
      </c>
      <c r="B2097" t="str">
        <f>HYPERLINK("http://bombeiros.sp.gov.br/hidrantes/08bsg/qrcodeBSG.html?id=3246&amp;lat=-23.53257&amp;long=-46.51495&amp;tipo=S","QRCODE")</f>
        <v>QRCODE</v>
      </c>
      <c r="C2097" t="s">
        <v>5273</v>
      </c>
      <c r="D2097" t="s">
        <v>966</v>
      </c>
      <c r="E2097" t="s">
        <v>1156</v>
      </c>
      <c r="F2097" t="s">
        <v>21</v>
      </c>
      <c r="G2097" t="s">
        <v>1155</v>
      </c>
      <c r="H2097">
        <v>0</v>
      </c>
      <c r="I2097">
        <v>2</v>
      </c>
      <c r="J2097">
        <v>0</v>
      </c>
      <c r="K2097">
        <v>0</v>
      </c>
      <c r="L2097">
        <v>0</v>
      </c>
    </row>
    <row r="2098" spans="1:12">
      <c r="A2098" t="str">
        <f>HYPERLINK("http://bombeiros.sp.gov.br/hidrantes/03individual/3247.html","3247")</f>
        <v>3247</v>
      </c>
      <c r="B2098" t="str">
        <f>HYPERLINK("http://bombeiros.sp.gov.br/hidrantes/08bsg/qrcodeBSG.html?id=3247&amp;lat=-23.53394&amp;long=-46.51534&amp;tipo=S","QRCODE")</f>
        <v>QRCODE</v>
      </c>
      <c r="C2098" t="s">
        <v>5273</v>
      </c>
      <c r="D2098" t="s">
        <v>966</v>
      </c>
      <c r="E2098" t="s">
        <v>1156</v>
      </c>
      <c r="F2098" t="s">
        <v>21</v>
      </c>
      <c r="G2098" t="s">
        <v>4945</v>
      </c>
      <c r="H2098">
        <v>0</v>
      </c>
      <c r="I2098">
        <v>1</v>
      </c>
      <c r="J2098">
        <v>0</v>
      </c>
      <c r="K2098">
        <v>0</v>
      </c>
      <c r="L2098">
        <v>0</v>
      </c>
    </row>
    <row r="2099" spans="1:12">
      <c r="A2099" t="str">
        <f>HYPERLINK("http://bombeiros.sp.gov.br/hidrantes/03individual/3257.html","3257")</f>
        <v>3257</v>
      </c>
      <c r="B2099" t="str">
        <f>HYPERLINK("http://bombeiros.sp.gov.br/hidrantes/08bsg/qrcodeBSG.html?id=3257&amp;lat=-23.52851&amp;long=-46.51325&amp;tipo=S","QRCODE")</f>
        <v>QRCODE</v>
      </c>
      <c r="C2099" t="s">
        <v>5273</v>
      </c>
      <c r="D2099" t="s">
        <v>966</v>
      </c>
      <c r="E2099" t="s">
        <v>1156</v>
      </c>
      <c r="F2099" t="s">
        <v>21</v>
      </c>
      <c r="G2099" t="s">
        <v>2597</v>
      </c>
      <c r="H2099">
        <v>0</v>
      </c>
      <c r="I2099">
        <v>2</v>
      </c>
      <c r="J2099">
        <v>0</v>
      </c>
      <c r="K2099">
        <v>0</v>
      </c>
      <c r="L2099">
        <v>0</v>
      </c>
    </row>
    <row r="2100" spans="1:12">
      <c r="A2100" t="str">
        <f>HYPERLINK("http://bombeiros.sp.gov.br/hidrantes/03individual/3279.html","3279")</f>
        <v>3279</v>
      </c>
      <c r="B2100" t="str">
        <f>HYPERLINK("http://bombeiros.sp.gov.br/hidrantes/08bsg/qrcodeBSG.html?id=3279&amp;lat=-23.53329&amp;long=-46.50129&amp;tipo=S","QRCODE")</f>
        <v>QRCODE</v>
      </c>
      <c r="C2100" t="s">
        <v>5273</v>
      </c>
      <c r="D2100" t="s">
        <v>966</v>
      </c>
      <c r="E2100" t="s">
        <v>1156</v>
      </c>
      <c r="F2100" t="s">
        <v>21</v>
      </c>
      <c r="G2100" t="s">
        <v>4944</v>
      </c>
      <c r="H2100">
        <v>0</v>
      </c>
      <c r="I2100">
        <v>1</v>
      </c>
      <c r="J2100">
        <v>0</v>
      </c>
      <c r="K2100">
        <v>0</v>
      </c>
      <c r="L2100">
        <v>0</v>
      </c>
    </row>
    <row r="2101" spans="1:12">
      <c r="A2101" t="str">
        <f>HYPERLINK("http://bombeiros.sp.gov.br/hidrantes/03individual/3282.html","3282")</f>
        <v>3282</v>
      </c>
      <c r="B2101" t="str">
        <f>HYPERLINK("http://bombeiros.sp.gov.br/hidrantes/08bsg/qrcodeBSG.html?id=3282&amp;lat=-23.53631&amp;long=-46.50198&amp;tipo=S","QRCODE")</f>
        <v>QRCODE</v>
      </c>
      <c r="C2101" t="s">
        <v>5273</v>
      </c>
      <c r="D2101" t="s">
        <v>966</v>
      </c>
      <c r="E2101" t="s">
        <v>1156</v>
      </c>
      <c r="F2101" t="s">
        <v>21</v>
      </c>
      <c r="G2101" t="s">
        <v>4726</v>
      </c>
      <c r="H2101">
        <v>1</v>
      </c>
      <c r="I2101">
        <v>1</v>
      </c>
      <c r="J2101">
        <v>0</v>
      </c>
      <c r="K2101">
        <v>0</v>
      </c>
      <c r="L2101">
        <v>0</v>
      </c>
    </row>
    <row r="2102" spans="1:12">
      <c r="A2102" t="str">
        <f>HYPERLINK("http://bombeiros.sp.gov.br/hidrantes/03individual/3391.html","3391")</f>
        <v>3391</v>
      </c>
      <c r="B2102" t="str">
        <f>HYPERLINK("http://bombeiros.sp.gov.br/hidrantes/08bsg/qrcodeBSG.html?id=3391&amp;lat=-23.53785&amp;long=-46.49923&amp;tipo=S","QRCODE")</f>
        <v>QRCODE</v>
      </c>
      <c r="C2102" t="s">
        <v>5273</v>
      </c>
      <c r="D2102" t="s">
        <v>966</v>
      </c>
      <c r="E2102" t="s">
        <v>1156</v>
      </c>
      <c r="F2102" t="s">
        <v>21</v>
      </c>
      <c r="G2102" t="s">
        <v>4702</v>
      </c>
      <c r="H2102">
        <v>1</v>
      </c>
      <c r="I2102">
        <v>1</v>
      </c>
      <c r="J2102">
        <v>0</v>
      </c>
      <c r="K2102">
        <v>0</v>
      </c>
      <c r="L2102">
        <v>0</v>
      </c>
    </row>
    <row r="2103" spans="1:12">
      <c r="A2103" t="str">
        <f>HYPERLINK("http://bombeiros.sp.gov.br/hidrantes/03individual/17689.html","17689")</f>
        <v>17689</v>
      </c>
      <c r="B2103" t="str">
        <f>HYPERLINK("http://bombeiros.sp.gov.br/hidrantes/08bsg/qrcodeBSG.html?id=17689&amp;lat=-23.53266&amp;long=-46.50548&amp;tipo=S","QRCODE")</f>
        <v>QRCODE</v>
      </c>
      <c r="C2103" t="s">
        <v>5273</v>
      </c>
      <c r="D2103" t="s">
        <v>966</v>
      </c>
      <c r="E2103" t="s">
        <v>1156</v>
      </c>
      <c r="F2103" t="s">
        <v>21</v>
      </c>
      <c r="G2103" t="s">
        <v>2595</v>
      </c>
      <c r="H2103">
        <v>0</v>
      </c>
      <c r="I2103">
        <v>3</v>
      </c>
      <c r="J2103">
        <v>0</v>
      </c>
      <c r="K2103">
        <v>0</v>
      </c>
      <c r="L2103">
        <v>0</v>
      </c>
    </row>
    <row r="2104" spans="1:12">
      <c r="A2104" t="str">
        <f>HYPERLINK("http://bombeiros.sp.gov.br/hidrantes/03individual/1372.html","1372")</f>
        <v>1372</v>
      </c>
      <c r="B2104" t="str">
        <f>HYPERLINK("http://bombeiros.sp.gov.br/hidrantes/08bsg/qrcodeBSG.html?id=1372&amp;lat=-23.53857&amp;long=-46.53592&amp;tipo=S","QRCODE")</f>
        <v>QRCODE</v>
      </c>
      <c r="C2104" t="s">
        <v>5273</v>
      </c>
      <c r="D2104" t="s">
        <v>966</v>
      </c>
      <c r="E2104" t="s">
        <v>968</v>
      </c>
      <c r="F2104" t="s">
        <v>21</v>
      </c>
      <c r="G2104" t="s">
        <v>1183</v>
      </c>
      <c r="H2104">
        <v>0</v>
      </c>
      <c r="I2104">
        <v>2</v>
      </c>
      <c r="J2104">
        <v>0</v>
      </c>
      <c r="K2104">
        <v>0</v>
      </c>
      <c r="L2104">
        <v>0</v>
      </c>
    </row>
    <row r="2105" spans="1:12">
      <c r="A2105" t="str">
        <f>HYPERLINK("http://bombeiros.sp.gov.br/hidrantes/03individual/1375.html","1375")</f>
        <v>1375</v>
      </c>
      <c r="B2105" t="str">
        <f>HYPERLINK("http://bombeiros.sp.gov.br/hidrantes/08bsg/qrcodeBSG.html?id=1375&amp;lat=-23.53830&amp;long=-46.52818&amp;tipo=S","QRCODE")</f>
        <v>QRCODE</v>
      </c>
      <c r="C2105" t="s">
        <v>5273</v>
      </c>
      <c r="D2105" t="s">
        <v>966</v>
      </c>
      <c r="E2105" t="s">
        <v>968</v>
      </c>
      <c r="F2105" t="s">
        <v>21</v>
      </c>
      <c r="G2105" t="s">
        <v>1011</v>
      </c>
      <c r="H2105">
        <v>0</v>
      </c>
      <c r="I2105">
        <v>2</v>
      </c>
      <c r="J2105">
        <v>0</v>
      </c>
      <c r="K2105">
        <v>0</v>
      </c>
      <c r="L2105">
        <v>0</v>
      </c>
    </row>
    <row r="2106" spans="1:12">
      <c r="A2106" t="str">
        <f>HYPERLINK("http://bombeiros.sp.gov.br/hidrantes/03individual/1380.html","1380")</f>
        <v>1380</v>
      </c>
      <c r="B2106" t="str">
        <f>HYPERLINK("http://bombeiros.sp.gov.br/hidrantes/08bsg/qrcodeBSG.html?id=1380&amp;lat=-23.53991&amp;long=-46.52928&amp;tipo=S","QRCODE")</f>
        <v>QRCODE</v>
      </c>
      <c r="C2106" t="s">
        <v>5273</v>
      </c>
      <c r="D2106" t="s">
        <v>966</v>
      </c>
      <c r="E2106" t="s">
        <v>968</v>
      </c>
      <c r="F2106" t="s">
        <v>21</v>
      </c>
      <c r="G2106" t="s">
        <v>5160</v>
      </c>
      <c r="H2106">
        <v>1</v>
      </c>
      <c r="I2106">
        <v>1</v>
      </c>
      <c r="J2106">
        <v>0</v>
      </c>
      <c r="K2106">
        <v>0</v>
      </c>
      <c r="L2106">
        <v>0</v>
      </c>
    </row>
    <row r="2107" spans="1:12">
      <c r="A2107" t="str">
        <f>HYPERLINK("http://bombeiros.sp.gov.br/hidrantes/03individual/1420.html","1420")</f>
        <v>1420</v>
      </c>
      <c r="B2107" t="str">
        <f>HYPERLINK("http://bombeiros.sp.gov.br/hidrantes/08bsg/qrcodeBSG.html?id=1420&amp;lat=-23.53636&amp;long=-46.53169&amp;tipo=S","QRCODE")</f>
        <v>QRCODE</v>
      </c>
      <c r="C2107" t="s">
        <v>5273</v>
      </c>
      <c r="D2107" t="s">
        <v>966</v>
      </c>
      <c r="E2107" t="s">
        <v>968</v>
      </c>
      <c r="F2107" t="s">
        <v>21</v>
      </c>
      <c r="G2107" t="s">
        <v>4770</v>
      </c>
      <c r="H2107">
        <v>1</v>
      </c>
      <c r="I2107">
        <v>1</v>
      </c>
      <c r="J2107">
        <v>0</v>
      </c>
      <c r="K2107">
        <v>0</v>
      </c>
      <c r="L2107">
        <v>0</v>
      </c>
    </row>
    <row r="2108" spans="1:12">
      <c r="A2108" t="str">
        <f>HYPERLINK("http://bombeiros.sp.gov.br/hidrantes/03individual/1484.html","1484")</f>
        <v>1484</v>
      </c>
      <c r="B2108" t="str">
        <f>HYPERLINK("http://bombeiros.sp.gov.br/hidrantes/08bsg/qrcodeBSG.html?id=1484&amp;lat=-23.54575&amp;long=-46.52391&amp;tipo=S","QRCODE")</f>
        <v>QRCODE</v>
      </c>
      <c r="C2108" t="s">
        <v>5273</v>
      </c>
      <c r="D2108" t="s">
        <v>966</v>
      </c>
      <c r="E2108" t="s">
        <v>968</v>
      </c>
      <c r="F2108" t="s">
        <v>21</v>
      </c>
      <c r="G2108" t="s">
        <v>4472</v>
      </c>
      <c r="H2108">
        <v>0</v>
      </c>
      <c r="I2108">
        <v>2</v>
      </c>
      <c r="J2108">
        <v>0</v>
      </c>
      <c r="K2108">
        <v>0</v>
      </c>
      <c r="L2108">
        <v>0</v>
      </c>
    </row>
    <row r="2109" spans="1:12">
      <c r="A2109" t="str">
        <f>HYPERLINK("http://bombeiros.sp.gov.br/hidrantes/03individual/1548.html","1548")</f>
        <v>1548</v>
      </c>
      <c r="B2109" t="str">
        <f>HYPERLINK("http://bombeiros.sp.gov.br/hidrantes/08bsg/qrcodeBSG.html?id=1548&amp;lat=-23.54641&amp;long=-46.52673&amp;tipo=S","QRCODE")</f>
        <v>QRCODE</v>
      </c>
      <c r="C2109" t="s">
        <v>5273</v>
      </c>
      <c r="D2109" t="s">
        <v>966</v>
      </c>
      <c r="E2109" t="s">
        <v>968</v>
      </c>
      <c r="F2109" t="s">
        <v>21</v>
      </c>
      <c r="G2109" t="s">
        <v>4473</v>
      </c>
      <c r="H2109">
        <v>0</v>
      </c>
      <c r="I2109">
        <v>3</v>
      </c>
      <c r="J2109">
        <v>0</v>
      </c>
      <c r="K2109">
        <v>0</v>
      </c>
      <c r="L2109">
        <v>0</v>
      </c>
    </row>
    <row r="2110" spans="1:12">
      <c r="A2110" t="str">
        <f>HYPERLINK("http://bombeiros.sp.gov.br/hidrantes/03individual/1758.html","1758")</f>
        <v>1758</v>
      </c>
      <c r="B2110" t="str">
        <f>HYPERLINK("http://bombeiros.sp.gov.br/hidrantes/08bsg/qrcodeBSG.html?id=1758&amp;lat=-23.53681&amp;long=-46.54210&amp;tipo=S","QRCODE")</f>
        <v>QRCODE</v>
      </c>
      <c r="C2110" t="s">
        <v>5273</v>
      </c>
      <c r="D2110" t="s">
        <v>966</v>
      </c>
      <c r="E2110" t="s">
        <v>968</v>
      </c>
      <c r="F2110" t="s">
        <v>21</v>
      </c>
      <c r="G2110" t="s">
        <v>5047</v>
      </c>
      <c r="H2110">
        <v>0</v>
      </c>
      <c r="I2110">
        <v>2</v>
      </c>
      <c r="J2110">
        <v>0</v>
      </c>
      <c r="K2110">
        <v>0</v>
      </c>
      <c r="L2110">
        <v>0</v>
      </c>
    </row>
    <row r="2111" spans="1:12">
      <c r="A2111" t="str">
        <f>HYPERLINK("http://bombeiros.sp.gov.br/hidrantes/03individual/1805.html","1805")</f>
        <v>1805</v>
      </c>
      <c r="B2111" t="str">
        <f>HYPERLINK("http://bombeiros.sp.gov.br/hidrantes/08bsg/qrcodeBSG.html?id=1805&amp;lat=-23.53628&amp;long=-46.53987&amp;tipo=S","QRCODE")</f>
        <v>QRCODE</v>
      </c>
      <c r="C2111" t="s">
        <v>5273</v>
      </c>
      <c r="D2111" t="s">
        <v>966</v>
      </c>
      <c r="E2111" t="s">
        <v>968</v>
      </c>
      <c r="F2111" t="s">
        <v>21</v>
      </c>
      <c r="G2111" t="s">
        <v>2538</v>
      </c>
      <c r="H2111">
        <v>0</v>
      </c>
      <c r="I2111">
        <v>3</v>
      </c>
      <c r="J2111">
        <v>0</v>
      </c>
      <c r="K2111">
        <v>0</v>
      </c>
      <c r="L2111">
        <v>0</v>
      </c>
    </row>
    <row r="2112" spans="1:12">
      <c r="A2112" t="str">
        <f>HYPERLINK("http://bombeiros.sp.gov.br/hidrantes/03individual/1807.html","1807")</f>
        <v>1807</v>
      </c>
      <c r="B2112" t="str">
        <f>HYPERLINK("http://bombeiros.sp.gov.br/hidrantes/08bsg/qrcodeBSG.html?id=1807&amp;lat=-23.53884&amp;long=-46.54162&amp;tipo=S","QRCODE")</f>
        <v>QRCODE</v>
      </c>
      <c r="C2112" t="s">
        <v>5273</v>
      </c>
      <c r="D2112" t="s">
        <v>966</v>
      </c>
      <c r="E2112" t="s">
        <v>968</v>
      </c>
      <c r="F2112" t="s">
        <v>21</v>
      </c>
      <c r="G2112" t="s">
        <v>1214</v>
      </c>
      <c r="H2112">
        <v>0</v>
      </c>
      <c r="I2112">
        <v>2</v>
      </c>
      <c r="J2112">
        <v>0</v>
      </c>
      <c r="K2112">
        <v>0</v>
      </c>
      <c r="L2112">
        <v>0</v>
      </c>
    </row>
    <row r="2113" spans="1:12">
      <c r="A2113" t="str">
        <f>HYPERLINK("http://bombeiros.sp.gov.br/hidrantes/03individual/1817.html","1817")</f>
        <v>1817</v>
      </c>
      <c r="B2113" t="str">
        <f>HYPERLINK("http://bombeiros.sp.gov.br/hidrantes/08bsg/qrcodeBSG.html?id=1817&amp;lat=-23.53503&amp;long=-46.53888&amp;tipo=S","QRCODE")</f>
        <v>QRCODE</v>
      </c>
      <c r="C2113" t="s">
        <v>5273</v>
      </c>
      <c r="D2113" t="s">
        <v>966</v>
      </c>
      <c r="E2113" t="s">
        <v>968</v>
      </c>
      <c r="F2113" t="s">
        <v>21</v>
      </c>
      <c r="G2113" t="s">
        <v>4147</v>
      </c>
      <c r="H2113">
        <v>0</v>
      </c>
      <c r="I2113">
        <v>1</v>
      </c>
      <c r="J2113">
        <v>0</v>
      </c>
      <c r="K2113">
        <v>0</v>
      </c>
      <c r="L2113">
        <v>0</v>
      </c>
    </row>
    <row r="2114" spans="1:12">
      <c r="A2114" t="str">
        <f>HYPERLINK("http://bombeiros.sp.gov.br/hidrantes/03individual/3179.html","3179")</f>
        <v>3179</v>
      </c>
      <c r="B2114" t="str">
        <f>HYPERLINK("http://bombeiros.sp.gov.br/hidrantes/08bsg/qrcodeBSG.html?id=3179&amp;lat=-23.53276&amp;long=-46.53601&amp;tipo=S","QRCODE")</f>
        <v>QRCODE</v>
      </c>
      <c r="C2114" t="s">
        <v>5273</v>
      </c>
      <c r="D2114" t="s">
        <v>966</v>
      </c>
      <c r="E2114" t="s">
        <v>968</v>
      </c>
      <c r="F2114" t="s">
        <v>21</v>
      </c>
      <c r="G2114" t="s">
        <v>4778</v>
      </c>
      <c r="H2114">
        <v>1</v>
      </c>
      <c r="I2114">
        <v>1</v>
      </c>
      <c r="J2114">
        <v>0</v>
      </c>
      <c r="K2114">
        <v>0</v>
      </c>
      <c r="L2114">
        <v>0</v>
      </c>
    </row>
    <row r="2115" spans="1:12">
      <c r="A2115" t="str">
        <f>HYPERLINK("http://bombeiros.sp.gov.br/hidrantes/03individual/3180.html","3180")</f>
        <v>3180</v>
      </c>
      <c r="B2115" t="str">
        <f>HYPERLINK("http://bombeiros.sp.gov.br/hidrantes/08bsg/qrcodeBSG.html?id=3180&amp;lat=-23.53648&amp;long=-46.53618&amp;tipo=S","QRCODE")</f>
        <v>QRCODE</v>
      </c>
      <c r="C2115" t="s">
        <v>5273</v>
      </c>
      <c r="D2115" t="s">
        <v>966</v>
      </c>
      <c r="E2115" t="s">
        <v>968</v>
      </c>
      <c r="F2115" t="s">
        <v>21</v>
      </c>
      <c r="G2115" t="s">
        <v>1161</v>
      </c>
      <c r="H2115">
        <v>0</v>
      </c>
      <c r="I2115">
        <v>2</v>
      </c>
      <c r="J2115">
        <v>0</v>
      </c>
      <c r="K2115">
        <v>0</v>
      </c>
      <c r="L2115">
        <v>0</v>
      </c>
    </row>
    <row r="2116" spans="1:12">
      <c r="A2116" t="str">
        <f>HYPERLINK("http://bombeiros.sp.gov.br/hidrantes/03individual/3182.html","3182")</f>
        <v>3182</v>
      </c>
      <c r="B2116" t="str">
        <f>HYPERLINK("http://bombeiros.sp.gov.br/hidrantes/08bsg/qrcodeBSG.html?id=3182&amp;lat=-23.53513&amp;long=-46.53492&amp;tipo=S","QRCODE")</f>
        <v>QRCODE</v>
      </c>
      <c r="C2116" t="s">
        <v>5273</v>
      </c>
      <c r="D2116" t="s">
        <v>966</v>
      </c>
      <c r="E2116" t="s">
        <v>968</v>
      </c>
      <c r="F2116" t="s">
        <v>21</v>
      </c>
      <c r="G2116" t="s">
        <v>3056</v>
      </c>
      <c r="H2116">
        <v>1</v>
      </c>
      <c r="I2116">
        <v>2</v>
      </c>
      <c r="J2116">
        <v>0</v>
      </c>
      <c r="K2116">
        <v>0</v>
      </c>
      <c r="L2116">
        <v>0</v>
      </c>
    </row>
    <row r="2117" spans="1:12">
      <c r="A2117" t="str">
        <f>HYPERLINK("http://bombeiros.sp.gov.br/hidrantes/03individual/3188.html","3188")</f>
        <v>3188</v>
      </c>
      <c r="B2117" t="str">
        <f>HYPERLINK("http://bombeiros.sp.gov.br/hidrantes/08bsg/qrcodeBSG.html?id=3188&amp;lat=-23.53608&amp;long=-46.53877&amp;tipo=S","QRCODE")</f>
        <v>QRCODE</v>
      </c>
      <c r="C2117" t="s">
        <v>5273</v>
      </c>
      <c r="D2117" t="s">
        <v>966</v>
      </c>
      <c r="E2117" t="s">
        <v>968</v>
      </c>
      <c r="F2117" t="s">
        <v>21</v>
      </c>
      <c r="G2117" t="s">
        <v>4777</v>
      </c>
      <c r="H2117">
        <v>1</v>
      </c>
      <c r="I2117">
        <v>1</v>
      </c>
      <c r="J2117">
        <v>0</v>
      </c>
      <c r="K2117">
        <v>0</v>
      </c>
      <c r="L2117">
        <v>0</v>
      </c>
    </row>
    <row r="2118" spans="1:12">
      <c r="A2118" t="str">
        <f>HYPERLINK("http://bombeiros.sp.gov.br/hidrantes/03individual/3193.html","3193")</f>
        <v>3193</v>
      </c>
      <c r="B2118" t="str">
        <f>HYPERLINK("http://bombeiros.sp.gov.br/hidrantes/08bsg/qrcodeBSG.html?id=3193&amp;lat=-23.53731&amp;long=-46.53965&amp;tipo=S","QRCODE")</f>
        <v>QRCODE</v>
      </c>
      <c r="C2118" t="s">
        <v>5273</v>
      </c>
      <c r="D2118" t="s">
        <v>966</v>
      </c>
      <c r="E2118" t="s">
        <v>968</v>
      </c>
      <c r="F2118" t="s">
        <v>21</v>
      </c>
      <c r="G2118" t="s">
        <v>5046</v>
      </c>
      <c r="H2118">
        <v>0</v>
      </c>
      <c r="I2118">
        <v>1</v>
      </c>
      <c r="J2118">
        <v>0</v>
      </c>
      <c r="K2118">
        <v>0</v>
      </c>
      <c r="L2118">
        <v>0</v>
      </c>
    </row>
    <row r="2119" spans="1:12">
      <c r="A2119" t="str">
        <f>HYPERLINK("http://bombeiros.sp.gov.br/hidrantes/03individual/3197.html","3197")</f>
        <v>3197</v>
      </c>
      <c r="B2119" t="str">
        <f>HYPERLINK("http://bombeiros.sp.gov.br/hidrantes/08bsg/qrcodeBSG.html?id=3197&amp;lat=-23.53915&amp;long=-46.53901&amp;tipo=S","QRCODE")</f>
        <v>QRCODE</v>
      </c>
      <c r="C2119" t="s">
        <v>5273</v>
      </c>
      <c r="D2119" t="s">
        <v>966</v>
      </c>
      <c r="E2119" t="s">
        <v>968</v>
      </c>
      <c r="F2119" t="s">
        <v>21</v>
      </c>
      <c r="G2119" t="s">
        <v>1160</v>
      </c>
      <c r="H2119">
        <v>0</v>
      </c>
      <c r="I2119">
        <v>2</v>
      </c>
      <c r="J2119">
        <v>0</v>
      </c>
      <c r="K2119">
        <v>0</v>
      </c>
      <c r="L2119">
        <v>0</v>
      </c>
    </row>
    <row r="2120" spans="1:12">
      <c r="A2120" t="str">
        <f>HYPERLINK("http://bombeiros.sp.gov.br/hidrantes/03individual/3208.html","3208")</f>
        <v>3208</v>
      </c>
      <c r="B2120" t="str">
        <f>HYPERLINK("http://bombeiros.sp.gov.br/hidrantes/08bsg/qrcodeBSG.html?id=3208&amp;lat=-23.53714&amp;long=-46.53340&amp;tipo=S","QRCODE")</f>
        <v>QRCODE</v>
      </c>
      <c r="C2120" t="s">
        <v>5273</v>
      </c>
      <c r="D2120" t="s">
        <v>966</v>
      </c>
      <c r="E2120" t="s">
        <v>968</v>
      </c>
      <c r="F2120" t="s">
        <v>21</v>
      </c>
      <c r="G2120" t="s">
        <v>1287</v>
      </c>
      <c r="H2120">
        <v>0</v>
      </c>
      <c r="I2120">
        <v>2</v>
      </c>
      <c r="J2120">
        <v>0</v>
      </c>
      <c r="K2120">
        <v>0</v>
      </c>
      <c r="L2120">
        <v>0</v>
      </c>
    </row>
    <row r="2121" spans="1:12">
      <c r="A2121" t="str">
        <f>HYPERLINK("http://bombeiros.sp.gov.br/hidrantes/03individual/3209.html","3209")</f>
        <v>3209</v>
      </c>
      <c r="B2121" t="str">
        <f>HYPERLINK("http://bombeiros.sp.gov.br/hidrantes/08bsg/qrcodeBSG.html?id=3209&amp;lat=-23.53872&amp;long=-46.53164&amp;tipo=S","QRCODE")</f>
        <v>QRCODE</v>
      </c>
      <c r="C2121" t="s">
        <v>5273</v>
      </c>
      <c r="D2121" t="s">
        <v>966</v>
      </c>
      <c r="E2121" t="s">
        <v>968</v>
      </c>
      <c r="F2121" t="s">
        <v>21</v>
      </c>
      <c r="G2121" t="s">
        <v>4698</v>
      </c>
      <c r="H2121">
        <v>1</v>
      </c>
      <c r="I2121">
        <v>1</v>
      </c>
      <c r="J2121">
        <v>0</v>
      </c>
      <c r="K2121">
        <v>0</v>
      </c>
      <c r="L2121">
        <v>0</v>
      </c>
    </row>
    <row r="2122" spans="1:12">
      <c r="A2122" t="str">
        <f>HYPERLINK("http://bombeiros.sp.gov.br/hidrantes/03individual/3225.html","3225")</f>
        <v>3225</v>
      </c>
      <c r="B2122" t="str">
        <f>HYPERLINK("http://bombeiros.sp.gov.br/hidrantes/08bsg/qrcodeBSG.html?id=3225&amp;lat=-23.54298&amp;long=-46.52422&amp;tipo=S","QRCODE")</f>
        <v>QRCODE</v>
      </c>
      <c r="C2122" t="s">
        <v>5273</v>
      </c>
      <c r="D2122" t="s">
        <v>966</v>
      </c>
      <c r="E2122" t="s">
        <v>968</v>
      </c>
      <c r="F2122" t="s">
        <v>21</v>
      </c>
      <c r="G2122" t="s">
        <v>967</v>
      </c>
      <c r="H2122">
        <v>0</v>
      </c>
      <c r="I2122">
        <v>2</v>
      </c>
      <c r="J2122">
        <v>0</v>
      </c>
      <c r="K2122">
        <v>0</v>
      </c>
      <c r="L2122">
        <v>0</v>
      </c>
    </row>
    <row r="2123" spans="1:12">
      <c r="A2123" t="str">
        <f>HYPERLINK("http://bombeiros.sp.gov.br/hidrantes/03individual/3228.html","3228")</f>
        <v>3228</v>
      </c>
      <c r="B2123" t="str">
        <f>HYPERLINK("http://bombeiros.sp.gov.br/hidrantes/08bsg/qrcodeBSG.html?id=3228&amp;lat=-23.54317&amp;long=-46.52165&amp;tipo=S","QRCODE")</f>
        <v>QRCODE</v>
      </c>
      <c r="C2123" t="s">
        <v>5273</v>
      </c>
      <c r="D2123" t="s">
        <v>966</v>
      </c>
      <c r="E2123" t="s">
        <v>968</v>
      </c>
      <c r="F2123" t="s">
        <v>21</v>
      </c>
      <c r="G2123" t="s">
        <v>4162</v>
      </c>
      <c r="H2123">
        <v>0</v>
      </c>
      <c r="I2123">
        <v>1</v>
      </c>
      <c r="J2123">
        <v>0</v>
      </c>
      <c r="K2123">
        <v>0</v>
      </c>
      <c r="L2123">
        <v>0</v>
      </c>
    </row>
    <row r="2124" spans="1:12">
      <c r="A2124" t="str">
        <f>HYPERLINK("http://bombeiros.sp.gov.br/hidrantes/03individual/3286.html","3286")</f>
        <v>3286</v>
      </c>
      <c r="B2124" t="str">
        <f>HYPERLINK("http://bombeiros.sp.gov.br/hidrantes/08bsg/qrcodeBSG.html?id=3286&amp;lat=-23.53707&amp;long=-46.54343&amp;tipo=S","QRCODE")</f>
        <v>QRCODE</v>
      </c>
      <c r="C2124" t="s">
        <v>5273</v>
      </c>
      <c r="D2124" t="s">
        <v>966</v>
      </c>
      <c r="E2124" t="s">
        <v>968</v>
      </c>
      <c r="F2124" t="s">
        <v>21</v>
      </c>
      <c r="G2124" t="s">
        <v>5053</v>
      </c>
      <c r="H2124">
        <v>0</v>
      </c>
      <c r="I2124">
        <v>1</v>
      </c>
      <c r="J2124">
        <v>0</v>
      </c>
      <c r="K2124">
        <v>0</v>
      </c>
      <c r="L2124">
        <v>0</v>
      </c>
    </row>
    <row r="2125" spans="1:12">
      <c r="A2125" t="str">
        <f>HYPERLINK("http://bombeiros.sp.gov.br/hidrantes/03individual/27045.html","27045")</f>
        <v>27045</v>
      </c>
      <c r="B2125" t="str">
        <f>HYPERLINK("http://bombeiros.sp.gov.br/hidrantes/08bsg/qrcodeBSG.html?id=27045&amp;lat=-23.54030&amp;long=-46.53999&amp;tipo=S","QRCODE")</f>
        <v>QRCODE</v>
      </c>
      <c r="C2125" t="s">
        <v>5273</v>
      </c>
      <c r="D2125" t="s">
        <v>966</v>
      </c>
      <c r="E2125" t="s">
        <v>968</v>
      </c>
      <c r="F2125" t="s">
        <v>21</v>
      </c>
      <c r="G2125" t="s">
        <v>3073</v>
      </c>
      <c r="H2125">
        <v>0</v>
      </c>
      <c r="I2125">
        <v>1</v>
      </c>
      <c r="J2125">
        <v>0</v>
      </c>
      <c r="K2125">
        <v>0</v>
      </c>
      <c r="L2125">
        <v>0</v>
      </c>
    </row>
    <row r="2126" spans="1:12">
      <c r="A2126" t="str">
        <f>HYPERLINK("http://bombeiros.sp.gov.br/hidrantes/03individual/3199.html","3199")</f>
        <v>3199</v>
      </c>
      <c r="B2126" t="str">
        <f>HYPERLINK("http://bombeiros.sp.gov.br/hidrantes/08bsg/qrcodeBSG.html?id=3199&amp;lat=-23.53265&amp;long=-46.52611&amp;tipo=C","QRCODE")</f>
        <v>QRCODE</v>
      </c>
      <c r="C2126" t="s">
        <v>5273</v>
      </c>
      <c r="D2126" t="s">
        <v>966</v>
      </c>
      <c r="E2126" t="s">
        <v>966</v>
      </c>
      <c r="F2126" t="s">
        <v>12</v>
      </c>
      <c r="G2126" t="s">
        <v>4632</v>
      </c>
      <c r="H2126">
        <v>1</v>
      </c>
      <c r="I2126">
        <v>1</v>
      </c>
      <c r="J2126">
        <v>0</v>
      </c>
      <c r="K2126">
        <v>0</v>
      </c>
      <c r="L2126">
        <v>0</v>
      </c>
    </row>
    <row r="2127" spans="1:12">
      <c r="A2127" t="str">
        <f>HYPERLINK("http://bombeiros.sp.gov.br/hidrantes/03individual/3274.html","3274")</f>
        <v>3274</v>
      </c>
      <c r="B2127" t="str">
        <f>HYPERLINK("http://bombeiros.sp.gov.br/hidrantes/08bsg/qrcodeBSG.html?id=3274&amp;lat=-23.53202&amp;long=-46.53031&amp;tipo=C","QRCODE")</f>
        <v>QRCODE</v>
      </c>
      <c r="C2127" t="s">
        <v>5273</v>
      </c>
      <c r="D2127" t="s">
        <v>966</v>
      </c>
      <c r="E2127" t="s">
        <v>966</v>
      </c>
      <c r="F2127" t="s">
        <v>12</v>
      </c>
      <c r="G2127" t="s">
        <v>4631</v>
      </c>
      <c r="H2127">
        <v>1</v>
      </c>
      <c r="I2127">
        <v>1</v>
      </c>
      <c r="J2127">
        <v>0</v>
      </c>
      <c r="K2127">
        <v>0</v>
      </c>
      <c r="L2127">
        <v>0</v>
      </c>
    </row>
    <row r="2128" spans="1:12">
      <c r="A2128" t="str">
        <f>HYPERLINK("http://bombeiros.sp.gov.br/hidrantes/03individual/1047.html","1047")</f>
        <v>1047</v>
      </c>
      <c r="B2128" t="str">
        <f>HYPERLINK("http://bombeiros.sp.gov.br/hidrantes/08bsg/qrcodeBSG.html?id=1047&amp;lat=-23.54353&amp;long=-46.51403&amp;tipo=S","QRCODE")</f>
        <v>QRCODE</v>
      </c>
      <c r="C2128" t="s">
        <v>5273</v>
      </c>
      <c r="D2128" t="s">
        <v>966</v>
      </c>
      <c r="E2128" t="s">
        <v>966</v>
      </c>
      <c r="F2128" t="s">
        <v>21</v>
      </c>
      <c r="G2128" t="s">
        <v>1229</v>
      </c>
      <c r="H2128">
        <v>0</v>
      </c>
      <c r="I2128">
        <v>2</v>
      </c>
      <c r="J2128">
        <v>0</v>
      </c>
      <c r="K2128">
        <v>0</v>
      </c>
      <c r="L2128">
        <v>0</v>
      </c>
    </row>
    <row r="2129" spans="1:12">
      <c r="A2129" t="str">
        <f>HYPERLINK("http://bombeiros.sp.gov.br/hidrantes/03individual/1378.html","1378")</f>
        <v>1378</v>
      </c>
      <c r="B2129" t="str">
        <f>HYPERLINK("http://bombeiros.sp.gov.br/hidrantes/08bsg/qrcodeBSG.html?id=1378&amp;lat=-23.53548&amp;long=-46.53022&amp;tipo=S","QRCODE")</f>
        <v>QRCODE</v>
      </c>
      <c r="C2129" t="s">
        <v>5273</v>
      </c>
      <c r="D2129" t="s">
        <v>966</v>
      </c>
      <c r="E2129" t="s">
        <v>966</v>
      </c>
      <c r="F2129" t="s">
        <v>21</v>
      </c>
      <c r="G2129" t="s">
        <v>4763</v>
      </c>
      <c r="H2129">
        <v>1</v>
      </c>
      <c r="I2129">
        <v>1</v>
      </c>
      <c r="J2129">
        <v>0</v>
      </c>
      <c r="K2129">
        <v>0</v>
      </c>
      <c r="L2129">
        <v>0</v>
      </c>
    </row>
    <row r="2130" spans="1:12">
      <c r="A2130" t="str">
        <f>HYPERLINK("http://bombeiros.sp.gov.br/hidrantes/03individual/1480.html","1480")</f>
        <v>1480</v>
      </c>
      <c r="B2130" t="str">
        <f>HYPERLINK("http://bombeiros.sp.gov.br/hidrantes/08bsg/qrcodeBSG.html?id=1480&amp;lat=-23.54673&amp;long=-46.52085&amp;tipo=S","QRCODE")</f>
        <v>QRCODE</v>
      </c>
      <c r="C2130" t="s">
        <v>5273</v>
      </c>
      <c r="D2130" t="s">
        <v>966</v>
      </c>
      <c r="E2130" t="s">
        <v>966</v>
      </c>
      <c r="F2130" t="s">
        <v>21</v>
      </c>
      <c r="G2130" t="s">
        <v>4474</v>
      </c>
      <c r="H2130">
        <v>0</v>
      </c>
      <c r="I2130">
        <v>2</v>
      </c>
      <c r="J2130">
        <v>0</v>
      </c>
      <c r="K2130">
        <v>0</v>
      </c>
      <c r="L2130">
        <v>0</v>
      </c>
    </row>
    <row r="2131" spans="1:12">
      <c r="A2131" t="str">
        <f>HYPERLINK("http://bombeiros.sp.gov.br/hidrantes/03individual/1483.html","1483")</f>
        <v>1483</v>
      </c>
      <c r="B2131" t="str">
        <f>HYPERLINK("http://bombeiros.sp.gov.br/hidrantes/08bsg/qrcodeBSG.html?id=1483&amp;lat=-23.53826&amp;long=-46.52137&amp;tipo=S","QRCODE")</f>
        <v>QRCODE</v>
      </c>
      <c r="C2131" t="s">
        <v>5273</v>
      </c>
      <c r="D2131" t="s">
        <v>966</v>
      </c>
      <c r="E2131" t="s">
        <v>966</v>
      </c>
      <c r="F2131" t="s">
        <v>21</v>
      </c>
      <c r="G2131" t="s">
        <v>1017</v>
      </c>
      <c r="H2131">
        <v>1</v>
      </c>
      <c r="I2131">
        <v>3</v>
      </c>
      <c r="J2131">
        <v>0</v>
      </c>
      <c r="K2131">
        <v>0</v>
      </c>
      <c r="L2131">
        <v>0</v>
      </c>
    </row>
    <row r="2132" spans="1:12">
      <c r="A2132" t="str">
        <f>HYPERLINK("http://bombeiros.sp.gov.br/hidrantes/03individual/1506.html","1506")</f>
        <v>1506</v>
      </c>
      <c r="B2132" t="str">
        <f>HYPERLINK("http://bombeiros.sp.gov.br/hidrantes/08bsg/qrcodeBSG.html?id=1506&amp;lat=-23.53569&amp;long=-46.52725&amp;tipo=S","QRCODE")</f>
        <v>QRCODE</v>
      </c>
      <c r="C2132" t="s">
        <v>5273</v>
      </c>
      <c r="D2132" t="s">
        <v>966</v>
      </c>
      <c r="E2132" t="s">
        <v>966</v>
      </c>
      <c r="F2132" t="s">
        <v>21</v>
      </c>
      <c r="G2132" t="s">
        <v>1016</v>
      </c>
      <c r="H2132">
        <v>0</v>
      </c>
      <c r="I2132">
        <v>3</v>
      </c>
      <c r="J2132">
        <v>0</v>
      </c>
      <c r="K2132">
        <v>0</v>
      </c>
      <c r="L2132">
        <v>0</v>
      </c>
    </row>
    <row r="2133" spans="1:12">
      <c r="A2133" t="str">
        <f>HYPERLINK("http://bombeiros.sp.gov.br/hidrantes/03individual/1549.html","1549")</f>
        <v>1549</v>
      </c>
      <c r="B2133" t="str">
        <f>HYPERLINK("http://bombeiros.sp.gov.br/hidrantes/08bsg/qrcodeBSG.html?id=1549&amp;lat=-23.53802&amp;long=-46.52668&amp;tipo=S","QRCODE")</f>
        <v>QRCODE</v>
      </c>
      <c r="C2133" t="s">
        <v>5273</v>
      </c>
      <c r="D2133" t="s">
        <v>966</v>
      </c>
      <c r="E2133" t="s">
        <v>966</v>
      </c>
      <c r="F2133" t="s">
        <v>21</v>
      </c>
      <c r="G2133" t="s">
        <v>1015</v>
      </c>
      <c r="H2133">
        <v>0</v>
      </c>
      <c r="I2133">
        <v>2</v>
      </c>
      <c r="J2133">
        <v>0</v>
      </c>
      <c r="K2133">
        <v>0</v>
      </c>
      <c r="L2133">
        <v>0</v>
      </c>
    </row>
    <row r="2134" spans="1:12">
      <c r="A2134" t="str">
        <f>HYPERLINK("http://bombeiros.sp.gov.br/hidrantes/03individual/1551.html","1551")</f>
        <v>1551</v>
      </c>
      <c r="B2134" t="str">
        <f>HYPERLINK("http://bombeiros.sp.gov.br/hidrantes/08bsg/qrcodeBSG.html?id=1551&amp;lat=-23.54390&amp;long=-46.51983&amp;tipo=S","QRCODE")</f>
        <v>QRCODE</v>
      </c>
      <c r="C2134" t="s">
        <v>5273</v>
      </c>
      <c r="D2134" t="s">
        <v>966</v>
      </c>
      <c r="E2134" t="s">
        <v>966</v>
      </c>
      <c r="F2134" t="s">
        <v>21</v>
      </c>
      <c r="G2134" t="s">
        <v>3693</v>
      </c>
      <c r="H2134">
        <v>1</v>
      </c>
      <c r="I2134">
        <v>1</v>
      </c>
      <c r="J2134">
        <v>0</v>
      </c>
      <c r="K2134">
        <v>0</v>
      </c>
      <c r="L2134">
        <v>0</v>
      </c>
    </row>
    <row r="2135" spans="1:12">
      <c r="A2135" t="str">
        <f>HYPERLINK("http://bombeiros.sp.gov.br/hidrantes/03individual/1553.html","1553")</f>
        <v>1553</v>
      </c>
      <c r="B2135" t="str">
        <f>HYPERLINK("http://bombeiros.sp.gov.br/hidrantes/08bsg/qrcodeBSG.html?id=1553&amp;lat=-23.53742&amp;long=-46.52356&amp;tipo=S","QRCODE")</f>
        <v>QRCODE</v>
      </c>
      <c r="C2135" t="s">
        <v>5273</v>
      </c>
      <c r="D2135" t="s">
        <v>966</v>
      </c>
      <c r="E2135" t="s">
        <v>966</v>
      </c>
      <c r="F2135" t="s">
        <v>21</v>
      </c>
      <c r="G2135" t="s">
        <v>1018</v>
      </c>
      <c r="H2135">
        <v>0</v>
      </c>
      <c r="I2135">
        <v>2</v>
      </c>
      <c r="J2135">
        <v>0</v>
      </c>
      <c r="K2135">
        <v>0</v>
      </c>
      <c r="L2135">
        <v>0</v>
      </c>
    </row>
    <row r="2136" spans="1:12">
      <c r="A2136" t="str">
        <f>HYPERLINK("http://bombeiros.sp.gov.br/hidrantes/03individual/1555.html","1555")</f>
        <v>1555</v>
      </c>
      <c r="B2136" t="str">
        <f>HYPERLINK("http://bombeiros.sp.gov.br/hidrantes/08bsg/qrcodeBSG.html?id=1555&amp;lat=-23.53503&amp;long=-46.52556&amp;tipo=S","QRCODE")</f>
        <v>QRCODE</v>
      </c>
      <c r="C2136" t="s">
        <v>5273</v>
      </c>
      <c r="D2136" t="s">
        <v>966</v>
      </c>
      <c r="E2136" t="s">
        <v>966</v>
      </c>
      <c r="F2136" t="s">
        <v>21</v>
      </c>
      <c r="G2136" t="s">
        <v>5012</v>
      </c>
      <c r="H2136">
        <v>0</v>
      </c>
      <c r="I2136">
        <v>1</v>
      </c>
      <c r="J2136">
        <v>0</v>
      </c>
      <c r="K2136">
        <v>0</v>
      </c>
      <c r="L2136">
        <v>0</v>
      </c>
    </row>
    <row r="2137" spans="1:12">
      <c r="A2137" t="str">
        <f>HYPERLINK("http://bombeiros.sp.gov.br/hidrantes/03individual/1607.html","1607")</f>
        <v>1607</v>
      </c>
      <c r="B2137" t="str">
        <f>HYPERLINK("http://bombeiros.sp.gov.br/hidrantes/08bsg/qrcodeBSG.html?id=1607&amp;lat=-23.54269&amp;long=-46.51347&amp;tipo=S","QRCODE")</f>
        <v>QRCODE</v>
      </c>
      <c r="C2137" t="s">
        <v>5273</v>
      </c>
      <c r="D2137" t="s">
        <v>966</v>
      </c>
      <c r="E2137" t="s">
        <v>966</v>
      </c>
      <c r="F2137" t="s">
        <v>21</v>
      </c>
      <c r="G2137" t="s">
        <v>3588</v>
      </c>
      <c r="H2137">
        <v>1</v>
      </c>
      <c r="I2137">
        <v>1</v>
      </c>
      <c r="J2137">
        <v>0</v>
      </c>
      <c r="K2137">
        <v>0</v>
      </c>
      <c r="L2137">
        <v>0</v>
      </c>
    </row>
    <row r="2138" spans="1:12">
      <c r="A2138" t="str">
        <f>HYPERLINK("http://bombeiros.sp.gov.br/hidrantes/03individual/1672.html","1672")</f>
        <v>1672</v>
      </c>
      <c r="B2138" t="str">
        <f>HYPERLINK("http://bombeiros.sp.gov.br/hidrantes/08bsg/qrcodeBSG.html?id=1672&amp;lat=-23.54356&amp;long=-46.51396&amp;tipo=S","QRCODE")</f>
        <v>QRCODE</v>
      </c>
      <c r="C2138" t="s">
        <v>5273</v>
      </c>
      <c r="D2138" t="s">
        <v>966</v>
      </c>
      <c r="E2138" t="s">
        <v>966</v>
      </c>
      <c r="F2138" t="s">
        <v>21</v>
      </c>
      <c r="G2138" t="s">
        <v>3603</v>
      </c>
      <c r="H2138">
        <v>1</v>
      </c>
      <c r="I2138">
        <v>1</v>
      </c>
      <c r="J2138">
        <v>0</v>
      </c>
      <c r="K2138">
        <v>0</v>
      </c>
      <c r="L2138">
        <v>0</v>
      </c>
    </row>
    <row r="2139" spans="1:12">
      <c r="A2139" t="str">
        <f>HYPERLINK("http://bombeiros.sp.gov.br/hidrantes/03individual/1674.html","1674")</f>
        <v>1674</v>
      </c>
      <c r="B2139" t="str">
        <f>HYPERLINK("http://bombeiros.sp.gov.br/hidrantes/08bsg/qrcodeBSG.html?id=1674&amp;lat=-23.54831&amp;long=-46.51363&amp;tipo=S","QRCODE")</f>
        <v>QRCODE</v>
      </c>
      <c r="C2139" t="s">
        <v>5273</v>
      </c>
      <c r="D2139" t="s">
        <v>966</v>
      </c>
      <c r="E2139" t="s">
        <v>966</v>
      </c>
      <c r="F2139" t="s">
        <v>21</v>
      </c>
      <c r="G2139" t="s">
        <v>2536</v>
      </c>
      <c r="H2139">
        <v>0</v>
      </c>
      <c r="I2139">
        <v>2</v>
      </c>
      <c r="J2139">
        <v>0</v>
      </c>
      <c r="K2139">
        <v>0</v>
      </c>
      <c r="L2139">
        <v>0</v>
      </c>
    </row>
    <row r="2140" spans="1:12">
      <c r="A2140" t="str">
        <f>HYPERLINK("http://bombeiros.sp.gov.br/hidrantes/03individual/1676.html","1676")</f>
        <v>1676</v>
      </c>
      <c r="B2140" t="str">
        <f>HYPERLINK("http://bombeiros.sp.gov.br/hidrantes/08bsg/qrcodeBSG.html?id=1676&amp;lat=-23.53829&amp;long=-46.51820&amp;tipo=S","QRCODE")</f>
        <v>QRCODE</v>
      </c>
      <c r="C2140" t="s">
        <v>5273</v>
      </c>
      <c r="D2140" t="s">
        <v>966</v>
      </c>
      <c r="E2140" t="s">
        <v>966</v>
      </c>
      <c r="F2140" t="s">
        <v>21</v>
      </c>
      <c r="G2140" t="s">
        <v>1205</v>
      </c>
      <c r="H2140">
        <v>1</v>
      </c>
      <c r="I2140">
        <v>3</v>
      </c>
      <c r="J2140">
        <v>0</v>
      </c>
      <c r="K2140">
        <v>0</v>
      </c>
      <c r="L2140">
        <v>0</v>
      </c>
    </row>
    <row r="2141" spans="1:12">
      <c r="A2141" t="str">
        <f>HYPERLINK("http://bombeiros.sp.gov.br/hidrantes/03individual/1678.html","1678")</f>
        <v>1678</v>
      </c>
      <c r="B2141" t="str">
        <f>HYPERLINK("http://bombeiros.sp.gov.br/hidrantes/08bsg/qrcodeBSG.html?id=1678&amp;lat=-23.54172&amp;long=-46.51748&amp;tipo=S","QRCODE")</f>
        <v>QRCODE</v>
      </c>
      <c r="C2141" t="s">
        <v>5273</v>
      </c>
      <c r="D2141" t="s">
        <v>966</v>
      </c>
      <c r="E2141" t="s">
        <v>966</v>
      </c>
      <c r="F2141" t="s">
        <v>21</v>
      </c>
      <c r="G2141" t="s">
        <v>1207</v>
      </c>
      <c r="H2141">
        <v>1</v>
      </c>
      <c r="I2141">
        <v>2</v>
      </c>
      <c r="J2141">
        <v>0</v>
      </c>
      <c r="K2141">
        <v>0</v>
      </c>
      <c r="L2141">
        <v>0</v>
      </c>
    </row>
    <row r="2142" spans="1:12">
      <c r="A2142" t="str">
        <f>HYPERLINK("http://bombeiros.sp.gov.br/hidrantes/03individual/1681.html","1681")</f>
        <v>1681</v>
      </c>
      <c r="B2142" t="str">
        <f>HYPERLINK("http://bombeiros.sp.gov.br/hidrantes/08bsg/qrcodeBSG.html?id=1681&amp;lat=-23.55224&amp;long=-46.51590&amp;tipo=S","QRCODE")</f>
        <v>QRCODE</v>
      </c>
      <c r="C2142" t="s">
        <v>5273</v>
      </c>
      <c r="D2142" t="s">
        <v>966</v>
      </c>
      <c r="E2142" t="s">
        <v>966</v>
      </c>
      <c r="F2142" t="s">
        <v>21</v>
      </c>
      <c r="G2142" t="s">
        <v>3602</v>
      </c>
      <c r="H2142">
        <v>1</v>
      </c>
      <c r="I2142">
        <v>1</v>
      </c>
      <c r="J2142">
        <v>0</v>
      </c>
      <c r="K2142">
        <v>0</v>
      </c>
      <c r="L2142">
        <v>0</v>
      </c>
    </row>
    <row r="2143" spans="1:12">
      <c r="A2143" t="str">
        <f>HYPERLINK("http://bombeiros.sp.gov.br/hidrantes/03individual/1770.html","1770")</f>
        <v>1770</v>
      </c>
      <c r="B2143" t="str">
        <f>HYPERLINK("http://bombeiros.sp.gov.br/hidrantes/08bsg/qrcodeBSG.html?id=1770&amp;lat=-23.54466&amp;long=-46.51188&amp;tipo=S","QRCODE")</f>
        <v>QRCODE</v>
      </c>
      <c r="C2143" t="s">
        <v>5273</v>
      </c>
      <c r="D2143" t="s">
        <v>966</v>
      </c>
      <c r="E2143" t="s">
        <v>966</v>
      </c>
      <c r="F2143" t="s">
        <v>21</v>
      </c>
      <c r="G2143" t="s">
        <v>1210</v>
      </c>
      <c r="H2143">
        <v>0</v>
      </c>
      <c r="I2143">
        <v>3</v>
      </c>
      <c r="J2143">
        <v>0</v>
      </c>
      <c r="K2143">
        <v>0</v>
      </c>
      <c r="L2143">
        <v>0</v>
      </c>
    </row>
    <row r="2144" spans="1:12">
      <c r="A2144" t="str">
        <f>HYPERLINK("http://bombeiros.sp.gov.br/hidrantes/03individual/1772.html","1772")</f>
        <v>1772</v>
      </c>
      <c r="B2144" t="str">
        <f>HYPERLINK("http://bombeiros.sp.gov.br/hidrantes/08bsg/qrcodeBSG.html?id=1772&amp;lat=-23.54801&amp;long=-46.50677&amp;tipo=S","QRCODE")</f>
        <v>QRCODE</v>
      </c>
      <c r="C2144" t="s">
        <v>5273</v>
      </c>
      <c r="D2144" t="s">
        <v>966</v>
      </c>
      <c r="E2144" t="s">
        <v>966</v>
      </c>
      <c r="F2144" t="s">
        <v>21</v>
      </c>
      <c r="G2144" t="s">
        <v>5152</v>
      </c>
      <c r="H2144">
        <v>0</v>
      </c>
      <c r="I2144">
        <v>2</v>
      </c>
      <c r="J2144">
        <v>0</v>
      </c>
      <c r="K2144">
        <v>0</v>
      </c>
      <c r="L2144">
        <v>0</v>
      </c>
    </row>
    <row r="2145" spans="1:12">
      <c r="A2145" t="str">
        <f>HYPERLINK("http://bombeiros.sp.gov.br/hidrantes/03individual/3020.html","3020")</f>
        <v>3020</v>
      </c>
      <c r="B2145" t="str">
        <f>HYPERLINK("http://bombeiros.sp.gov.br/hidrantes/08bsg/qrcodeBSG.html?id=3020&amp;lat=-23.54717&amp;long=-46.51765&amp;tipo=S","QRCODE")</f>
        <v>QRCODE</v>
      </c>
      <c r="C2145" t="s">
        <v>5273</v>
      </c>
      <c r="D2145" t="s">
        <v>966</v>
      </c>
      <c r="E2145" t="s">
        <v>966</v>
      </c>
      <c r="F2145" t="s">
        <v>21</v>
      </c>
      <c r="G2145" t="s">
        <v>2570</v>
      </c>
      <c r="H2145">
        <v>0</v>
      </c>
      <c r="I2145">
        <v>2</v>
      </c>
      <c r="J2145">
        <v>0</v>
      </c>
      <c r="K2145">
        <v>0</v>
      </c>
      <c r="L2145">
        <v>0</v>
      </c>
    </row>
    <row r="2146" spans="1:12">
      <c r="A2146" t="str">
        <f>HYPERLINK("http://bombeiros.sp.gov.br/hidrantes/03individual/3025.html","3025")</f>
        <v>3025</v>
      </c>
      <c r="B2146" t="str">
        <f>HYPERLINK("http://bombeiros.sp.gov.br/hidrantes/08bsg/qrcodeBSG.html?id=3025&amp;lat=-23.53701&amp;long=-46.52151&amp;tipo=S","QRCODE")</f>
        <v>QRCODE</v>
      </c>
      <c r="C2146" t="s">
        <v>5273</v>
      </c>
      <c r="D2146" t="s">
        <v>966</v>
      </c>
      <c r="E2146" t="s">
        <v>966</v>
      </c>
      <c r="F2146" t="s">
        <v>21</v>
      </c>
      <c r="G2146" t="s">
        <v>5019</v>
      </c>
      <c r="H2146">
        <v>0</v>
      </c>
      <c r="I2146">
        <v>1</v>
      </c>
      <c r="J2146">
        <v>0</v>
      </c>
      <c r="K2146">
        <v>0</v>
      </c>
      <c r="L2146">
        <v>0</v>
      </c>
    </row>
    <row r="2147" spans="1:12">
      <c r="A2147" t="str">
        <f>HYPERLINK("http://bombeiros.sp.gov.br/hidrantes/03individual/3026.html","3026")</f>
        <v>3026</v>
      </c>
      <c r="B2147" t="str">
        <f>HYPERLINK("http://bombeiros.sp.gov.br/hidrantes/08bsg/qrcodeBSG.html?id=3026&amp;lat=-23.54057&amp;long=-46.52449&amp;tipo=S","QRCODE")</f>
        <v>QRCODE</v>
      </c>
      <c r="C2147" t="s">
        <v>5273</v>
      </c>
      <c r="D2147" t="s">
        <v>966</v>
      </c>
      <c r="E2147" t="s">
        <v>966</v>
      </c>
      <c r="F2147" t="s">
        <v>21</v>
      </c>
      <c r="G2147" t="s">
        <v>984</v>
      </c>
      <c r="H2147">
        <v>1</v>
      </c>
      <c r="I2147">
        <v>2</v>
      </c>
      <c r="J2147">
        <v>0</v>
      </c>
      <c r="K2147">
        <v>0</v>
      </c>
      <c r="L2147">
        <v>0</v>
      </c>
    </row>
    <row r="2148" spans="1:12">
      <c r="A2148" t="str">
        <f>HYPERLINK("http://bombeiros.sp.gov.br/hidrantes/03individual/3042.html","3042")</f>
        <v>3042</v>
      </c>
      <c r="B2148" t="str">
        <f>HYPERLINK("http://bombeiros.sp.gov.br/hidrantes/08bsg/qrcodeBSG.html?id=3042&amp;lat=-23.54499&amp;long=-46.51930&amp;tipo=S","QRCODE")</f>
        <v>QRCODE</v>
      </c>
      <c r="C2148" t="s">
        <v>5273</v>
      </c>
      <c r="D2148" t="s">
        <v>966</v>
      </c>
      <c r="E2148" t="s">
        <v>966</v>
      </c>
      <c r="F2148" t="s">
        <v>21</v>
      </c>
      <c r="G2148" t="s">
        <v>4171</v>
      </c>
      <c r="H2148">
        <v>0</v>
      </c>
      <c r="I2148">
        <v>1</v>
      </c>
      <c r="J2148">
        <v>0</v>
      </c>
      <c r="K2148">
        <v>0</v>
      </c>
      <c r="L2148">
        <v>0</v>
      </c>
    </row>
    <row r="2149" spans="1:12">
      <c r="A2149" t="str">
        <f>HYPERLINK("http://bombeiros.sp.gov.br/hidrantes/03individual/3200.html","3200")</f>
        <v>3200</v>
      </c>
      <c r="B2149" t="str">
        <f>HYPERLINK("http://bombeiros.sp.gov.br/hidrantes/08bsg/qrcodeBSG.html?id=3200&amp;lat=-23.53393&amp;long=-46.52413&amp;tipo=S","QRCODE")</f>
        <v>QRCODE</v>
      </c>
      <c r="C2149" t="s">
        <v>5273</v>
      </c>
      <c r="D2149" t="s">
        <v>966</v>
      </c>
      <c r="E2149" t="s">
        <v>966</v>
      </c>
      <c r="F2149" t="s">
        <v>21</v>
      </c>
      <c r="G2149" t="s">
        <v>965</v>
      </c>
      <c r="H2149">
        <v>0</v>
      </c>
      <c r="I2149">
        <v>2</v>
      </c>
      <c r="J2149">
        <v>0</v>
      </c>
      <c r="K2149">
        <v>0</v>
      </c>
      <c r="L2149">
        <v>0</v>
      </c>
    </row>
    <row r="2150" spans="1:12">
      <c r="A2150" t="str">
        <f>HYPERLINK("http://bombeiros.sp.gov.br/hidrantes/03individual/3203.html","3203")</f>
        <v>3203</v>
      </c>
      <c r="B2150" t="str">
        <f>HYPERLINK("http://bombeiros.sp.gov.br/hidrantes/08bsg/qrcodeBSG.html?id=3203&amp;lat=-23.53514&amp;long=-46.52155&amp;tipo=S","QRCODE")</f>
        <v>QRCODE</v>
      </c>
      <c r="C2150" t="s">
        <v>5273</v>
      </c>
      <c r="D2150" t="s">
        <v>966</v>
      </c>
      <c r="E2150" t="s">
        <v>966</v>
      </c>
      <c r="F2150" t="s">
        <v>21</v>
      </c>
      <c r="G2150" t="s">
        <v>4697</v>
      </c>
      <c r="H2150">
        <v>1</v>
      </c>
      <c r="I2150">
        <v>1</v>
      </c>
      <c r="J2150">
        <v>0</v>
      </c>
      <c r="K2150">
        <v>0</v>
      </c>
      <c r="L2150">
        <v>0</v>
      </c>
    </row>
    <row r="2151" spans="1:12">
      <c r="A2151" t="str">
        <f>HYPERLINK("http://bombeiros.sp.gov.br/hidrantes/03individual/3205.html","3205")</f>
        <v>3205</v>
      </c>
      <c r="B2151" t="str">
        <f>HYPERLINK("http://bombeiros.sp.gov.br/hidrantes/08bsg/qrcodeBSG.html?id=3205&amp;lat=-23.53402&amp;long=-46.53099&amp;tipo=S","QRCODE")</f>
        <v>QRCODE</v>
      </c>
      <c r="C2151" t="s">
        <v>5273</v>
      </c>
      <c r="D2151" t="s">
        <v>966</v>
      </c>
      <c r="E2151" t="s">
        <v>966</v>
      </c>
      <c r="F2151" t="s">
        <v>21</v>
      </c>
      <c r="G2151" t="s">
        <v>4696</v>
      </c>
      <c r="H2151">
        <v>1</v>
      </c>
      <c r="I2151">
        <v>1</v>
      </c>
      <c r="J2151">
        <v>0</v>
      </c>
      <c r="K2151">
        <v>0</v>
      </c>
      <c r="L2151">
        <v>0</v>
      </c>
    </row>
    <row r="2152" spans="1:12">
      <c r="A2152" t="str">
        <f>HYPERLINK("http://bombeiros.sp.gov.br/hidrantes/03individual/3231.html","3231")</f>
        <v>3231</v>
      </c>
      <c r="B2152" t="str">
        <f>HYPERLINK("http://bombeiros.sp.gov.br/hidrantes/08bsg/qrcodeBSG.html?id=3231&amp;lat=-23.54401&amp;long=-46.51625&amp;tipo=S","QRCODE")</f>
        <v>QRCODE</v>
      </c>
      <c r="C2152" t="s">
        <v>5273</v>
      </c>
      <c r="D2152" t="s">
        <v>966</v>
      </c>
      <c r="E2152" t="s">
        <v>966</v>
      </c>
      <c r="F2152" t="s">
        <v>21</v>
      </c>
      <c r="G2152" t="s">
        <v>3637</v>
      </c>
      <c r="H2152">
        <v>1</v>
      </c>
      <c r="I2152">
        <v>1</v>
      </c>
      <c r="J2152">
        <v>0</v>
      </c>
      <c r="K2152">
        <v>0</v>
      </c>
      <c r="L2152">
        <v>0</v>
      </c>
    </row>
    <row r="2153" spans="1:12">
      <c r="A2153" t="str">
        <f>HYPERLINK("http://bombeiros.sp.gov.br/hidrantes/03individual/17688.html","17688")</f>
        <v>17688</v>
      </c>
      <c r="B2153" t="str">
        <f>HYPERLINK("http://bombeiros.sp.gov.br/hidrantes/08bsg/qrcodeBSG.html?id=17688&amp;lat=-23.54072&amp;long=-46.51807&amp;tipo=S","QRCODE")</f>
        <v>QRCODE</v>
      </c>
      <c r="C2153" t="s">
        <v>5273</v>
      </c>
      <c r="D2153" t="s">
        <v>966</v>
      </c>
      <c r="E2153" t="s">
        <v>966</v>
      </c>
      <c r="F2153" t="s">
        <v>21</v>
      </c>
      <c r="G2153" t="s">
        <v>4182</v>
      </c>
      <c r="H2153">
        <v>0</v>
      </c>
      <c r="I2153">
        <v>1</v>
      </c>
      <c r="J2153">
        <v>0</v>
      </c>
      <c r="K2153">
        <v>0</v>
      </c>
      <c r="L2153">
        <v>0</v>
      </c>
    </row>
    <row r="2154" spans="1:12">
      <c r="A2154" t="str">
        <f>HYPERLINK("http://bombeiros.sp.gov.br/hidrantes/03individual/1885.html","1885")</f>
        <v>1885</v>
      </c>
      <c r="B2154" t="str">
        <f>HYPERLINK("http://bombeiros.sp.gov.br/hidrantes/08bsg/qrcodeBSG.html?id=1885&amp;lat=-23.57765&amp;long=-46.57680&amp;tipo=C","QRCODE")</f>
        <v>QRCODE</v>
      </c>
      <c r="C2154" t="s">
        <v>5273</v>
      </c>
      <c r="D2154" t="s">
        <v>5326</v>
      </c>
      <c r="E2154" t="s">
        <v>757</v>
      </c>
      <c r="F2154" t="s">
        <v>12</v>
      </c>
      <c r="G2154" t="s">
        <v>1734</v>
      </c>
      <c r="H2154">
        <v>0</v>
      </c>
      <c r="I2154">
        <v>2</v>
      </c>
      <c r="J2154">
        <v>0</v>
      </c>
      <c r="K2154">
        <v>0</v>
      </c>
      <c r="L2154">
        <v>0</v>
      </c>
    </row>
    <row r="2155" spans="1:12">
      <c r="A2155" t="str">
        <f>HYPERLINK("http://bombeiros.sp.gov.br/hidrantes/03individual/34.html","34")</f>
        <v>34</v>
      </c>
      <c r="B2155" t="str">
        <f>HYPERLINK("http://bombeiros.sp.gov.br/hidrantes/08bsg/qrcodeBSG.html?id=34&amp;lat=-23.58966&amp;long=-46.57672&amp;tipo=C","QRCODE")</f>
        <v>QRCODE</v>
      </c>
      <c r="C2155" t="s">
        <v>5273</v>
      </c>
      <c r="D2155" t="s">
        <v>5326</v>
      </c>
      <c r="E2155" t="s">
        <v>895</v>
      </c>
      <c r="F2155" t="s">
        <v>12</v>
      </c>
      <c r="G2155" t="s">
        <v>2476</v>
      </c>
      <c r="H2155">
        <v>1</v>
      </c>
      <c r="I2155">
        <v>2</v>
      </c>
      <c r="J2155">
        <v>0</v>
      </c>
      <c r="K2155">
        <v>0</v>
      </c>
      <c r="L2155">
        <v>0</v>
      </c>
    </row>
    <row r="2156" spans="1:12">
      <c r="A2156" t="str">
        <f>HYPERLINK("http://bombeiros.sp.gov.br/hidrantes/03individual/865.html","865")</f>
        <v>865</v>
      </c>
      <c r="B2156" t="str">
        <f>HYPERLINK("http://bombeiros.sp.gov.br/hidrantes/08bsg/qrcodeBSG.html?id=865&amp;lat=-23.58885&amp;long=-46.58181&amp;tipo=C","QRCODE")</f>
        <v>QRCODE</v>
      </c>
      <c r="C2156" t="s">
        <v>5273</v>
      </c>
      <c r="D2156" t="s">
        <v>5326</v>
      </c>
      <c r="E2156" t="s">
        <v>895</v>
      </c>
      <c r="F2156" t="s">
        <v>12</v>
      </c>
      <c r="G2156" t="s">
        <v>3137</v>
      </c>
      <c r="H2156">
        <v>1</v>
      </c>
      <c r="I2156">
        <v>1</v>
      </c>
      <c r="J2156">
        <v>0</v>
      </c>
      <c r="K2156">
        <v>0</v>
      </c>
      <c r="L2156">
        <v>0</v>
      </c>
    </row>
    <row r="2157" spans="1:12">
      <c r="A2157" t="str">
        <f>HYPERLINK("http://bombeiros.sp.gov.br/hidrantes/03individual/3027.html","3027")</f>
        <v>3027</v>
      </c>
      <c r="B2157" t="str">
        <f>HYPERLINK("http://bombeiros.sp.gov.br/hidrantes/08bsg/qrcodeBSG.html?id=3027&amp;lat=-23.57994&amp;long=-46.58224&amp;tipo=C","QRCODE")</f>
        <v>QRCODE</v>
      </c>
      <c r="C2157" t="s">
        <v>5273</v>
      </c>
      <c r="D2157" t="s">
        <v>5326</v>
      </c>
      <c r="E2157" t="s">
        <v>895</v>
      </c>
      <c r="F2157" t="s">
        <v>12</v>
      </c>
      <c r="G2157" t="s">
        <v>3104</v>
      </c>
      <c r="H2157">
        <v>1</v>
      </c>
      <c r="I2157">
        <v>1</v>
      </c>
      <c r="J2157">
        <v>0</v>
      </c>
      <c r="K2157">
        <v>0</v>
      </c>
      <c r="L2157">
        <v>0</v>
      </c>
    </row>
    <row r="2158" spans="1:12">
      <c r="A2158" t="str">
        <f>HYPERLINK("http://bombeiros.sp.gov.br/hidrantes/03individual/35.html","35")</f>
        <v>35</v>
      </c>
      <c r="B2158" t="str">
        <f>HYPERLINK("http://bombeiros.sp.gov.br/hidrantes/08bsg/qrcodeBSG.html?id=35&amp;lat=-23.58697&amp;long=-46.57561&amp;tipo=S","QRCODE")</f>
        <v>QRCODE</v>
      </c>
      <c r="C2158" t="s">
        <v>5273</v>
      </c>
      <c r="D2158" t="s">
        <v>5326</v>
      </c>
      <c r="E2158" t="s">
        <v>895</v>
      </c>
      <c r="F2158" t="s">
        <v>21</v>
      </c>
      <c r="G2158" t="s">
        <v>1756</v>
      </c>
      <c r="H2158">
        <v>0</v>
      </c>
      <c r="I2158">
        <v>2</v>
      </c>
      <c r="J2158">
        <v>0</v>
      </c>
      <c r="K2158">
        <v>0</v>
      </c>
      <c r="L2158">
        <v>0</v>
      </c>
    </row>
    <row r="2159" spans="1:12">
      <c r="A2159" t="str">
        <f>HYPERLINK("http://bombeiros.sp.gov.br/hidrantes/03individual/36.html","36")</f>
        <v>36</v>
      </c>
      <c r="B2159" t="str">
        <f>HYPERLINK("http://bombeiros.sp.gov.br/hidrantes/08bsg/qrcodeBSG.html?id=36&amp;lat=-23.58727&amp;long=-46.57393&amp;tipo=S","QRCODE")</f>
        <v>QRCODE</v>
      </c>
      <c r="C2159" t="s">
        <v>5273</v>
      </c>
      <c r="D2159" t="s">
        <v>5326</v>
      </c>
      <c r="E2159" t="s">
        <v>895</v>
      </c>
      <c r="F2159" t="s">
        <v>21</v>
      </c>
      <c r="G2159" t="s">
        <v>2475</v>
      </c>
      <c r="H2159">
        <v>1</v>
      </c>
      <c r="I2159">
        <v>2</v>
      </c>
      <c r="J2159">
        <v>0</v>
      </c>
      <c r="K2159">
        <v>0</v>
      </c>
      <c r="L2159">
        <v>0</v>
      </c>
    </row>
    <row r="2160" spans="1:12">
      <c r="A2160" t="str">
        <f>HYPERLINK("http://bombeiros.sp.gov.br/hidrantes/03individual/106.html","106")</f>
        <v>106</v>
      </c>
      <c r="B2160" t="str">
        <f>HYPERLINK("http://bombeiros.sp.gov.br/hidrantes/08bsg/qrcodeBSG.html?id=106&amp;lat=-23.58712&amp;long=-46.58450&amp;tipo=S","QRCODE")</f>
        <v>QRCODE</v>
      </c>
      <c r="C2160" t="s">
        <v>5273</v>
      </c>
      <c r="D2160" t="s">
        <v>5326</v>
      </c>
      <c r="E2160" t="s">
        <v>895</v>
      </c>
      <c r="F2160" t="s">
        <v>21</v>
      </c>
      <c r="G2160" t="s">
        <v>2487</v>
      </c>
      <c r="H2160">
        <v>1</v>
      </c>
      <c r="I2160">
        <v>2</v>
      </c>
      <c r="J2160">
        <v>0</v>
      </c>
      <c r="K2160">
        <v>0</v>
      </c>
      <c r="L2160">
        <v>0</v>
      </c>
    </row>
    <row r="2161" spans="1:12">
      <c r="A2161" t="str">
        <f>HYPERLINK("http://bombeiros.sp.gov.br/hidrantes/03individual/166.html","166")</f>
        <v>166</v>
      </c>
      <c r="B2161" t="str">
        <f>HYPERLINK("http://bombeiros.sp.gov.br/hidrantes/08bsg/qrcodeBSG.html?id=166&amp;lat=-23.58620&amp;long=-46.57848&amp;tipo=S","QRCODE")</f>
        <v>QRCODE</v>
      </c>
      <c r="C2161" t="s">
        <v>5273</v>
      </c>
      <c r="D2161" t="s">
        <v>5326</v>
      </c>
      <c r="E2161" t="s">
        <v>895</v>
      </c>
      <c r="F2161" t="s">
        <v>21</v>
      </c>
      <c r="G2161" t="s">
        <v>3144</v>
      </c>
      <c r="H2161">
        <v>1</v>
      </c>
      <c r="I2161">
        <v>1</v>
      </c>
      <c r="J2161">
        <v>0</v>
      </c>
      <c r="K2161">
        <v>0</v>
      </c>
      <c r="L2161">
        <v>0</v>
      </c>
    </row>
    <row r="2162" spans="1:12">
      <c r="A2162" t="str">
        <f>HYPERLINK("http://bombeiros.sp.gov.br/hidrantes/03individual/172.html","172")</f>
        <v>172</v>
      </c>
      <c r="B2162" t="str">
        <f>HYPERLINK("http://bombeiros.sp.gov.br/hidrantes/08bsg/qrcodeBSG.html?id=172&amp;lat=-23.58135&amp;long=-46.58271&amp;tipo=S","QRCODE")</f>
        <v>QRCODE</v>
      </c>
      <c r="C2162" t="s">
        <v>5273</v>
      </c>
      <c r="D2162" t="s">
        <v>5326</v>
      </c>
      <c r="E2162" t="s">
        <v>895</v>
      </c>
      <c r="F2162" t="s">
        <v>21</v>
      </c>
      <c r="G2162" t="s">
        <v>1585</v>
      </c>
      <c r="H2162">
        <v>1</v>
      </c>
      <c r="I2162">
        <v>2</v>
      </c>
      <c r="J2162">
        <v>0</v>
      </c>
      <c r="K2162">
        <v>0</v>
      </c>
      <c r="L2162">
        <v>0</v>
      </c>
    </row>
    <row r="2163" spans="1:12">
      <c r="A2163" t="str">
        <f>HYPERLINK("http://bombeiros.sp.gov.br/hidrantes/03individual/235.html","235")</f>
        <v>235</v>
      </c>
      <c r="B2163" t="str">
        <f>HYPERLINK("http://bombeiros.sp.gov.br/hidrantes/08bsg/qrcodeBSG.html?id=235&amp;lat=-23.58157&amp;long=-46.57715&amp;tipo=S","QRCODE")</f>
        <v>QRCODE</v>
      </c>
      <c r="C2163" t="s">
        <v>5273</v>
      </c>
      <c r="D2163" t="s">
        <v>5326</v>
      </c>
      <c r="E2163" t="s">
        <v>895</v>
      </c>
      <c r="F2163" t="s">
        <v>21</v>
      </c>
      <c r="G2163" t="s">
        <v>1584</v>
      </c>
      <c r="H2163">
        <v>1</v>
      </c>
      <c r="I2163">
        <v>2</v>
      </c>
      <c r="J2163">
        <v>0</v>
      </c>
      <c r="K2163">
        <v>0</v>
      </c>
      <c r="L2163">
        <v>0</v>
      </c>
    </row>
    <row r="2164" spans="1:12">
      <c r="A2164" t="str">
        <f>HYPERLINK("http://bombeiros.sp.gov.br/hidrantes/03individual/239.html","239")</f>
        <v>239</v>
      </c>
      <c r="B2164" t="str">
        <f>HYPERLINK("http://bombeiros.sp.gov.br/hidrantes/08bsg/qrcodeBSG.html?id=239&amp;lat=-23.58747&amp;long=-46.57815&amp;tipo=S","QRCODE")</f>
        <v>QRCODE</v>
      </c>
      <c r="C2164" t="s">
        <v>5273</v>
      </c>
      <c r="D2164" t="s">
        <v>5326</v>
      </c>
      <c r="E2164" t="s">
        <v>895</v>
      </c>
      <c r="F2164" t="s">
        <v>21</v>
      </c>
      <c r="G2164" t="s">
        <v>4584</v>
      </c>
      <c r="H2164">
        <v>0</v>
      </c>
      <c r="I2164">
        <v>2</v>
      </c>
      <c r="J2164">
        <v>0</v>
      </c>
      <c r="K2164">
        <v>0</v>
      </c>
      <c r="L2164">
        <v>0</v>
      </c>
    </row>
    <row r="2165" spans="1:12">
      <c r="A2165" t="str">
        <f>HYPERLINK("http://bombeiros.sp.gov.br/hidrantes/03individual/240.html","240")</f>
        <v>240</v>
      </c>
      <c r="B2165" t="str">
        <f>HYPERLINK("http://bombeiros.sp.gov.br/hidrantes/08bsg/qrcodeBSG.html?id=240&amp;lat=-23.58761&amp;long=-46.58129&amp;tipo=S","QRCODE")</f>
        <v>QRCODE</v>
      </c>
      <c r="C2165" t="s">
        <v>5273</v>
      </c>
      <c r="D2165" t="s">
        <v>5326</v>
      </c>
      <c r="E2165" t="s">
        <v>895</v>
      </c>
      <c r="F2165" t="s">
        <v>21</v>
      </c>
      <c r="G2165" t="s">
        <v>4581</v>
      </c>
      <c r="H2165">
        <v>0</v>
      </c>
      <c r="I2165">
        <v>3</v>
      </c>
      <c r="J2165">
        <v>0</v>
      </c>
      <c r="K2165">
        <v>0</v>
      </c>
      <c r="L2165">
        <v>0</v>
      </c>
    </row>
    <row r="2166" spans="1:12">
      <c r="A2166" t="str">
        <f>HYPERLINK("http://bombeiros.sp.gov.br/hidrantes/03individual/241.html","241")</f>
        <v>241</v>
      </c>
      <c r="B2166" t="str">
        <f>HYPERLINK("http://bombeiros.sp.gov.br/hidrantes/08bsg/qrcodeBSG.html?id=241&amp;lat=-23.58496&amp;long=-46.57822&amp;tipo=S","QRCODE")</f>
        <v>QRCODE</v>
      </c>
      <c r="C2166" t="s">
        <v>5273</v>
      </c>
      <c r="D2166" t="s">
        <v>5326</v>
      </c>
      <c r="E2166" t="s">
        <v>895</v>
      </c>
      <c r="F2166" t="s">
        <v>21</v>
      </c>
      <c r="G2166" t="s">
        <v>4582</v>
      </c>
      <c r="H2166">
        <v>0</v>
      </c>
      <c r="I2166">
        <v>2</v>
      </c>
      <c r="J2166">
        <v>0</v>
      </c>
      <c r="K2166">
        <v>0</v>
      </c>
      <c r="L2166">
        <v>0</v>
      </c>
    </row>
    <row r="2167" spans="1:12">
      <c r="A2167" t="str">
        <f>HYPERLINK("http://bombeiros.sp.gov.br/hidrantes/03individual/243.html","243")</f>
        <v>243</v>
      </c>
      <c r="B2167" t="str">
        <f>HYPERLINK("http://bombeiros.sp.gov.br/hidrantes/08bsg/qrcodeBSG.html?id=243&amp;lat=-23.58173&amp;long=-46.58514&amp;tipo=S","QRCODE")</f>
        <v>QRCODE</v>
      </c>
      <c r="C2167" t="s">
        <v>5273</v>
      </c>
      <c r="D2167" t="s">
        <v>5326</v>
      </c>
      <c r="E2167" t="s">
        <v>895</v>
      </c>
      <c r="F2167" t="s">
        <v>21</v>
      </c>
      <c r="G2167" t="s">
        <v>1752</v>
      </c>
      <c r="H2167">
        <v>0</v>
      </c>
      <c r="I2167">
        <v>2</v>
      </c>
      <c r="J2167">
        <v>0</v>
      </c>
      <c r="K2167">
        <v>0</v>
      </c>
      <c r="L2167">
        <v>0</v>
      </c>
    </row>
    <row r="2168" spans="1:12">
      <c r="A2168" t="str">
        <f>HYPERLINK("http://bombeiros.sp.gov.br/hidrantes/03individual/280.html","280")</f>
        <v>280</v>
      </c>
      <c r="B2168" t="str">
        <f>HYPERLINK("http://bombeiros.sp.gov.br/hidrantes/08bsg/qrcodeBSG.html?id=280&amp;lat=-23.57973&amp;long=-46.58477&amp;tipo=S","QRCODE")</f>
        <v>QRCODE</v>
      </c>
      <c r="C2168" t="s">
        <v>5273</v>
      </c>
      <c r="D2168" t="s">
        <v>5326</v>
      </c>
      <c r="E2168" t="s">
        <v>895</v>
      </c>
      <c r="F2168" t="s">
        <v>21</v>
      </c>
      <c r="G2168" t="s">
        <v>1742</v>
      </c>
      <c r="H2168">
        <v>0</v>
      </c>
      <c r="I2168">
        <v>2</v>
      </c>
      <c r="J2168">
        <v>0</v>
      </c>
      <c r="K2168">
        <v>0</v>
      </c>
      <c r="L2168">
        <v>0</v>
      </c>
    </row>
    <row r="2169" spans="1:12">
      <c r="A2169" t="str">
        <f>HYPERLINK("http://bombeiros.sp.gov.br/hidrantes/03individual/2961.html","2961")</f>
        <v>2961</v>
      </c>
      <c r="B2169" t="str">
        <f>HYPERLINK("http://bombeiros.sp.gov.br/hidrantes/08bsg/qrcodeBSG.html?id=2961&amp;lat=-23.58201&amp;long=-46.58912&amp;tipo=S","QRCODE")</f>
        <v>QRCODE</v>
      </c>
      <c r="C2169" t="s">
        <v>5273</v>
      </c>
      <c r="D2169" t="s">
        <v>5326</v>
      </c>
      <c r="E2169" t="s">
        <v>895</v>
      </c>
      <c r="F2169" t="s">
        <v>21</v>
      </c>
      <c r="G2169" t="s">
        <v>2335</v>
      </c>
      <c r="H2169">
        <v>0</v>
      </c>
      <c r="I2169">
        <v>2</v>
      </c>
      <c r="J2169">
        <v>0</v>
      </c>
      <c r="K2169">
        <v>0</v>
      </c>
      <c r="L2169">
        <v>0</v>
      </c>
    </row>
    <row r="2170" spans="1:12">
      <c r="A2170" t="str">
        <f>HYPERLINK("http://bombeiros.sp.gov.br/hidrantes/03individual/3029.html","3029")</f>
        <v>3029</v>
      </c>
      <c r="B2170" t="str">
        <f>HYPERLINK("http://bombeiros.sp.gov.br/hidrantes/08bsg/qrcodeBSG.html?id=3029&amp;lat=-23.58097&amp;long=-46.58542&amp;tipo=S","QRCODE")</f>
        <v>QRCODE</v>
      </c>
      <c r="C2170" t="s">
        <v>5273</v>
      </c>
      <c r="D2170" t="s">
        <v>5326</v>
      </c>
      <c r="E2170" t="s">
        <v>895</v>
      </c>
      <c r="F2170" t="s">
        <v>21</v>
      </c>
      <c r="G2170" t="s">
        <v>2334</v>
      </c>
      <c r="H2170">
        <v>0</v>
      </c>
      <c r="I2170">
        <v>2</v>
      </c>
      <c r="J2170">
        <v>0</v>
      </c>
      <c r="K2170">
        <v>0</v>
      </c>
      <c r="L2170">
        <v>0</v>
      </c>
    </row>
    <row r="2171" spans="1:12">
      <c r="A2171" t="str">
        <f>HYPERLINK("http://bombeiros.sp.gov.br/hidrantes/03individual/3076.html","3076")</f>
        <v>3076</v>
      </c>
      <c r="B2171" t="str">
        <f>HYPERLINK("http://bombeiros.sp.gov.br/hidrantes/08bsg/qrcodeBSG.html?id=3076&amp;lat=-23.59040&amp;long=-46.57223&amp;tipo=S","QRCODE")</f>
        <v>QRCODE</v>
      </c>
      <c r="C2171" t="s">
        <v>5273</v>
      </c>
      <c r="D2171" t="s">
        <v>5326</v>
      </c>
      <c r="E2171" t="s">
        <v>895</v>
      </c>
      <c r="F2171" t="s">
        <v>21</v>
      </c>
      <c r="G2171" t="s">
        <v>2459</v>
      </c>
      <c r="H2171">
        <v>0</v>
      </c>
      <c r="I2171">
        <v>2</v>
      </c>
      <c r="J2171">
        <v>0</v>
      </c>
      <c r="K2171">
        <v>0</v>
      </c>
      <c r="L2171">
        <v>0</v>
      </c>
    </row>
    <row r="2172" spans="1:12">
      <c r="A2172" t="str">
        <f>HYPERLINK("http://bombeiros.sp.gov.br/hidrantes/03individual/3077.html","3077")</f>
        <v>3077</v>
      </c>
      <c r="B2172" t="str">
        <f>HYPERLINK("http://bombeiros.sp.gov.br/hidrantes/08bsg/qrcodeBSG.html?id=3077&amp;lat=-23.59000&amp;long=-46.57426&amp;tipo=S","QRCODE")</f>
        <v>QRCODE</v>
      </c>
      <c r="C2172" t="s">
        <v>5273</v>
      </c>
      <c r="D2172" t="s">
        <v>5326</v>
      </c>
      <c r="E2172" t="s">
        <v>895</v>
      </c>
      <c r="F2172" t="s">
        <v>21</v>
      </c>
      <c r="G2172" t="s">
        <v>1529</v>
      </c>
      <c r="H2172">
        <v>1</v>
      </c>
      <c r="I2172">
        <v>2</v>
      </c>
      <c r="J2172">
        <v>0</v>
      </c>
      <c r="K2172">
        <v>0</v>
      </c>
      <c r="L2172">
        <v>0</v>
      </c>
    </row>
    <row r="2173" spans="1:12">
      <c r="A2173" t="str">
        <f>HYPERLINK("http://bombeiros.sp.gov.br/hidrantes/03individual/3087.html","3087")</f>
        <v>3087</v>
      </c>
      <c r="B2173" t="str">
        <f>HYPERLINK("http://bombeiros.sp.gov.br/hidrantes/08bsg/qrcodeBSG.html?id=3087&amp;lat=-23.58706&amp;long=-46.58027&amp;tipo=S","QRCODE")</f>
        <v>QRCODE</v>
      </c>
      <c r="C2173" t="s">
        <v>5273</v>
      </c>
      <c r="D2173" t="s">
        <v>5326</v>
      </c>
      <c r="E2173" t="s">
        <v>895</v>
      </c>
      <c r="F2173" t="s">
        <v>21</v>
      </c>
      <c r="G2173" t="s">
        <v>1531</v>
      </c>
      <c r="H2173">
        <v>1</v>
      </c>
      <c r="I2173">
        <v>2</v>
      </c>
      <c r="J2173">
        <v>0</v>
      </c>
      <c r="K2173">
        <v>0</v>
      </c>
      <c r="L2173">
        <v>0</v>
      </c>
    </row>
    <row r="2174" spans="1:12">
      <c r="A2174" t="str">
        <f>HYPERLINK("http://bombeiros.sp.gov.br/hidrantes/03individual/3093.html","3093")</f>
        <v>3093</v>
      </c>
      <c r="B2174" t="str">
        <f>HYPERLINK("http://bombeiros.sp.gov.br/hidrantes/08bsg/qrcodeBSG.html?id=3093&amp;lat=-23.58535&amp;long=-46.57435&amp;tipo=S","QRCODE")</f>
        <v>QRCODE</v>
      </c>
      <c r="C2174" t="s">
        <v>5273</v>
      </c>
      <c r="D2174" t="s">
        <v>5326</v>
      </c>
      <c r="E2174" t="s">
        <v>895</v>
      </c>
      <c r="F2174" t="s">
        <v>21</v>
      </c>
      <c r="G2174" t="s">
        <v>2461</v>
      </c>
      <c r="H2174">
        <v>0</v>
      </c>
      <c r="I2174">
        <v>2</v>
      </c>
      <c r="J2174">
        <v>0</v>
      </c>
      <c r="K2174">
        <v>0</v>
      </c>
      <c r="L2174">
        <v>0</v>
      </c>
    </row>
    <row r="2175" spans="1:12">
      <c r="A2175" t="str">
        <f>HYPERLINK("http://bombeiros.sp.gov.br/hidrantes/03individual/3174.html","3174")</f>
        <v>3174</v>
      </c>
      <c r="B2175" t="str">
        <f>HYPERLINK("http://bombeiros.sp.gov.br/hidrantes/08bsg/qrcodeBSG.html?id=3174&amp;lat=-23.57414&amp;long=-46.58127&amp;tipo=S","QRCODE")</f>
        <v>QRCODE</v>
      </c>
      <c r="C2175" t="s">
        <v>5273</v>
      </c>
      <c r="D2175" t="s">
        <v>5326</v>
      </c>
      <c r="E2175" t="s">
        <v>895</v>
      </c>
      <c r="F2175" t="s">
        <v>21</v>
      </c>
      <c r="G2175" t="s">
        <v>894</v>
      </c>
      <c r="H2175">
        <v>1</v>
      </c>
      <c r="I2175">
        <v>2</v>
      </c>
      <c r="J2175">
        <v>0</v>
      </c>
      <c r="K2175">
        <v>0</v>
      </c>
      <c r="L2175">
        <v>0</v>
      </c>
    </row>
    <row r="2176" spans="1:12">
      <c r="A2176" t="str">
        <f>HYPERLINK("http://bombeiros.sp.gov.br/hidrantes/03individual/4287.html","4287")</f>
        <v>4287</v>
      </c>
      <c r="B2176" t="str">
        <f>HYPERLINK("http://bombeiros.sp.gov.br/hidrantes/08bsg/qrcodeBSG.html?id=4287&amp;lat=-23.58166&amp;long=-46.58826&amp;tipo=S","QRCODE")</f>
        <v>QRCODE</v>
      </c>
      <c r="C2176" t="s">
        <v>5273</v>
      </c>
      <c r="D2176" t="s">
        <v>5326</v>
      </c>
      <c r="E2176" t="s">
        <v>895</v>
      </c>
      <c r="F2176" t="s">
        <v>21</v>
      </c>
      <c r="G2176" t="s">
        <v>1731</v>
      </c>
      <c r="H2176">
        <v>0</v>
      </c>
      <c r="I2176">
        <v>2</v>
      </c>
      <c r="J2176">
        <v>0</v>
      </c>
      <c r="K2176">
        <v>0</v>
      </c>
      <c r="L2176">
        <v>0</v>
      </c>
    </row>
    <row r="2177" spans="1:12">
      <c r="A2177" t="str">
        <f>HYPERLINK("http://bombeiros.sp.gov.br/hidrantes/03individual/4296.html","4296")</f>
        <v>4296</v>
      </c>
      <c r="B2177" t="str">
        <f>HYPERLINK("http://bombeiros.sp.gov.br/hidrantes/08bsg/qrcodeBSG.html?id=4296&amp;lat=-23.58481&amp;long=-46.58500&amp;tipo=S","QRCODE")</f>
        <v>QRCODE</v>
      </c>
      <c r="C2177" t="s">
        <v>5273</v>
      </c>
      <c r="D2177" t="s">
        <v>5326</v>
      </c>
      <c r="E2177" t="s">
        <v>895</v>
      </c>
      <c r="F2177" t="s">
        <v>21</v>
      </c>
      <c r="G2177" t="s">
        <v>4753</v>
      </c>
      <c r="H2177">
        <v>0</v>
      </c>
      <c r="I2177">
        <v>2</v>
      </c>
      <c r="J2177">
        <v>0</v>
      </c>
      <c r="K2177">
        <v>0</v>
      </c>
      <c r="L2177">
        <v>0</v>
      </c>
    </row>
    <row r="2178" spans="1:12">
      <c r="A2178" t="str">
        <f>HYPERLINK("http://bombeiros.sp.gov.br/hidrantes/03individual/16643.html","16643")</f>
        <v>16643</v>
      </c>
      <c r="B2178" t="str">
        <f>HYPERLINK("http://bombeiros.sp.gov.br/hidrantes/08bsg/qrcodeBSG.html?id=16643&amp;lat=-23.58223&amp;long=-46.58338&amp;tipo=S","QRCODE")</f>
        <v>QRCODE</v>
      </c>
      <c r="C2178" t="s">
        <v>5273</v>
      </c>
      <c r="D2178" t="s">
        <v>5326</v>
      </c>
      <c r="E2178" t="s">
        <v>895</v>
      </c>
      <c r="F2178" t="s">
        <v>21</v>
      </c>
      <c r="G2178" t="s">
        <v>5327</v>
      </c>
      <c r="H2178">
        <v>0</v>
      </c>
      <c r="I2178">
        <v>0</v>
      </c>
      <c r="J2178">
        <v>0</v>
      </c>
      <c r="K2178">
        <v>0</v>
      </c>
      <c r="L2178">
        <v>0</v>
      </c>
    </row>
    <row r="2179" spans="1:12">
      <c r="A2179" t="str">
        <f>HYPERLINK("http://bombeiros.sp.gov.br/hidrantes/03individual/17687.html","17687")</f>
        <v>17687</v>
      </c>
      <c r="B2179" t="str">
        <f>HYPERLINK("http://bombeiros.sp.gov.br/hidrantes/08bsg/qrcodeBSG.html?id=17687&amp;lat=-23.58109&amp;long=-46.58940&amp;tipo=S","QRCODE")</f>
        <v>QRCODE</v>
      </c>
      <c r="C2179" t="s">
        <v>5273</v>
      </c>
      <c r="D2179" t="s">
        <v>5326</v>
      </c>
      <c r="E2179" t="s">
        <v>895</v>
      </c>
      <c r="F2179" t="s">
        <v>21</v>
      </c>
      <c r="G2179" t="s">
        <v>1694</v>
      </c>
      <c r="H2179">
        <v>0</v>
      </c>
      <c r="I2179">
        <v>2</v>
      </c>
      <c r="J2179">
        <v>0</v>
      </c>
      <c r="K2179">
        <v>0</v>
      </c>
      <c r="L2179">
        <v>0</v>
      </c>
    </row>
    <row r="2180" spans="1:12">
      <c r="A2180" t="str">
        <f>HYPERLINK("http://bombeiros.sp.gov.br/hidrantes/03individual/3633.html","3633")</f>
        <v>3633</v>
      </c>
      <c r="B2180" t="str">
        <f>HYPERLINK("http://bombeiros.sp.gov.br/hidrantes/08bsg/qrcodeBSG.html?id=3633&amp;lat=-23.60115&amp;long=-46.55063&amp;tipo=C","QRCODE")</f>
        <v>QRCODE</v>
      </c>
      <c r="C2180" t="s">
        <v>5273</v>
      </c>
      <c r="D2180" t="s">
        <v>5326</v>
      </c>
      <c r="E2180" t="s">
        <v>1779</v>
      </c>
      <c r="F2180" t="s">
        <v>12</v>
      </c>
      <c r="G2180" t="s">
        <v>3676</v>
      </c>
      <c r="H2180">
        <v>1</v>
      </c>
      <c r="I2180">
        <v>1</v>
      </c>
      <c r="J2180">
        <v>0</v>
      </c>
      <c r="K2180">
        <v>0</v>
      </c>
      <c r="L2180">
        <v>0</v>
      </c>
    </row>
    <row r="2181" spans="1:12">
      <c r="A2181" t="str">
        <f>HYPERLINK("http://bombeiros.sp.gov.br/hidrantes/03individual/170.html","170")</f>
        <v>170</v>
      </c>
      <c r="B2181" t="str">
        <f>HYPERLINK("http://bombeiros.sp.gov.br/hidrantes/08bsg/qrcodeBSG.html?id=170&amp;lat=-23.58817&amp;long=-46.58801&amp;tipo=C","QRCODE")</f>
        <v>QRCODE</v>
      </c>
      <c r="C2181" t="s">
        <v>5273</v>
      </c>
      <c r="D2181" t="s">
        <v>5326</v>
      </c>
      <c r="E2181" t="s">
        <v>1234</v>
      </c>
      <c r="F2181" t="s">
        <v>12</v>
      </c>
      <c r="G2181" t="s">
        <v>2493</v>
      </c>
      <c r="H2181">
        <v>1</v>
      </c>
      <c r="I2181">
        <v>2</v>
      </c>
      <c r="J2181">
        <v>0</v>
      </c>
      <c r="K2181">
        <v>0</v>
      </c>
      <c r="L2181">
        <v>0</v>
      </c>
    </row>
    <row r="2182" spans="1:12">
      <c r="A2182" t="str">
        <f>HYPERLINK("http://bombeiros.sp.gov.br/hidrantes/03individual/867.html","867")</f>
        <v>867</v>
      </c>
      <c r="B2182" t="str">
        <f>HYPERLINK("http://bombeiros.sp.gov.br/hidrantes/08bsg/qrcodeBSG.html?id=867&amp;lat=-23.58615&amp;long=-46.58966&amp;tipo=C","QRCODE")</f>
        <v>QRCODE</v>
      </c>
      <c r="C2182" t="s">
        <v>5273</v>
      </c>
      <c r="D2182" t="s">
        <v>5326</v>
      </c>
      <c r="E2182" t="s">
        <v>1234</v>
      </c>
      <c r="F2182" t="s">
        <v>12</v>
      </c>
      <c r="G2182" t="s">
        <v>4790</v>
      </c>
      <c r="H2182">
        <v>0</v>
      </c>
      <c r="I2182">
        <v>1</v>
      </c>
      <c r="J2182">
        <v>0</v>
      </c>
      <c r="K2182">
        <v>0</v>
      </c>
      <c r="L2182">
        <v>0</v>
      </c>
    </row>
    <row r="2183" spans="1:12">
      <c r="A2183" t="str">
        <f>HYPERLINK("http://bombeiros.sp.gov.br/hidrantes/03individual/869.html","869")</f>
        <v>869</v>
      </c>
      <c r="B2183" t="str">
        <f>HYPERLINK("http://bombeiros.sp.gov.br/hidrantes/08bsg/qrcodeBSG.html?id=869&amp;lat=-23.58324&amp;long=-46.59050&amp;tipo=C","QRCODE")</f>
        <v>QRCODE</v>
      </c>
      <c r="C2183" t="s">
        <v>5273</v>
      </c>
      <c r="D2183" t="s">
        <v>5326</v>
      </c>
      <c r="E2183" t="s">
        <v>1234</v>
      </c>
      <c r="F2183" t="s">
        <v>12</v>
      </c>
      <c r="G2183" t="s">
        <v>4882</v>
      </c>
      <c r="H2183">
        <v>1</v>
      </c>
      <c r="I2183">
        <v>1</v>
      </c>
      <c r="J2183">
        <v>0</v>
      </c>
      <c r="K2183">
        <v>0</v>
      </c>
      <c r="L2183">
        <v>0</v>
      </c>
    </row>
    <row r="2184" spans="1:12">
      <c r="A2184" t="str">
        <f>HYPERLINK("http://bombeiros.sp.gov.br/hidrantes/03individual/870.html","870")</f>
        <v>870</v>
      </c>
      <c r="B2184" t="str">
        <f>HYPERLINK("http://bombeiros.sp.gov.br/hidrantes/08bsg/qrcodeBSG.html?id=870&amp;lat=-23.58747&amp;long=-46.58764&amp;tipo=C","QRCODE")</f>
        <v>QRCODE</v>
      </c>
      <c r="C2184" t="s">
        <v>5273</v>
      </c>
      <c r="D2184" t="s">
        <v>5326</v>
      </c>
      <c r="E2184" t="s">
        <v>1234</v>
      </c>
      <c r="F2184" t="s">
        <v>12</v>
      </c>
      <c r="G2184" t="s">
        <v>1233</v>
      </c>
      <c r="H2184">
        <v>1</v>
      </c>
      <c r="I2184">
        <v>2</v>
      </c>
      <c r="J2184">
        <v>0</v>
      </c>
      <c r="K2184">
        <v>0</v>
      </c>
      <c r="L2184">
        <v>0</v>
      </c>
    </row>
    <row r="2185" spans="1:12">
      <c r="A2185" t="str">
        <f>HYPERLINK("http://bombeiros.sp.gov.br/hidrantes/03individual/871.html","871")</f>
        <v>871</v>
      </c>
      <c r="B2185" t="str">
        <f>HYPERLINK("http://bombeiros.sp.gov.br/hidrantes/08bsg/qrcodeBSG.html?id=871&amp;lat=-23.58832&amp;long=-46.59009&amp;tipo=C","QRCODE")</f>
        <v>QRCODE</v>
      </c>
      <c r="C2185" t="s">
        <v>5273</v>
      </c>
      <c r="D2185" t="s">
        <v>5326</v>
      </c>
      <c r="E2185" t="s">
        <v>1234</v>
      </c>
      <c r="F2185" t="s">
        <v>12</v>
      </c>
      <c r="G2185" t="s">
        <v>2509</v>
      </c>
      <c r="H2185">
        <v>0</v>
      </c>
      <c r="I2185">
        <v>2</v>
      </c>
      <c r="J2185">
        <v>0</v>
      </c>
      <c r="K2185">
        <v>0</v>
      </c>
      <c r="L2185">
        <v>0</v>
      </c>
    </row>
    <row r="2186" spans="1:12">
      <c r="A2186" t="str">
        <f>HYPERLINK("http://bombeiros.sp.gov.br/hidrantes/03individual/873.html","873")</f>
        <v>873</v>
      </c>
      <c r="B2186" t="str">
        <f>HYPERLINK("http://bombeiros.sp.gov.br/hidrantes/08bsg/qrcodeBSG.html?id=873&amp;lat=-23.58640&amp;long=-46.58898&amp;tipo=C","QRCODE")</f>
        <v>QRCODE</v>
      </c>
      <c r="C2186" t="s">
        <v>5273</v>
      </c>
      <c r="D2186" t="s">
        <v>5326</v>
      </c>
      <c r="E2186" t="s">
        <v>1234</v>
      </c>
      <c r="F2186" t="s">
        <v>12</v>
      </c>
      <c r="G2186" t="s">
        <v>2510</v>
      </c>
      <c r="H2186">
        <v>1</v>
      </c>
      <c r="I2186">
        <v>2</v>
      </c>
      <c r="J2186">
        <v>0</v>
      </c>
      <c r="K2186">
        <v>0</v>
      </c>
      <c r="L2186">
        <v>0</v>
      </c>
    </row>
    <row r="2187" spans="1:12">
      <c r="A2187" t="str">
        <f>HYPERLINK("http://bombeiros.sp.gov.br/hidrantes/03individual/875.html","875")</f>
        <v>875</v>
      </c>
      <c r="B2187" t="str">
        <f>HYPERLINK("http://bombeiros.sp.gov.br/hidrantes/08bsg/qrcodeBSG.html?id=875&amp;lat=-23.58666&amp;long=-46.58945&amp;tipo=C","QRCODE")</f>
        <v>QRCODE</v>
      </c>
      <c r="C2187" t="s">
        <v>5273</v>
      </c>
      <c r="D2187" t="s">
        <v>5326</v>
      </c>
      <c r="E2187" t="s">
        <v>1234</v>
      </c>
      <c r="F2187" t="s">
        <v>12</v>
      </c>
      <c r="G2187" t="s">
        <v>3138</v>
      </c>
      <c r="H2187">
        <v>1</v>
      </c>
      <c r="I2187">
        <v>1</v>
      </c>
      <c r="J2187">
        <v>0</v>
      </c>
      <c r="K2187">
        <v>0</v>
      </c>
      <c r="L2187">
        <v>0</v>
      </c>
    </row>
    <row r="2188" spans="1:12">
      <c r="A2188" t="str">
        <f>HYPERLINK("http://bombeiros.sp.gov.br/hidrantes/03individual/4290.html","4290")</f>
        <v>4290</v>
      </c>
      <c r="B2188" t="str">
        <f>HYPERLINK("http://bombeiros.sp.gov.br/hidrantes/08bsg/qrcodeBSG.html?id=4290&amp;lat=-23.58323&amp;long=-46.59461&amp;tipo=C","QRCODE")</f>
        <v>QRCODE</v>
      </c>
      <c r="C2188" t="s">
        <v>5273</v>
      </c>
      <c r="D2188" t="s">
        <v>5326</v>
      </c>
      <c r="E2188" t="s">
        <v>1234</v>
      </c>
      <c r="F2188" t="s">
        <v>12</v>
      </c>
      <c r="G2188" t="s">
        <v>4615</v>
      </c>
      <c r="H2188">
        <v>0</v>
      </c>
      <c r="I2188">
        <v>2</v>
      </c>
      <c r="J2188">
        <v>0</v>
      </c>
      <c r="K2188">
        <v>0</v>
      </c>
      <c r="L2188">
        <v>0</v>
      </c>
    </row>
    <row r="2189" spans="1:12">
      <c r="A2189" t="str">
        <f>HYPERLINK("http://bombeiros.sp.gov.br/hidrantes/03individual/4424.html","4424")</f>
        <v>4424</v>
      </c>
      <c r="B2189" t="str">
        <f>HYPERLINK("http://bombeiros.sp.gov.br/hidrantes/08bsg/qrcodeBSG.html?id=4424&amp;lat=-23.59450&amp;long=-46.56605&amp;tipo=B","QRCODE")</f>
        <v>QRCODE</v>
      </c>
      <c r="C2189" t="s">
        <v>5273</v>
      </c>
      <c r="D2189" t="s">
        <v>5326</v>
      </c>
      <c r="E2189" t="s">
        <v>1231</v>
      </c>
      <c r="F2189" t="s">
        <v>1719</v>
      </c>
      <c r="G2189" t="s">
        <v>5208</v>
      </c>
      <c r="H2189">
        <v>1</v>
      </c>
      <c r="I2189">
        <v>0</v>
      </c>
      <c r="J2189">
        <v>0</v>
      </c>
      <c r="K2189">
        <v>0</v>
      </c>
      <c r="L2189">
        <v>0</v>
      </c>
    </row>
    <row r="2190" spans="1:12">
      <c r="A2190" t="str">
        <f>HYPERLINK("http://bombeiros.sp.gov.br/hidrantes/03individual/121.html","121")</f>
        <v>121</v>
      </c>
      <c r="B2190" t="str">
        <f>HYPERLINK("http://bombeiros.sp.gov.br/hidrantes/08bsg/qrcodeBSG.html?id=121&amp;lat=-23.60133&amp;long=-46.55841&amp;tipo=C","QRCODE")</f>
        <v>QRCODE</v>
      </c>
      <c r="C2190" t="s">
        <v>5273</v>
      </c>
      <c r="D2190" t="s">
        <v>5326</v>
      </c>
      <c r="E2190" t="s">
        <v>1231</v>
      </c>
      <c r="F2190" t="s">
        <v>12</v>
      </c>
      <c r="G2190" t="s">
        <v>2485</v>
      </c>
      <c r="H2190">
        <v>0</v>
      </c>
      <c r="I2190">
        <v>2</v>
      </c>
      <c r="J2190">
        <v>0</v>
      </c>
      <c r="K2190">
        <v>0</v>
      </c>
      <c r="L2190">
        <v>0</v>
      </c>
    </row>
    <row r="2191" spans="1:12">
      <c r="A2191" t="str">
        <f>HYPERLINK("http://bombeiros.sp.gov.br/hidrantes/03individual/876.html","876")</f>
        <v>876</v>
      </c>
      <c r="B2191" t="str">
        <f>HYPERLINK("http://bombeiros.sp.gov.br/hidrantes/08bsg/qrcodeBSG.html?id=876&amp;lat=-23.59364&amp;long=-46.58280&amp;tipo=C","QRCODE")</f>
        <v>QRCODE</v>
      </c>
      <c r="C2191" t="s">
        <v>5273</v>
      </c>
      <c r="D2191" t="s">
        <v>5326</v>
      </c>
      <c r="E2191" t="s">
        <v>1231</v>
      </c>
      <c r="F2191" t="s">
        <v>12</v>
      </c>
      <c r="G2191" t="s">
        <v>5094</v>
      </c>
      <c r="H2191">
        <v>1</v>
      </c>
      <c r="I2191">
        <v>2</v>
      </c>
      <c r="J2191">
        <v>0</v>
      </c>
      <c r="K2191">
        <v>0</v>
      </c>
      <c r="L2191">
        <v>0</v>
      </c>
    </row>
    <row r="2192" spans="1:12">
      <c r="A2192" t="str">
        <f>HYPERLINK("http://bombeiros.sp.gov.br/hidrantes/03individual/878.html","878")</f>
        <v>878</v>
      </c>
      <c r="B2192" t="str">
        <f>HYPERLINK("http://bombeiros.sp.gov.br/hidrantes/08bsg/qrcodeBSG.html?id=878&amp;lat=-23.59411&amp;long=-46.58235&amp;tipo=C","QRCODE")</f>
        <v>QRCODE</v>
      </c>
      <c r="C2192" t="s">
        <v>5273</v>
      </c>
      <c r="D2192" t="s">
        <v>5326</v>
      </c>
      <c r="E2192" t="s">
        <v>1231</v>
      </c>
      <c r="F2192" t="s">
        <v>12</v>
      </c>
      <c r="G2192" t="s">
        <v>1232</v>
      </c>
      <c r="H2192">
        <v>1</v>
      </c>
      <c r="I2192">
        <v>2</v>
      </c>
      <c r="J2192">
        <v>0</v>
      </c>
      <c r="K2192">
        <v>0</v>
      </c>
      <c r="L2192">
        <v>0</v>
      </c>
    </row>
    <row r="2193" spans="1:12">
      <c r="A2193" t="str">
        <f>HYPERLINK("http://bombeiros.sp.gov.br/hidrantes/03individual/880.html","880")</f>
        <v>880</v>
      </c>
      <c r="B2193" t="str">
        <f>HYPERLINK("http://bombeiros.sp.gov.br/hidrantes/08bsg/qrcodeBSG.html?id=880&amp;lat=-23.59421&amp;long=-46.58137&amp;tipo=C","QRCODE")</f>
        <v>QRCODE</v>
      </c>
      <c r="C2193" t="s">
        <v>5273</v>
      </c>
      <c r="D2193" t="s">
        <v>5326</v>
      </c>
      <c r="E2193" t="s">
        <v>1231</v>
      </c>
      <c r="F2193" t="s">
        <v>12</v>
      </c>
      <c r="G2193" t="s">
        <v>1230</v>
      </c>
      <c r="H2193">
        <v>1</v>
      </c>
      <c r="I2193">
        <v>2</v>
      </c>
      <c r="J2193">
        <v>0</v>
      </c>
      <c r="K2193">
        <v>0</v>
      </c>
      <c r="L2193">
        <v>0</v>
      </c>
    </row>
    <row r="2194" spans="1:12">
      <c r="A2194" t="str">
        <f>HYPERLINK("http://bombeiros.sp.gov.br/hidrantes/03individual/3600.html","3600")</f>
        <v>3600</v>
      </c>
      <c r="B2194" t="str">
        <f>HYPERLINK("http://bombeiros.sp.gov.br/hidrantes/08bsg/qrcodeBSG.html?id=3600&amp;lat=-23.60453&amp;long=-46.56373&amp;tipo=C","QRCODE")</f>
        <v>QRCODE</v>
      </c>
      <c r="C2194" t="s">
        <v>5273</v>
      </c>
      <c r="D2194" t="s">
        <v>5326</v>
      </c>
      <c r="E2194" t="s">
        <v>1231</v>
      </c>
      <c r="F2194" t="s">
        <v>12</v>
      </c>
      <c r="G2194" t="s">
        <v>2465</v>
      </c>
      <c r="H2194">
        <v>1</v>
      </c>
      <c r="I2194">
        <v>2</v>
      </c>
      <c r="J2194">
        <v>0</v>
      </c>
      <c r="K2194">
        <v>0</v>
      </c>
      <c r="L2194">
        <v>0</v>
      </c>
    </row>
    <row r="2195" spans="1:12">
      <c r="A2195" t="str">
        <f>HYPERLINK("http://bombeiros.sp.gov.br/hidrantes/03individual/3623.html","3623")</f>
        <v>3623</v>
      </c>
      <c r="B2195" t="str">
        <f>HYPERLINK("http://bombeiros.sp.gov.br/hidrantes/08bsg/qrcodeBSG.html?id=3623&amp;lat=-23.60881&amp;long=-46.55602&amp;tipo=C","QRCODE")</f>
        <v>QRCODE</v>
      </c>
      <c r="C2195" t="s">
        <v>5273</v>
      </c>
      <c r="D2195" t="s">
        <v>5326</v>
      </c>
      <c r="E2195" t="s">
        <v>1231</v>
      </c>
      <c r="F2195" t="s">
        <v>12</v>
      </c>
      <c r="G2195" t="s">
        <v>1659</v>
      </c>
      <c r="H2195">
        <v>0</v>
      </c>
      <c r="I2195">
        <v>2</v>
      </c>
      <c r="J2195">
        <v>0</v>
      </c>
      <c r="K2195">
        <v>0</v>
      </c>
      <c r="L2195">
        <v>0</v>
      </c>
    </row>
    <row r="2196" spans="1:12">
      <c r="A2196" t="str">
        <f>HYPERLINK("http://bombeiros.sp.gov.br/hidrantes/03individual/27023.html","27023")</f>
        <v>27023</v>
      </c>
      <c r="B2196" t="str">
        <f>HYPERLINK("http://bombeiros.sp.gov.br/hidrantes/08bsg/qrcodeBSG.html?id=27023&amp;lat=-23.59992&amp;long=-46.57662&amp;tipo=C","QRCODE")</f>
        <v>QRCODE</v>
      </c>
      <c r="C2196" t="s">
        <v>5273</v>
      </c>
      <c r="D2196" t="s">
        <v>5326</v>
      </c>
      <c r="E2196" t="s">
        <v>1231</v>
      </c>
      <c r="F2196" t="s">
        <v>12</v>
      </c>
      <c r="G2196" t="s">
        <v>3416</v>
      </c>
      <c r="H2196">
        <v>0</v>
      </c>
      <c r="I2196">
        <v>1</v>
      </c>
      <c r="J2196">
        <v>0</v>
      </c>
      <c r="K2196">
        <v>0</v>
      </c>
      <c r="L2196">
        <v>0</v>
      </c>
    </row>
    <row r="2197" spans="1:12">
      <c r="A2197" t="str">
        <f>HYPERLINK("http://bombeiros.sp.gov.br/hidrantes/03individual/6.html","6")</f>
        <v>6</v>
      </c>
      <c r="B2197" t="str">
        <f>HYPERLINK("http://bombeiros.sp.gov.br/hidrantes/08bsg/qrcodeBSG.html?id=6&amp;lat=-23.59708&amp;long=-46.57465&amp;tipo=S","QRCODE")</f>
        <v>QRCODE</v>
      </c>
      <c r="C2197" t="s">
        <v>5273</v>
      </c>
      <c r="D2197" t="s">
        <v>5326</v>
      </c>
      <c r="E2197" t="s">
        <v>1231</v>
      </c>
      <c r="F2197" t="s">
        <v>21</v>
      </c>
      <c r="G2197" t="s">
        <v>1242</v>
      </c>
      <c r="H2197">
        <v>1</v>
      </c>
      <c r="I2197">
        <v>2</v>
      </c>
      <c r="J2197">
        <v>0</v>
      </c>
      <c r="K2197">
        <v>0</v>
      </c>
      <c r="L2197">
        <v>0</v>
      </c>
    </row>
    <row r="2198" spans="1:12">
      <c r="A2198" t="str">
        <f>HYPERLINK("http://bombeiros.sp.gov.br/hidrantes/03individual/33.html","33")</f>
        <v>33</v>
      </c>
      <c r="B2198" t="str">
        <f>HYPERLINK("http://bombeiros.sp.gov.br/hidrantes/08bsg/qrcodeBSG.html?id=33&amp;lat=-23.60019&amp;long=-46.57552&amp;tipo=S","QRCODE")</f>
        <v>QRCODE</v>
      </c>
      <c r="C2198" t="s">
        <v>5273</v>
      </c>
      <c r="D2198" t="s">
        <v>5326</v>
      </c>
      <c r="E2198" t="s">
        <v>1231</v>
      </c>
      <c r="F2198" t="s">
        <v>21</v>
      </c>
      <c r="G2198" t="s">
        <v>4587</v>
      </c>
      <c r="H2198">
        <v>0</v>
      </c>
      <c r="I2198">
        <v>2</v>
      </c>
      <c r="J2198">
        <v>0</v>
      </c>
      <c r="K2198">
        <v>0</v>
      </c>
      <c r="L2198">
        <v>0</v>
      </c>
    </row>
    <row r="2199" spans="1:12">
      <c r="A2199" t="str">
        <f>HYPERLINK("http://bombeiros.sp.gov.br/hidrantes/03individual/62.html","62")</f>
        <v>62</v>
      </c>
      <c r="B2199" t="str">
        <f>HYPERLINK("http://bombeiros.sp.gov.br/hidrantes/08bsg/qrcodeBSG.html?id=62&amp;lat=-23.59692&amp;long=-46.57731&amp;tipo=S","QRCODE")</f>
        <v>QRCODE</v>
      </c>
      <c r="C2199" t="s">
        <v>5273</v>
      </c>
      <c r="D2199" t="s">
        <v>5326</v>
      </c>
      <c r="E2199" t="s">
        <v>1231</v>
      </c>
      <c r="F2199" t="s">
        <v>21</v>
      </c>
      <c r="G2199" t="s">
        <v>4586</v>
      </c>
      <c r="H2199">
        <v>0</v>
      </c>
      <c r="I2199">
        <v>2</v>
      </c>
      <c r="J2199">
        <v>0</v>
      </c>
      <c r="K2199">
        <v>0</v>
      </c>
      <c r="L2199">
        <v>0</v>
      </c>
    </row>
    <row r="2200" spans="1:12">
      <c r="A2200" t="str">
        <f>HYPERLINK("http://bombeiros.sp.gov.br/hidrantes/03individual/63.html","63")</f>
        <v>63</v>
      </c>
      <c r="B2200" t="str">
        <f>HYPERLINK("http://bombeiros.sp.gov.br/hidrantes/08bsg/qrcodeBSG.html?id=63&amp;lat=-23.60324&amp;long=-46.56746&amp;tipo=S","QRCODE")</f>
        <v>QRCODE</v>
      </c>
      <c r="C2200" t="s">
        <v>5273</v>
      </c>
      <c r="D2200" t="s">
        <v>5326</v>
      </c>
      <c r="E2200" t="s">
        <v>1231</v>
      </c>
      <c r="F2200" t="s">
        <v>21</v>
      </c>
      <c r="G2200" t="s">
        <v>1613</v>
      </c>
      <c r="H2200">
        <v>1</v>
      </c>
      <c r="I2200">
        <v>2</v>
      </c>
      <c r="J2200">
        <v>0</v>
      </c>
      <c r="K2200">
        <v>0</v>
      </c>
      <c r="L2200">
        <v>0</v>
      </c>
    </row>
    <row r="2201" spans="1:12">
      <c r="A2201" t="str">
        <f>HYPERLINK("http://bombeiros.sp.gov.br/hidrantes/03individual/101.html","101")</f>
        <v>101</v>
      </c>
      <c r="B2201" t="str">
        <f>HYPERLINK("http://bombeiros.sp.gov.br/hidrantes/08bsg/qrcodeBSG.html?id=101&amp;lat=-23.59596&amp;long=-46.56996&amp;tipo=S","QRCODE")</f>
        <v>QRCODE</v>
      </c>
      <c r="C2201" t="s">
        <v>5273</v>
      </c>
      <c r="D2201" t="s">
        <v>5326</v>
      </c>
      <c r="E2201" t="s">
        <v>1231</v>
      </c>
      <c r="F2201" t="s">
        <v>21</v>
      </c>
      <c r="G2201" t="s">
        <v>4585</v>
      </c>
      <c r="H2201">
        <v>0</v>
      </c>
      <c r="I2201">
        <v>2</v>
      </c>
      <c r="J2201">
        <v>0</v>
      </c>
      <c r="K2201">
        <v>0</v>
      </c>
      <c r="L2201">
        <v>0</v>
      </c>
    </row>
    <row r="2202" spans="1:12">
      <c r="A2202" t="str">
        <f>HYPERLINK("http://bombeiros.sp.gov.br/hidrantes/03individual/102.html","102")</f>
        <v>102</v>
      </c>
      <c r="B2202" t="str">
        <f>HYPERLINK("http://bombeiros.sp.gov.br/hidrantes/08bsg/qrcodeBSG.html?id=102&amp;lat=-23.58928&amp;long=-46.58669&amp;tipo=S","QRCODE")</f>
        <v>QRCODE</v>
      </c>
      <c r="C2202" t="s">
        <v>5273</v>
      </c>
      <c r="D2202" t="s">
        <v>5326</v>
      </c>
      <c r="E2202" t="s">
        <v>1231</v>
      </c>
      <c r="F2202" t="s">
        <v>21</v>
      </c>
      <c r="G2202" t="s">
        <v>1243</v>
      </c>
      <c r="H2202">
        <v>1</v>
      </c>
      <c r="I2202">
        <v>2</v>
      </c>
      <c r="J2202">
        <v>0</v>
      </c>
      <c r="K2202">
        <v>0</v>
      </c>
      <c r="L2202">
        <v>0</v>
      </c>
    </row>
    <row r="2203" spans="1:12">
      <c r="A2203" t="str">
        <f>HYPERLINK("http://bombeiros.sp.gov.br/hidrantes/03individual/103.html","103")</f>
        <v>103</v>
      </c>
      <c r="B2203" t="str">
        <f>HYPERLINK("http://bombeiros.sp.gov.br/hidrantes/08bsg/qrcodeBSG.html?id=103&amp;lat=-23.59775&amp;long=-46.58009&amp;tipo=S","QRCODE")</f>
        <v>QRCODE</v>
      </c>
      <c r="C2203" t="s">
        <v>5273</v>
      </c>
      <c r="D2203" t="s">
        <v>5326</v>
      </c>
      <c r="E2203" t="s">
        <v>1231</v>
      </c>
      <c r="F2203" t="s">
        <v>21</v>
      </c>
      <c r="G2203" t="s">
        <v>1759</v>
      </c>
      <c r="H2203">
        <v>0</v>
      </c>
      <c r="I2203">
        <v>2</v>
      </c>
      <c r="J2203">
        <v>0</v>
      </c>
      <c r="K2203">
        <v>0</v>
      </c>
      <c r="L2203">
        <v>0</v>
      </c>
    </row>
    <row r="2204" spans="1:12">
      <c r="A2204" t="str">
        <f>HYPERLINK("http://bombeiros.sp.gov.br/hidrantes/03individual/104.html","104")</f>
        <v>104</v>
      </c>
      <c r="B2204" t="str">
        <f>HYPERLINK("http://bombeiros.sp.gov.br/hidrantes/08bsg/qrcodeBSG.html?id=104&amp;lat=-23.59244&amp;long=-46.57115&amp;tipo=S","QRCODE")</f>
        <v>QRCODE</v>
      </c>
      <c r="C2204" t="s">
        <v>5273</v>
      </c>
      <c r="D2204" t="s">
        <v>5326</v>
      </c>
      <c r="E2204" t="s">
        <v>1231</v>
      </c>
      <c r="F2204" t="s">
        <v>21</v>
      </c>
      <c r="G2204" t="s">
        <v>2489</v>
      </c>
      <c r="H2204">
        <v>1</v>
      </c>
      <c r="I2204">
        <v>2</v>
      </c>
      <c r="J2204">
        <v>0</v>
      </c>
      <c r="K2204">
        <v>0</v>
      </c>
      <c r="L2204">
        <v>0</v>
      </c>
    </row>
    <row r="2205" spans="1:12">
      <c r="A2205" t="str">
        <f>HYPERLINK("http://bombeiros.sp.gov.br/hidrantes/03individual/105.html","105")</f>
        <v>105</v>
      </c>
      <c r="B2205" t="str">
        <f>HYPERLINK("http://bombeiros.sp.gov.br/hidrantes/08bsg/qrcodeBSG.html?id=105&amp;lat=-23.60512&amp;long=-46.56102&amp;tipo=S","QRCODE")</f>
        <v>QRCODE</v>
      </c>
      <c r="C2205" t="s">
        <v>5273</v>
      </c>
      <c r="D2205" t="s">
        <v>5326</v>
      </c>
      <c r="E2205" t="s">
        <v>1231</v>
      </c>
      <c r="F2205" t="s">
        <v>21</v>
      </c>
      <c r="G2205" t="s">
        <v>1610</v>
      </c>
      <c r="H2205">
        <v>4</v>
      </c>
      <c r="I2205">
        <v>2</v>
      </c>
      <c r="J2205">
        <v>0</v>
      </c>
      <c r="K2205">
        <v>0</v>
      </c>
      <c r="L2205">
        <v>0</v>
      </c>
    </row>
    <row r="2206" spans="1:12">
      <c r="A2206" t="str">
        <f>HYPERLINK("http://bombeiros.sp.gov.br/hidrantes/03individual/107.html","107")</f>
        <v>107</v>
      </c>
      <c r="B2206" t="str">
        <f>HYPERLINK("http://bombeiros.sp.gov.br/hidrantes/08bsg/qrcodeBSG.html?id=107&amp;lat=-23.60192&amp;long=-46.56901&amp;tipo=S","QRCODE")</f>
        <v>QRCODE</v>
      </c>
      <c r="C2206" t="s">
        <v>5273</v>
      </c>
      <c r="D2206" t="s">
        <v>5326</v>
      </c>
      <c r="E2206" t="s">
        <v>1231</v>
      </c>
      <c r="F2206" t="s">
        <v>21</v>
      </c>
      <c r="G2206" t="s">
        <v>1609</v>
      </c>
      <c r="H2206">
        <v>1</v>
      </c>
      <c r="I2206">
        <v>2</v>
      </c>
      <c r="J2206">
        <v>0</v>
      </c>
      <c r="K2206">
        <v>0</v>
      </c>
      <c r="L2206">
        <v>0</v>
      </c>
    </row>
    <row r="2207" spans="1:12">
      <c r="A2207" t="str">
        <f>HYPERLINK("http://bombeiros.sp.gov.br/hidrantes/03individual/120.html","120")</f>
        <v>120</v>
      </c>
      <c r="B2207" t="str">
        <f>HYPERLINK("http://bombeiros.sp.gov.br/hidrantes/08bsg/qrcodeBSG.html?id=120&amp;lat=-23.60139&amp;long=-46.56398&amp;tipo=S","QRCODE")</f>
        <v>QRCODE</v>
      </c>
      <c r="C2207" t="s">
        <v>5273</v>
      </c>
      <c r="D2207" t="s">
        <v>5326</v>
      </c>
      <c r="E2207" t="s">
        <v>1231</v>
      </c>
      <c r="F2207" t="s">
        <v>21</v>
      </c>
      <c r="G2207" t="s">
        <v>2484</v>
      </c>
      <c r="H2207">
        <v>0</v>
      </c>
      <c r="I2207">
        <v>2</v>
      </c>
      <c r="J2207">
        <v>0</v>
      </c>
      <c r="K2207">
        <v>0</v>
      </c>
      <c r="L2207">
        <v>0</v>
      </c>
    </row>
    <row r="2208" spans="1:12">
      <c r="A2208" t="str">
        <f>HYPERLINK("http://bombeiros.sp.gov.br/hidrantes/03individual/165.html","165")</f>
        <v>165</v>
      </c>
      <c r="B2208" t="str">
        <f>HYPERLINK("http://bombeiros.sp.gov.br/hidrantes/08bsg/qrcodeBSG.html?id=165&amp;lat=-23.59577&amp;long=-46.56716&amp;tipo=S","QRCODE")</f>
        <v>QRCODE</v>
      </c>
      <c r="C2208" t="s">
        <v>5273</v>
      </c>
      <c r="D2208" t="s">
        <v>5326</v>
      </c>
      <c r="E2208" t="s">
        <v>1231</v>
      </c>
      <c r="F2208" t="s">
        <v>21</v>
      </c>
      <c r="G2208" t="s">
        <v>4580</v>
      </c>
      <c r="H2208">
        <v>0</v>
      </c>
      <c r="I2208">
        <v>2</v>
      </c>
      <c r="J2208">
        <v>0</v>
      </c>
      <c r="K2208">
        <v>0</v>
      </c>
      <c r="L2208">
        <v>0</v>
      </c>
    </row>
    <row r="2209" spans="1:12">
      <c r="A2209" t="str">
        <f>HYPERLINK("http://bombeiros.sp.gov.br/hidrantes/03individual/167.html","167")</f>
        <v>167</v>
      </c>
      <c r="B2209" t="str">
        <f>HYPERLINK("http://bombeiros.sp.gov.br/hidrantes/08bsg/qrcodeBSG.html?id=167&amp;lat=-23.59050&amp;long=-46.58254&amp;tipo=S","QRCODE")</f>
        <v>QRCODE</v>
      </c>
      <c r="C2209" t="s">
        <v>5273</v>
      </c>
      <c r="D2209" t="s">
        <v>5326</v>
      </c>
      <c r="E2209" t="s">
        <v>1231</v>
      </c>
      <c r="F2209" t="s">
        <v>21</v>
      </c>
      <c r="G2209" t="s">
        <v>2491</v>
      </c>
      <c r="H2209">
        <v>2</v>
      </c>
      <c r="I2209">
        <v>4</v>
      </c>
      <c r="J2209">
        <v>0</v>
      </c>
      <c r="K2209">
        <v>0</v>
      </c>
      <c r="L2209">
        <v>0</v>
      </c>
    </row>
    <row r="2210" spans="1:12">
      <c r="A2210" t="str">
        <f>HYPERLINK("http://bombeiros.sp.gov.br/hidrantes/03individual/168.html","168")</f>
        <v>168</v>
      </c>
      <c r="B2210" t="str">
        <f>HYPERLINK("http://bombeiros.sp.gov.br/hidrantes/08bsg/qrcodeBSG.html?id=168&amp;lat=-23.59375&amp;long=-46.57902&amp;tipo=S","QRCODE")</f>
        <v>QRCODE</v>
      </c>
      <c r="C2210" t="s">
        <v>5273</v>
      </c>
      <c r="D2210" t="s">
        <v>5326</v>
      </c>
      <c r="E2210" t="s">
        <v>1231</v>
      </c>
      <c r="F2210" t="s">
        <v>21</v>
      </c>
      <c r="G2210" t="s">
        <v>1744</v>
      </c>
      <c r="H2210">
        <v>0</v>
      </c>
      <c r="I2210">
        <v>2</v>
      </c>
      <c r="J2210">
        <v>0</v>
      </c>
      <c r="K2210">
        <v>0</v>
      </c>
      <c r="L2210">
        <v>0</v>
      </c>
    </row>
    <row r="2211" spans="1:12">
      <c r="A2211" t="str">
        <f>HYPERLINK("http://bombeiros.sp.gov.br/hidrantes/03individual/169.html","169")</f>
        <v>169</v>
      </c>
      <c r="B2211" t="str">
        <f>HYPERLINK("http://bombeiros.sp.gov.br/hidrantes/08bsg/qrcodeBSG.html?id=169&amp;lat=-23.60286&amp;long=-46.56683&amp;tipo=S","QRCODE")</f>
        <v>QRCODE</v>
      </c>
      <c r="C2211" t="s">
        <v>5273</v>
      </c>
      <c r="D2211" t="s">
        <v>5326</v>
      </c>
      <c r="E2211" t="s">
        <v>1231</v>
      </c>
      <c r="F2211" t="s">
        <v>21</v>
      </c>
      <c r="G2211" t="s">
        <v>2492</v>
      </c>
      <c r="H2211">
        <v>0</v>
      </c>
      <c r="I2211">
        <v>2</v>
      </c>
      <c r="J2211">
        <v>0</v>
      </c>
      <c r="K2211">
        <v>0</v>
      </c>
      <c r="L2211">
        <v>0</v>
      </c>
    </row>
    <row r="2212" spans="1:12">
      <c r="A2212" t="str">
        <f>HYPERLINK("http://bombeiros.sp.gov.br/hidrantes/03individual/171.html","171")</f>
        <v>171</v>
      </c>
      <c r="B2212" t="str">
        <f>HYPERLINK("http://bombeiros.sp.gov.br/hidrantes/08bsg/qrcodeBSG.html?id=171&amp;lat=-23.60010&amp;long=-46.56453&amp;tipo=S","QRCODE")</f>
        <v>QRCODE</v>
      </c>
      <c r="C2212" t="s">
        <v>5273</v>
      </c>
      <c r="D2212" t="s">
        <v>5326</v>
      </c>
      <c r="E2212" t="s">
        <v>1231</v>
      </c>
      <c r="F2212" t="s">
        <v>21</v>
      </c>
      <c r="G2212" t="s">
        <v>4579</v>
      </c>
      <c r="H2212">
        <v>0</v>
      </c>
      <c r="I2212">
        <v>2</v>
      </c>
      <c r="J2212">
        <v>0</v>
      </c>
      <c r="K2212">
        <v>0</v>
      </c>
      <c r="L2212">
        <v>0</v>
      </c>
    </row>
    <row r="2213" spans="1:12">
      <c r="A2213" t="str">
        <f>HYPERLINK("http://bombeiros.sp.gov.br/hidrantes/03individual/173.html","173")</f>
        <v>173</v>
      </c>
      <c r="B2213" t="str">
        <f>HYPERLINK("http://bombeiros.sp.gov.br/hidrantes/08bsg/qrcodeBSG.html?id=173&amp;lat=-23.59837&amp;long=-46.56579&amp;tipo=S","QRCODE")</f>
        <v>QRCODE</v>
      </c>
      <c r="C2213" t="s">
        <v>5273</v>
      </c>
      <c r="D2213" t="s">
        <v>5326</v>
      </c>
      <c r="E2213" t="s">
        <v>1231</v>
      </c>
      <c r="F2213" t="s">
        <v>21</v>
      </c>
      <c r="G2213" t="s">
        <v>2495</v>
      </c>
      <c r="H2213">
        <v>1</v>
      </c>
      <c r="I2213">
        <v>2</v>
      </c>
      <c r="J2213">
        <v>0</v>
      </c>
      <c r="K2213">
        <v>0</v>
      </c>
      <c r="L2213">
        <v>0</v>
      </c>
    </row>
    <row r="2214" spans="1:12">
      <c r="A2214" t="str">
        <f>HYPERLINK("http://bombeiros.sp.gov.br/hidrantes/03individual/174.html","174")</f>
        <v>174</v>
      </c>
      <c r="B2214" t="str">
        <f>HYPERLINK("http://bombeiros.sp.gov.br/hidrantes/08bsg/qrcodeBSG.html?id=174&amp;lat=-23.60086&amp;long=-46.56724&amp;tipo=S","QRCODE")</f>
        <v>QRCODE</v>
      </c>
      <c r="C2214" t="s">
        <v>5273</v>
      </c>
      <c r="D2214" t="s">
        <v>5326</v>
      </c>
      <c r="E2214" t="s">
        <v>1231</v>
      </c>
      <c r="F2214" t="s">
        <v>21</v>
      </c>
      <c r="G2214" t="s">
        <v>1614</v>
      </c>
      <c r="H2214">
        <v>1</v>
      </c>
      <c r="I2214">
        <v>2</v>
      </c>
      <c r="J2214">
        <v>0</v>
      </c>
      <c r="K2214">
        <v>0</v>
      </c>
      <c r="L2214">
        <v>0</v>
      </c>
    </row>
    <row r="2215" spans="1:12">
      <c r="A2215" t="str">
        <f>HYPERLINK("http://bombeiros.sp.gov.br/hidrantes/03individual/198.html","198")</f>
        <v>198</v>
      </c>
      <c r="B2215" t="str">
        <f>HYPERLINK("http://bombeiros.sp.gov.br/hidrantes/08bsg/qrcodeBSG.html?id=198&amp;lat=-23.60072&amp;long=-46.56098&amp;tipo=S","QRCODE")</f>
        <v>QRCODE</v>
      </c>
      <c r="C2215" t="s">
        <v>5273</v>
      </c>
      <c r="D2215" t="s">
        <v>5326</v>
      </c>
      <c r="E2215" t="s">
        <v>1231</v>
      </c>
      <c r="F2215" t="s">
        <v>21</v>
      </c>
      <c r="G2215" t="s">
        <v>1616</v>
      </c>
      <c r="H2215">
        <v>1</v>
      </c>
      <c r="I2215">
        <v>3</v>
      </c>
      <c r="J2215">
        <v>0</v>
      </c>
      <c r="K2215">
        <v>0</v>
      </c>
      <c r="L2215">
        <v>0</v>
      </c>
    </row>
    <row r="2216" spans="1:12">
      <c r="A2216" t="str">
        <f>HYPERLINK("http://bombeiros.sp.gov.br/hidrantes/03individual/236.html","236")</f>
        <v>236</v>
      </c>
      <c r="B2216" t="str">
        <f>HYPERLINK("http://bombeiros.sp.gov.br/hidrantes/08bsg/qrcodeBSG.html?id=236&amp;lat=-23.60219&amp;long=-46.55945&amp;tipo=S","QRCODE")</f>
        <v>QRCODE</v>
      </c>
      <c r="C2216" t="s">
        <v>5273</v>
      </c>
      <c r="D2216" t="s">
        <v>5326</v>
      </c>
      <c r="E2216" t="s">
        <v>1231</v>
      </c>
      <c r="F2216" t="s">
        <v>21</v>
      </c>
      <c r="G2216" t="s">
        <v>3959</v>
      </c>
      <c r="H2216">
        <v>1</v>
      </c>
      <c r="I2216">
        <v>2</v>
      </c>
      <c r="J2216">
        <v>0</v>
      </c>
      <c r="K2216">
        <v>0</v>
      </c>
      <c r="L2216">
        <v>0</v>
      </c>
    </row>
    <row r="2217" spans="1:12">
      <c r="A2217" t="str">
        <f>HYPERLINK("http://bombeiros.sp.gov.br/hidrantes/03individual/237.html","237")</f>
        <v>237</v>
      </c>
      <c r="B2217" t="str">
        <f>HYPERLINK("http://bombeiros.sp.gov.br/hidrantes/08bsg/qrcodeBSG.html?id=237&amp;lat=-23.60607&amp;long=-46.56234&amp;tipo=S","QRCODE")</f>
        <v>QRCODE</v>
      </c>
      <c r="C2217" t="s">
        <v>5273</v>
      </c>
      <c r="D2217" t="s">
        <v>5326</v>
      </c>
      <c r="E2217" t="s">
        <v>1231</v>
      </c>
      <c r="F2217" t="s">
        <v>21</v>
      </c>
      <c r="G2217" t="s">
        <v>2499</v>
      </c>
      <c r="H2217">
        <v>0</v>
      </c>
      <c r="I2217">
        <v>2</v>
      </c>
      <c r="J2217">
        <v>0</v>
      </c>
      <c r="K2217">
        <v>0</v>
      </c>
      <c r="L2217">
        <v>0</v>
      </c>
    </row>
    <row r="2218" spans="1:12">
      <c r="A2218" t="str">
        <f>HYPERLINK("http://bombeiros.sp.gov.br/hidrantes/03individual/238.html","238")</f>
        <v>238</v>
      </c>
      <c r="B2218" t="str">
        <f>HYPERLINK("http://bombeiros.sp.gov.br/hidrantes/08bsg/qrcodeBSG.html?id=238&amp;lat=-23.59909&amp;long=-46.56184&amp;tipo=S","QRCODE")</f>
        <v>QRCODE</v>
      </c>
      <c r="C2218" t="s">
        <v>5273</v>
      </c>
      <c r="D2218" t="s">
        <v>5326</v>
      </c>
      <c r="E2218" t="s">
        <v>1231</v>
      </c>
      <c r="F2218" t="s">
        <v>21</v>
      </c>
      <c r="G2218" t="s">
        <v>4583</v>
      </c>
      <c r="H2218">
        <v>0</v>
      </c>
      <c r="I2218">
        <v>2</v>
      </c>
      <c r="J2218">
        <v>0</v>
      </c>
      <c r="K2218">
        <v>0</v>
      </c>
      <c r="L2218">
        <v>0</v>
      </c>
    </row>
    <row r="2219" spans="1:12">
      <c r="A2219" t="str">
        <f>HYPERLINK("http://bombeiros.sp.gov.br/hidrantes/03individual/242.html","242")</f>
        <v>242</v>
      </c>
      <c r="B2219" t="str">
        <f>HYPERLINK("http://bombeiros.sp.gov.br/hidrantes/08bsg/qrcodeBSG.html?id=242&amp;lat=-23.58993&amp;long=-46.58547&amp;tipo=S","QRCODE")</f>
        <v>QRCODE</v>
      </c>
      <c r="C2219" t="s">
        <v>5273</v>
      </c>
      <c r="D2219" t="s">
        <v>5326</v>
      </c>
      <c r="E2219" t="s">
        <v>1231</v>
      </c>
      <c r="F2219" t="s">
        <v>21</v>
      </c>
      <c r="G2219" t="s">
        <v>1751</v>
      </c>
      <c r="H2219">
        <v>0</v>
      </c>
      <c r="I2219">
        <v>2</v>
      </c>
      <c r="J2219">
        <v>0</v>
      </c>
      <c r="K2219">
        <v>0</v>
      </c>
      <c r="L2219">
        <v>0</v>
      </c>
    </row>
    <row r="2220" spans="1:12">
      <c r="A2220" t="str">
        <f>HYPERLINK("http://bombeiros.sp.gov.br/hidrantes/03individual/253.html","253")</f>
        <v>253</v>
      </c>
      <c r="B2220" t="str">
        <f>HYPERLINK("http://bombeiros.sp.gov.br/hidrantes/08bsg/qrcodeBSG.html?id=253&amp;lat=-23.60537&amp;long=-46.55586&amp;tipo=S","QRCODE")</f>
        <v>QRCODE</v>
      </c>
      <c r="C2220" t="s">
        <v>5273</v>
      </c>
      <c r="D2220" t="s">
        <v>5326</v>
      </c>
      <c r="E2220" t="s">
        <v>1231</v>
      </c>
      <c r="F2220" t="s">
        <v>21</v>
      </c>
      <c r="G2220" t="s">
        <v>2497</v>
      </c>
      <c r="H2220">
        <v>0</v>
      </c>
      <c r="I2220">
        <v>2</v>
      </c>
      <c r="J2220">
        <v>0</v>
      </c>
      <c r="K2220">
        <v>0</v>
      </c>
      <c r="L2220">
        <v>0</v>
      </c>
    </row>
    <row r="2221" spans="1:12">
      <c r="A2221" t="str">
        <f>HYPERLINK("http://bombeiros.sp.gov.br/hidrantes/03individual/281.html","281")</f>
        <v>281</v>
      </c>
      <c r="B2221" t="str">
        <f>HYPERLINK("http://bombeiros.sp.gov.br/hidrantes/08bsg/qrcodeBSG.html?id=281&amp;lat=-23.60015&amp;long=-46.55291&amp;tipo=S","QRCODE")</f>
        <v>QRCODE</v>
      </c>
      <c r="C2221" t="s">
        <v>5273</v>
      </c>
      <c r="D2221" t="s">
        <v>5326</v>
      </c>
      <c r="E2221" t="s">
        <v>1231</v>
      </c>
      <c r="F2221" t="s">
        <v>21</v>
      </c>
      <c r="G2221" t="s">
        <v>3958</v>
      </c>
      <c r="H2221">
        <v>1</v>
      </c>
      <c r="I2221">
        <v>2</v>
      </c>
      <c r="J2221">
        <v>0</v>
      </c>
      <c r="K2221">
        <v>0</v>
      </c>
      <c r="L2221">
        <v>0</v>
      </c>
    </row>
    <row r="2222" spans="1:12">
      <c r="A2222" t="str">
        <f>HYPERLINK("http://bombeiros.sp.gov.br/hidrantes/03individual/282.html","282")</f>
        <v>282</v>
      </c>
      <c r="B2222" t="str">
        <f>HYPERLINK("http://bombeiros.sp.gov.br/hidrantes/08bsg/qrcodeBSG.html?id=282&amp;lat=-23.60273&amp;long=-46.55289&amp;tipo=S","QRCODE")</f>
        <v>QRCODE</v>
      </c>
      <c r="C2222" t="s">
        <v>5273</v>
      </c>
      <c r="D2222" t="s">
        <v>5326</v>
      </c>
      <c r="E2222" t="s">
        <v>1231</v>
      </c>
      <c r="F2222" t="s">
        <v>21</v>
      </c>
      <c r="G2222" t="s">
        <v>2508</v>
      </c>
      <c r="H2222">
        <v>1</v>
      </c>
      <c r="I2222">
        <v>2</v>
      </c>
      <c r="J2222">
        <v>0</v>
      </c>
      <c r="K2222">
        <v>0</v>
      </c>
      <c r="L2222">
        <v>0</v>
      </c>
    </row>
    <row r="2223" spans="1:12">
      <c r="A2223" t="str">
        <f>HYPERLINK("http://bombeiros.sp.gov.br/hidrantes/03individual/283.html","283")</f>
        <v>283</v>
      </c>
      <c r="B2223" t="str">
        <f>HYPERLINK("http://bombeiros.sp.gov.br/hidrantes/08bsg/qrcodeBSG.html?id=283&amp;lat=-23.60005&amp;long=-46.55412&amp;tipo=S","QRCODE")</f>
        <v>QRCODE</v>
      </c>
      <c r="C2223" t="s">
        <v>5273</v>
      </c>
      <c r="D2223" t="s">
        <v>5326</v>
      </c>
      <c r="E2223" t="s">
        <v>1231</v>
      </c>
      <c r="F2223" t="s">
        <v>21</v>
      </c>
      <c r="G2223" t="s">
        <v>1762</v>
      </c>
      <c r="H2223">
        <v>1</v>
      </c>
      <c r="I2223">
        <v>2</v>
      </c>
      <c r="J2223">
        <v>0</v>
      </c>
      <c r="K2223">
        <v>0</v>
      </c>
      <c r="L2223">
        <v>0</v>
      </c>
    </row>
    <row r="2224" spans="1:12">
      <c r="A2224" t="str">
        <f>HYPERLINK("http://bombeiros.sp.gov.br/hidrantes/03individual/284.html","284")</f>
        <v>284</v>
      </c>
      <c r="B2224" t="str">
        <f>HYPERLINK("http://bombeiros.sp.gov.br/hidrantes/08bsg/qrcodeBSG.html?id=284&amp;lat=-23.60736&amp;long=-46.55891&amp;tipo=S","QRCODE")</f>
        <v>QRCODE</v>
      </c>
      <c r="C2224" t="s">
        <v>5273</v>
      </c>
      <c r="D2224" t="s">
        <v>5326</v>
      </c>
      <c r="E2224" t="s">
        <v>1231</v>
      </c>
      <c r="F2224" t="s">
        <v>21</v>
      </c>
      <c r="G2224" t="s">
        <v>2507</v>
      </c>
      <c r="H2224">
        <v>1</v>
      </c>
      <c r="I2224">
        <v>2</v>
      </c>
      <c r="J2224">
        <v>0</v>
      </c>
      <c r="K2224">
        <v>0</v>
      </c>
      <c r="L2224">
        <v>0</v>
      </c>
    </row>
    <row r="2225" spans="1:12">
      <c r="A2225" t="str">
        <f>HYPERLINK("http://bombeiros.sp.gov.br/hidrantes/03individual/285.html","285")</f>
        <v>285</v>
      </c>
      <c r="B2225" t="str">
        <f>HYPERLINK("http://bombeiros.sp.gov.br/hidrantes/08bsg/qrcodeBSG.html?id=285&amp;lat=-23.60569&amp;long=-46.55889&amp;tipo=S","QRCODE")</f>
        <v>QRCODE</v>
      </c>
      <c r="C2225" t="s">
        <v>5273</v>
      </c>
      <c r="D2225" t="s">
        <v>5326</v>
      </c>
      <c r="E2225" t="s">
        <v>1231</v>
      </c>
      <c r="F2225" t="s">
        <v>21</v>
      </c>
      <c r="G2225" t="s">
        <v>3711</v>
      </c>
      <c r="H2225">
        <v>1</v>
      </c>
      <c r="I2225">
        <v>1</v>
      </c>
      <c r="J2225">
        <v>0</v>
      </c>
      <c r="K2225">
        <v>0</v>
      </c>
      <c r="L2225">
        <v>0</v>
      </c>
    </row>
    <row r="2226" spans="1:12">
      <c r="A2226" t="str">
        <f>HYPERLINK("http://bombeiros.sp.gov.br/hidrantes/03individual/286.html","286")</f>
        <v>286</v>
      </c>
      <c r="B2226" t="str">
        <f>HYPERLINK("http://bombeiros.sp.gov.br/hidrantes/08bsg/qrcodeBSG.html?id=286&amp;lat=-23.59986&amp;long=-46.55127&amp;tipo=S","QRCODE")</f>
        <v>QRCODE</v>
      </c>
      <c r="C2226" t="s">
        <v>5273</v>
      </c>
      <c r="D2226" t="s">
        <v>5326</v>
      </c>
      <c r="E2226" t="s">
        <v>1231</v>
      </c>
      <c r="F2226" t="s">
        <v>21</v>
      </c>
      <c r="G2226" t="s">
        <v>2506</v>
      </c>
      <c r="H2226">
        <v>1</v>
      </c>
      <c r="I2226">
        <v>2</v>
      </c>
      <c r="J2226">
        <v>0</v>
      </c>
      <c r="K2226">
        <v>0</v>
      </c>
      <c r="L2226">
        <v>0</v>
      </c>
    </row>
    <row r="2227" spans="1:12">
      <c r="A2227" t="str">
        <f>HYPERLINK("http://bombeiros.sp.gov.br/hidrantes/03individual/3068.html","3068")</f>
        <v>3068</v>
      </c>
      <c r="B2227" t="str">
        <f>HYPERLINK("http://bombeiros.sp.gov.br/hidrantes/08bsg/qrcodeBSG.html?id=3068&amp;lat=-23.59971&amp;long=-46.56861&amp;tipo=S","QRCODE")</f>
        <v>QRCODE</v>
      </c>
      <c r="C2227" t="s">
        <v>5273</v>
      </c>
      <c r="D2227" t="s">
        <v>5326</v>
      </c>
      <c r="E2227" t="s">
        <v>1231</v>
      </c>
      <c r="F2227" t="s">
        <v>21</v>
      </c>
      <c r="G2227" t="s">
        <v>4618</v>
      </c>
      <c r="H2227">
        <v>0</v>
      </c>
      <c r="I2227">
        <v>2</v>
      </c>
      <c r="J2227">
        <v>0</v>
      </c>
      <c r="K2227">
        <v>0</v>
      </c>
      <c r="L2227">
        <v>0</v>
      </c>
    </row>
    <row r="2228" spans="1:12">
      <c r="A2228" t="str">
        <f>HYPERLINK("http://bombeiros.sp.gov.br/hidrantes/03individual/3072.html","3072")</f>
        <v>3072</v>
      </c>
      <c r="B2228" t="str">
        <f>HYPERLINK("http://bombeiros.sp.gov.br/hidrantes/08bsg/qrcodeBSG.html?id=3072&amp;lat=-23.59626&amp;long=-46.57382&amp;tipo=S","QRCODE")</f>
        <v>QRCODE</v>
      </c>
      <c r="C2228" t="s">
        <v>5273</v>
      </c>
      <c r="D2228" t="s">
        <v>5326</v>
      </c>
      <c r="E2228" t="s">
        <v>1231</v>
      </c>
      <c r="F2228" t="s">
        <v>21</v>
      </c>
      <c r="G2228" t="s">
        <v>4619</v>
      </c>
      <c r="H2228">
        <v>0</v>
      </c>
      <c r="I2228">
        <v>2</v>
      </c>
      <c r="J2228">
        <v>0</v>
      </c>
      <c r="K2228">
        <v>0</v>
      </c>
      <c r="L2228">
        <v>0</v>
      </c>
    </row>
    <row r="2229" spans="1:12">
      <c r="A2229" t="str">
        <f>HYPERLINK("http://bombeiros.sp.gov.br/hidrantes/03individual/3078.html","3078")</f>
        <v>3078</v>
      </c>
      <c r="B2229" t="str">
        <f>HYPERLINK("http://bombeiros.sp.gov.br/hidrantes/08bsg/qrcodeBSG.html?id=3078&amp;lat=-23.59010&amp;long=-46.57526&amp;tipo=S","QRCODE")</f>
        <v>QRCODE</v>
      </c>
      <c r="C2229" t="s">
        <v>5273</v>
      </c>
      <c r="D2229" t="s">
        <v>5326</v>
      </c>
      <c r="E2229" t="s">
        <v>1231</v>
      </c>
      <c r="F2229" t="s">
        <v>21</v>
      </c>
      <c r="G2229" t="s">
        <v>1530</v>
      </c>
      <c r="H2229">
        <v>2</v>
      </c>
      <c r="I2229">
        <v>2</v>
      </c>
      <c r="J2229">
        <v>0</v>
      </c>
      <c r="K2229">
        <v>0</v>
      </c>
      <c r="L2229">
        <v>0</v>
      </c>
    </row>
    <row r="2230" spans="1:12">
      <c r="A2230" t="str">
        <f>HYPERLINK("http://bombeiros.sp.gov.br/hidrantes/03individual/3079.html","3079")</f>
        <v>3079</v>
      </c>
      <c r="B2230" t="str">
        <f>HYPERLINK("http://bombeiros.sp.gov.br/hidrantes/08bsg/qrcodeBSG.html?id=3079&amp;lat=-23.58946&amp;long=-46.57991&amp;tipo=S","QRCODE")</f>
        <v>QRCODE</v>
      </c>
      <c r="C2230" t="s">
        <v>5273</v>
      </c>
      <c r="D2230" t="s">
        <v>5326</v>
      </c>
      <c r="E2230" t="s">
        <v>1231</v>
      </c>
      <c r="F2230" t="s">
        <v>21</v>
      </c>
      <c r="G2230" t="s">
        <v>1701</v>
      </c>
      <c r="H2230">
        <v>0</v>
      </c>
      <c r="I2230">
        <v>2</v>
      </c>
      <c r="J2230">
        <v>0</v>
      </c>
      <c r="K2230">
        <v>0</v>
      </c>
      <c r="L2230">
        <v>0</v>
      </c>
    </row>
    <row r="2231" spans="1:12">
      <c r="A2231" t="str">
        <f>HYPERLINK("http://bombeiros.sp.gov.br/hidrantes/03individual/3082.html","3082")</f>
        <v>3082</v>
      </c>
      <c r="B2231" t="str">
        <f>HYPERLINK("http://bombeiros.sp.gov.br/hidrantes/08bsg/qrcodeBSG.html?id=3082&amp;lat=-23.58909&amp;long=-46.58260&amp;tipo=S","QRCODE")</f>
        <v>QRCODE</v>
      </c>
      <c r="C2231" t="s">
        <v>5273</v>
      </c>
      <c r="D2231" t="s">
        <v>5326</v>
      </c>
      <c r="E2231" t="s">
        <v>1231</v>
      </c>
      <c r="F2231" t="s">
        <v>21</v>
      </c>
      <c r="G2231" t="s">
        <v>2460</v>
      </c>
      <c r="H2231">
        <v>0</v>
      </c>
      <c r="I2231">
        <v>2</v>
      </c>
      <c r="J2231">
        <v>0</v>
      </c>
      <c r="K2231">
        <v>0</v>
      </c>
      <c r="L2231">
        <v>0</v>
      </c>
    </row>
    <row r="2232" spans="1:12">
      <c r="A2232" t="str">
        <f>HYPERLINK("http://bombeiros.sp.gov.br/hidrantes/03individual/3086.html","3086")</f>
        <v>3086</v>
      </c>
      <c r="B2232" t="str">
        <f>HYPERLINK("http://bombeiros.sp.gov.br/hidrantes/08bsg/qrcodeBSG.html?id=3086&amp;lat=-23.59601&amp;long=-46.55645&amp;tipo=S","QRCODE")</f>
        <v>QRCODE</v>
      </c>
      <c r="C2232" t="s">
        <v>5273</v>
      </c>
      <c r="D2232" t="s">
        <v>5326</v>
      </c>
      <c r="E2232" t="s">
        <v>1231</v>
      </c>
      <c r="F2232" t="s">
        <v>21</v>
      </c>
      <c r="G2232" t="s">
        <v>4543</v>
      </c>
      <c r="H2232">
        <v>0</v>
      </c>
      <c r="I2232">
        <v>2</v>
      </c>
      <c r="J2232">
        <v>0</v>
      </c>
      <c r="K2232">
        <v>0</v>
      </c>
      <c r="L2232">
        <v>0</v>
      </c>
    </row>
    <row r="2233" spans="1:12">
      <c r="A2233" t="str">
        <f>HYPERLINK("http://bombeiros.sp.gov.br/hidrantes/03individual/3088.html","3088")</f>
        <v>3088</v>
      </c>
      <c r="B2233" t="str">
        <f>HYPERLINK("http://bombeiros.sp.gov.br/hidrantes/08bsg/qrcodeBSG.html?id=3088&amp;lat=-23.59580&amp;long=-46.56448&amp;tipo=S","QRCODE")</f>
        <v>QRCODE</v>
      </c>
      <c r="C2233" t="s">
        <v>5273</v>
      </c>
      <c r="D2233" t="s">
        <v>5326</v>
      </c>
      <c r="E2233" t="s">
        <v>1231</v>
      </c>
      <c r="F2233" t="s">
        <v>21</v>
      </c>
      <c r="G2233" t="s">
        <v>1532</v>
      </c>
      <c r="H2233">
        <v>0</v>
      </c>
      <c r="I2233">
        <v>2</v>
      </c>
      <c r="J2233">
        <v>0</v>
      </c>
      <c r="K2233">
        <v>0</v>
      </c>
      <c r="L2233">
        <v>0</v>
      </c>
    </row>
    <row r="2234" spans="1:12">
      <c r="A2234" t="str">
        <f>HYPERLINK("http://bombeiros.sp.gov.br/hidrantes/03individual/3089.html","3089")</f>
        <v>3089</v>
      </c>
      <c r="B2234" t="str">
        <f>HYPERLINK("http://bombeiros.sp.gov.br/hidrantes/08bsg/qrcodeBSG.html?id=3089&amp;lat=-23.59761&amp;long=-46.56233&amp;tipo=S","QRCODE")</f>
        <v>QRCODE</v>
      </c>
      <c r="C2234" t="s">
        <v>5273</v>
      </c>
      <c r="D2234" t="s">
        <v>5326</v>
      </c>
      <c r="E2234" t="s">
        <v>1231</v>
      </c>
      <c r="F2234" t="s">
        <v>21</v>
      </c>
      <c r="G2234" t="s">
        <v>1660</v>
      </c>
      <c r="H2234">
        <v>1</v>
      </c>
      <c r="I2234">
        <v>2</v>
      </c>
      <c r="J2234">
        <v>0</v>
      </c>
      <c r="K2234">
        <v>0</v>
      </c>
      <c r="L2234">
        <v>0</v>
      </c>
    </row>
    <row r="2235" spans="1:12">
      <c r="A2235" t="str">
        <f>HYPERLINK("http://bombeiros.sp.gov.br/hidrantes/03individual/3090.html","3090")</f>
        <v>3090</v>
      </c>
      <c r="B2235" t="str">
        <f>HYPERLINK("http://bombeiros.sp.gov.br/hidrantes/08bsg/qrcodeBSG.html?id=3090&amp;lat=-23.59798&amp;long=-46.55812&amp;tipo=S","QRCODE")</f>
        <v>QRCODE</v>
      </c>
      <c r="C2235" t="s">
        <v>5273</v>
      </c>
      <c r="D2235" t="s">
        <v>5326</v>
      </c>
      <c r="E2235" t="s">
        <v>1231</v>
      </c>
      <c r="F2235" t="s">
        <v>21</v>
      </c>
      <c r="G2235" t="s">
        <v>1661</v>
      </c>
      <c r="H2235">
        <v>1</v>
      </c>
      <c r="I2235">
        <v>2</v>
      </c>
      <c r="J2235">
        <v>0</v>
      </c>
      <c r="K2235">
        <v>0</v>
      </c>
      <c r="L2235">
        <v>0</v>
      </c>
    </row>
    <row r="2236" spans="1:12">
      <c r="A2236" t="str">
        <f>HYPERLINK("http://bombeiros.sp.gov.br/hidrantes/03individual/3092.html","3092")</f>
        <v>3092</v>
      </c>
      <c r="B2236" t="str">
        <f>HYPERLINK("http://bombeiros.sp.gov.br/hidrantes/08bsg/qrcodeBSG.html?id=3092&amp;lat=-23.59910&amp;long=-46.55941&amp;tipo=S","QRCODE")</f>
        <v>QRCODE</v>
      </c>
      <c r="C2236" t="s">
        <v>5273</v>
      </c>
      <c r="D2236" t="s">
        <v>5326</v>
      </c>
      <c r="E2236" t="s">
        <v>1231</v>
      </c>
      <c r="F2236" t="s">
        <v>21</v>
      </c>
      <c r="G2236" t="s">
        <v>2462</v>
      </c>
      <c r="H2236">
        <v>0</v>
      </c>
      <c r="I2236">
        <v>2</v>
      </c>
      <c r="J2236">
        <v>0</v>
      </c>
      <c r="K2236">
        <v>0</v>
      </c>
      <c r="L2236">
        <v>0</v>
      </c>
    </row>
    <row r="2237" spans="1:12">
      <c r="A2237" t="str">
        <f>HYPERLINK("http://bombeiros.sp.gov.br/hidrantes/03individual/3097.html","3097")</f>
        <v>3097</v>
      </c>
      <c r="B2237" t="str">
        <f>HYPERLINK("http://bombeiros.sp.gov.br/hidrantes/08bsg/qrcodeBSG.html?id=3097&amp;lat=-23.59597&amp;long=-46.55962&amp;tipo=S","QRCODE")</f>
        <v>QRCODE</v>
      </c>
      <c r="C2237" t="s">
        <v>5273</v>
      </c>
      <c r="D2237" t="s">
        <v>5326</v>
      </c>
      <c r="E2237" t="s">
        <v>1231</v>
      </c>
      <c r="F2237" t="s">
        <v>21</v>
      </c>
      <c r="G2237" t="s">
        <v>2463</v>
      </c>
      <c r="H2237">
        <v>0</v>
      </c>
      <c r="I2237">
        <v>2</v>
      </c>
      <c r="J2237">
        <v>0</v>
      </c>
      <c r="K2237">
        <v>0</v>
      </c>
      <c r="L2237">
        <v>0</v>
      </c>
    </row>
    <row r="2238" spans="1:12">
      <c r="A2238" t="str">
        <f>HYPERLINK("http://bombeiros.sp.gov.br/hidrantes/03individual/3597.html","3597")</f>
        <v>3597</v>
      </c>
      <c r="B2238" t="str">
        <f>HYPERLINK("http://bombeiros.sp.gov.br/hidrantes/08bsg/qrcodeBSG.html?id=3597&amp;lat=-23.60161&amp;long=-46.56556&amp;tipo=S","QRCODE")</f>
        <v>QRCODE</v>
      </c>
      <c r="C2238" t="s">
        <v>5273</v>
      </c>
      <c r="D2238" t="s">
        <v>5326</v>
      </c>
      <c r="E2238" t="s">
        <v>1231</v>
      </c>
      <c r="F2238" t="s">
        <v>21</v>
      </c>
      <c r="G2238" t="s">
        <v>2466</v>
      </c>
      <c r="H2238">
        <v>0</v>
      </c>
      <c r="I2238">
        <v>2</v>
      </c>
      <c r="J2238">
        <v>0</v>
      </c>
      <c r="K2238">
        <v>0</v>
      </c>
      <c r="L2238">
        <v>0</v>
      </c>
    </row>
    <row r="2239" spans="1:12">
      <c r="A2239" t="str">
        <f>HYPERLINK("http://bombeiros.sp.gov.br/hidrantes/03individual/4172.html","4172")</f>
        <v>4172</v>
      </c>
      <c r="B2239" t="str">
        <f>HYPERLINK("http://bombeiros.sp.gov.br/hidrantes/08bsg/qrcodeBSG.html?id=4172&amp;lat=-23.60241&amp;long=-46.57074&amp;tipo=S","QRCODE")</f>
        <v>QRCODE</v>
      </c>
      <c r="C2239" t="s">
        <v>5273</v>
      </c>
      <c r="D2239" t="s">
        <v>5326</v>
      </c>
      <c r="E2239" t="s">
        <v>1231</v>
      </c>
      <c r="F2239" t="s">
        <v>21</v>
      </c>
      <c r="G2239" t="s">
        <v>1655</v>
      </c>
      <c r="H2239">
        <v>0</v>
      </c>
      <c r="I2239">
        <v>2</v>
      </c>
      <c r="J2239">
        <v>0</v>
      </c>
      <c r="K2239">
        <v>0</v>
      </c>
      <c r="L2239">
        <v>0</v>
      </c>
    </row>
    <row r="2240" spans="1:12">
      <c r="A2240" t="str">
        <f>HYPERLINK("http://bombeiros.sp.gov.br/hidrantes/03individual/4173.html","4173")</f>
        <v>4173</v>
      </c>
      <c r="B2240" t="str">
        <f>HYPERLINK("http://bombeiros.sp.gov.br/hidrantes/08bsg/qrcodeBSG.html?id=4173&amp;lat=-23.60627&amp;long=-46.56522&amp;tipo=S","QRCODE")</f>
        <v>QRCODE</v>
      </c>
      <c r="C2240" t="s">
        <v>5273</v>
      </c>
      <c r="D2240" t="s">
        <v>5326</v>
      </c>
      <c r="E2240" t="s">
        <v>1231</v>
      </c>
      <c r="F2240" t="s">
        <v>21</v>
      </c>
      <c r="G2240" t="s">
        <v>2464</v>
      </c>
      <c r="H2240">
        <v>1</v>
      </c>
      <c r="I2240">
        <v>1</v>
      </c>
      <c r="J2240">
        <v>0</v>
      </c>
      <c r="K2240">
        <v>0</v>
      </c>
      <c r="L2240">
        <v>0</v>
      </c>
    </row>
    <row r="2241" spans="1:12">
      <c r="A2241" t="str">
        <f>HYPERLINK("http://bombeiros.sp.gov.br/hidrantes/03individual/4177.html","4177")</f>
        <v>4177</v>
      </c>
      <c r="B2241" t="str">
        <f>HYPERLINK("http://bombeiros.sp.gov.br/hidrantes/08bsg/qrcodeBSG.html?id=4177&amp;lat=-23.60321&amp;long=-46.55742&amp;tipo=S","QRCODE")</f>
        <v>QRCODE</v>
      </c>
      <c r="C2241" t="s">
        <v>5273</v>
      </c>
      <c r="D2241" t="s">
        <v>5326</v>
      </c>
      <c r="E2241" t="s">
        <v>1231</v>
      </c>
      <c r="F2241" t="s">
        <v>21</v>
      </c>
      <c r="G2241" t="s">
        <v>4646</v>
      </c>
      <c r="H2241">
        <v>1</v>
      </c>
      <c r="I2241">
        <v>1</v>
      </c>
      <c r="J2241">
        <v>0</v>
      </c>
      <c r="K2241">
        <v>0</v>
      </c>
      <c r="L2241">
        <v>0</v>
      </c>
    </row>
    <row r="2242" spans="1:12">
      <c r="A2242" t="str">
        <f>HYPERLINK("http://bombeiros.sp.gov.br/hidrantes/03individual/4344.html","4344")</f>
        <v>4344</v>
      </c>
      <c r="B2242" t="str">
        <f>HYPERLINK("http://bombeiros.sp.gov.br/hidrantes/08bsg/qrcodeBSG.html?id=4344&amp;lat=-23.60693&amp;long=-46.56462&amp;tipo=S","QRCODE")</f>
        <v>QRCODE</v>
      </c>
      <c r="C2242" t="s">
        <v>5273</v>
      </c>
      <c r="D2242" t="s">
        <v>5326</v>
      </c>
      <c r="E2242" t="s">
        <v>1231</v>
      </c>
      <c r="F2242" t="s">
        <v>21</v>
      </c>
      <c r="G2242" t="s">
        <v>1653</v>
      </c>
      <c r="H2242">
        <v>1</v>
      </c>
      <c r="I2242">
        <v>2</v>
      </c>
      <c r="J2242">
        <v>0</v>
      </c>
      <c r="K2242">
        <v>0</v>
      </c>
      <c r="L2242">
        <v>0</v>
      </c>
    </row>
    <row r="2243" spans="1:12">
      <c r="A2243" t="str">
        <f>HYPERLINK("http://bombeiros.sp.gov.br/hidrantes/03individual/17780.html","17780")</f>
        <v>17780</v>
      </c>
      <c r="B2243" t="str">
        <f>HYPERLINK("http://bombeiros.sp.gov.br/hidrantes/08bsg/qrcodeBSG.html?id=17780&amp;lat=-23.59755&amp;long=-46.55964&amp;tipo=S","QRCODE")</f>
        <v>QRCODE</v>
      </c>
      <c r="C2243" t="s">
        <v>5273</v>
      </c>
      <c r="D2243" t="s">
        <v>5326</v>
      </c>
      <c r="E2243" t="s">
        <v>1231</v>
      </c>
      <c r="F2243" t="s">
        <v>21</v>
      </c>
      <c r="G2243" t="s">
        <v>1683</v>
      </c>
      <c r="H2243">
        <v>0</v>
      </c>
      <c r="I2243">
        <v>2</v>
      </c>
      <c r="J2243">
        <v>0</v>
      </c>
      <c r="K2243">
        <v>0</v>
      </c>
      <c r="L2243">
        <v>0</v>
      </c>
    </row>
    <row r="2244" spans="1:12">
      <c r="A2244" t="str">
        <f>HYPERLINK("http://bombeiros.sp.gov.br/hidrantes/03individual/24148.html","24148")</f>
        <v>24148</v>
      </c>
      <c r="B2244" t="str">
        <f>HYPERLINK("http://bombeiros.sp.gov.br/hidrantes/08bsg/qrcodeBSG.html?id=24148&amp;lat=-23.59295&amp;long=-46.57154&amp;tipo=S","QRCODE")</f>
        <v>QRCODE</v>
      </c>
      <c r="C2244" t="s">
        <v>5273</v>
      </c>
      <c r="D2244" t="s">
        <v>5326</v>
      </c>
      <c r="E2244" t="s">
        <v>1231</v>
      </c>
      <c r="F2244" t="s">
        <v>21</v>
      </c>
      <c r="G2244" t="s">
        <v>1511</v>
      </c>
      <c r="H2244">
        <v>0</v>
      </c>
      <c r="I2244">
        <v>3</v>
      </c>
      <c r="J2244">
        <v>0</v>
      </c>
      <c r="K2244">
        <v>0</v>
      </c>
      <c r="L2244">
        <v>0</v>
      </c>
    </row>
    <row r="2245" spans="1:12">
      <c r="A2245" t="str">
        <f>HYPERLINK("http://bombeiros.sp.gov.br/hidrantes/03individual/15069.html","15069")</f>
        <v>15069</v>
      </c>
      <c r="B2245" t="str">
        <f>HYPERLINK("http://bombeiros.sp.gov.br/hidrantes/08bsg/qrcodeBSG.html?id=15069&amp;lat=-23.43692&amp;long=-46.79263&amp;tipo=C","QRCODE")</f>
        <v>QRCODE</v>
      </c>
      <c r="C2245" t="s">
        <v>5328</v>
      </c>
      <c r="D2245" t="s">
        <v>5329</v>
      </c>
      <c r="E2245" t="s">
        <v>3483</v>
      </c>
      <c r="F2245" t="s">
        <v>12</v>
      </c>
      <c r="G2245" t="s">
        <v>4185</v>
      </c>
      <c r="H2245">
        <v>0</v>
      </c>
      <c r="I2245">
        <v>1</v>
      </c>
      <c r="J2245">
        <v>0</v>
      </c>
      <c r="K2245">
        <v>0</v>
      </c>
      <c r="L2245">
        <v>0</v>
      </c>
    </row>
    <row r="2246" spans="1:12">
      <c r="A2246" t="str">
        <f>HYPERLINK("http://bombeiros.sp.gov.br/hidrantes/03individual/3981.html","3981")</f>
        <v>3981</v>
      </c>
      <c r="B2246" t="str">
        <f>HYPERLINK("http://bombeiros.sp.gov.br/hidrantes/08bsg/qrcodeBSG.html?id=3981&amp;lat=-23.42740&amp;long=-46.79717&amp;tipo=S","QRCODE")</f>
        <v>QRCODE</v>
      </c>
      <c r="C2246" t="s">
        <v>5328</v>
      </c>
      <c r="D2246" t="s">
        <v>5329</v>
      </c>
      <c r="E2246" t="s">
        <v>3483</v>
      </c>
      <c r="F2246" t="s">
        <v>21</v>
      </c>
      <c r="G2246" t="s">
        <v>3482</v>
      </c>
      <c r="H2246">
        <v>0</v>
      </c>
      <c r="I2246">
        <v>1</v>
      </c>
      <c r="J2246">
        <v>0</v>
      </c>
      <c r="K2246">
        <v>0</v>
      </c>
      <c r="L2246">
        <v>0</v>
      </c>
    </row>
    <row r="2247" spans="1:12">
      <c r="A2247" t="str">
        <f>HYPERLINK("http://bombeiros.sp.gov.br/hidrantes/03individual/3646.html","3646")</f>
        <v>3646</v>
      </c>
      <c r="B2247" t="str">
        <f>HYPERLINK("http://bombeiros.sp.gov.br/hidrantes/08bsg/qrcodeBSG.html?id=3646&amp;lat=-23.47709&amp;long=-46.67820&amp;tipo=C","QRCODE")</f>
        <v>QRCODE</v>
      </c>
      <c r="C2247" t="s">
        <v>5328</v>
      </c>
      <c r="D2247" t="s">
        <v>148</v>
      </c>
      <c r="E2247" t="s">
        <v>148</v>
      </c>
      <c r="F2247" t="s">
        <v>12</v>
      </c>
      <c r="G2247" t="s">
        <v>205</v>
      </c>
      <c r="H2247">
        <v>1</v>
      </c>
      <c r="I2247">
        <v>3</v>
      </c>
      <c r="J2247">
        <v>0</v>
      </c>
      <c r="K2247">
        <v>0</v>
      </c>
      <c r="L2247">
        <v>0</v>
      </c>
    </row>
    <row r="2248" spans="1:12">
      <c r="A2248" t="str">
        <f>HYPERLINK("http://bombeiros.sp.gov.br/hidrantes/03individual/3648.html","3648")</f>
        <v>3648</v>
      </c>
      <c r="B2248" t="str">
        <f>HYPERLINK("http://bombeiros.sp.gov.br/hidrantes/08bsg/qrcodeBSG.html?id=3648&amp;lat=-23.47725&amp;long=-46.69126&amp;tipo=C","QRCODE")</f>
        <v>QRCODE</v>
      </c>
      <c r="C2248" t="s">
        <v>5328</v>
      </c>
      <c r="D2248" t="s">
        <v>148</v>
      </c>
      <c r="E2248" t="s">
        <v>148</v>
      </c>
      <c r="F2248" t="s">
        <v>12</v>
      </c>
      <c r="G2248" t="s">
        <v>3214</v>
      </c>
      <c r="H2248">
        <v>0</v>
      </c>
      <c r="I2248">
        <v>2</v>
      </c>
      <c r="J2248">
        <v>0</v>
      </c>
      <c r="K2248">
        <v>0</v>
      </c>
      <c r="L2248">
        <v>0</v>
      </c>
    </row>
    <row r="2249" spans="1:12">
      <c r="A2249" t="str">
        <f>HYPERLINK("http://bombeiros.sp.gov.br/hidrantes/03individual/3650.html","3650")</f>
        <v>3650</v>
      </c>
      <c r="B2249" t="str">
        <f>HYPERLINK("http://bombeiros.sp.gov.br/hidrantes/08bsg/qrcodeBSG.html?id=3650&amp;lat=-23.47574&amp;long=-46.67625&amp;tipo=C","QRCODE")</f>
        <v>QRCODE</v>
      </c>
      <c r="C2249" t="s">
        <v>5328</v>
      </c>
      <c r="D2249" t="s">
        <v>148</v>
      </c>
      <c r="E2249" t="s">
        <v>148</v>
      </c>
      <c r="F2249" t="s">
        <v>12</v>
      </c>
      <c r="G2249" t="s">
        <v>206</v>
      </c>
      <c r="H2249">
        <v>0</v>
      </c>
      <c r="I2249">
        <v>2</v>
      </c>
      <c r="J2249">
        <v>0</v>
      </c>
      <c r="K2249">
        <v>0</v>
      </c>
      <c r="L2249">
        <v>0</v>
      </c>
    </row>
    <row r="2250" spans="1:12">
      <c r="A2250" t="str">
        <f>HYPERLINK("http://bombeiros.sp.gov.br/hidrantes/03individual/3662.html","3662")</f>
        <v>3662</v>
      </c>
      <c r="B2250" t="str">
        <f>HYPERLINK("http://bombeiros.sp.gov.br/hidrantes/08bsg/qrcodeBSG.html?id=3662&amp;lat=-23.47005&amp;long=-46.67689&amp;tipo=C","QRCODE")</f>
        <v>QRCODE</v>
      </c>
      <c r="C2250" t="s">
        <v>5328</v>
      </c>
      <c r="D2250" t="s">
        <v>148</v>
      </c>
      <c r="E2250" t="s">
        <v>148</v>
      </c>
      <c r="F2250" t="s">
        <v>12</v>
      </c>
      <c r="G2250" t="s">
        <v>3380</v>
      </c>
      <c r="H2250">
        <v>1</v>
      </c>
      <c r="I2250">
        <v>1</v>
      </c>
      <c r="J2250">
        <v>0</v>
      </c>
      <c r="K2250">
        <v>0</v>
      </c>
      <c r="L2250">
        <v>0</v>
      </c>
    </row>
    <row r="2251" spans="1:12">
      <c r="A2251" t="str">
        <f>HYPERLINK("http://bombeiros.sp.gov.br/hidrantes/03individual/5502.html","5502")</f>
        <v>5502</v>
      </c>
      <c r="B2251" t="str">
        <f>HYPERLINK("http://bombeiros.sp.gov.br/hidrantes/08bsg/qrcodeBSG.html?id=5502&amp;lat=-23.47162&amp;long=-46.68742&amp;tipo=C","QRCODE")</f>
        <v>QRCODE</v>
      </c>
      <c r="C2251" t="s">
        <v>5328</v>
      </c>
      <c r="D2251" t="s">
        <v>148</v>
      </c>
      <c r="E2251" t="s">
        <v>148</v>
      </c>
      <c r="F2251" t="s">
        <v>12</v>
      </c>
      <c r="G2251" t="s">
        <v>1808</v>
      </c>
      <c r="H2251">
        <v>0</v>
      </c>
      <c r="I2251">
        <v>2</v>
      </c>
      <c r="J2251">
        <v>0</v>
      </c>
      <c r="K2251">
        <v>0</v>
      </c>
      <c r="L2251">
        <v>0</v>
      </c>
    </row>
    <row r="2252" spans="1:12">
      <c r="A2252" t="str">
        <f>HYPERLINK("http://bombeiros.sp.gov.br/hidrantes/03individual/5503.html","5503")</f>
        <v>5503</v>
      </c>
      <c r="B2252" t="str">
        <f>HYPERLINK("http://bombeiros.sp.gov.br/hidrantes/08bsg/qrcodeBSG.html?id=5503&amp;lat=-23.47241&amp;long=-46.68543&amp;tipo=C","QRCODE")</f>
        <v>QRCODE</v>
      </c>
      <c r="C2252" t="s">
        <v>5328</v>
      </c>
      <c r="D2252" t="s">
        <v>148</v>
      </c>
      <c r="E2252" t="s">
        <v>148</v>
      </c>
      <c r="F2252" t="s">
        <v>12</v>
      </c>
      <c r="G2252" t="s">
        <v>1809</v>
      </c>
      <c r="H2252">
        <v>0</v>
      </c>
      <c r="I2252">
        <v>2</v>
      </c>
      <c r="J2252">
        <v>0</v>
      </c>
      <c r="K2252">
        <v>0</v>
      </c>
      <c r="L2252">
        <v>0</v>
      </c>
    </row>
    <row r="2253" spans="1:12">
      <c r="A2253" t="str">
        <f>HYPERLINK("http://bombeiros.sp.gov.br/hidrantes/03individual/1212.html","1212")</f>
        <v>1212</v>
      </c>
      <c r="B2253" t="str">
        <f>HYPERLINK("http://bombeiros.sp.gov.br/hidrantes/08bsg/qrcodeBSG.html?id=1212&amp;lat=-23.47419&amp;long=-46.67417&amp;tipo=S","QRCODE")</f>
        <v>QRCODE</v>
      </c>
      <c r="C2253" t="s">
        <v>5328</v>
      </c>
      <c r="D2253" t="s">
        <v>148</v>
      </c>
      <c r="E2253" t="s">
        <v>148</v>
      </c>
      <c r="F2253" t="s">
        <v>21</v>
      </c>
      <c r="G2253" t="s">
        <v>147</v>
      </c>
      <c r="H2253">
        <v>0</v>
      </c>
      <c r="I2253">
        <v>2</v>
      </c>
      <c r="J2253">
        <v>0</v>
      </c>
      <c r="K2253">
        <v>0</v>
      </c>
      <c r="L2253">
        <v>0</v>
      </c>
    </row>
    <row r="2254" spans="1:12">
      <c r="A2254" t="str">
        <f>HYPERLINK("http://bombeiros.sp.gov.br/hidrantes/03individual/3754.html","3754")</f>
        <v>3754</v>
      </c>
      <c r="B2254" t="str">
        <f>HYPERLINK("http://bombeiros.sp.gov.br/hidrantes/08bsg/qrcodeBSG.html?id=3754&amp;lat=-23.47508&amp;long=-46.68463&amp;tipo=S","QRCODE")</f>
        <v>QRCODE</v>
      </c>
      <c r="C2254" t="s">
        <v>5328</v>
      </c>
      <c r="D2254" t="s">
        <v>148</v>
      </c>
      <c r="E2254" t="s">
        <v>148</v>
      </c>
      <c r="F2254" t="s">
        <v>21</v>
      </c>
      <c r="G2254" t="s">
        <v>1820</v>
      </c>
      <c r="H2254">
        <v>0</v>
      </c>
      <c r="I2254">
        <v>2</v>
      </c>
      <c r="J2254">
        <v>0</v>
      </c>
      <c r="K2254">
        <v>0</v>
      </c>
      <c r="L2254">
        <v>0</v>
      </c>
    </row>
    <row r="2255" spans="1:12">
      <c r="A2255" t="str">
        <f>HYPERLINK("http://bombeiros.sp.gov.br/hidrantes/03individual/3761.html","3761")</f>
        <v>3761</v>
      </c>
      <c r="B2255" t="str">
        <f>HYPERLINK("http://bombeiros.sp.gov.br/hidrantes/08bsg/qrcodeBSG.html?id=3761&amp;lat=-23.46830&amp;long=-46.67262&amp;tipo=S","QRCODE")</f>
        <v>QRCODE</v>
      </c>
      <c r="C2255" t="s">
        <v>5328</v>
      </c>
      <c r="D2255" t="s">
        <v>148</v>
      </c>
      <c r="E2255" t="s">
        <v>148</v>
      </c>
      <c r="F2255" t="s">
        <v>21</v>
      </c>
      <c r="G2255" t="s">
        <v>5110</v>
      </c>
      <c r="H2255">
        <v>0</v>
      </c>
      <c r="I2255">
        <v>1</v>
      </c>
      <c r="J2255">
        <v>0</v>
      </c>
      <c r="K2255">
        <v>0</v>
      </c>
      <c r="L2255">
        <v>0</v>
      </c>
    </row>
    <row r="2256" spans="1:12">
      <c r="A2256" t="str">
        <f>HYPERLINK("http://bombeiros.sp.gov.br/hidrantes/03individual/27388.html","27388")</f>
        <v>27388</v>
      </c>
      <c r="B2256" t="str">
        <f>HYPERLINK("http://bombeiros.sp.gov.br/hidrantes/08bsg/qrcodeBSG.html?id=27388&amp;lat=-23.46960&amp;long=-46.67701&amp;tipo=S","QRCODE")</f>
        <v>QRCODE</v>
      </c>
      <c r="C2256" t="s">
        <v>5328</v>
      </c>
      <c r="D2256" t="s">
        <v>148</v>
      </c>
      <c r="E2256" t="s">
        <v>148</v>
      </c>
      <c r="F2256" t="s">
        <v>21</v>
      </c>
      <c r="G2256" t="s">
        <v>5330</v>
      </c>
      <c r="H2256">
        <v>0</v>
      </c>
      <c r="I2256">
        <v>0</v>
      </c>
      <c r="J2256">
        <v>0</v>
      </c>
      <c r="K2256">
        <v>0</v>
      </c>
      <c r="L2256">
        <v>0</v>
      </c>
    </row>
    <row r="2257" spans="1:12">
      <c r="A2257" t="str">
        <f>HYPERLINK("http://bombeiros.sp.gov.br/hidrantes/03individual/1116.html","1116")</f>
        <v>1116</v>
      </c>
      <c r="B2257" t="str">
        <f>HYPERLINK("http://bombeiros.sp.gov.br/hidrantes/08bsg/qrcodeBSG.html?id=1116&amp;lat=-23.45829&amp;long=-46.67550&amp;tipo=C","QRCODE")</f>
        <v>QRCODE</v>
      </c>
      <c r="C2257" t="s">
        <v>5328</v>
      </c>
      <c r="D2257" t="s">
        <v>148</v>
      </c>
      <c r="E2257" t="s">
        <v>1787</v>
      </c>
      <c r="F2257" t="s">
        <v>12</v>
      </c>
      <c r="G2257" t="s">
        <v>5176</v>
      </c>
      <c r="H2257">
        <v>0</v>
      </c>
      <c r="I2257">
        <v>1</v>
      </c>
      <c r="J2257">
        <v>0</v>
      </c>
      <c r="K2257">
        <v>0</v>
      </c>
      <c r="L2257">
        <v>0</v>
      </c>
    </row>
    <row r="2258" spans="1:12">
      <c r="A2258" t="str">
        <f>HYPERLINK("http://bombeiros.sp.gov.br/hidrantes/03individual/4056.html","4056")</f>
        <v>4056</v>
      </c>
      <c r="B2258" t="str">
        <f>HYPERLINK("http://bombeiros.sp.gov.br/hidrantes/08bsg/qrcodeBSG.html?id=4056&amp;lat=-23.44642&amp;long=-46.70276&amp;tipo=C","QRCODE")</f>
        <v>QRCODE</v>
      </c>
      <c r="C2258" t="s">
        <v>5328</v>
      </c>
      <c r="D2258" t="s">
        <v>148</v>
      </c>
      <c r="E2258" t="s">
        <v>1787</v>
      </c>
      <c r="F2258" t="s">
        <v>12</v>
      </c>
      <c r="G2258" t="s">
        <v>1815</v>
      </c>
      <c r="H2258">
        <v>1</v>
      </c>
      <c r="I2258">
        <v>2</v>
      </c>
      <c r="J2258">
        <v>0</v>
      </c>
      <c r="K2258">
        <v>0</v>
      </c>
      <c r="L2258">
        <v>0</v>
      </c>
    </row>
    <row r="2259" spans="1:12">
      <c r="A2259" t="str">
        <f>HYPERLINK("http://bombeiros.sp.gov.br/hidrantes/03individual/15063.html","15063")</f>
        <v>15063</v>
      </c>
      <c r="B2259" t="str">
        <f>HYPERLINK("http://bombeiros.sp.gov.br/hidrantes/08bsg/qrcodeBSG.html?id=15063&amp;lat=-23.45150&amp;long=-46.69780&amp;tipo=C","QRCODE")</f>
        <v>QRCODE</v>
      </c>
      <c r="C2259" t="s">
        <v>5328</v>
      </c>
      <c r="D2259" t="s">
        <v>148</v>
      </c>
      <c r="E2259" t="s">
        <v>1787</v>
      </c>
      <c r="F2259" t="s">
        <v>12</v>
      </c>
      <c r="G2259" t="s">
        <v>4100</v>
      </c>
      <c r="H2259">
        <v>0</v>
      </c>
      <c r="I2259">
        <v>1</v>
      </c>
      <c r="J2259">
        <v>0</v>
      </c>
      <c r="K2259">
        <v>0</v>
      </c>
      <c r="L2259">
        <v>0</v>
      </c>
    </row>
    <row r="2260" spans="1:12">
      <c r="A2260" t="str">
        <f>HYPERLINK("http://bombeiros.sp.gov.br/hidrantes/03individual/15065.html","15065")</f>
        <v>15065</v>
      </c>
      <c r="B2260" t="str">
        <f>HYPERLINK("http://bombeiros.sp.gov.br/hidrantes/08bsg/qrcodeBSG.html?id=15065&amp;lat=-23.44535&amp;long=-46.70531&amp;tipo=C","QRCODE")</f>
        <v>QRCODE</v>
      </c>
      <c r="C2260" t="s">
        <v>5328</v>
      </c>
      <c r="D2260" t="s">
        <v>148</v>
      </c>
      <c r="E2260" t="s">
        <v>1787</v>
      </c>
      <c r="F2260" t="s">
        <v>12</v>
      </c>
      <c r="G2260" t="s">
        <v>4101</v>
      </c>
      <c r="H2260">
        <v>0</v>
      </c>
      <c r="I2260">
        <v>1</v>
      </c>
      <c r="J2260">
        <v>0</v>
      </c>
      <c r="K2260">
        <v>0</v>
      </c>
      <c r="L2260">
        <v>0</v>
      </c>
    </row>
    <row r="2261" spans="1:12">
      <c r="A2261" t="str">
        <f>HYPERLINK("http://bombeiros.sp.gov.br/hidrantes/03individual/1213.html","1213")</f>
        <v>1213</v>
      </c>
      <c r="B2261" t="str">
        <f>HYPERLINK("http://bombeiros.sp.gov.br/hidrantes/08bsg/qrcodeBSG.html?id=1213&amp;lat=-23.45361&amp;long=-46.69264&amp;tipo=S","QRCODE")</f>
        <v>QRCODE</v>
      </c>
      <c r="C2261" t="s">
        <v>5328</v>
      </c>
      <c r="D2261" t="s">
        <v>148</v>
      </c>
      <c r="E2261" t="s">
        <v>1787</v>
      </c>
      <c r="F2261" t="s">
        <v>21</v>
      </c>
      <c r="G2261" t="s">
        <v>1786</v>
      </c>
      <c r="H2261">
        <v>0</v>
      </c>
      <c r="I2261">
        <v>2</v>
      </c>
      <c r="J2261">
        <v>0</v>
      </c>
      <c r="K2261">
        <v>0</v>
      </c>
      <c r="L2261">
        <v>0</v>
      </c>
    </row>
    <row r="2262" spans="1:12">
      <c r="A2262" t="str">
        <f>HYPERLINK("http://bombeiros.sp.gov.br/hidrantes/03individual/4054.html","4054")</f>
        <v>4054</v>
      </c>
      <c r="B2262" t="str">
        <f>HYPERLINK("http://bombeiros.sp.gov.br/hidrantes/08bsg/qrcodeBSG.html?id=4054&amp;lat=-23.46139&amp;long=-46.70710&amp;tipo=C","QRCODE")</f>
        <v>QRCODE</v>
      </c>
      <c r="C2262" t="s">
        <v>5328</v>
      </c>
      <c r="D2262" t="s">
        <v>148</v>
      </c>
      <c r="E2262" t="s">
        <v>190</v>
      </c>
      <c r="F2262" t="s">
        <v>12</v>
      </c>
      <c r="G2262" t="s">
        <v>3325</v>
      </c>
      <c r="H2262">
        <v>0</v>
      </c>
      <c r="I2262">
        <v>1</v>
      </c>
      <c r="J2262">
        <v>0</v>
      </c>
      <c r="K2262">
        <v>0</v>
      </c>
      <c r="L2262">
        <v>0</v>
      </c>
    </row>
    <row r="2263" spans="1:12">
      <c r="A2263" t="str">
        <f>HYPERLINK("http://bombeiros.sp.gov.br/hidrantes/03individual/1186.html","1186")</f>
        <v>1186</v>
      </c>
      <c r="B2263" t="str">
        <f>HYPERLINK("http://bombeiros.sp.gov.br/hidrantes/08bsg/qrcodeBSG.html?id=1186&amp;lat=-23.44336&amp;long=-46.70573&amp;tipo=S","QRCODE")</f>
        <v>QRCODE</v>
      </c>
      <c r="C2263" t="s">
        <v>5328</v>
      </c>
      <c r="D2263" t="s">
        <v>148</v>
      </c>
      <c r="E2263" t="s">
        <v>190</v>
      </c>
      <c r="F2263" t="s">
        <v>21</v>
      </c>
      <c r="G2263" t="s">
        <v>1797</v>
      </c>
      <c r="H2263">
        <v>0</v>
      </c>
      <c r="I2263">
        <v>2</v>
      </c>
      <c r="J2263">
        <v>0</v>
      </c>
      <c r="K2263">
        <v>0</v>
      </c>
      <c r="L2263">
        <v>0</v>
      </c>
    </row>
    <row r="2264" spans="1:12">
      <c r="A2264" t="str">
        <f>HYPERLINK("http://bombeiros.sp.gov.br/hidrantes/03individual/1319.html","1319")</f>
        <v>1319</v>
      </c>
      <c r="B2264" t="str">
        <f>HYPERLINK("http://bombeiros.sp.gov.br/hidrantes/08bsg/qrcodeBSG.html?id=1319&amp;lat=-23.43911&amp;long=-46.70870&amp;tipo=S","QRCODE")</f>
        <v>QRCODE</v>
      </c>
      <c r="C2264" t="s">
        <v>5328</v>
      </c>
      <c r="D2264" t="s">
        <v>148</v>
      </c>
      <c r="E2264" t="s">
        <v>190</v>
      </c>
      <c r="F2264" t="s">
        <v>21</v>
      </c>
      <c r="G2264" t="s">
        <v>3385</v>
      </c>
      <c r="H2264">
        <v>1</v>
      </c>
      <c r="I2264">
        <v>1</v>
      </c>
      <c r="J2264">
        <v>0</v>
      </c>
      <c r="K2264">
        <v>0</v>
      </c>
      <c r="L2264">
        <v>0</v>
      </c>
    </row>
    <row r="2265" spans="1:12">
      <c r="A2265" t="str">
        <f>HYPERLINK("http://bombeiros.sp.gov.br/hidrantes/03individual/4055.html","4055")</f>
        <v>4055</v>
      </c>
      <c r="B2265" t="str">
        <f>HYPERLINK("http://bombeiros.sp.gov.br/hidrantes/08bsg/qrcodeBSG.html?id=4055&amp;lat=-23.45647&amp;long=-46.70316&amp;tipo=S","QRCODE")</f>
        <v>QRCODE</v>
      </c>
      <c r="C2265" t="s">
        <v>5328</v>
      </c>
      <c r="D2265" t="s">
        <v>148</v>
      </c>
      <c r="E2265" t="s">
        <v>190</v>
      </c>
      <c r="F2265" t="s">
        <v>21</v>
      </c>
      <c r="G2265" t="s">
        <v>189</v>
      </c>
      <c r="H2265">
        <v>0</v>
      </c>
      <c r="I2265">
        <v>2</v>
      </c>
      <c r="J2265">
        <v>0</v>
      </c>
      <c r="K2265">
        <v>0</v>
      </c>
      <c r="L2265">
        <v>0</v>
      </c>
    </row>
    <row r="2266" spans="1:12">
      <c r="A2266" t="str">
        <f>HYPERLINK("http://bombeiros.sp.gov.br/hidrantes/03individual/27378.html","27378")</f>
        <v>27378</v>
      </c>
      <c r="B2266" t="str">
        <f>HYPERLINK("http://bombeiros.sp.gov.br/hidrantes/08bsg/qrcodeBSG.html?id=27378&amp;lat=-23.45519&amp;long=-46.69508&amp;tipo=C","QRCODE")</f>
        <v>QRCODE</v>
      </c>
      <c r="C2266" t="s">
        <v>5328</v>
      </c>
      <c r="D2266" t="s">
        <v>148</v>
      </c>
      <c r="E2266" t="s">
        <v>5331</v>
      </c>
      <c r="F2266" t="s">
        <v>12</v>
      </c>
      <c r="G2266" t="s">
        <v>5332</v>
      </c>
      <c r="H2266">
        <v>0</v>
      </c>
      <c r="I2266">
        <v>0</v>
      </c>
      <c r="J2266">
        <v>0</v>
      </c>
      <c r="K2266">
        <v>0</v>
      </c>
      <c r="L2266">
        <v>0</v>
      </c>
    </row>
    <row r="2267" spans="1:12">
      <c r="A2267" t="str">
        <f>HYPERLINK("http://bombeiros.sp.gov.br/hidrantes/03individual/1104.html","1104")</f>
        <v>1104</v>
      </c>
      <c r="B2267" t="str">
        <f>HYPERLINK("http://bombeiros.sp.gov.br/hidrantes/08bsg/qrcodeBSG.html?id=1104&amp;lat=-23.48081&amp;long=-46.66689&amp;tipo=C","QRCODE")</f>
        <v>QRCODE</v>
      </c>
      <c r="C2267" t="s">
        <v>5328</v>
      </c>
      <c r="D2267" t="s">
        <v>72</v>
      </c>
      <c r="E2267" t="s">
        <v>72</v>
      </c>
      <c r="F2267" t="s">
        <v>12</v>
      </c>
      <c r="G2267" t="s">
        <v>2469</v>
      </c>
      <c r="H2267">
        <v>2</v>
      </c>
      <c r="I2267">
        <v>1</v>
      </c>
      <c r="J2267">
        <v>0</v>
      </c>
      <c r="K2267">
        <v>0</v>
      </c>
      <c r="L2267">
        <v>0</v>
      </c>
    </row>
    <row r="2268" spans="1:12">
      <c r="A2268" t="str">
        <f>HYPERLINK("http://bombeiros.sp.gov.br/hidrantes/03individual/3506.html","3506")</f>
        <v>3506</v>
      </c>
      <c r="B2268" t="str">
        <f>HYPERLINK("http://bombeiros.sp.gov.br/hidrantes/08bsg/qrcodeBSG.html?id=3506&amp;lat=-23.46872&amp;long=-46.65301&amp;tipo=C","QRCODE")</f>
        <v>QRCODE</v>
      </c>
      <c r="C2268" t="s">
        <v>5328</v>
      </c>
      <c r="D2268" t="s">
        <v>72</v>
      </c>
      <c r="E2268" t="s">
        <v>72</v>
      </c>
      <c r="F2268" t="s">
        <v>12</v>
      </c>
      <c r="G2268" t="s">
        <v>2959</v>
      </c>
      <c r="H2268">
        <v>0</v>
      </c>
      <c r="I2268">
        <v>2</v>
      </c>
      <c r="J2268">
        <v>0</v>
      </c>
      <c r="K2268">
        <v>0</v>
      </c>
      <c r="L2268">
        <v>0</v>
      </c>
    </row>
    <row r="2269" spans="1:12">
      <c r="A2269" t="str">
        <f>HYPERLINK("http://bombeiros.sp.gov.br/hidrantes/03individual/562.html","562")</f>
        <v>562</v>
      </c>
      <c r="B2269" t="str">
        <f>HYPERLINK("http://bombeiros.sp.gov.br/hidrantes/08bsg/qrcodeBSG.html?id=562&amp;lat=-23.47540&amp;long=-46.65104&amp;tipo=S","QRCODE")</f>
        <v>QRCODE</v>
      </c>
      <c r="C2269" t="s">
        <v>5328</v>
      </c>
      <c r="D2269" t="s">
        <v>72</v>
      </c>
      <c r="E2269" t="s">
        <v>72</v>
      </c>
      <c r="F2269" t="s">
        <v>21</v>
      </c>
      <c r="G2269" t="s">
        <v>2979</v>
      </c>
      <c r="H2269">
        <v>0</v>
      </c>
      <c r="I2269">
        <v>2</v>
      </c>
      <c r="J2269">
        <v>0</v>
      </c>
      <c r="K2269">
        <v>0</v>
      </c>
      <c r="L2269">
        <v>0</v>
      </c>
    </row>
    <row r="2270" spans="1:12">
      <c r="A2270" t="str">
        <f>HYPERLINK("http://bombeiros.sp.gov.br/hidrantes/03individual/960.html","960")</f>
        <v>960</v>
      </c>
      <c r="B2270" t="str">
        <f>HYPERLINK("http://bombeiros.sp.gov.br/hidrantes/08bsg/qrcodeBSG.html?id=960&amp;lat=-23.46996&amp;long=-46.65487&amp;tipo=S","QRCODE")</f>
        <v>QRCODE</v>
      </c>
      <c r="C2270" t="s">
        <v>5328</v>
      </c>
      <c r="D2270" t="s">
        <v>72</v>
      </c>
      <c r="E2270" t="s">
        <v>72</v>
      </c>
      <c r="F2270" t="s">
        <v>21</v>
      </c>
      <c r="G2270" t="s">
        <v>2977</v>
      </c>
      <c r="H2270">
        <v>0</v>
      </c>
      <c r="I2270">
        <v>2</v>
      </c>
      <c r="J2270">
        <v>0</v>
      </c>
      <c r="K2270">
        <v>0</v>
      </c>
      <c r="L2270">
        <v>0</v>
      </c>
    </row>
    <row r="2271" spans="1:12">
      <c r="A2271" t="str">
        <f>HYPERLINK("http://bombeiros.sp.gov.br/hidrantes/03individual/962.html","962")</f>
        <v>962</v>
      </c>
      <c r="B2271" t="str">
        <f>HYPERLINK("http://bombeiros.sp.gov.br/hidrantes/08bsg/qrcodeBSG.html?id=962&amp;lat=-23.46926&amp;long=-46.64640&amp;tipo=S","QRCODE")</f>
        <v>QRCODE</v>
      </c>
      <c r="C2271" t="s">
        <v>5328</v>
      </c>
      <c r="D2271" t="s">
        <v>72</v>
      </c>
      <c r="E2271" t="s">
        <v>72</v>
      </c>
      <c r="F2271" t="s">
        <v>21</v>
      </c>
      <c r="G2271" t="s">
        <v>2383</v>
      </c>
      <c r="H2271">
        <v>0</v>
      </c>
      <c r="I2271">
        <v>2</v>
      </c>
      <c r="J2271">
        <v>0</v>
      </c>
      <c r="K2271">
        <v>0</v>
      </c>
      <c r="L2271">
        <v>0</v>
      </c>
    </row>
    <row r="2272" spans="1:12">
      <c r="A2272" t="str">
        <f>HYPERLINK("http://bombeiros.sp.gov.br/hidrantes/03individual/965.html","965")</f>
        <v>965</v>
      </c>
      <c r="B2272" t="str">
        <f>HYPERLINK("http://bombeiros.sp.gov.br/hidrantes/08bsg/qrcodeBSG.html?id=965&amp;lat=-23.47633&amp;long=-46.66889&amp;tipo=S","QRCODE")</f>
        <v>QRCODE</v>
      </c>
      <c r="C2272" t="s">
        <v>5328</v>
      </c>
      <c r="D2272" t="s">
        <v>72</v>
      </c>
      <c r="E2272" t="s">
        <v>72</v>
      </c>
      <c r="F2272" t="s">
        <v>21</v>
      </c>
      <c r="G2272" t="s">
        <v>106</v>
      </c>
      <c r="H2272">
        <v>0</v>
      </c>
      <c r="I2272">
        <v>2</v>
      </c>
      <c r="J2272">
        <v>0</v>
      </c>
      <c r="K2272">
        <v>0</v>
      </c>
      <c r="L2272">
        <v>0</v>
      </c>
    </row>
    <row r="2273" spans="1:12">
      <c r="A2273" t="str">
        <f>HYPERLINK("http://bombeiros.sp.gov.br/hidrantes/03individual/1025.html","1025")</f>
        <v>1025</v>
      </c>
      <c r="B2273" t="str">
        <f>HYPERLINK("http://bombeiros.sp.gov.br/hidrantes/08bsg/qrcodeBSG.html?id=1025&amp;lat=-23.48025&amp;long=-46.65610&amp;tipo=S","QRCODE")</f>
        <v>QRCODE</v>
      </c>
      <c r="C2273" t="s">
        <v>5328</v>
      </c>
      <c r="D2273" t="s">
        <v>72</v>
      </c>
      <c r="E2273" t="s">
        <v>72</v>
      </c>
      <c r="F2273" t="s">
        <v>21</v>
      </c>
      <c r="G2273" t="s">
        <v>99</v>
      </c>
      <c r="H2273">
        <v>1</v>
      </c>
      <c r="I2273">
        <v>3</v>
      </c>
      <c r="J2273">
        <v>0</v>
      </c>
      <c r="K2273">
        <v>0</v>
      </c>
      <c r="L2273">
        <v>0</v>
      </c>
    </row>
    <row r="2274" spans="1:12">
      <c r="A2274" t="str">
        <f>HYPERLINK("http://bombeiros.sp.gov.br/hidrantes/03individual/1102.html","1102")</f>
        <v>1102</v>
      </c>
      <c r="B2274" t="str">
        <f>HYPERLINK("http://bombeiros.sp.gov.br/hidrantes/08bsg/qrcodeBSG.html?id=1102&amp;lat=-23.47962&amp;long=-46.65891&amp;tipo=S","QRCODE")</f>
        <v>QRCODE</v>
      </c>
      <c r="C2274" t="s">
        <v>5328</v>
      </c>
      <c r="D2274" t="s">
        <v>72</v>
      </c>
      <c r="E2274" t="s">
        <v>72</v>
      </c>
      <c r="F2274" t="s">
        <v>21</v>
      </c>
      <c r="G2274" t="s">
        <v>3004</v>
      </c>
      <c r="H2274">
        <v>1</v>
      </c>
      <c r="I2274">
        <v>2</v>
      </c>
      <c r="J2274">
        <v>0</v>
      </c>
      <c r="K2274">
        <v>0</v>
      </c>
      <c r="L2274">
        <v>0</v>
      </c>
    </row>
    <row r="2275" spans="1:12">
      <c r="A2275" t="str">
        <f>HYPERLINK("http://bombeiros.sp.gov.br/hidrantes/03individual/1142.html","1142")</f>
        <v>1142</v>
      </c>
      <c r="B2275" t="str">
        <f>HYPERLINK("http://bombeiros.sp.gov.br/hidrantes/08bsg/qrcodeBSG.html?id=1142&amp;lat=-23.46881&amp;long=-46.65133&amp;tipo=S","QRCODE")</f>
        <v>QRCODE</v>
      </c>
      <c r="C2275" t="s">
        <v>5328</v>
      </c>
      <c r="D2275" t="s">
        <v>72</v>
      </c>
      <c r="E2275" t="s">
        <v>72</v>
      </c>
      <c r="F2275" t="s">
        <v>21</v>
      </c>
      <c r="G2275" t="s">
        <v>2968</v>
      </c>
      <c r="H2275">
        <v>0</v>
      </c>
      <c r="I2275">
        <v>2</v>
      </c>
      <c r="J2275">
        <v>0</v>
      </c>
      <c r="K2275">
        <v>0</v>
      </c>
      <c r="L2275">
        <v>0</v>
      </c>
    </row>
    <row r="2276" spans="1:12">
      <c r="A2276" t="str">
        <f>HYPERLINK("http://bombeiros.sp.gov.br/hidrantes/03individual/1143.html","1143")</f>
        <v>1143</v>
      </c>
      <c r="B2276" t="str">
        <f>HYPERLINK("http://bombeiros.sp.gov.br/hidrantes/08bsg/qrcodeBSG.html?id=1143&amp;lat=-23.46607&amp;long=-46.65533&amp;tipo=S","QRCODE")</f>
        <v>QRCODE</v>
      </c>
      <c r="C2276" t="s">
        <v>5328</v>
      </c>
      <c r="D2276" t="s">
        <v>72</v>
      </c>
      <c r="E2276" t="s">
        <v>72</v>
      </c>
      <c r="F2276" t="s">
        <v>21</v>
      </c>
      <c r="G2276" t="s">
        <v>2969</v>
      </c>
      <c r="H2276">
        <v>0</v>
      </c>
      <c r="I2276">
        <v>2</v>
      </c>
      <c r="J2276">
        <v>0</v>
      </c>
      <c r="K2276">
        <v>0</v>
      </c>
      <c r="L2276">
        <v>0</v>
      </c>
    </row>
    <row r="2277" spans="1:12">
      <c r="A2277" t="str">
        <f>HYPERLINK("http://bombeiros.sp.gov.br/hidrantes/03individual/1210.html","1210")</f>
        <v>1210</v>
      </c>
      <c r="B2277" t="str">
        <f>HYPERLINK("http://bombeiros.sp.gov.br/hidrantes/08bsg/qrcodeBSG.html?id=1210&amp;lat=-23.47173&amp;long=-46.66166&amp;tipo=S","QRCODE")</f>
        <v>QRCODE</v>
      </c>
      <c r="C2277" t="s">
        <v>5328</v>
      </c>
      <c r="D2277" t="s">
        <v>72</v>
      </c>
      <c r="E2277" t="s">
        <v>72</v>
      </c>
      <c r="F2277" t="s">
        <v>21</v>
      </c>
      <c r="G2277" t="s">
        <v>3002</v>
      </c>
      <c r="H2277">
        <v>0</v>
      </c>
      <c r="I2277">
        <v>2</v>
      </c>
      <c r="J2277">
        <v>0</v>
      </c>
      <c r="K2277">
        <v>0</v>
      </c>
      <c r="L2277">
        <v>0</v>
      </c>
    </row>
    <row r="2278" spans="1:12">
      <c r="A2278" t="str">
        <f>HYPERLINK("http://bombeiros.sp.gov.br/hidrantes/03individual/1217.html","1217")</f>
        <v>1217</v>
      </c>
      <c r="B2278" t="str">
        <f>HYPERLINK("http://bombeiros.sp.gov.br/hidrantes/08bsg/qrcodeBSG.html?id=1217&amp;lat=-23.47561&amp;long=-46.65973&amp;tipo=S","QRCODE")</f>
        <v>QRCODE</v>
      </c>
      <c r="C2278" t="s">
        <v>5328</v>
      </c>
      <c r="D2278" t="s">
        <v>72</v>
      </c>
      <c r="E2278" t="s">
        <v>72</v>
      </c>
      <c r="F2278" t="s">
        <v>21</v>
      </c>
      <c r="G2278" t="s">
        <v>96</v>
      </c>
      <c r="H2278">
        <v>1</v>
      </c>
      <c r="I2278">
        <v>1</v>
      </c>
      <c r="J2278">
        <v>0</v>
      </c>
      <c r="K2278">
        <v>0</v>
      </c>
      <c r="L2278">
        <v>0</v>
      </c>
    </row>
    <row r="2279" spans="1:12">
      <c r="A2279" t="str">
        <f>HYPERLINK("http://bombeiros.sp.gov.br/hidrantes/03individual/1221.html","1221")</f>
        <v>1221</v>
      </c>
      <c r="B2279" t="str">
        <f>HYPERLINK("http://bombeiros.sp.gov.br/hidrantes/08bsg/qrcodeBSG.html?id=1221&amp;lat=-23.47303&amp;long=-46.65841&amp;tipo=S","QRCODE")</f>
        <v>QRCODE</v>
      </c>
      <c r="C2279" t="s">
        <v>5328</v>
      </c>
      <c r="D2279" t="s">
        <v>72</v>
      </c>
      <c r="E2279" t="s">
        <v>72</v>
      </c>
      <c r="F2279" t="s">
        <v>21</v>
      </c>
      <c r="G2279" t="s">
        <v>97</v>
      </c>
      <c r="H2279">
        <v>1</v>
      </c>
      <c r="I2279">
        <v>1</v>
      </c>
      <c r="J2279">
        <v>0</v>
      </c>
      <c r="K2279">
        <v>0</v>
      </c>
      <c r="L2279">
        <v>0</v>
      </c>
    </row>
    <row r="2280" spans="1:12">
      <c r="A2280" t="str">
        <f>HYPERLINK("http://bombeiros.sp.gov.br/hidrantes/03individual/1222.html","1222")</f>
        <v>1222</v>
      </c>
      <c r="B2280" t="str">
        <f>HYPERLINK("http://bombeiros.sp.gov.br/hidrantes/08bsg/qrcodeBSG.html?id=1222&amp;lat=-23.46579&amp;long=-46.65488&amp;tipo=S","QRCODE")</f>
        <v>QRCODE</v>
      </c>
      <c r="C2280" t="s">
        <v>5328</v>
      </c>
      <c r="D2280" t="s">
        <v>72</v>
      </c>
      <c r="E2280" t="s">
        <v>72</v>
      </c>
      <c r="F2280" t="s">
        <v>21</v>
      </c>
      <c r="G2280" t="s">
        <v>3861</v>
      </c>
      <c r="H2280">
        <v>0</v>
      </c>
      <c r="I2280">
        <v>2</v>
      </c>
      <c r="J2280">
        <v>0</v>
      </c>
      <c r="K2280">
        <v>0</v>
      </c>
      <c r="L2280">
        <v>0</v>
      </c>
    </row>
    <row r="2281" spans="1:12">
      <c r="A2281" t="str">
        <f>HYPERLINK("http://bombeiros.sp.gov.br/hidrantes/03individual/1226.html","1226")</f>
        <v>1226</v>
      </c>
      <c r="B2281" t="str">
        <f>HYPERLINK("http://bombeiros.sp.gov.br/hidrantes/08bsg/qrcodeBSG.html?id=1226&amp;lat=-23.46421&amp;long=-46.64986&amp;tipo=S","QRCODE")</f>
        <v>QRCODE</v>
      </c>
      <c r="C2281" t="s">
        <v>5328</v>
      </c>
      <c r="D2281" t="s">
        <v>72</v>
      </c>
      <c r="E2281" t="s">
        <v>72</v>
      </c>
      <c r="F2281" t="s">
        <v>21</v>
      </c>
      <c r="G2281" t="s">
        <v>3304</v>
      </c>
      <c r="H2281">
        <v>1</v>
      </c>
      <c r="I2281">
        <v>1</v>
      </c>
      <c r="J2281">
        <v>0</v>
      </c>
      <c r="K2281">
        <v>0</v>
      </c>
      <c r="L2281">
        <v>0</v>
      </c>
    </row>
    <row r="2282" spans="1:12">
      <c r="A2282" t="str">
        <f>HYPERLINK("http://bombeiros.sp.gov.br/hidrantes/03individual/1304.html","1304")</f>
        <v>1304</v>
      </c>
      <c r="B2282" t="str">
        <f>HYPERLINK("http://bombeiros.sp.gov.br/hidrantes/08bsg/qrcodeBSG.html?id=1304&amp;lat=-23.48311&amp;long=-46.65853&amp;tipo=S","QRCODE")</f>
        <v>QRCODE</v>
      </c>
      <c r="C2282" t="s">
        <v>5328</v>
      </c>
      <c r="D2282" t="s">
        <v>72</v>
      </c>
      <c r="E2282" t="s">
        <v>72</v>
      </c>
      <c r="F2282" t="s">
        <v>21</v>
      </c>
      <c r="G2282" t="s">
        <v>3011</v>
      </c>
      <c r="H2282">
        <v>0</v>
      </c>
      <c r="I2282">
        <v>2</v>
      </c>
      <c r="J2282">
        <v>0</v>
      </c>
      <c r="K2282">
        <v>0</v>
      </c>
      <c r="L2282">
        <v>0</v>
      </c>
    </row>
    <row r="2283" spans="1:12">
      <c r="A2283" t="str">
        <f>HYPERLINK("http://bombeiros.sp.gov.br/hidrantes/03individual/1305.html","1305")</f>
        <v>1305</v>
      </c>
      <c r="B2283" t="str">
        <f>HYPERLINK("http://bombeiros.sp.gov.br/hidrantes/08bsg/qrcodeBSG.html?id=1305&amp;lat=-23.46878&amp;long=-46.66438&amp;tipo=S","QRCODE")</f>
        <v>QRCODE</v>
      </c>
      <c r="C2283" t="s">
        <v>5328</v>
      </c>
      <c r="D2283" t="s">
        <v>72</v>
      </c>
      <c r="E2283" t="s">
        <v>72</v>
      </c>
      <c r="F2283" t="s">
        <v>21</v>
      </c>
      <c r="G2283" t="s">
        <v>98</v>
      </c>
      <c r="H2283">
        <v>1</v>
      </c>
      <c r="I2283">
        <v>2</v>
      </c>
      <c r="J2283">
        <v>0</v>
      </c>
      <c r="K2283">
        <v>0</v>
      </c>
      <c r="L2283">
        <v>0</v>
      </c>
    </row>
    <row r="2284" spans="1:12">
      <c r="A2284" t="str">
        <f>HYPERLINK("http://bombeiros.sp.gov.br/hidrantes/03individual/3781.html","3781")</f>
        <v>3781</v>
      </c>
      <c r="B2284" t="str">
        <f>HYPERLINK("http://bombeiros.sp.gov.br/hidrantes/08bsg/qrcodeBSG.html?id=3781&amp;lat=-23.46465&amp;long=-46.66017&amp;tipo=S","QRCODE")</f>
        <v>QRCODE</v>
      </c>
      <c r="C2284" t="s">
        <v>5328</v>
      </c>
      <c r="D2284" t="s">
        <v>72</v>
      </c>
      <c r="E2284" t="s">
        <v>72</v>
      </c>
      <c r="F2284" t="s">
        <v>21</v>
      </c>
      <c r="G2284" t="s">
        <v>71</v>
      </c>
      <c r="H2284">
        <v>1</v>
      </c>
      <c r="I2284">
        <v>2</v>
      </c>
      <c r="J2284">
        <v>0</v>
      </c>
      <c r="K2284">
        <v>0</v>
      </c>
      <c r="L2284">
        <v>0</v>
      </c>
    </row>
    <row r="2285" spans="1:12">
      <c r="A2285" t="str">
        <f>HYPERLINK("http://bombeiros.sp.gov.br/hidrantes/03individual/3788.html","3788")</f>
        <v>3788</v>
      </c>
      <c r="B2285" t="str">
        <f>HYPERLINK("http://bombeiros.sp.gov.br/hidrantes/08bsg/qrcodeBSG.html?id=3788&amp;lat=-23.46738&amp;long=-46.66229&amp;tipo=S","QRCODE")</f>
        <v>QRCODE</v>
      </c>
      <c r="C2285" t="s">
        <v>5328</v>
      </c>
      <c r="D2285" t="s">
        <v>72</v>
      </c>
      <c r="E2285" t="s">
        <v>72</v>
      </c>
      <c r="F2285" t="s">
        <v>21</v>
      </c>
      <c r="G2285" t="s">
        <v>3027</v>
      </c>
      <c r="H2285">
        <v>0</v>
      </c>
      <c r="I2285">
        <v>2</v>
      </c>
      <c r="J2285">
        <v>0</v>
      </c>
      <c r="K2285">
        <v>0</v>
      </c>
      <c r="L2285">
        <v>0</v>
      </c>
    </row>
    <row r="2286" spans="1:12">
      <c r="A2286" t="str">
        <f>HYPERLINK("http://bombeiros.sp.gov.br/hidrantes/03individual/3824.html","3824")</f>
        <v>3824</v>
      </c>
      <c r="B2286" t="str">
        <f>HYPERLINK("http://bombeiros.sp.gov.br/hidrantes/08bsg/qrcodeBSG.html?id=3824&amp;lat=-23.47421&amp;long=-46.66392&amp;tipo=S","QRCODE")</f>
        <v>QRCODE</v>
      </c>
      <c r="C2286" t="s">
        <v>5328</v>
      </c>
      <c r="D2286" t="s">
        <v>72</v>
      </c>
      <c r="E2286" t="s">
        <v>72</v>
      </c>
      <c r="F2286" t="s">
        <v>21</v>
      </c>
      <c r="G2286" t="s">
        <v>3025</v>
      </c>
      <c r="H2286">
        <v>0</v>
      </c>
      <c r="I2286">
        <v>2</v>
      </c>
      <c r="J2286">
        <v>0</v>
      </c>
      <c r="K2286">
        <v>0</v>
      </c>
      <c r="L2286">
        <v>0</v>
      </c>
    </row>
    <row r="2287" spans="1:12">
      <c r="A2287" t="str">
        <f>HYPERLINK("http://bombeiros.sp.gov.br/hidrantes/03individual/3847.html","3847")</f>
        <v>3847</v>
      </c>
      <c r="B2287" t="str">
        <f>HYPERLINK("http://bombeiros.sp.gov.br/hidrantes/08bsg/qrcodeBSG.html?id=3847&amp;lat=-23.46662&amp;long=-46.64808&amp;tipo=S","QRCODE")</f>
        <v>QRCODE</v>
      </c>
      <c r="C2287" t="s">
        <v>5328</v>
      </c>
      <c r="D2287" t="s">
        <v>72</v>
      </c>
      <c r="E2287" t="s">
        <v>72</v>
      </c>
      <c r="F2287" t="s">
        <v>21</v>
      </c>
      <c r="G2287" t="s">
        <v>3327</v>
      </c>
      <c r="H2287">
        <v>0</v>
      </c>
      <c r="I2287">
        <v>2</v>
      </c>
      <c r="J2287">
        <v>0</v>
      </c>
      <c r="K2287">
        <v>0</v>
      </c>
      <c r="L2287">
        <v>0</v>
      </c>
    </row>
    <row r="2288" spans="1:12">
      <c r="A2288" t="str">
        <f>HYPERLINK("http://bombeiros.sp.gov.br/hidrantes/03individual/17750.html","17750")</f>
        <v>17750</v>
      </c>
      <c r="B2288" t="str">
        <f>HYPERLINK("http://bombeiros.sp.gov.br/hidrantes/08bsg/qrcodeBSG.html?id=17750&amp;lat=-23.47660&amp;long=-46.65319&amp;tipo=S","QRCODE")</f>
        <v>QRCODE</v>
      </c>
      <c r="C2288" t="s">
        <v>5328</v>
      </c>
      <c r="D2288" t="s">
        <v>72</v>
      </c>
      <c r="E2288" t="s">
        <v>72</v>
      </c>
      <c r="F2288" t="s">
        <v>21</v>
      </c>
      <c r="G2288" t="s">
        <v>1832</v>
      </c>
      <c r="H2288">
        <v>0</v>
      </c>
      <c r="I2288">
        <v>2</v>
      </c>
      <c r="J2288">
        <v>0</v>
      </c>
      <c r="K2288">
        <v>0</v>
      </c>
      <c r="L2288">
        <v>0</v>
      </c>
    </row>
    <row r="2289" spans="1:12">
      <c r="A2289" t="str">
        <f>HYPERLINK("http://bombeiros.sp.gov.br/hidrantes/03individual/17751.html","17751")</f>
        <v>17751</v>
      </c>
      <c r="B2289" t="str">
        <f>HYPERLINK("http://bombeiros.sp.gov.br/hidrantes/08bsg/qrcodeBSG.html?id=17751&amp;lat=-23.46617&amp;long=-46.65617&amp;tipo=S","QRCODE")</f>
        <v>QRCODE</v>
      </c>
      <c r="C2289" t="s">
        <v>5328</v>
      </c>
      <c r="D2289" t="s">
        <v>72</v>
      </c>
      <c r="E2289" t="s">
        <v>72</v>
      </c>
      <c r="F2289" t="s">
        <v>21</v>
      </c>
      <c r="G2289" t="s">
        <v>3343</v>
      </c>
      <c r="H2289">
        <v>0</v>
      </c>
      <c r="I2289">
        <v>2</v>
      </c>
      <c r="J2289">
        <v>0</v>
      </c>
      <c r="K2289">
        <v>0</v>
      </c>
      <c r="L2289">
        <v>0</v>
      </c>
    </row>
    <row r="2290" spans="1:12">
      <c r="A2290" t="str">
        <f>HYPERLINK("http://bombeiros.sp.gov.br/hidrantes/03individual/3499.html","3499")</f>
        <v>3499</v>
      </c>
      <c r="B2290" t="str">
        <f>HYPERLINK("http://bombeiros.sp.gov.br/hidrantes/08bsg/qrcodeBSG.html?id=3499&amp;lat=-23.45501&amp;long=-46.65687&amp;tipo=C","QRCODE")</f>
        <v>QRCODE</v>
      </c>
      <c r="C2290" t="s">
        <v>5328</v>
      </c>
      <c r="D2290" t="s">
        <v>72</v>
      </c>
      <c r="E2290" t="s">
        <v>59</v>
      </c>
      <c r="F2290" t="s">
        <v>12</v>
      </c>
      <c r="G2290" t="s">
        <v>58</v>
      </c>
      <c r="H2290">
        <v>1</v>
      </c>
      <c r="I2290">
        <v>3</v>
      </c>
      <c r="J2290">
        <v>0</v>
      </c>
      <c r="K2290">
        <v>0</v>
      </c>
      <c r="L2290">
        <v>0</v>
      </c>
    </row>
    <row r="2291" spans="1:12">
      <c r="A2291" t="str">
        <f>HYPERLINK("http://bombeiros.sp.gov.br/hidrantes/03individual/3501.html","3501")</f>
        <v>3501</v>
      </c>
      <c r="B2291" t="str">
        <f>HYPERLINK("http://bombeiros.sp.gov.br/hidrantes/08bsg/qrcodeBSG.html?id=3501&amp;lat=-23.45641&amp;long=-46.65750&amp;tipo=C","QRCODE")</f>
        <v>QRCODE</v>
      </c>
      <c r="C2291" t="s">
        <v>5328</v>
      </c>
      <c r="D2291" t="s">
        <v>72</v>
      </c>
      <c r="E2291" t="s">
        <v>59</v>
      </c>
      <c r="F2291" t="s">
        <v>12</v>
      </c>
      <c r="G2291" t="s">
        <v>61</v>
      </c>
      <c r="H2291">
        <v>1</v>
      </c>
      <c r="I2291">
        <v>2</v>
      </c>
      <c r="J2291">
        <v>0</v>
      </c>
      <c r="K2291">
        <v>0</v>
      </c>
      <c r="L2291">
        <v>0</v>
      </c>
    </row>
    <row r="2292" spans="1:12">
      <c r="A2292" t="str">
        <f>HYPERLINK("http://bombeiros.sp.gov.br/hidrantes/03individual/3504.html","3504")</f>
        <v>3504</v>
      </c>
      <c r="B2292" t="str">
        <f>HYPERLINK("http://bombeiros.sp.gov.br/hidrantes/08bsg/qrcodeBSG.html?id=3504&amp;lat=-23.45587&amp;long=-46.65935&amp;tipo=C","QRCODE")</f>
        <v>QRCODE</v>
      </c>
      <c r="C2292" t="s">
        <v>5328</v>
      </c>
      <c r="D2292" t="s">
        <v>72</v>
      </c>
      <c r="E2292" t="s">
        <v>59</v>
      </c>
      <c r="F2292" t="s">
        <v>12</v>
      </c>
      <c r="G2292" t="s">
        <v>3311</v>
      </c>
      <c r="H2292">
        <v>1</v>
      </c>
      <c r="I2292">
        <v>1</v>
      </c>
      <c r="J2292">
        <v>0</v>
      </c>
      <c r="K2292">
        <v>0</v>
      </c>
      <c r="L2292">
        <v>0</v>
      </c>
    </row>
    <row r="2293" spans="1:12">
      <c r="A2293" t="str">
        <f>HYPERLINK("http://bombeiros.sp.gov.br/hidrantes/03individual/15060.html","15060")</f>
        <v>15060</v>
      </c>
      <c r="B2293" t="str">
        <f>HYPERLINK("http://bombeiros.sp.gov.br/hidrantes/08bsg/qrcodeBSG.html?id=15060&amp;lat=-23.45596&amp;long=-46.66776&amp;tipo=C","QRCODE")</f>
        <v>QRCODE</v>
      </c>
      <c r="C2293" t="s">
        <v>5328</v>
      </c>
      <c r="D2293" t="s">
        <v>72</v>
      </c>
      <c r="E2293" t="s">
        <v>59</v>
      </c>
      <c r="F2293" t="s">
        <v>12</v>
      </c>
      <c r="G2293" t="s">
        <v>5175</v>
      </c>
      <c r="H2293">
        <v>0</v>
      </c>
      <c r="I2293">
        <v>1</v>
      </c>
      <c r="J2293">
        <v>0</v>
      </c>
      <c r="K2293">
        <v>0</v>
      </c>
      <c r="L2293">
        <v>0</v>
      </c>
    </row>
    <row r="2294" spans="1:12">
      <c r="A2294" t="str">
        <f>HYPERLINK("http://bombeiros.sp.gov.br/hidrantes/03individual/15070.html","15070")</f>
        <v>15070</v>
      </c>
      <c r="B2294" t="str">
        <f>HYPERLINK("http://bombeiros.sp.gov.br/hidrantes/08bsg/qrcodeBSG.html?id=15070&amp;lat=-23.45975&amp;long=-46.67303&amp;tipo=C","QRCODE")</f>
        <v>QRCODE</v>
      </c>
      <c r="C2294" t="s">
        <v>5328</v>
      </c>
      <c r="D2294" t="s">
        <v>72</v>
      </c>
      <c r="E2294" t="s">
        <v>59</v>
      </c>
      <c r="F2294" t="s">
        <v>12</v>
      </c>
      <c r="G2294" t="s">
        <v>4818</v>
      </c>
      <c r="H2294">
        <v>0</v>
      </c>
      <c r="I2294">
        <v>2</v>
      </c>
      <c r="J2294">
        <v>0</v>
      </c>
      <c r="K2294">
        <v>0</v>
      </c>
      <c r="L2294">
        <v>0</v>
      </c>
    </row>
    <row r="2295" spans="1:12">
      <c r="A2295" t="str">
        <f>HYPERLINK("http://bombeiros.sp.gov.br/hidrantes/03individual/940.html","940")</f>
        <v>940</v>
      </c>
      <c r="B2295" t="str">
        <f>HYPERLINK("http://bombeiros.sp.gov.br/hidrantes/08bsg/qrcodeBSG.html?id=940&amp;lat=-23.46674&amp;long=-46.66909&amp;tipo=S","QRCODE")</f>
        <v>QRCODE</v>
      </c>
      <c r="C2295" t="s">
        <v>5328</v>
      </c>
      <c r="D2295" t="s">
        <v>72</v>
      </c>
      <c r="E2295" t="s">
        <v>59</v>
      </c>
      <c r="F2295" t="s">
        <v>21</v>
      </c>
      <c r="G2295" t="s">
        <v>5333</v>
      </c>
      <c r="H2295">
        <v>0</v>
      </c>
      <c r="I2295">
        <v>0</v>
      </c>
      <c r="J2295">
        <v>0</v>
      </c>
      <c r="K2295">
        <v>0</v>
      </c>
      <c r="L2295">
        <v>0</v>
      </c>
    </row>
    <row r="2296" spans="1:12">
      <c r="A2296" t="str">
        <f>HYPERLINK("http://bombeiros.sp.gov.br/hidrantes/03individual/1281.html","1281")</f>
        <v>1281</v>
      </c>
      <c r="B2296" t="str">
        <f>HYPERLINK("http://bombeiros.sp.gov.br/hidrantes/08bsg/qrcodeBSG.html?id=1281&amp;lat=-23.45962&amp;long=-46.65907&amp;tipo=S","QRCODE")</f>
        <v>QRCODE</v>
      </c>
      <c r="C2296" t="s">
        <v>5328</v>
      </c>
      <c r="D2296" t="s">
        <v>72</v>
      </c>
      <c r="E2296" t="s">
        <v>59</v>
      </c>
      <c r="F2296" t="s">
        <v>21</v>
      </c>
      <c r="G2296" t="s">
        <v>3300</v>
      </c>
      <c r="H2296">
        <v>0</v>
      </c>
      <c r="I2296">
        <v>2</v>
      </c>
      <c r="J2296">
        <v>0</v>
      </c>
      <c r="K2296">
        <v>0</v>
      </c>
      <c r="L2296">
        <v>0</v>
      </c>
    </row>
    <row r="2297" spans="1:12">
      <c r="A2297" t="str">
        <f>HYPERLINK("http://bombeiros.sp.gov.br/hidrantes/03individual/3803.html","3803")</f>
        <v>3803</v>
      </c>
      <c r="B2297" t="str">
        <f>HYPERLINK("http://bombeiros.sp.gov.br/hidrantes/08bsg/qrcodeBSG.html?id=3803&amp;lat=-23.46279&amp;long=-46.65662&amp;tipo=S","QRCODE")</f>
        <v>QRCODE</v>
      </c>
      <c r="C2297" t="s">
        <v>5328</v>
      </c>
      <c r="D2297" t="s">
        <v>72</v>
      </c>
      <c r="E2297" t="s">
        <v>59</v>
      </c>
      <c r="F2297" t="s">
        <v>21</v>
      </c>
      <c r="G2297" t="s">
        <v>4998</v>
      </c>
      <c r="H2297">
        <v>0</v>
      </c>
      <c r="I2297">
        <v>1</v>
      </c>
      <c r="J2297">
        <v>0</v>
      </c>
      <c r="K2297">
        <v>0</v>
      </c>
      <c r="L2297">
        <v>0</v>
      </c>
    </row>
    <row r="2298" spans="1:12">
      <c r="A2298" t="str">
        <f>HYPERLINK("http://bombeiros.sp.gov.br/hidrantes/03individual/5599.html","5599")</f>
        <v>5599</v>
      </c>
      <c r="B2298" t="str">
        <f>HYPERLINK("http://bombeiros.sp.gov.br/hidrantes/08bsg/qrcodeBSG.html?id=5599&amp;lat=-23.51227&amp;long=-46.66618&amp;tipo=C","QRCODE")</f>
        <v>QRCODE</v>
      </c>
      <c r="C2298" t="s">
        <v>5328</v>
      </c>
      <c r="D2298" t="s">
        <v>1411</v>
      </c>
      <c r="E2298" t="s">
        <v>1411</v>
      </c>
      <c r="F2298" t="s">
        <v>12</v>
      </c>
      <c r="G2298" t="s">
        <v>1893</v>
      </c>
      <c r="H2298">
        <v>0</v>
      </c>
      <c r="I2298">
        <v>2</v>
      </c>
      <c r="J2298">
        <v>0</v>
      </c>
      <c r="K2298">
        <v>0</v>
      </c>
      <c r="L2298">
        <v>0</v>
      </c>
    </row>
    <row r="2299" spans="1:12">
      <c r="A2299" t="str">
        <f>HYPERLINK("http://bombeiros.sp.gov.br/hidrantes/03individual/750.html","750")</f>
        <v>750</v>
      </c>
      <c r="B2299" t="str">
        <f>HYPERLINK("http://bombeiros.sp.gov.br/hidrantes/08bsg/qrcodeBSG.html?id=750&amp;lat=-23.50459&amp;long=-46.65409&amp;tipo=S","QRCODE")</f>
        <v>QRCODE</v>
      </c>
      <c r="C2299" t="s">
        <v>5328</v>
      </c>
      <c r="D2299" t="s">
        <v>1411</v>
      </c>
      <c r="E2299" t="s">
        <v>1411</v>
      </c>
      <c r="F2299" t="s">
        <v>21</v>
      </c>
      <c r="G2299" t="s">
        <v>2677</v>
      </c>
      <c r="H2299">
        <v>0</v>
      </c>
      <c r="I2299">
        <v>2</v>
      </c>
      <c r="J2299">
        <v>0</v>
      </c>
      <c r="K2299">
        <v>0</v>
      </c>
      <c r="L2299">
        <v>0</v>
      </c>
    </row>
    <row r="2300" spans="1:12">
      <c r="A2300" t="str">
        <f>HYPERLINK("http://bombeiros.sp.gov.br/hidrantes/03individual/916.html","916")</f>
        <v>916</v>
      </c>
      <c r="B2300" t="str">
        <f>HYPERLINK("http://bombeiros.sp.gov.br/hidrantes/08bsg/qrcodeBSG.html?id=916&amp;lat=-23.50913&amp;long=-46.65455&amp;tipo=S","QRCODE")</f>
        <v>QRCODE</v>
      </c>
      <c r="C2300" t="s">
        <v>5328</v>
      </c>
      <c r="D2300" t="s">
        <v>1411</v>
      </c>
      <c r="E2300" t="s">
        <v>1411</v>
      </c>
      <c r="F2300" t="s">
        <v>21</v>
      </c>
      <c r="G2300" t="s">
        <v>1965</v>
      </c>
      <c r="H2300">
        <v>0</v>
      </c>
      <c r="I2300">
        <v>2</v>
      </c>
      <c r="J2300">
        <v>0</v>
      </c>
      <c r="K2300">
        <v>0</v>
      </c>
      <c r="L2300">
        <v>0</v>
      </c>
    </row>
    <row r="2301" spans="1:12">
      <c r="A2301" t="str">
        <f>HYPERLINK("http://bombeiros.sp.gov.br/hidrantes/03individual/947.html","947")</f>
        <v>947</v>
      </c>
      <c r="B2301" t="str">
        <f>HYPERLINK("http://bombeiros.sp.gov.br/hidrantes/08bsg/qrcodeBSG.html?id=947&amp;lat=-23.50692&amp;long=-46.66887&amp;tipo=S","QRCODE")</f>
        <v>QRCODE</v>
      </c>
      <c r="C2301" t="s">
        <v>5328</v>
      </c>
      <c r="D2301" t="s">
        <v>1411</v>
      </c>
      <c r="E2301" t="s">
        <v>1411</v>
      </c>
      <c r="F2301" t="s">
        <v>21</v>
      </c>
      <c r="G2301" t="s">
        <v>1410</v>
      </c>
      <c r="H2301">
        <v>0</v>
      </c>
      <c r="I2301">
        <v>3</v>
      </c>
      <c r="J2301">
        <v>0</v>
      </c>
      <c r="K2301">
        <v>0</v>
      </c>
      <c r="L2301">
        <v>0</v>
      </c>
    </row>
    <row r="2302" spans="1:12">
      <c r="A2302" t="str">
        <f>HYPERLINK("http://bombeiros.sp.gov.br/hidrantes/03individual/1064.html","1064")</f>
        <v>1064</v>
      </c>
      <c r="B2302" t="str">
        <f>HYPERLINK("http://bombeiros.sp.gov.br/hidrantes/08bsg/qrcodeBSG.html?id=1064&amp;lat=-23.51075&amp;long=-46.65738&amp;tipo=S","QRCODE")</f>
        <v>QRCODE</v>
      </c>
      <c r="C2302" t="s">
        <v>5328</v>
      </c>
      <c r="D2302" t="s">
        <v>1411</v>
      </c>
      <c r="E2302" t="s">
        <v>1411</v>
      </c>
      <c r="F2302" t="s">
        <v>21</v>
      </c>
      <c r="G2302" t="s">
        <v>2680</v>
      </c>
      <c r="H2302">
        <v>0</v>
      </c>
      <c r="I2302">
        <v>2</v>
      </c>
      <c r="J2302">
        <v>0</v>
      </c>
      <c r="K2302">
        <v>0</v>
      </c>
      <c r="L2302">
        <v>0</v>
      </c>
    </row>
    <row r="2303" spans="1:12">
      <c r="A2303" t="str">
        <f>HYPERLINK("http://bombeiros.sp.gov.br/hidrantes/03individual/1105.html","1105")</f>
        <v>1105</v>
      </c>
      <c r="B2303" t="str">
        <f>HYPERLINK("http://bombeiros.sp.gov.br/hidrantes/08bsg/qrcodeBSG.html?id=1105&amp;lat=-23.50970&amp;long=-46.65946&amp;tipo=S","QRCODE")</f>
        <v>QRCODE</v>
      </c>
      <c r="C2303" t="s">
        <v>5328</v>
      </c>
      <c r="D2303" t="s">
        <v>1411</v>
      </c>
      <c r="E2303" t="s">
        <v>1411</v>
      </c>
      <c r="F2303" t="s">
        <v>21</v>
      </c>
      <c r="G2303" t="s">
        <v>2643</v>
      </c>
      <c r="H2303">
        <v>0</v>
      </c>
      <c r="I2303">
        <v>2</v>
      </c>
      <c r="J2303">
        <v>0</v>
      </c>
      <c r="K2303">
        <v>0</v>
      </c>
      <c r="L2303">
        <v>0</v>
      </c>
    </row>
    <row r="2304" spans="1:12">
      <c r="A2304" t="str">
        <f>HYPERLINK("http://bombeiros.sp.gov.br/hidrantes/03individual/1121.html","1121")</f>
        <v>1121</v>
      </c>
      <c r="B2304" t="str">
        <f>HYPERLINK("http://bombeiros.sp.gov.br/hidrantes/08bsg/qrcodeBSG.html?id=1121&amp;lat=-23.51449&amp;long=-46.66086&amp;tipo=S","QRCODE")</f>
        <v>QRCODE</v>
      </c>
      <c r="C2304" t="s">
        <v>5328</v>
      </c>
      <c r="D2304" t="s">
        <v>1411</v>
      </c>
      <c r="E2304" t="s">
        <v>1411</v>
      </c>
      <c r="F2304" t="s">
        <v>21</v>
      </c>
      <c r="G2304" t="s">
        <v>2642</v>
      </c>
      <c r="H2304">
        <v>0</v>
      </c>
      <c r="I2304">
        <v>2</v>
      </c>
      <c r="J2304">
        <v>0</v>
      </c>
      <c r="K2304">
        <v>0</v>
      </c>
      <c r="L2304">
        <v>0</v>
      </c>
    </row>
    <row r="2305" spans="1:12">
      <c r="A2305" t="str">
        <f>HYPERLINK("http://bombeiros.sp.gov.br/hidrantes/03individual/1132.html","1132")</f>
        <v>1132</v>
      </c>
      <c r="B2305" t="str">
        <f>HYPERLINK("http://bombeiros.sp.gov.br/hidrantes/08bsg/qrcodeBSG.html?id=1132&amp;lat=-23.50351&amp;long=-46.66688&amp;tipo=S","QRCODE")</f>
        <v>QRCODE</v>
      </c>
      <c r="C2305" t="s">
        <v>5328</v>
      </c>
      <c r="D2305" t="s">
        <v>1411</v>
      </c>
      <c r="E2305" t="s">
        <v>1411</v>
      </c>
      <c r="F2305" t="s">
        <v>21</v>
      </c>
      <c r="G2305" t="s">
        <v>1984</v>
      </c>
      <c r="H2305">
        <v>0</v>
      </c>
      <c r="I2305">
        <v>2</v>
      </c>
      <c r="J2305">
        <v>0</v>
      </c>
      <c r="K2305">
        <v>0</v>
      </c>
      <c r="L2305">
        <v>0</v>
      </c>
    </row>
    <row r="2306" spans="1:12">
      <c r="A2306" t="str">
        <f>HYPERLINK("http://bombeiros.sp.gov.br/hidrantes/03individual/1151.html","1151")</f>
        <v>1151</v>
      </c>
      <c r="B2306" t="str">
        <f>HYPERLINK("http://bombeiros.sp.gov.br/hidrantes/08bsg/qrcodeBSG.html?id=1151&amp;lat=-23.51262&amp;long=-46.65643&amp;tipo=S","QRCODE")</f>
        <v>QRCODE</v>
      </c>
      <c r="C2306" t="s">
        <v>5328</v>
      </c>
      <c r="D2306" t="s">
        <v>1411</v>
      </c>
      <c r="E2306" t="s">
        <v>1411</v>
      </c>
      <c r="F2306" t="s">
        <v>21</v>
      </c>
      <c r="G2306" t="s">
        <v>1901</v>
      </c>
      <c r="H2306">
        <v>0</v>
      </c>
      <c r="I2306">
        <v>2</v>
      </c>
      <c r="J2306">
        <v>0</v>
      </c>
      <c r="K2306">
        <v>0</v>
      </c>
      <c r="L2306">
        <v>0</v>
      </c>
    </row>
    <row r="2307" spans="1:12">
      <c r="A2307" t="str">
        <f>HYPERLINK("http://bombeiros.sp.gov.br/hidrantes/03individual/1194.html","1194")</f>
        <v>1194</v>
      </c>
      <c r="B2307" t="str">
        <f>HYPERLINK("http://bombeiros.sp.gov.br/hidrantes/08bsg/qrcodeBSG.html?id=1194&amp;lat=-23.50098&amp;long=-46.65778&amp;tipo=S","QRCODE")</f>
        <v>QRCODE</v>
      </c>
      <c r="C2307" t="s">
        <v>5328</v>
      </c>
      <c r="D2307" t="s">
        <v>1411</v>
      </c>
      <c r="E2307" t="s">
        <v>1411</v>
      </c>
      <c r="F2307" t="s">
        <v>21</v>
      </c>
      <c r="G2307" t="s">
        <v>2645</v>
      </c>
      <c r="H2307">
        <v>0</v>
      </c>
      <c r="I2307">
        <v>2</v>
      </c>
      <c r="J2307">
        <v>0</v>
      </c>
      <c r="K2307">
        <v>0</v>
      </c>
      <c r="L2307">
        <v>0</v>
      </c>
    </row>
    <row r="2308" spans="1:12">
      <c r="A2308" t="str">
        <f>HYPERLINK("http://bombeiros.sp.gov.br/hidrantes/03individual/1196.html","1196")</f>
        <v>1196</v>
      </c>
      <c r="B2308" t="str">
        <f>HYPERLINK("http://bombeiros.sp.gov.br/hidrantes/08bsg/qrcodeBSG.html?id=1196&amp;lat=-23.49959&amp;long=-46.66162&amp;tipo=S","QRCODE")</f>
        <v>QRCODE</v>
      </c>
      <c r="C2308" t="s">
        <v>5328</v>
      </c>
      <c r="D2308" t="s">
        <v>1411</v>
      </c>
      <c r="E2308" t="s">
        <v>1411</v>
      </c>
      <c r="F2308" t="s">
        <v>21</v>
      </c>
      <c r="G2308" t="s">
        <v>3550</v>
      </c>
      <c r="H2308">
        <v>1</v>
      </c>
      <c r="I2308">
        <v>1</v>
      </c>
      <c r="J2308">
        <v>0</v>
      </c>
      <c r="K2308">
        <v>0</v>
      </c>
      <c r="L2308">
        <v>0</v>
      </c>
    </row>
    <row r="2309" spans="1:12">
      <c r="A2309" t="str">
        <f>HYPERLINK("http://bombeiros.sp.gov.br/hidrantes/03individual/1197.html","1197")</f>
        <v>1197</v>
      </c>
      <c r="B2309" t="str">
        <f>HYPERLINK("http://bombeiros.sp.gov.br/hidrantes/08bsg/qrcodeBSG.html?id=1197&amp;lat=-23.50453&amp;long=-46.66266&amp;tipo=S","QRCODE")</f>
        <v>QRCODE</v>
      </c>
      <c r="C2309" t="s">
        <v>5328</v>
      </c>
      <c r="D2309" t="s">
        <v>1411</v>
      </c>
      <c r="E2309" t="s">
        <v>1411</v>
      </c>
      <c r="F2309" t="s">
        <v>21</v>
      </c>
      <c r="G2309" t="s">
        <v>1983</v>
      </c>
      <c r="H2309">
        <v>0</v>
      </c>
      <c r="I2309">
        <v>2</v>
      </c>
      <c r="J2309">
        <v>0</v>
      </c>
      <c r="K2309">
        <v>0</v>
      </c>
      <c r="L2309">
        <v>0</v>
      </c>
    </row>
    <row r="2310" spans="1:12">
      <c r="A2310" t="str">
        <f>HYPERLINK("http://bombeiros.sp.gov.br/hidrantes/03individual/1292.html","1292")</f>
        <v>1292</v>
      </c>
      <c r="B2310" t="str">
        <f>HYPERLINK("http://bombeiros.sp.gov.br/hidrantes/08bsg/qrcodeBSG.html?id=1292&amp;lat=-23.50394&amp;long=-46.66447&amp;tipo=S","QRCODE")</f>
        <v>QRCODE</v>
      </c>
      <c r="C2310" t="s">
        <v>5328</v>
      </c>
      <c r="D2310" t="s">
        <v>1411</v>
      </c>
      <c r="E2310" t="s">
        <v>1411</v>
      </c>
      <c r="F2310" t="s">
        <v>21</v>
      </c>
      <c r="G2310" t="s">
        <v>3555</v>
      </c>
      <c r="H2310">
        <v>1</v>
      </c>
      <c r="I2310">
        <v>1</v>
      </c>
      <c r="J2310">
        <v>0</v>
      </c>
      <c r="K2310">
        <v>0</v>
      </c>
      <c r="L2310">
        <v>0</v>
      </c>
    </row>
    <row r="2311" spans="1:12">
      <c r="A2311" t="str">
        <f>HYPERLINK("http://bombeiros.sp.gov.br/hidrantes/03individual/1293.html","1293")</f>
        <v>1293</v>
      </c>
      <c r="B2311" t="str">
        <f>HYPERLINK("http://bombeiros.sp.gov.br/hidrantes/08bsg/qrcodeBSG.html?id=1293&amp;lat=-23.50682&amp;long=-46.65490&amp;tipo=S","QRCODE")</f>
        <v>QRCODE</v>
      </c>
      <c r="C2311" t="s">
        <v>5328</v>
      </c>
      <c r="D2311" t="s">
        <v>1411</v>
      </c>
      <c r="E2311" t="s">
        <v>1411</v>
      </c>
      <c r="F2311" t="s">
        <v>21</v>
      </c>
      <c r="G2311" t="s">
        <v>1979</v>
      </c>
      <c r="H2311">
        <v>0</v>
      </c>
      <c r="I2311">
        <v>2</v>
      </c>
      <c r="J2311">
        <v>0</v>
      </c>
      <c r="K2311">
        <v>0</v>
      </c>
      <c r="L2311">
        <v>0</v>
      </c>
    </row>
    <row r="2312" spans="1:12">
      <c r="A2312" t="str">
        <f>HYPERLINK("http://bombeiros.sp.gov.br/hidrantes/03individual/1889.html","1889")</f>
        <v>1889</v>
      </c>
      <c r="B2312" t="str">
        <f>HYPERLINK("http://bombeiros.sp.gov.br/hidrantes/08bsg/qrcodeBSG.html?id=1889&amp;lat=-23.50629&amp;long=-46.66623&amp;tipo=S","QRCODE")</f>
        <v>QRCODE</v>
      </c>
      <c r="C2312" t="s">
        <v>5328</v>
      </c>
      <c r="D2312" t="s">
        <v>1411</v>
      </c>
      <c r="E2312" t="s">
        <v>1411</v>
      </c>
      <c r="F2312" t="s">
        <v>21</v>
      </c>
      <c r="G2312" t="s">
        <v>1974</v>
      </c>
      <c r="H2312">
        <v>0</v>
      </c>
      <c r="I2312">
        <v>2</v>
      </c>
      <c r="J2312">
        <v>0</v>
      </c>
      <c r="K2312">
        <v>0</v>
      </c>
      <c r="L2312">
        <v>0</v>
      </c>
    </row>
    <row r="2313" spans="1:12">
      <c r="A2313" t="str">
        <f>HYPERLINK("http://bombeiros.sp.gov.br/hidrantes/03individual/1915.html","1915")</f>
        <v>1915</v>
      </c>
      <c r="B2313" t="str">
        <f>HYPERLINK("http://bombeiros.sp.gov.br/hidrantes/08bsg/qrcodeBSG.html?id=1915&amp;lat=-23.51147&amp;long=-46.66644&amp;tipo=S","QRCODE")</f>
        <v>QRCODE</v>
      </c>
      <c r="C2313" t="s">
        <v>5328</v>
      </c>
      <c r="D2313" t="s">
        <v>1411</v>
      </c>
      <c r="E2313" t="s">
        <v>1411</v>
      </c>
      <c r="F2313" t="s">
        <v>21</v>
      </c>
      <c r="G2313" t="s">
        <v>1923</v>
      </c>
      <c r="H2313">
        <v>0</v>
      </c>
      <c r="I2313">
        <v>2</v>
      </c>
      <c r="J2313">
        <v>0</v>
      </c>
      <c r="K2313">
        <v>0</v>
      </c>
      <c r="L2313">
        <v>0</v>
      </c>
    </row>
    <row r="2314" spans="1:12">
      <c r="A2314" t="str">
        <f>HYPERLINK("http://bombeiros.sp.gov.br/hidrantes/03individual/2117.html","2117")</f>
        <v>2117</v>
      </c>
      <c r="B2314" t="str">
        <f>HYPERLINK("http://bombeiros.sp.gov.br/hidrantes/08bsg/qrcodeBSG.html?id=2117&amp;lat=-23.50868&amp;long=-46.65704&amp;tipo=S","QRCODE")</f>
        <v>QRCODE</v>
      </c>
      <c r="C2314" t="s">
        <v>5328</v>
      </c>
      <c r="D2314" t="s">
        <v>1411</v>
      </c>
      <c r="E2314" t="s">
        <v>1411</v>
      </c>
      <c r="F2314" t="s">
        <v>21</v>
      </c>
      <c r="G2314" t="s">
        <v>1970</v>
      </c>
      <c r="H2314">
        <v>0</v>
      </c>
      <c r="I2314">
        <v>2</v>
      </c>
      <c r="J2314">
        <v>0</v>
      </c>
      <c r="K2314">
        <v>0</v>
      </c>
      <c r="L2314">
        <v>0</v>
      </c>
    </row>
    <row r="2315" spans="1:12">
      <c r="A2315" t="str">
        <f>HYPERLINK("http://bombeiros.sp.gov.br/hidrantes/03individual/2168.html","2168")</f>
        <v>2168</v>
      </c>
      <c r="B2315" t="str">
        <f>HYPERLINK("http://bombeiros.sp.gov.br/hidrantes/08bsg/qrcodeBSG.html?id=2168&amp;lat=-23.50515&amp;long=-46.66142&amp;tipo=S","QRCODE")</f>
        <v>QRCODE</v>
      </c>
      <c r="C2315" t="s">
        <v>5328</v>
      </c>
      <c r="D2315" t="s">
        <v>1411</v>
      </c>
      <c r="E2315" t="s">
        <v>1411</v>
      </c>
      <c r="F2315" t="s">
        <v>21</v>
      </c>
      <c r="G2315" t="s">
        <v>1433</v>
      </c>
      <c r="H2315">
        <v>1</v>
      </c>
      <c r="I2315">
        <v>3</v>
      </c>
      <c r="J2315">
        <v>0</v>
      </c>
      <c r="K2315">
        <v>0</v>
      </c>
      <c r="L2315">
        <v>0</v>
      </c>
    </row>
    <row r="2316" spans="1:12">
      <c r="A2316" t="str">
        <f>HYPERLINK("http://bombeiros.sp.gov.br/hidrantes/03individual/17657.html","17657")</f>
        <v>17657</v>
      </c>
      <c r="B2316" t="str">
        <f>HYPERLINK("http://bombeiros.sp.gov.br/hidrantes/08bsg/qrcodeBSG.html?id=17657&amp;lat=-23.50581&amp;long=-46.66343&amp;tipo=S","QRCODE")</f>
        <v>QRCODE</v>
      </c>
      <c r="C2316" t="s">
        <v>5328</v>
      </c>
      <c r="D2316" t="s">
        <v>1411</v>
      </c>
      <c r="E2316" t="s">
        <v>1411</v>
      </c>
      <c r="F2316" t="s">
        <v>21</v>
      </c>
      <c r="G2316" t="s">
        <v>3773</v>
      </c>
      <c r="H2316">
        <v>0</v>
      </c>
      <c r="I2316">
        <v>2</v>
      </c>
      <c r="J2316">
        <v>0</v>
      </c>
      <c r="K2316">
        <v>0</v>
      </c>
      <c r="L2316">
        <v>0</v>
      </c>
    </row>
    <row r="2317" spans="1:12">
      <c r="A2317" t="str">
        <f>HYPERLINK("http://bombeiros.sp.gov.br/hidrantes/03individual/17658.html","17658")</f>
        <v>17658</v>
      </c>
      <c r="B2317" t="str">
        <f>HYPERLINK("http://bombeiros.sp.gov.br/hidrantes/08bsg/qrcodeBSG.html?id=17658&amp;lat=-23.50036&amp;long=-46.65712&amp;tipo=S","QRCODE")</f>
        <v>QRCODE</v>
      </c>
      <c r="C2317" t="s">
        <v>5328</v>
      </c>
      <c r="D2317" t="s">
        <v>1411</v>
      </c>
      <c r="E2317" t="s">
        <v>1411</v>
      </c>
      <c r="F2317" t="s">
        <v>21</v>
      </c>
      <c r="G2317" t="s">
        <v>2016</v>
      </c>
      <c r="H2317">
        <v>0</v>
      </c>
      <c r="I2317">
        <v>3</v>
      </c>
      <c r="J2317">
        <v>0</v>
      </c>
      <c r="K2317">
        <v>0</v>
      </c>
      <c r="L2317">
        <v>0</v>
      </c>
    </row>
    <row r="2318" spans="1:12">
      <c r="A2318" t="str">
        <f>HYPERLINK("http://bombeiros.sp.gov.br/hidrantes/03individual/17916.html","17916")</f>
        <v>17916</v>
      </c>
      <c r="B2318" t="str">
        <f>HYPERLINK("http://bombeiros.sp.gov.br/hidrantes/08bsg/qrcodeBSG.html?id=17916&amp;lat=-23.51354&amp;long=-46.67061&amp;tipo=S","QRCODE")</f>
        <v>QRCODE</v>
      </c>
      <c r="C2318" t="s">
        <v>5328</v>
      </c>
      <c r="D2318" t="s">
        <v>1411</v>
      </c>
      <c r="E2318" t="s">
        <v>1411</v>
      </c>
      <c r="F2318" t="s">
        <v>21</v>
      </c>
      <c r="G2318" t="s">
        <v>3788</v>
      </c>
      <c r="H2318">
        <v>0</v>
      </c>
      <c r="I2318">
        <v>1</v>
      </c>
      <c r="J2318">
        <v>0</v>
      </c>
      <c r="K2318">
        <v>0</v>
      </c>
      <c r="L2318">
        <v>0</v>
      </c>
    </row>
    <row r="2319" spans="1:12">
      <c r="A2319" t="str">
        <f>HYPERLINK("http://bombeiros.sp.gov.br/hidrantes/03individual/24121.html","24121")</f>
        <v>24121</v>
      </c>
      <c r="B2319" t="str">
        <f>HYPERLINK("http://bombeiros.sp.gov.br/hidrantes/08bsg/qrcodeBSG.html?id=24121&amp;lat=-23.51270&amp;long=-46.65657&amp;tipo=S","QRCODE")</f>
        <v>QRCODE</v>
      </c>
      <c r="C2319" t="s">
        <v>5328</v>
      </c>
      <c r="D2319" t="s">
        <v>1411</v>
      </c>
      <c r="E2319" t="s">
        <v>1411</v>
      </c>
      <c r="F2319" t="s">
        <v>21</v>
      </c>
      <c r="G2319" t="s">
        <v>1847</v>
      </c>
      <c r="H2319">
        <v>0</v>
      </c>
      <c r="I2319">
        <v>2</v>
      </c>
      <c r="J2319">
        <v>0</v>
      </c>
      <c r="K2319">
        <v>0</v>
      </c>
      <c r="L2319">
        <v>0</v>
      </c>
    </row>
    <row r="2320" spans="1:12">
      <c r="A2320" t="str">
        <f>HYPERLINK("http://bombeiros.sp.gov.br/hidrantes/03individual/27107.html","27107")</f>
        <v>27107</v>
      </c>
      <c r="B2320" t="str">
        <f>HYPERLINK("http://bombeiros.sp.gov.br/hidrantes/08bsg/qrcodeBSG.html?id=27107&amp;lat=-23.50801&amp;long=-46.66532&amp;tipo=S","QRCODE")</f>
        <v>QRCODE</v>
      </c>
      <c r="C2320" t="s">
        <v>5328</v>
      </c>
      <c r="D2320" t="s">
        <v>1411</v>
      </c>
      <c r="E2320" t="s">
        <v>1411</v>
      </c>
      <c r="F2320" t="s">
        <v>21</v>
      </c>
      <c r="G2320" t="s">
        <v>5334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>
      <c r="A2321" t="str">
        <f>HYPERLINK("http://bombeiros.sp.gov.br/hidrantes/03individual/27108.html","27108")</f>
        <v>27108</v>
      </c>
      <c r="B2321" t="str">
        <f>HYPERLINK("http://bombeiros.sp.gov.br/hidrantes/08bsg/qrcodeBSG.html?id=27108&amp;lat=-23.50724&amp;long=-46.66706&amp;tipo=S","QRCODE")</f>
        <v>QRCODE</v>
      </c>
      <c r="C2321" t="s">
        <v>5328</v>
      </c>
      <c r="D2321" t="s">
        <v>1411</v>
      </c>
      <c r="E2321" t="s">
        <v>1411</v>
      </c>
      <c r="F2321" t="s">
        <v>21</v>
      </c>
      <c r="G2321" t="s">
        <v>3789</v>
      </c>
      <c r="H2321">
        <v>0</v>
      </c>
      <c r="I2321">
        <v>1</v>
      </c>
      <c r="J2321">
        <v>0</v>
      </c>
      <c r="K2321">
        <v>0</v>
      </c>
      <c r="L2321">
        <v>0</v>
      </c>
    </row>
    <row r="2322" spans="1:12">
      <c r="A2322" t="str">
        <f>HYPERLINK("http://bombeiros.sp.gov.br/hidrantes/03individual/27109.html","27109")</f>
        <v>27109</v>
      </c>
      <c r="B2322" t="str">
        <f>HYPERLINK("http://bombeiros.sp.gov.br/hidrantes/08bsg/qrcodeBSG.html?id=27109&amp;lat=-23.49806&amp;long=-46.66234&amp;tipo=S","QRCODE")</f>
        <v>QRCODE</v>
      </c>
      <c r="C2322" t="s">
        <v>5328</v>
      </c>
      <c r="D2322" t="s">
        <v>1411</v>
      </c>
      <c r="E2322" t="s">
        <v>1411</v>
      </c>
      <c r="F2322" t="s">
        <v>21</v>
      </c>
      <c r="G2322" t="s">
        <v>3790</v>
      </c>
      <c r="H2322">
        <v>0</v>
      </c>
      <c r="I2322">
        <v>1</v>
      </c>
      <c r="J2322">
        <v>0</v>
      </c>
      <c r="K2322">
        <v>0</v>
      </c>
      <c r="L2322">
        <v>0</v>
      </c>
    </row>
    <row r="2323" spans="1:12">
      <c r="A2323" t="str">
        <f>HYPERLINK("http://bombeiros.sp.gov.br/hidrantes/03individual/27154.html","27154")</f>
        <v>27154</v>
      </c>
      <c r="B2323" t="str">
        <f>HYPERLINK("http://bombeiros.sp.gov.br/hidrantes/08bsg/qrcodeBSG.html?id=27154&amp;lat=-23.51413&amp;long=-46.65898&amp;tipo=S","QRCODE")</f>
        <v>QRCODE</v>
      </c>
      <c r="C2323" t="s">
        <v>5328</v>
      </c>
      <c r="D2323" t="s">
        <v>1411</v>
      </c>
      <c r="E2323" t="s">
        <v>1411</v>
      </c>
      <c r="F2323" t="s">
        <v>21</v>
      </c>
      <c r="G2323" t="s">
        <v>5335</v>
      </c>
      <c r="H2323">
        <v>0</v>
      </c>
      <c r="I2323">
        <v>0</v>
      </c>
      <c r="J2323">
        <v>0</v>
      </c>
      <c r="K2323">
        <v>0</v>
      </c>
      <c r="L2323">
        <v>0</v>
      </c>
    </row>
    <row r="2324" spans="1:12">
      <c r="A2324" t="str">
        <f>HYPERLINK("http://bombeiros.sp.gov.br/hidrantes/03individual/27155.html","27155")</f>
        <v>27155</v>
      </c>
      <c r="B2324" t="str">
        <f>HYPERLINK("http://bombeiros.sp.gov.br/hidrantes/08bsg/qrcodeBSG.html?id=27155&amp;lat=-23.51367&amp;long=-46.65378&amp;tipo=S","QRCODE")</f>
        <v>QRCODE</v>
      </c>
      <c r="C2324" t="s">
        <v>5328</v>
      </c>
      <c r="D2324" t="s">
        <v>1411</v>
      </c>
      <c r="E2324" t="s">
        <v>1411</v>
      </c>
      <c r="F2324" t="s">
        <v>21</v>
      </c>
      <c r="G2324" t="s">
        <v>5336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1:12">
      <c r="A2325" t="str">
        <f>HYPERLINK("http://bombeiros.sp.gov.br/hidrantes/03individual/27165.html","27165")</f>
        <v>27165</v>
      </c>
      <c r="B2325" t="str">
        <f>HYPERLINK("http://bombeiros.sp.gov.br/hidrantes/08bsg/qrcodeBSG.html?id=27165&amp;lat=-23.51314&amp;long=-46.66362&amp;tipo=S","QRCODE")</f>
        <v>QRCODE</v>
      </c>
      <c r="C2325" t="s">
        <v>5328</v>
      </c>
      <c r="D2325" t="s">
        <v>1411</v>
      </c>
      <c r="E2325" t="s">
        <v>1411</v>
      </c>
      <c r="F2325" t="s">
        <v>21</v>
      </c>
      <c r="G2325" t="s">
        <v>5337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>
      <c r="A2326" t="str">
        <f>HYPERLINK("http://bombeiros.sp.gov.br/hidrantes/03individual/27166.html","27166")</f>
        <v>27166</v>
      </c>
      <c r="B2326" t="str">
        <f>HYPERLINK("http://bombeiros.sp.gov.br/hidrantes/08bsg/qrcodeBSG.html?id=27166&amp;lat=-23.50817&amp;long=-46.66921&amp;tipo=S","QRCODE")</f>
        <v>QRCODE</v>
      </c>
      <c r="C2326" t="s">
        <v>5328</v>
      </c>
      <c r="D2326" t="s">
        <v>1411</v>
      </c>
      <c r="E2326" t="s">
        <v>1411</v>
      </c>
      <c r="F2326" t="s">
        <v>21</v>
      </c>
      <c r="G2326" t="s">
        <v>5338</v>
      </c>
      <c r="H2326">
        <v>0</v>
      </c>
      <c r="I2326">
        <v>0</v>
      </c>
      <c r="J2326">
        <v>0</v>
      </c>
      <c r="K2326">
        <v>0</v>
      </c>
      <c r="L2326">
        <v>0</v>
      </c>
    </row>
    <row r="2327" spans="1:12">
      <c r="A2327" t="str">
        <f>HYPERLINK("http://bombeiros.sp.gov.br/hidrantes/03individual/745.html","745")</f>
        <v>745</v>
      </c>
      <c r="B2327" t="str">
        <f>HYPERLINK("http://bombeiros.sp.gov.br/hidrantes/08bsg/qrcodeBSG.html?id=745&amp;lat=-23.50230&amp;long=-46.64653&amp;tipo=C","QRCODE")</f>
        <v>QRCODE</v>
      </c>
      <c r="C2327" t="s">
        <v>5328</v>
      </c>
      <c r="D2327" t="s">
        <v>1411</v>
      </c>
      <c r="E2327" t="s">
        <v>1424</v>
      </c>
      <c r="F2327" t="s">
        <v>12</v>
      </c>
      <c r="G2327" t="s">
        <v>1423</v>
      </c>
      <c r="H2327">
        <v>0</v>
      </c>
      <c r="I2327">
        <v>2</v>
      </c>
      <c r="J2327">
        <v>0</v>
      </c>
      <c r="K2327">
        <v>0</v>
      </c>
      <c r="L2327">
        <v>0</v>
      </c>
    </row>
    <row r="2328" spans="1:12">
      <c r="A2328" t="str">
        <f>HYPERLINK("http://bombeiros.sp.gov.br/hidrantes/03individual/2195.html","2195")</f>
        <v>2195</v>
      </c>
      <c r="B2328" t="str">
        <f>HYPERLINK("http://bombeiros.sp.gov.br/hidrantes/08bsg/qrcodeBSG.html?id=2195&amp;lat=-23.50285&amp;long=-46.65256&amp;tipo=C","QRCODE")</f>
        <v>QRCODE</v>
      </c>
      <c r="C2328" t="s">
        <v>5328</v>
      </c>
      <c r="D2328" t="s">
        <v>1411</v>
      </c>
      <c r="E2328" t="s">
        <v>1424</v>
      </c>
      <c r="F2328" t="s">
        <v>12</v>
      </c>
      <c r="G2328" t="s">
        <v>3528</v>
      </c>
      <c r="H2328">
        <v>1</v>
      </c>
      <c r="I2328">
        <v>1</v>
      </c>
      <c r="J2328">
        <v>0</v>
      </c>
      <c r="K2328">
        <v>0</v>
      </c>
      <c r="L2328">
        <v>0</v>
      </c>
    </row>
    <row r="2329" spans="1:12">
      <c r="A2329" t="str">
        <f>HYPERLINK("http://bombeiros.sp.gov.br/hidrantes/03individual/3569.html","3569")</f>
        <v>3569</v>
      </c>
      <c r="B2329" t="str">
        <f>HYPERLINK("http://bombeiros.sp.gov.br/hidrantes/08bsg/qrcodeBSG.html?id=3569&amp;lat=-23.49990&amp;long=-46.64769&amp;tipo=C","QRCODE")</f>
        <v>QRCODE</v>
      </c>
      <c r="C2329" t="s">
        <v>5328</v>
      </c>
      <c r="D2329" t="s">
        <v>1411</v>
      </c>
      <c r="E2329" t="s">
        <v>1424</v>
      </c>
      <c r="F2329" t="s">
        <v>12</v>
      </c>
      <c r="G2329" t="s">
        <v>2951</v>
      </c>
      <c r="H2329">
        <v>0</v>
      </c>
      <c r="I2329">
        <v>2</v>
      </c>
      <c r="J2329">
        <v>0</v>
      </c>
      <c r="K2329">
        <v>0</v>
      </c>
      <c r="L2329">
        <v>0</v>
      </c>
    </row>
    <row r="2330" spans="1:12">
      <c r="A2330" t="str">
        <f>HYPERLINK("http://bombeiros.sp.gov.br/hidrantes/03individual/951.html","951")</f>
        <v>951</v>
      </c>
      <c r="B2330" t="str">
        <f>HYPERLINK("http://bombeiros.sp.gov.br/hidrantes/08bsg/qrcodeBSG.html?id=951&amp;lat=-23.48987&amp;long=-46.65104&amp;tipo=S","QRCODE")</f>
        <v>QRCODE</v>
      </c>
      <c r="C2330" t="s">
        <v>5328</v>
      </c>
      <c r="D2330" t="s">
        <v>1411</v>
      </c>
      <c r="E2330" t="s">
        <v>1424</v>
      </c>
      <c r="F2330" t="s">
        <v>21</v>
      </c>
      <c r="G2330" t="s">
        <v>1594</v>
      </c>
      <c r="H2330">
        <v>0</v>
      </c>
      <c r="I2330">
        <v>2</v>
      </c>
      <c r="J2330">
        <v>0</v>
      </c>
      <c r="K2330">
        <v>0</v>
      </c>
      <c r="L2330">
        <v>0</v>
      </c>
    </row>
    <row r="2331" spans="1:12">
      <c r="A2331" t="str">
        <f>HYPERLINK("http://bombeiros.sp.gov.br/hidrantes/03individual/991.html","991")</f>
        <v>991</v>
      </c>
      <c r="B2331" t="str">
        <f>HYPERLINK("http://bombeiros.sp.gov.br/hidrantes/08bsg/qrcodeBSG.html?id=991&amp;lat=-23.49741&amp;long=-46.66343&amp;tipo=S","QRCODE")</f>
        <v>QRCODE</v>
      </c>
      <c r="C2331" t="s">
        <v>5328</v>
      </c>
      <c r="D2331" t="s">
        <v>1411</v>
      </c>
      <c r="E2331" t="s">
        <v>1424</v>
      </c>
      <c r="F2331" t="s">
        <v>21</v>
      </c>
      <c r="G2331" t="s">
        <v>1966</v>
      </c>
      <c r="H2331">
        <v>0</v>
      </c>
      <c r="I2331">
        <v>2</v>
      </c>
      <c r="J2331">
        <v>0</v>
      </c>
      <c r="K2331">
        <v>0</v>
      </c>
      <c r="L2331">
        <v>0</v>
      </c>
    </row>
    <row r="2332" spans="1:12">
      <c r="A2332" t="str">
        <f>HYPERLINK("http://bombeiros.sp.gov.br/hidrantes/03individual/1108.html","1108")</f>
        <v>1108</v>
      </c>
      <c r="B2332" t="str">
        <f>HYPERLINK("http://bombeiros.sp.gov.br/hidrantes/08bsg/qrcodeBSG.html?id=1108&amp;lat=-23.49418&amp;long=-46.65712&amp;tipo=S","QRCODE")</f>
        <v>QRCODE</v>
      </c>
      <c r="C2332" t="s">
        <v>5328</v>
      </c>
      <c r="D2332" t="s">
        <v>1411</v>
      </c>
      <c r="E2332" t="s">
        <v>1424</v>
      </c>
      <c r="F2332" t="s">
        <v>21</v>
      </c>
      <c r="G2332" t="s">
        <v>3003</v>
      </c>
      <c r="H2332">
        <v>0</v>
      </c>
      <c r="I2332">
        <v>2</v>
      </c>
      <c r="J2332">
        <v>0</v>
      </c>
      <c r="K2332">
        <v>0</v>
      </c>
      <c r="L2332">
        <v>0</v>
      </c>
    </row>
    <row r="2333" spans="1:12">
      <c r="A2333" t="str">
        <f>HYPERLINK("http://bombeiros.sp.gov.br/hidrantes/03individual/1190.html","1190")</f>
        <v>1190</v>
      </c>
      <c r="B2333" t="str">
        <f>HYPERLINK("http://bombeiros.sp.gov.br/hidrantes/08bsg/qrcodeBSG.html?id=1190&amp;lat=-23.49973&amp;long=-46.65649&amp;tipo=S","QRCODE")</f>
        <v>QRCODE</v>
      </c>
      <c r="C2333" t="s">
        <v>5328</v>
      </c>
      <c r="D2333" t="s">
        <v>1411</v>
      </c>
      <c r="E2333" t="s">
        <v>1424</v>
      </c>
      <c r="F2333" t="s">
        <v>21</v>
      </c>
      <c r="G2333" t="s">
        <v>2644</v>
      </c>
      <c r="H2333">
        <v>0</v>
      </c>
      <c r="I2333">
        <v>2</v>
      </c>
      <c r="J2333">
        <v>0</v>
      </c>
      <c r="K2333">
        <v>0</v>
      </c>
      <c r="L2333">
        <v>0</v>
      </c>
    </row>
    <row r="2334" spans="1:12">
      <c r="A2334" t="str">
        <f>HYPERLINK("http://bombeiros.sp.gov.br/hidrantes/03individual/1235.html","1235")</f>
        <v>1235</v>
      </c>
      <c r="B2334" t="str">
        <f>HYPERLINK("http://bombeiros.sp.gov.br/hidrantes/08bsg/qrcodeBSG.html?id=1235&amp;lat=-23.49278&amp;long=-46.66189&amp;tipo=S","QRCODE")</f>
        <v>QRCODE</v>
      </c>
      <c r="C2334" t="s">
        <v>5328</v>
      </c>
      <c r="D2334" t="s">
        <v>1411</v>
      </c>
      <c r="E2334" t="s">
        <v>1424</v>
      </c>
      <c r="F2334" t="s">
        <v>21</v>
      </c>
      <c r="G2334" t="s">
        <v>4816</v>
      </c>
      <c r="H2334">
        <v>0</v>
      </c>
      <c r="I2334">
        <v>2</v>
      </c>
      <c r="J2334">
        <v>0</v>
      </c>
      <c r="K2334">
        <v>0</v>
      </c>
      <c r="L2334">
        <v>0</v>
      </c>
    </row>
    <row r="2335" spans="1:12">
      <c r="A2335" t="str">
        <f>HYPERLINK("http://bombeiros.sp.gov.br/hidrantes/03individual/1244.html","1244")</f>
        <v>1244</v>
      </c>
      <c r="B2335" t="str">
        <f>HYPERLINK("http://bombeiros.sp.gov.br/hidrantes/08bsg/qrcodeBSG.html?id=1244&amp;lat=-23.49725&amp;long=-46.65081&amp;tipo=S","QRCODE")</f>
        <v>QRCODE</v>
      </c>
      <c r="C2335" t="s">
        <v>5328</v>
      </c>
      <c r="D2335" t="s">
        <v>1411</v>
      </c>
      <c r="E2335" t="s">
        <v>1424</v>
      </c>
      <c r="F2335" t="s">
        <v>21</v>
      </c>
      <c r="G2335" t="s">
        <v>2963</v>
      </c>
      <c r="H2335">
        <v>0</v>
      </c>
      <c r="I2335">
        <v>2</v>
      </c>
      <c r="J2335">
        <v>0</v>
      </c>
      <c r="K2335">
        <v>0</v>
      </c>
      <c r="L2335">
        <v>0</v>
      </c>
    </row>
    <row r="2336" spans="1:12">
      <c r="A2336" t="str">
        <f>HYPERLINK("http://bombeiros.sp.gov.br/hidrantes/03individual/1248.html","1248")</f>
        <v>1248</v>
      </c>
      <c r="B2336" t="str">
        <f>HYPERLINK("http://bombeiros.sp.gov.br/hidrantes/08bsg/qrcodeBSG.html?id=1248&amp;lat=-23.49563&amp;long=-46.66114&amp;tipo=S","QRCODE")</f>
        <v>QRCODE</v>
      </c>
      <c r="C2336" t="s">
        <v>5328</v>
      </c>
      <c r="D2336" t="s">
        <v>1411</v>
      </c>
      <c r="E2336" t="s">
        <v>1424</v>
      </c>
      <c r="F2336" t="s">
        <v>21</v>
      </c>
      <c r="G2336" t="s">
        <v>3008</v>
      </c>
      <c r="H2336">
        <v>0</v>
      </c>
      <c r="I2336">
        <v>2</v>
      </c>
      <c r="J2336">
        <v>0</v>
      </c>
      <c r="K2336">
        <v>0</v>
      </c>
      <c r="L2336">
        <v>0</v>
      </c>
    </row>
    <row r="2337" spans="1:12">
      <c r="A2337" t="str">
        <f>HYPERLINK("http://bombeiros.sp.gov.br/hidrantes/03individual/3572.html","3572")</f>
        <v>3572</v>
      </c>
      <c r="B2337" t="str">
        <f>HYPERLINK("http://bombeiros.sp.gov.br/hidrantes/08bsg/qrcodeBSG.html?id=3572&amp;lat=-23.49980&amp;long=-46.64778&amp;tipo=S","QRCODE")</f>
        <v>QRCODE</v>
      </c>
      <c r="C2337" t="s">
        <v>5328</v>
      </c>
      <c r="D2337" t="s">
        <v>1411</v>
      </c>
      <c r="E2337" t="s">
        <v>1424</v>
      </c>
      <c r="F2337" t="s">
        <v>21</v>
      </c>
      <c r="G2337" t="s">
        <v>2949</v>
      </c>
      <c r="H2337">
        <v>0</v>
      </c>
      <c r="I2337">
        <v>2</v>
      </c>
      <c r="J2337">
        <v>0</v>
      </c>
      <c r="K2337">
        <v>0</v>
      </c>
      <c r="L2337">
        <v>0</v>
      </c>
    </row>
    <row r="2338" spans="1:12">
      <c r="A2338" t="str">
        <f>HYPERLINK("http://bombeiros.sp.gov.br/hidrantes/03individual/3883.html","3883")</f>
        <v>3883</v>
      </c>
      <c r="B2338" t="str">
        <f>HYPERLINK("http://bombeiros.sp.gov.br/hidrantes/08bsg/qrcodeBSG.html?id=3883&amp;lat=-23.49540&amp;long=-46.66084&amp;tipo=S","QRCODE")</f>
        <v>QRCODE</v>
      </c>
      <c r="C2338" t="s">
        <v>5328</v>
      </c>
      <c r="D2338" t="s">
        <v>1411</v>
      </c>
      <c r="E2338" t="s">
        <v>1424</v>
      </c>
      <c r="F2338" t="s">
        <v>21</v>
      </c>
      <c r="G2338" t="s">
        <v>3028</v>
      </c>
      <c r="H2338">
        <v>0</v>
      </c>
      <c r="I2338">
        <v>2</v>
      </c>
      <c r="J2338">
        <v>0</v>
      </c>
      <c r="K2338">
        <v>0</v>
      </c>
      <c r="L2338">
        <v>0</v>
      </c>
    </row>
    <row r="2339" spans="1:12">
      <c r="A2339" t="str">
        <f>HYPERLINK("http://bombeiros.sp.gov.br/hidrantes/03individual/3885.html","3885")</f>
        <v>3885</v>
      </c>
      <c r="B2339" t="str">
        <f>HYPERLINK("http://bombeiros.sp.gov.br/hidrantes/08bsg/qrcodeBSG.html?id=3885&amp;lat=-23.49099&amp;long=-46.66261&amp;tipo=S","QRCODE")</f>
        <v>QRCODE</v>
      </c>
      <c r="C2339" t="s">
        <v>5328</v>
      </c>
      <c r="D2339" t="s">
        <v>1411</v>
      </c>
      <c r="E2339" t="s">
        <v>1424</v>
      </c>
      <c r="F2339" t="s">
        <v>21</v>
      </c>
      <c r="G2339" t="s">
        <v>3029</v>
      </c>
      <c r="H2339">
        <v>0</v>
      </c>
      <c r="I2339">
        <v>2</v>
      </c>
      <c r="J2339">
        <v>0</v>
      </c>
      <c r="K2339">
        <v>0</v>
      </c>
      <c r="L2339">
        <v>0</v>
      </c>
    </row>
    <row r="2340" spans="1:12">
      <c r="A2340" t="str">
        <f>HYPERLINK("http://bombeiros.sp.gov.br/hidrantes/03individual/3886.html","3886")</f>
        <v>3886</v>
      </c>
      <c r="B2340" t="str">
        <f>HYPERLINK("http://bombeiros.sp.gov.br/hidrantes/08bsg/qrcodeBSG.html?id=3886&amp;lat=-23.48855&amp;long=-46.66388&amp;tipo=S","QRCODE")</f>
        <v>QRCODE</v>
      </c>
      <c r="C2340" t="s">
        <v>5328</v>
      </c>
      <c r="D2340" t="s">
        <v>1411</v>
      </c>
      <c r="E2340" t="s">
        <v>1424</v>
      </c>
      <c r="F2340" t="s">
        <v>21</v>
      </c>
      <c r="G2340" t="s">
        <v>4682</v>
      </c>
      <c r="H2340">
        <v>0</v>
      </c>
      <c r="I2340">
        <v>1</v>
      </c>
      <c r="J2340">
        <v>0</v>
      </c>
      <c r="K2340">
        <v>0</v>
      </c>
      <c r="L2340">
        <v>0</v>
      </c>
    </row>
    <row r="2341" spans="1:12">
      <c r="A2341" t="str">
        <f>HYPERLINK("http://bombeiros.sp.gov.br/hidrantes/03individual/3888.html","3888")</f>
        <v>3888</v>
      </c>
      <c r="B2341" t="str">
        <f>HYPERLINK("http://bombeiros.sp.gov.br/hidrantes/08bsg/qrcodeBSG.html?id=3888&amp;lat=-23.48756&amp;long=-46.65909&amp;tipo=S","QRCODE")</f>
        <v>QRCODE</v>
      </c>
      <c r="C2341" t="s">
        <v>5328</v>
      </c>
      <c r="D2341" t="s">
        <v>1411</v>
      </c>
      <c r="E2341" t="s">
        <v>1424</v>
      </c>
      <c r="F2341" t="s">
        <v>21</v>
      </c>
      <c r="G2341" t="s">
        <v>3030</v>
      </c>
      <c r="H2341">
        <v>0</v>
      </c>
      <c r="I2341">
        <v>2</v>
      </c>
      <c r="J2341">
        <v>0</v>
      </c>
      <c r="K2341">
        <v>0</v>
      </c>
      <c r="L2341">
        <v>0</v>
      </c>
    </row>
    <row r="2342" spans="1:12">
      <c r="A2342" t="str">
        <f>HYPERLINK("http://bombeiros.sp.gov.br/hidrantes/03individual/3889.html","3889")</f>
        <v>3889</v>
      </c>
      <c r="B2342" t="str">
        <f>HYPERLINK("http://bombeiros.sp.gov.br/hidrantes/08bsg/qrcodeBSG.html?id=3889&amp;lat=-23.49176&amp;long=-46.65940&amp;tipo=S","QRCODE")</f>
        <v>QRCODE</v>
      </c>
      <c r="C2342" t="s">
        <v>5328</v>
      </c>
      <c r="D2342" t="s">
        <v>1411</v>
      </c>
      <c r="E2342" t="s">
        <v>1424</v>
      </c>
      <c r="F2342" t="s">
        <v>21</v>
      </c>
      <c r="G2342" t="s">
        <v>3031</v>
      </c>
      <c r="H2342">
        <v>0</v>
      </c>
      <c r="I2342">
        <v>2</v>
      </c>
      <c r="J2342">
        <v>0</v>
      </c>
      <c r="K2342">
        <v>0</v>
      </c>
      <c r="L2342">
        <v>0</v>
      </c>
    </row>
    <row r="2343" spans="1:12">
      <c r="A2343" t="str">
        <f>HYPERLINK("http://bombeiros.sp.gov.br/hidrantes/03individual/3924.html","3924")</f>
        <v>3924</v>
      </c>
      <c r="B2343" t="str">
        <f>HYPERLINK("http://bombeiros.sp.gov.br/hidrantes/08bsg/qrcodeBSG.html?id=3924&amp;lat=-23.49577&amp;long=-46.65001&amp;tipo=S","QRCODE")</f>
        <v>QRCODE</v>
      </c>
      <c r="C2343" t="s">
        <v>5328</v>
      </c>
      <c r="D2343" t="s">
        <v>1411</v>
      </c>
      <c r="E2343" t="s">
        <v>1424</v>
      </c>
      <c r="F2343" t="s">
        <v>21</v>
      </c>
      <c r="G2343" t="s">
        <v>2933</v>
      </c>
      <c r="H2343">
        <v>0</v>
      </c>
      <c r="I2343">
        <v>2</v>
      </c>
      <c r="J2343">
        <v>0</v>
      </c>
      <c r="K2343">
        <v>0</v>
      </c>
      <c r="L2343">
        <v>0</v>
      </c>
    </row>
    <row r="2344" spans="1:12">
      <c r="A2344" t="str">
        <f>HYPERLINK("http://bombeiros.sp.gov.br/hidrantes/03individual/17664.html","17664")</f>
        <v>17664</v>
      </c>
      <c r="B2344" t="str">
        <f>HYPERLINK("http://bombeiros.sp.gov.br/hidrantes/08bsg/qrcodeBSG.html?id=17664&amp;lat=-23.49461&amp;long=-46.66665&amp;tipo=S","QRCODE")</f>
        <v>QRCODE</v>
      </c>
      <c r="C2344" t="s">
        <v>5328</v>
      </c>
      <c r="D2344" t="s">
        <v>1411</v>
      </c>
      <c r="E2344" t="s">
        <v>1424</v>
      </c>
      <c r="F2344" t="s">
        <v>21</v>
      </c>
      <c r="G2344" t="s">
        <v>1488</v>
      </c>
      <c r="H2344">
        <v>0</v>
      </c>
      <c r="I2344">
        <v>2</v>
      </c>
      <c r="J2344">
        <v>0</v>
      </c>
      <c r="K2344">
        <v>0</v>
      </c>
      <c r="L2344">
        <v>0</v>
      </c>
    </row>
    <row r="2345" spans="1:12">
      <c r="A2345" t="str">
        <f>HYPERLINK("http://bombeiros.sp.gov.br/hidrantes/03individual/10048.html","10048")</f>
        <v>10048</v>
      </c>
      <c r="B2345" t="str">
        <f>HYPERLINK("http://bombeiros.sp.gov.br/hidrantes/08bsg/qrcodeBSG.html?id=10048&amp;lat=-23.49959&amp;long=-46.69797&amp;tipo=B","QRCODE")</f>
        <v>QRCODE</v>
      </c>
      <c r="C2345" t="s">
        <v>5328</v>
      </c>
      <c r="D2345" t="s">
        <v>60</v>
      </c>
      <c r="E2345" t="s">
        <v>60</v>
      </c>
      <c r="F2345" t="s">
        <v>1719</v>
      </c>
      <c r="G2345" t="s">
        <v>5248</v>
      </c>
      <c r="H2345">
        <v>1</v>
      </c>
      <c r="I2345">
        <v>0</v>
      </c>
      <c r="J2345">
        <v>0</v>
      </c>
      <c r="K2345">
        <v>0</v>
      </c>
      <c r="L2345">
        <v>0</v>
      </c>
    </row>
    <row r="2346" spans="1:12">
      <c r="A2346" t="str">
        <f>HYPERLINK("http://bombeiros.sp.gov.br/hidrantes/03individual/942.html","942")</f>
        <v>942</v>
      </c>
      <c r="B2346" t="str">
        <f>HYPERLINK("http://bombeiros.sp.gov.br/hidrantes/08bsg/qrcodeBSG.html?id=942&amp;lat=-23.50497&amp;long=-46.68918&amp;tipo=C","QRCODE")</f>
        <v>QRCODE</v>
      </c>
      <c r="C2346" t="s">
        <v>5328</v>
      </c>
      <c r="D2346" t="s">
        <v>60</v>
      </c>
      <c r="E2346" t="s">
        <v>60</v>
      </c>
      <c r="F2346" t="s">
        <v>12</v>
      </c>
      <c r="G2346" t="s">
        <v>3956</v>
      </c>
      <c r="H2346">
        <v>0</v>
      </c>
      <c r="I2346">
        <v>2</v>
      </c>
      <c r="J2346">
        <v>0</v>
      </c>
      <c r="K2346">
        <v>0</v>
      </c>
      <c r="L2346">
        <v>0</v>
      </c>
    </row>
    <row r="2347" spans="1:12">
      <c r="A2347" t="str">
        <f>HYPERLINK("http://bombeiros.sp.gov.br/hidrantes/03individual/1495.html","1495")</f>
        <v>1495</v>
      </c>
      <c r="B2347" t="str">
        <f>HYPERLINK("http://bombeiros.sp.gov.br/hidrantes/08bsg/qrcodeBSG.html?id=1495&amp;lat=-23.50504&amp;long=-46.69379&amp;tipo=C","QRCODE")</f>
        <v>QRCODE</v>
      </c>
      <c r="C2347" t="s">
        <v>5328</v>
      </c>
      <c r="D2347" t="s">
        <v>60</v>
      </c>
      <c r="E2347" t="s">
        <v>60</v>
      </c>
      <c r="F2347" t="s">
        <v>12</v>
      </c>
      <c r="G2347" t="s">
        <v>3948</v>
      </c>
      <c r="H2347">
        <v>0</v>
      </c>
      <c r="I2347">
        <v>2</v>
      </c>
      <c r="J2347">
        <v>0</v>
      </c>
      <c r="K2347">
        <v>0</v>
      </c>
      <c r="L2347">
        <v>0</v>
      </c>
    </row>
    <row r="2348" spans="1:12">
      <c r="A2348" t="str">
        <f>HYPERLINK("http://bombeiros.sp.gov.br/hidrantes/03individual/3641.html","3641")</f>
        <v>3641</v>
      </c>
      <c r="B2348" t="str">
        <f>HYPERLINK("http://bombeiros.sp.gov.br/hidrantes/08bsg/qrcodeBSG.html?id=3641&amp;lat=-23.49172&amp;long=-46.69534&amp;tipo=C","QRCODE")</f>
        <v>QRCODE</v>
      </c>
      <c r="C2348" t="s">
        <v>5328</v>
      </c>
      <c r="D2348" t="s">
        <v>60</v>
      </c>
      <c r="E2348" t="s">
        <v>60</v>
      </c>
      <c r="F2348" t="s">
        <v>12</v>
      </c>
      <c r="G2348" t="s">
        <v>2940</v>
      </c>
      <c r="H2348">
        <v>0</v>
      </c>
      <c r="I2348">
        <v>2</v>
      </c>
      <c r="J2348">
        <v>0</v>
      </c>
      <c r="K2348">
        <v>0</v>
      </c>
      <c r="L2348">
        <v>0</v>
      </c>
    </row>
    <row r="2349" spans="1:12">
      <c r="A2349" t="str">
        <f>HYPERLINK("http://bombeiros.sp.gov.br/hidrantes/03individual/967.html","967")</f>
        <v>967</v>
      </c>
      <c r="B2349" t="str">
        <f>HYPERLINK("http://bombeiros.sp.gov.br/hidrantes/08bsg/qrcodeBSG.html?id=967&amp;lat=-23.49707&amp;long=-46.69015&amp;tipo=S","QRCODE")</f>
        <v>QRCODE</v>
      </c>
      <c r="C2349" t="s">
        <v>5328</v>
      </c>
      <c r="D2349" t="s">
        <v>60</v>
      </c>
      <c r="E2349" t="s">
        <v>60</v>
      </c>
      <c r="F2349" t="s">
        <v>21</v>
      </c>
      <c r="G2349" t="s">
        <v>2055</v>
      </c>
      <c r="H2349">
        <v>0</v>
      </c>
      <c r="I2349">
        <v>2</v>
      </c>
      <c r="J2349">
        <v>0</v>
      </c>
      <c r="K2349">
        <v>0</v>
      </c>
      <c r="L2349">
        <v>0</v>
      </c>
    </row>
    <row r="2350" spans="1:12">
      <c r="A2350" t="str">
        <f>HYPERLINK("http://bombeiros.sp.gov.br/hidrantes/03individual/1027.html","1027")</f>
        <v>1027</v>
      </c>
      <c r="B2350" t="str">
        <f>HYPERLINK("http://bombeiros.sp.gov.br/hidrantes/08bsg/qrcodeBSG.html?id=1027&amp;lat=-23.49087&amp;long=-46.69470&amp;tipo=S","QRCODE")</f>
        <v>QRCODE</v>
      </c>
      <c r="C2350" t="s">
        <v>5328</v>
      </c>
      <c r="D2350" t="s">
        <v>60</v>
      </c>
      <c r="E2350" t="s">
        <v>60</v>
      </c>
      <c r="F2350" t="s">
        <v>21</v>
      </c>
      <c r="G2350" t="s">
        <v>3261</v>
      </c>
      <c r="H2350">
        <v>0</v>
      </c>
      <c r="I2350">
        <v>2</v>
      </c>
      <c r="J2350">
        <v>0</v>
      </c>
      <c r="K2350">
        <v>0</v>
      </c>
      <c r="L2350">
        <v>0</v>
      </c>
    </row>
    <row r="2351" spans="1:12">
      <c r="A2351" t="str">
        <f>HYPERLINK("http://bombeiros.sp.gov.br/hidrantes/03individual/1090.html","1090")</f>
        <v>1090</v>
      </c>
      <c r="B2351" t="str">
        <f>HYPERLINK("http://bombeiros.sp.gov.br/hidrantes/08bsg/qrcodeBSG.html?id=1090&amp;lat=-23.49785&amp;long=-46.70259&amp;tipo=S","QRCODE")</f>
        <v>QRCODE</v>
      </c>
      <c r="C2351" t="s">
        <v>5328</v>
      </c>
      <c r="D2351" t="s">
        <v>60</v>
      </c>
      <c r="E2351" t="s">
        <v>60</v>
      </c>
      <c r="F2351" t="s">
        <v>21</v>
      </c>
      <c r="G2351" t="s">
        <v>3247</v>
      </c>
      <c r="H2351">
        <v>0</v>
      </c>
      <c r="I2351">
        <v>2</v>
      </c>
      <c r="J2351">
        <v>0</v>
      </c>
      <c r="K2351">
        <v>0</v>
      </c>
      <c r="L2351">
        <v>0</v>
      </c>
    </row>
    <row r="2352" spans="1:12">
      <c r="A2352" t="str">
        <f>HYPERLINK("http://bombeiros.sp.gov.br/hidrantes/03individual/1127.html","1127")</f>
        <v>1127</v>
      </c>
      <c r="B2352" t="str">
        <f>HYPERLINK("http://bombeiros.sp.gov.br/hidrantes/08bsg/qrcodeBSG.html?id=1127&amp;lat=-23.50334&amp;long=-46.69152&amp;tipo=S","QRCODE")</f>
        <v>QRCODE</v>
      </c>
      <c r="C2352" t="s">
        <v>5328</v>
      </c>
      <c r="D2352" t="s">
        <v>60</v>
      </c>
      <c r="E2352" t="s">
        <v>60</v>
      </c>
      <c r="F2352" t="s">
        <v>21</v>
      </c>
      <c r="G2352" t="s">
        <v>3951</v>
      </c>
      <c r="H2352">
        <v>0</v>
      </c>
      <c r="I2352">
        <v>2</v>
      </c>
      <c r="J2352">
        <v>0</v>
      </c>
      <c r="K2352">
        <v>0</v>
      </c>
      <c r="L2352">
        <v>0</v>
      </c>
    </row>
    <row r="2353" spans="1:12">
      <c r="A2353" t="str">
        <f>HYPERLINK("http://bombeiros.sp.gov.br/hidrantes/03individual/1138.html","1138")</f>
        <v>1138</v>
      </c>
      <c r="B2353" t="str">
        <f>HYPERLINK("http://bombeiros.sp.gov.br/hidrantes/08bsg/qrcodeBSG.html?id=1138&amp;lat=-23.50491&amp;long=-46.69508&amp;tipo=S","QRCODE")</f>
        <v>QRCODE</v>
      </c>
      <c r="C2353" t="s">
        <v>5328</v>
      </c>
      <c r="D2353" t="s">
        <v>60</v>
      </c>
      <c r="E2353" t="s">
        <v>60</v>
      </c>
      <c r="F2353" t="s">
        <v>21</v>
      </c>
      <c r="G2353" t="s">
        <v>3952</v>
      </c>
      <c r="H2353">
        <v>0</v>
      </c>
      <c r="I2353">
        <v>2</v>
      </c>
      <c r="J2353">
        <v>0</v>
      </c>
      <c r="K2353">
        <v>0</v>
      </c>
      <c r="L2353">
        <v>0</v>
      </c>
    </row>
    <row r="2354" spans="1:12">
      <c r="A2354" t="str">
        <f>HYPERLINK("http://bombeiros.sp.gov.br/hidrantes/03individual/1176.html","1176")</f>
        <v>1176</v>
      </c>
      <c r="B2354" t="str">
        <f>HYPERLINK("http://bombeiros.sp.gov.br/hidrantes/08bsg/qrcodeBSG.html?id=1176&amp;lat=-23.49573&amp;long=-46.69943&amp;tipo=S","QRCODE")</f>
        <v>QRCODE</v>
      </c>
      <c r="C2354" t="s">
        <v>5328</v>
      </c>
      <c r="D2354" t="s">
        <v>60</v>
      </c>
      <c r="E2354" t="s">
        <v>60</v>
      </c>
      <c r="F2354" t="s">
        <v>21</v>
      </c>
      <c r="G2354" t="s">
        <v>3252</v>
      </c>
      <c r="H2354">
        <v>0</v>
      </c>
      <c r="I2354">
        <v>2</v>
      </c>
      <c r="J2354">
        <v>0</v>
      </c>
      <c r="K2354">
        <v>0</v>
      </c>
      <c r="L2354">
        <v>0</v>
      </c>
    </row>
    <row r="2355" spans="1:12">
      <c r="A2355" t="str">
        <f>HYPERLINK("http://bombeiros.sp.gov.br/hidrantes/03individual/1209.html","1209")</f>
        <v>1209</v>
      </c>
      <c r="B2355" t="str">
        <f>HYPERLINK("http://bombeiros.sp.gov.br/hidrantes/08bsg/qrcodeBSG.html?id=1209&amp;lat=-23.50072&amp;long=-46.68731&amp;tipo=S","QRCODE")</f>
        <v>QRCODE</v>
      </c>
      <c r="C2355" t="s">
        <v>5328</v>
      </c>
      <c r="D2355" t="s">
        <v>60</v>
      </c>
      <c r="E2355" t="s">
        <v>60</v>
      </c>
      <c r="F2355" t="s">
        <v>21</v>
      </c>
      <c r="G2355" t="s">
        <v>3950</v>
      </c>
      <c r="H2355">
        <v>1</v>
      </c>
      <c r="I2355">
        <v>3</v>
      </c>
      <c r="J2355">
        <v>0</v>
      </c>
      <c r="K2355">
        <v>0</v>
      </c>
      <c r="L2355">
        <v>0</v>
      </c>
    </row>
    <row r="2356" spans="1:12">
      <c r="A2356" t="str">
        <f>HYPERLINK("http://bombeiros.sp.gov.br/hidrantes/03individual/1214.html","1214")</f>
        <v>1214</v>
      </c>
      <c r="B2356" t="str">
        <f>HYPERLINK("http://bombeiros.sp.gov.br/hidrantes/08bsg/qrcodeBSG.html?id=1214&amp;lat=-23.49112&amp;long=-46.70845&amp;tipo=S","QRCODE")</f>
        <v>QRCODE</v>
      </c>
      <c r="C2356" t="s">
        <v>5328</v>
      </c>
      <c r="D2356" t="s">
        <v>60</v>
      </c>
      <c r="E2356" t="s">
        <v>60</v>
      </c>
      <c r="F2356" t="s">
        <v>21</v>
      </c>
      <c r="G2356" t="s">
        <v>3303</v>
      </c>
      <c r="H2356">
        <v>0</v>
      </c>
      <c r="I2356">
        <v>2</v>
      </c>
      <c r="J2356">
        <v>0</v>
      </c>
      <c r="K2356">
        <v>0</v>
      </c>
      <c r="L2356">
        <v>0</v>
      </c>
    </row>
    <row r="2357" spans="1:12">
      <c r="A2357" t="str">
        <f>HYPERLINK("http://bombeiros.sp.gov.br/hidrantes/03individual/1215.html","1215")</f>
        <v>1215</v>
      </c>
      <c r="B2357" t="str">
        <f>HYPERLINK("http://bombeiros.sp.gov.br/hidrantes/08bsg/qrcodeBSG.html?id=1215&amp;lat=-23.49740&amp;long=-46.70169&amp;tipo=S","QRCODE")</f>
        <v>QRCODE</v>
      </c>
      <c r="C2357" t="s">
        <v>5328</v>
      </c>
      <c r="D2357" t="s">
        <v>60</v>
      </c>
      <c r="E2357" t="s">
        <v>60</v>
      </c>
      <c r="F2357" t="s">
        <v>21</v>
      </c>
      <c r="G2357" t="s">
        <v>3237</v>
      </c>
      <c r="H2357">
        <v>0</v>
      </c>
      <c r="I2357">
        <v>2</v>
      </c>
      <c r="J2357">
        <v>0</v>
      </c>
      <c r="K2357">
        <v>0</v>
      </c>
      <c r="L2357">
        <v>0</v>
      </c>
    </row>
    <row r="2358" spans="1:12">
      <c r="A2358" t="str">
        <f>HYPERLINK("http://bombeiros.sp.gov.br/hidrantes/03individual/1218.html","1218")</f>
        <v>1218</v>
      </c>
      <c r="B2358" t="str">
        <f>HYPERLINK("http://bombeiros.sp.gov.br/hidrantes/08bsg/qrcodeBSG.html?id=1218&amp;lat=-23.50486&amp;long=-46.68918&amp;tipo=S","QRCODE")</f>
        <v>QRCODE</v>
      </c>
      <c r="C2358" t="s">
        <v>5328</v>
      </c>
      <c r="D2358" t="s">
        <v>60</v>
      </c>
      <c r="E2358" t="s">
        <v>60</v>
      </c>
      <c r="F2358" t="s">
        <v>21</v>
      </c>
      <c r="G2358" t="s">
        <v>3717</v>
      </c>
      <c r="H2358">
        <v>0</v>
      </c>
      <c r="I2358">
        <v>1</v>
      </c>
      <c r="J2358">
        <v>0</v>
      </c>
      <c r="K2358">
        <v>0</v>
      </c>
      <c r="L2358">
        <v>0</v>
      </c>
    </row>
    <row r="2359" spans="1:12">
      <c r="A2359" t="str">
        <f>HYPERLINK("http://bombeiros.sp.gov.br/hidrantes/03individual/1220.html","1220")</f>
        <v>1220</v>
      </c>
      <c r="B2359" t="str">
        <f>HYPERLINK("http://bombeiros.sp.gov.br/hidrantes/08bsg/qrcodeBSG.html?id=1220&amp;lat=-23.50274&amp;long=-46.70312&amp;tipo=S","QRCODE")</f>
        <v>QRCODE</v>
      </c>
      <c r="C2359" t="s">
        <v>5328</v>
      </c>
      <c r="D2359" t="s">
        <v>60</v>
      </c>
      <c r="E2359" t="s">
        <v>60</v>
      </c>
      <c r="F2359" t="s">
        <v>21</v>
      </c>
      <c r="G2359" t="s">
        <v>3953</v>
      </c>
      <c r="H2359">
        <v>0</v>
      </c>
      <c r="I2359">
        <v>2</v>
      </c>
      <c r="J2359">
        <v>0</v>
      </c>
      <c r="K2359">
        <v>0</v>
      </c>
      <c r="L2359">
        <v>0</v>
      </c>
    </row>
    <row r="2360" spans="1:12">
      <c r="A2360" t="str">
        <f>HYPERLINK("http://bombeiros.sp.gov.br/hidrantes/03individual/1268.html","1268")</f>
        <v>1268</v>
      </c>
      <c r="B2360" t="str">
        <f>HYPERLINK("http://bombeiros.sp.gov.br/hidrantes/08bsg/qrcodeBSG.html?id=1268&amp;lat=-23.49644&amp;long=-46.69534&amp;tipo=S","QRCODE")</f>
        <v>QRCODE</v>
      </c>
      <c r="C2360" t="s">
        <v>5328</v>
      </c>
      <c r="D2360" t="s">
        <v>60</v>
      </c>
      <c r="E2360" t="s">
        <v>60</v>
      </c>
      <c r="F2360" t="s">
        <v>21</v>
      </c>
      <c r="G2360" t="s">
        <v>3240</v>
      </c>
      <c r="H2360">
        <v>0</v>
      </c>
      <c r="I2360">
        <v>2</v>
      </c>
      <c r="J2360">
        <v>0</v>
      </c>
      <c r="K2360">
        <v>0</v>
      </c>
      <c r="L2360">
        <v>0</v>
      </c>
    </row>
    <row r="2361" spans="1:12">
      <c r="A2361" t="str">
        <f>HYPERLINK("http://bombeiros.sp.gov.br/hidrantes/03individual/1306.html","1306")</f>
        <v>1306</v>
      </c>
      <c r="B2361" t="str">
        <f>HYPERLINK("http://bombeiros.sp.gov.br/hidrantes/08bsg/qrcodeBSG.html?id=1306&amp;lat=-23.50083&amp;long=-46.70267&amp;tipo=S","QRCODE")</f>
        <v>QRCODE</v>
      </c>
      <c r="C2361" t="s">
        <v>5328</v>
      </c>
      <c r="D2361" t="s">
        <v>60</v>
      </c>
      <c r="E2361" t="s">
        <v>60</v>
      </c>
      <c r="F2361" t="s">
        <v>21</v>
      </c>
      <c r="G2361" t="s">
        <v>3243</v>
      </c>
      <c r="H2361">
        <v>0</v>
      </c>
      <c r="I2361">
        <v>2</v>
      </c>
      <c r="J2361">
        <v>0</v>
      </c>
      <c r="K2361">
        <v>0</v>
      </c>
      <c r="L2361">
        <v>0</v>
      </c>
    </row>
    <row r="2362" spans="1:12">
      <c r="A2362" t="str">
        <f>HYPERLINK("http://bombeiros.sp.gov.br/hidrantes/03individual/1308.html","1308")</f>
        <v>1308</v>
      </c>
      <c r="B2362" t="str">
        <f>HYPERLINK("http://bombeiros.sp.gov.br/hidrantes/08bsg/qrcodeBSG.html?id=1308&amp;lat=-23.49171&amp;long=-46.69705&amp;tipo=S","QRCODE")</f>
        <v>QRCODE</v>
      </c>
      <c r="C2362" t="s">
        <v>5328</v>
      </c>
      <c r="D2362" t="s">
        <v>60</v>
      </c>
      <c r="E2362" t="s">
        <v>60</v>
      </c>
      <c r="F2362" t="s">
        <v>21</v>
      </c>
      <c r="G2362" t="s">
        <v>3244</v>
      </c>
      <c r="H2362">
        <v>0</v>
      </c>
      <c r="I2362">
        <v>2</v>
      </c>
      <c r="J2362">
        <v>0</v>
      </c>
      <c r="K2362">
        <v>0</v>
      </c>
      <c r="L2362">
        <v>0</v>
      </c>
    </row>
    <row r="2363" spans="1:12">
      <c r="A2363" t="str">
        <f>HYPERLINK("http://bombeiros.sp.gov.br/hidrantes/03individual/1311.html","1311")</f>
        <v>1311</v>
      </c>
      <c r="B2363" t="str">
        <f>HYPERLINK("http://bombeiros.sp.gov.br/hidrantes/08bsg/qrcodeBSG.html?id=1311&amp;lat=-23.49783&amp;long=-46.70515&amp;tipo=S","QRCODE")</f>
        <v>QRCODE</v>
      </c>
      <c r="C2363" t="s">
        <v>5328</v>
      </c>
      <c r="D2363" t="s">
        <v>60</v>
      </c>
      <c r="E2363" t="s">
        <v>60</v>
      </c>
      <c r="F2363" t="s">
        <v>21</v>
      </c>
      <c r="G2363" t="s">
        <v>1375</v>
      </c>
      <c r="H2363">
        <v>0</v>
      </c>
      <c r="I2363">
        <v>2</v>
      </c>
      <c r="J2363">
        <v>0</v>
      </c>
      <c r="K2363">
        <v>0</v>
      </c>
      <c r="L2363">
        <v>0</v>
      </c>
    </row>
    <row r="2364" spans="1:12">
      <c r="A2364" t="str">
        <f>HYPERLINK("http://bombeiros.sp.gov.br/hidrantes/03individual/1438.html","1438")</f>
        <v>1438</v>
      </c>
      <c r="B2364" t="str">
        <f>HYPERLINK("http://bombeiros.sp.gov.br/hidrantes/08bsg/qrcodeBSG.html?id=1438&amp;lat=-23.50158&amp;long=-46.69516&amp;tipo=S","QRCODE")</f>
        <v>QRCODE</v>
      </c>
      <c r="C2364" t="s">
        <v>5328</v>
      </c>
      <c r="D2364" t="s">
        <v>60</v>
      </c>
      <c r="E2364" t="s">
        <v>60</v>
      </c>
      <c r="F2364" t="s">
        <v>21</v>
      </c>
      <c r="G2364" t="s">
        <v>4299</v>
      </c>
      <c r="H2364">
        <v>0</v>
      </c>
      <c r="I2364">
        <v>1</v>
      </c>
      <c r="J2364">
        <v>0</v>
      </c>
      <c r="K2364">
        <v>0</v>
      </c>
      <c r="L2364">
        <v>0</v>
      </c>
    </row>
    <row r="2365" spans="1:12">
      <c r="A2365" t="str">
        <f>HYPERLINK("http://bombeiros.sp.gov.br/hidrantes/03individual/1457.html","1457")</f>
        <v>1457</v>
      </c>
      <c r="B2365" t="str">
        <f>HYPERLINK("http://bombeiros.sp.gov.br/hidrantes/08bsg/qrcodeBSG.html?id=1457&amp;lat=-23.50053&amp;long=-46.69137&amp;tipo=S","QRCODE")</f>
        <v>QRCODE</v>
      </c>
      <c r="C2365" t="s">
        <v>5328</v>
      </c>
      <c r="D2365" t="s">
        <v>60</v>
      </c>
      <c r="E2365" t="s">
        <v>60</v>
      </c>
      <c r="F2365" t="s">
        <v>21</v>
      </c>
      <c r="G2365" t="s">
        <v>3949</v>
      </c>
      <c r="H2365">
        <v>0</v>
      </c>
      <c r="I2365">
        <v>2</v>
      </c>
      <c r="J2365">
        <v>0</v>
      </c>
      <c r="K2365">
        <v>0</v>
      </c>
      <c r="L2365">
        <v>0</v>
      </c>
    </row>
    <row r="2366" spans="1:12">
      <c r="A2366" t="str">
        <f>HYPERLINK("http://bombeiros.sp.gov.br/hidrantes/03individual/3711.html","3711")</f>
        <v>3711</v>
      </c>
      <c r="B2366" t="str">
        <f>HYPERLINK("http://bombeiros.sp.gov.br/hidrantes/08bsg/qrcodeBSG.html?id=3711&amp;lat=-23.49491&amp;long=-46.69320&amp;tipo=S","QRCODE")</f>
        <v>QRCODE</v>
      </c>
      <c r="C2366" t="s">
        <v>5328</v>
      </c>
      <c r="D2366" t="s">
        <v>60</v>
      </c>
      <c r="E2366" t="s">
        <v>60</v>
      </c>
      <c r="F2366" t="s">
        <v>21</v>
      </c>
      <c r="G2366" t="s">
        <v>2948</v>
      </c>
      <c r="H2366">
        <v>0</v>
      </c>
      <c r="I2366">
        <v>2</v>
      </c>
      <c r="J2366">
        <v>0</v>
      </c>
      <c r="K2366">
        <v>0</v>
      </c>
      <c r="L2366">
        <v>0</v>
      </c>
    </row>
    <row r="2367" spans="1:12">
      <c r="A2367" t="str">
        <f>HYPERLINK("http://bombeiros.sp.gov.br/hidrantes/03individual/3717.html","3717")</f>
        <v>3717</v>
      </c>
      <c r="B2367" t="str">
        <f>HYPERLINK("http://bombeiros.sp.gov.br/hidrantes/08bsg/qrcodeBSG.html?id=3717&amp;lat=-23.49874&amp;long=-46.68975&amp;tipo=S","QRCODE")</f>
        <v>QRCODE</v>
      </c>
      <c r="C2367" t="s">
        <v>5328</v>
      </c>
      <c r="D2367" t="s">
        <v>60</v>
      </c>
      <c r="E2367" t="s">
        <v>60</v>
      </c>
      <c r="F2367" t="s">
        <v>21</v>
      </c>
      <c r="G2367" t="s">
        <v>2947</v>
      </c>
      <c r="H2367">
        <v>0</v>
      </c>
      <c r="I2367">
        <v>2</v>
      </c>
      <c r="J2367">
        <v>0</v>
      </c>
      <c r="K2367">
        <v>0</v>
      </c>
      <c r="L2367">
        <v>0</v>
      </c>
    </row>
    <row r="2368" spans="1:12">
      <c r="A2368" t="str">
        <f>HYPERLINK("http://bombeiros.sp.gov.br/hidrantes/03individual/3718.html","3718")</f>
        <v>3718</v>
      </c>
      <c r="B2368" t="str">
        <f>HYPERLINK("http://bombeiros.sp.gov.br/hidrantes/08bsg/qrcodeBSG.html?id=3718&amp;lat=-23.49641&amp;long=-46.68989&amp;tipo=S","QRCODE")</f>
        <v>QRCODE</v>
      </c>
      <c r="C2368" t="s">
        <v>5328</v>
      </c>
      <c r="D2368" t="s">
        <v>60</v>
      </c>
      <c r="E2368" t="s">
        <v>60</v>
      </c>
      <c r="F2368" t="s">
        <v>21</v>
      </c>
      <c r="G2368" t="s">
        <v>2945</v>
      </c>
      <c r="H2368">
        <v>0</v>
      </c>
      <c r="I2368">
        <v>2</v>
      </c>
      <c r="J2368">
        <v>0</v>
      </c>
      <c r="K2368">
        <v>0</v>
      </c>
      <c r="L2368">
        <v>0</v>
      </c>
    </row>
    <row r="2369" spans="1:12">
      <c r="A2369" t="str">
        <f>HYPERLINK("http://bombeiros.sp.gov.br/hidrantes/03individual/3719.html","3719")</f>
        <v>3719</v>
      </c>
      <c r="B2369" t="str">
        <f>HYPERLINK("http://bombeiros.sp.gov.br/hidrantes/08bsg/qrcodeBSG.html?id=3719&amp;lat=-23.49497&amp;long=-46.69178&amp;tipo=S","QRCODE")</f>
        <v>QRCODE</v>
      </c>
      <c r="C2369" t="s">
        <v>5328</v>
      </c>
      <c r="D2369" t="s">
        <v>60</v>
      </c>
      <c r="E2369" t="s">
        <v>60</v>
      </c>
      <c r="F2369" t="s">
        <v>21</v>
      </c>
      <c r="G2369" t="s">
        <v>2946</v>
      </c>
      <c r="H2369">
        <v>0</v>
      </c>
      <c r="I2369">
        <v>2</v>
      </c>
      <c r="J2369">
        <v>0</v>
      </c>
      <c r="K2369">
        <v>0</v>
      </c>
      <c r="L2369">
        <v>0</v>
      </c>
    </row>
    <row r="2370" spans="1:12">
      <c r="A2370" t="str">
        <f>HYPERLINK("http://bombeiros.sp.gov.br/hidrantes/03individual/3720.html","3720")</f>
        <v>3720</v>
      </c>
      <c r="B2370" t="str">
        <f>HYPERLINK("http://bombeiros.sp.gov.br/hidrantes/08bsg/qrcodeBSG.html?id=3720&amp;lat=-23.49351&amp;long=-46.68900&amp;tipo=S","QRCODE")</f>
        <v>QRCODE</v>
      </c>
      <c r="C2370" t="s">
        <v>5328</v>
      </c>
      <c r="D2370" t="s">
        <v>60</v>
      </c>
      <c r="E2370" t="s">
        <v>60</v>
      </c>
      <c r="F2370" t="s">
        <v>21</v>
      </c>
      <c r="G2370" t="s">
        <v>2944</v>
      </c>
      <c r="H2370">
        <v>0</v>
      </c>
      <c r="I2370">
        <v>2</v>
      </c>
      <c r="J2370">
        <v>0</v>
      </c>
      <c r="K2370">
        <v>0</v>
      </c>
      <c r="L2370">
        <v>0</v>
      </c>
    </row>
    <row r="2371" spans="1:12">
      <c r="A2371" t="str">
        <f>HYPERLINK("http://bombeiros.sp.gov.br/hidrantes/03individual/3722.html","3722")</f>
        <v>3722</v>
      </c>
      <c r="B2371" t="str">
        <f>HYPERLINK("http://bombeiros.sp.gov.br/hidrantes/08bsg/qrcodeBSG.html?id=3722&amp;lat=-23.49577&amp;long=-46.68781&amp;tipo=S","QRCODE")</f>
        <v>QRCODE</v>
      </c>
      <c r="C2371" t="s">
        <v>5328</v>
      </c>
      <c r="D2371" t="s">
        <v>60</v>
      </c>
      <c r="E2371" t="s">
        <v>60</v>
      </c>
      <c r="F2371" t="s">
        <v>21</v>
      </c>
      <c r="G2371" t="s">
        <v>2032</v>
      </c>
      <c r="H2371">
        <v>0</v>
      </c>
      <c r="I2371">
        <v>2</v>
      </c>
      <c r="J2371">
        <v>0</v>
      </c>
      <c r="K2371">
        <v>0</v>
      </c>
      <c r="L2371">
        <v>0</v>
      </c>
    </row>
    <row r="2372" spans="1:12">
      <c r="A2372" t="str">
        <f>HYPERLINK("http://bombeiros.sp.gov.br/hidrantes/03individual/3723.html","3723")</f>
        <v>3723</v>
      </c>
      <c r="B2372" t="str">
        <f>HYPERLINK("http://bombeiros.sp.gov.br/hidrantes/08bsg/qrcodeBSG.html?id=3723&amp;lat=-23.49718&amp;long=-46.68548&amp;tipo=S","QRCODE")</f>
        <v>QRCODE</v>
      </c>
      <c r="C2372" t="s">
        <v>5328</v>
      </c>
      <c r="D2372" t="s">
        <v>60</v>
      </c>
      <c r="E2372" t="s">
        <v>60</v>
      </c>
      <c r="F2372" t="s">
        <v>21</v>
      </c>
      <c r="G2372" t="s">
        <v>2468</v>
      </c>
      <c r="H2372">
        <v>0</v>
      </c>
      <c r="I2372">
        <v>2</v>
      </c>
      <c r="J2372">
        <v>0</v>
      </c>
      <c r="K2372">
        <v>0</v>
      </c>
      <c r="L2372">
        <v>0</v>
      </c>
    </row>
    <row r="2373" spans="1:12">
      <c r="A2373" t="str">
        <f>HYPERLINK("http://bombeiros.sp.gov.br/hidrantes/03individual/3733.html","3733")</f>
        <v>3733</v>
      </c>
      <c r="B2373" t="str">
        <f>HYPERLINK("http://bombeiros.sp.gov.br/hidrantes/08bsg/qrcodeBSG.html?id=3733&amp;lat=-23.48898&amp;long=-46.69290&amp;tipo=S","QRCODE")</f>
        <v>QRCODE</v>
      </c>
      <c r="C2373" t="s">
        <v>5328</v>
      </c>
      <c r="D2373" t="s">
        <v>60</v>
      </c>
      <c r="E2373" t="s">
        <v>60</v>
      </c>
      <c r="F2373" t="s">
        <v>21</v>
      </c>
      <c r="G2373" t="s">
        <v>2942</v>
      </c>
      <c r="H2373">
        <v>0</v>
      </c>
      <c r="I2373">
        <v>2</v>
      </c>
      <c r="J2373">
        <v>0</v>
      </c>
      <c r="K2373">
        <v>0</v>
      </c>
      <c r="L2373">
        <v>0</v>
      </c>
    </row>
    <row r="2374" spans="1:12">
      <c r="A2374" t="str">
        <f>HYPERLINK("http://bombeiros.sp.gov.br/hidrantes/03individual/3736.html","3736")</f>
        <v>3736</v>
      </c>
      <c r="B2374" t="str">
        <f>HYPERLINK("http://bombeiros.sp.gov.br/hidrantes/08bsg/qrcodeBSG.html?id=3736&amp;lat=-23.48654&amp;long=-46.69174&amp;tipo=S","QRCODE")</f>
        <v>QRCODE</v>
      </c>
      <c r="C2374" t="s">
        <v>5328</v>
      </c>
      <c r="D2374" t="s">
        <v>60</v>
      </c>
      <c r="E2374" t="s">
        <v>60</v>
      </c>
      <c r="F2374" t="s">
        <v>21</v>
      </c>
      <c r="G2374" t="s">
        <v>2941</v>
      </c>
      <c r="H2374">
        <v>0</v>
      </c>
      <c r="I2374">
        <v>2</v>
      </c>
      <c r="J2374">
        <v>0</v>
      </c>
      <c r="K2374">
        <v>0</v>
      </c>
      <c r="L2374">
        <v>0</v>
      </c>
    </row>
    <row r="2375" spans="1:12">
      <c r="A2375" t="str">
        <f>HYPERLINK("http://bombeiros.sp.gov.br/hidrantes/03individual/3742.html","3742")</f>
        <v>3742</v>
      </c>
      <c r="B2375" t="str">
        <f>HYPERLINK("http://bombeiros.sp.gov.br/hidrantes/08bsg/qrcodeBSG.html?id=3742&amp;lat=-23.48921&amp;long=-46.68689&amp;tipo=S","QRCODE")</f>
        <v>QRCODE</v>
      </c>
      <c r="C2375" t="s">
        <v>5328</v>
      </c>
      <c r="D2375" t="s">
        <v>60</v>
      </c>
      <c r="E2375" t="s">
        <v>60</v>
      </c>
      <c r="F2375" t="s">
        <v>21</v>
      </c>
      <c r="G2375" t="s">
        <v>3213</v>
      </c>
      <c r="H2375">
        <v>0</v>
      </c>
      <c r="I2375">
        <v>2</v>
      </c>
      <c r="J2375">
        <v>0</v>
      </c>
      <c r="K2375">
        <v>0</v>
      </c>
      <c r="L2375">
        <v>0</v>
      </c>
    </row>
    <row r="2376" spans="1:12">
      <c r="A2376" t="str">
        <f>HYPERLINK("http://bombeiros.sp.gov.br/hidrantes/03individual/3642.html","3642")</f>
        <v>3642</v>
      </c>
      <c r="B2376" t="str">
        <f>HYPERLINK("http://bombeiros.sp.gov.br/hidrantes/08bsg/qrcodeBSG.html?id=3642&amp;lat=-23.48751&amp;long=-46.69296&amp;tipo=C","QRCODE")</f>
        <v>QRCODE</v>
      </c>
      <c r="C2376" t="s">
        <v>5328</v>
      </c>
      <c r="D2376" t="s">
        <v>60</v>
      </c>
      <c r="E2376" t="s">
        <v>225</v>
      </c>
      <c r="F2376" t="s">
        <v>12</v>
      </c>
      <c r="G2376" t="s">
        <v>3313</v>
      </c>
      <c r="H2376">
        <v>0</v>
      </c>
      <c r="I2376">
        <v>2</v>
      </c>
      <c r="J2376">
        <v>0</v>
      </c>
      <c r="K2376">
        <v>0</v>
      </c>
      <c r="L2376">
        <v>0</v>
      </c>
    </row>
    <row r="2377" spans="1:12">
      <c r="A2377" t="str">
        <f>HYPERLINK("http://bombeiros.sp.gov.br/hidrantes/03individual/3643.html","3643")</f>
        <v>3643</v>
      </c>
      <c r="B2377" t="str">
        <f>HYPERLINK("http://bombeiros.sp.gov.br/hidrantes/08bsg/qrcodeBSG.html?id=3643&amp;lat=-23.48281&amp;long=-46.69221&amp;tipo=C","QRCODE")</f>
        <v>QRCODE</v>
      </c>
      <c r="C2377" t="s">
        <v>5328</v>
      </c>
      <c r="D2377" t="s">
        <v>60</v>
      </c>
      <c r="E2377" t="s">
        <v>225</v>
      </c>
      <c r="F2377" t="s">
        <v>12</v>
      </c>
      <c r="G2377" t="s">
        <v>2939</v>
      </c>
      <c r="H2377">
        <v>0</v>
      </c>
      <c r="I2377">
        <v>2</v>
      </c>
      <c r="J2377">
        <v>0</v>
      </c>
      <c r="K2377">
        <v>0</v>
      </c>
      <c r="L2377">
        <v>0</v>
      </c>
    </row>
    <row r="2378" spans="1:12">
      <c r="A2378" t="str">
        <f>HYPERLINK("http://bombeiros.sp.gov.br/hidrantes/03individual/1302.html","1302")</f>
        <v>1302</v>
      </c>
      <c r="B2378" t="str">
        <f>HYPERLINK("http://bombeiros.sp.gov.br/hidrantes/08bsg/qrcodeBSG.html?id=1302&amp;lat=-23.47832&amp;long=-46.68238&amp;tipo=S","QRCODE")</f>
        <v>QRCODE</v>
      </c>
      <c r="C2378" t="s">
        <v>5328</v>
      </c>
      <c r="D2378" t="s">
        <v>60</v>
      </c>
      <c r="E2378" t="s">
        <v>225</v>
      </c>
      <c r="F2378" t="s">
        <v>21</v>
      </c>
      <c r="G2378" t="s">
        <v>3246</v>
      </c>
      <c r="H2378">
        <v>0</v>
      </c>
      <c r="I2378">
        <v>2</v>
      </c>
      <c r="J2378">
        <v>0</v>
      </c>
      <c r="K2378">
        <v>0</v>
      </c>
      <c r="L2378">
        <v>0</v>
      </c>
    </row>
    <row r="2379" spans="1:12">
      <c r="A2379" t="str">
        <f>HYPERLINK("http://bombeiros.sp.gov.br/hidrantes/03individual/3732.html","3732")</f>
        <v>3732</v>
      </c>
      <c r="B2379" t="str">
        <f>HYPERLINK("http://bombeiros.sp.gov.br/hidrantes/08bsg/qrcodeBSG.html?id=3732&amp;lat=-23.48833&amp;long=-46.69528&amp;tipo=S","QRCODE")</f>
        <v>QRCODE</v>
      </c>
      <c r="C2379" t="s">
        <v>5328</v>
      </c>
      <c r="D2379" t="s">
        <v>60</v>
      </c>
      <c r="E2379" t="s">
        <v>225</v>
      </c>
      <c r="F2379" t="s">
        <v>21</v>
      </c>
      <c r="G2379" t="s">
        <v>3317</v>
      </c>
      <c r="H2379">
        <v>0</v>
      </c>
      <c r="I2379">
        <v>2</v>
      </c>
      <c r="J2379">
        <v>0</v>
      </c>
      <c r="K2379">
        <v>0</v>
      </c>
      <c r="L2379">
        <v>0</v>
      </c>
    </row>
    <row r="2380" spans="1:12">
      <c r="A2380" t="str">
        <f>HYPERLINK("http://bombeiros.sp.gov.br/hidrantes/03individual/3737.html","3737")</f>
        <v>3737</v>
      </c>
      <c r="B2380" t="str">
        <f>HYPERLINK("http://bombeiros.sp.gov.br/hidrantes/08bsg/qrcodeBSG.html?id=3737&amp;lat=-23.48592&amp;long=-46.69237&amp;tipo=S","QRCODE")</f>
        <v>QRCODE</v>
      </c>
      <c r="C2380" t="s">
        <v>5328</v>
      </c>
      <c r="D2380" t="s">
        <v>60</v>
      </c>
      <c r="E2380" t="s">
        <v>225</v>
      </c>
      <c r="F2380" t="s">
        <v>21</v>
      </c>
      <c r="G2380" t="s">
        <v>3318</v>
      </c>
      <c r="H2380">
        <v>0</v>
      </c>
      <c r="I2380">
        <v>2</v>
      </c>
      <c r="J2380">
        <v>0</v>
      </c>
      <c r="K2380">
        <v>0</v>
      </c>
      <c r="L2380">
        <v>0</v>
      </c>
    </row>
    <row r="2381" spans="1:12">
      <c r="A2381" t="str">
        <f>HYPERLINK("http://bombeiros.sp.gov.br/hidrantes/03individual/3740.html","3740")</f>
        <v>3740</v>
      </c>
      <c r="B2381" t="str">
        <f>HYPERLINK("http://bombeiros.sp.gov.br/hidrantes/08bsg/qrcodeBSG.html?id=3740&amp;lat=-23.48501&amp;long=-46.68895&amp;tipo=S","QRCODE")</f>
        <v>QRCODE</v>
      </c>
      <c r="C2381" t="s">
        <v>5328</v>
      </c>
      <c r="D2381" t="s">
        <v>60</v>
      </c>
      <c r="E2381" t="s">
        <v>225</v>
      </c>
      <c r="F2381" t="s">
        <v>21</v>
      </c>
      <c r="G2381" t="s">
        <v>3315</v>
      </c>
      <c r="H2381">
        <v>0</v>
      </c>
      <c r="I2381">
        <v>2</v>
      </c>
      <c r="J2381">
        <v>0</v>
      </c>
      <c r="K2381">
        <v>0</v>
      </c>
      <c r="L2381">
        <v>0</v>
      </c>
    </row>
    <row r="2382" spans="1:12">
      <c r="A2382" t="str">
        <f>HYPERLINK("http://bombeiros.sp.gov.br/hidrantes/03individual/3769.html","3769")</f>
        <v>3769</v>
      </c>
      <c r="B2382" t="str">
        <f>HYPERLINK("http://bombeiros.sp.gov.br/hidrantes/08bsg/qrcodeBSG.html?id=3769&amp;lat=-23.48081&amp;long=-46.68032&amp;tipo=S","QRCODE")</f>
        <v>QRCODE</v>
      </c>
      <c r="C2382" t="s">
        <v>5328</v>
      </c>
      <c r="D2382" t="s">
        <v>60</v>
      </c>
      <c r="E2382" t="s">
        <v>225</v>
      </c>
      <c r="F2382" t="s">
        <v>21</v>
      </c>
      <c r="G2382" t="s">
        <v>1818</v>
      </c>
      <c r="H2382">
        <v>0</v>
      </c>
      <c r="I2382">
        <v>2</v>
      </c>
      <c r="J2382">
        <v>0</v>
      </c>
      <c r="K2382">
        <v>0</v>
      </c>
      <c r="L2382">
        <v>0</v>
      </c>
    </row>
    <row r="2383" spans="1:12">
      <c r="A2383" t="str">
        <f>HYPERLINK("http://bombeiros.sp.gov.br/hidrantes/03individual/3774.html","3774")</f>
        <v>3774</v>
      </c>
      <c r="B2383" t="str">
        <f>HYPERLINK("http://bombeiros.sp.gov.br/hidrantes/08bsg/qrcodeBSG.html?id=3774&amp;lat=-23.48350&amp;long=-46.68399&amp;tipo=S","QRCODE")</f>
        <v>QRCODE</v>
      </c>
      <c r="C2383" t="s">
        <v>5328</v>
      </c>
      <c r="D2383" t="s">
        <v>60</v>
      </c>
      <c r="E2383" t="s">
        <v>225</v>
      </c>
      <c r="F2383" t="s">
        <v>21</v>
      </c>
      <c r="G2383" t="s">
        <v>2937</v>
      </c>
      <c r="H2383">
        <v>0</v>
      </c>
      <c r="I2383">
        <v>2</v>
      </c>
      <c r="J2383">
        <v>0</v>
      </c>
      <c r="K2383">
        <v>0</v>
      </c>
      <c r="L2383">
        <v>0</v>
      </c>
    </row>
    <row r="2384" spans="1:12">
      <c r="A2384" t="str">
        <f>HYPERLINK("http://bombeiros.sp.gov.br/hidrantes/03individual/26792.html","26792")</f>
        <v>26792</v>
      </c>
      <c r="B2384" t="str">
        <f>HYPERLINK("http://bombeiros.sp.gov.br/hidrantes/08bsg/qrcodeBSG.html?id=26792&amp;lat=-23.48118&amp;long=-46.68561&amp;tipo=S","QRCODE")</f>
        <v>QRCODE</v>
      </c>
      <c r="C2384" t="s">
        <v>5328</v>
      </c>
      <c r="D2384" t="s">
        <v>60</v>
      </c>
      <c r="E2384" t="s">
        <v>225</v>
      </c>
      <c r="F2384" t="s">
        <v>21</v>
      </c>
      <c r="G2384" t="s">
        <v>224</v>
      </c>
      <c r="H2384">
        <v>0</v>
      </c>
      <c r="I2384">
        <v>2</v>
      </c>
      <c r="J2384">
        <v>0</v>
      </c>
      <c r="K2384">
        <v>0</v>
      </c>
      <c r="L2384">
        <v>0</v>
      </c>
    </row>
    <row r="2385" spans="1:12">
      <c r="A2385" t="str">
        <f>HYPERLINK("http://bombeiros.sp.gov.br/hidrantes/03individual/3663.html","3663")</f>
        <v>3663</v>
      </c>
      <c r="B2385" t="str">
        <f>HYPERLINK("http://bombeiros.sp.gov.br/hidrantes/08bsg/qrcodeBSG.html?id=3663&amp;lat=-23.47222&amp;long=-46.69939&amp;tipo=C","QRCODE")</f>
        <v>QRCODE</v>
      </c>
      <c r="C2385" t="s">
        <v>5328</v>
      </c>
      <c r="D2385" t="s">
        <v>60</v>
      </c>
      <c r="E2385" t="s">
        <v>208</v>
      </c>
      <c r="F2385" t="s">
        <v>12</v>
      </c>
      <c r="G2385" t="s">
        <v>207</v>
      </c>
      <c r="H2385">
        <v>0</v>
      </c>
      <c r="I2385">
        <v>2</v>
      </c>
      <c r="J2385">
        <v>0</v>
      </c>
      <c r="K2385">
        <v>0</v>
      </c>
      <c r="L2385">
        <v>0</v>
      </c>
    </row>
    <row r="2386" spans="1:12">
      <c r="A2386" t="str">
        <f>HYPERLINK("http://bombeiros.sp.gov.br/hidrantes/03individual/16596.html","16596")</f>
        <v>16596</v>
      </c>
      <c r="B2386" t="str">
        <f>HYPERLINK("http://bombeiros.sp.gov.br/hidrantes/08bsg/qrcodeBSG.html?id=16596&amp;lat=-23.48232&amp;long=-46.69540&amp;tipo=C","QRCODE")</f>
        <v>QRCODE</v>
      </c>
      <c r="C2386" t="s">
        <v>5328</v>
      </c>
      <c r="D2386" t="s">
        <v>60</v>
      </c>
      <c r="E2386" t="s">
        <v>208</v>
      </c>
      <c r="F2386" t="s">
        <v>12</v>
      </c>
      <c r="G2386" t="s">
        <v>243</v>
      </c>
      <c r="H2386">
        <v>0</v>
      </c>
      <c r="I2386">
        <v>2</v>
      </c>
      <c r="J2386">
        <v>0</v>
      </c>
      <c r="K2386">
        <v>0</v>
      </c>
      <c r="L2386">
        <v>0</v>
      </c>
    </row>
    <row r="2387" spans="1:12">
      <c r="A2387" t="str">
        <f>HYPERLINK("http://bombeiros.sp.gov.br/hidrantes/03individual/25234.html","25234")</f>
        <v>25234</v>
      </c>
      <c r="B2387" t="str">
        <f>HYPERLINK("http://bombeiros.sp.gov.br/hidrantes/08bsg/qrcodeBSG.html?id=25234&amp;lat=-23.47145&amp;long=-46.70611&amp;tipo=C","QRCODE")</f>
        <v>QRCODE</v>
      </c>
      <c r="C2387" t="s">
        <v>5328</v>
      </c>
      <c r="D2387" t="s">
        <v>60</v>
      </c>
      <c r="E2387" t="s">
        <v>208</v>
      </c>
      <c r="F2387" t="s">
        <v>12</v>
      </c>
      <c r="G2387" t="s">
        <v>228</v>
      </c>
      <c r="H2387">
        <v>0</v>
      </c>
      <c r="I2387">
        <v>2</v>
      </c>
      <c r="J2387">
        <v>0</v>
      </c>
      <c r="K2387">
        <v>0</v>
      </c>
      <c r="L2387">
        <v>0</v>
      </c>
    </row>
    <row r="2388" spans="1:12">
      <c r="A2388" t="str">
        <f>HYPERLINK("http://bombeiros.sp.gov.br/hidrantes/03individual/85.html","85")</f>
        <v>85</v>
      </c>
      <c r="B2388" t="str">
        <f>HYPERLINK("http://bombeiros.sp.gov.br/hidrantes/08bsg/qrcodeBSG.html?id=85&amp;lat=-23.48495&amp;long=-46.70900&amp;tipo=S","QRCODE")</f>
        <v>QRCODE</v>
      </c>
      <c r="C2388" t="s">
        <v>5328</v>
      </c>
      <c r="D2388" t="s">
        <v>60</v>
      </c>
      <c r="E2388" t="s">
        <v>208</v>
      </c>
      <c r="F2388" t="s">
        <v>21</v>
      </c>
      <c r="G2388" t="s">
        <v>3276</v>
      </c>
      <c r="H2388">
        <v>0</v>
      </c>
      <c r="I2388">
        <v>2</v>
      </c>
      <c r="J2388">
        <v>0</v>
      </c>
      <c r="K2388">
        <v>0</v>
      </c>
      <c r="L2388">
        <v>0</v>
      </c>
    </row>
    <row r="2389" spans="1:12">
      <c r="A2389" t="str">
        <f>HYPERLINK("http://bombeiros.sp.gov.br/hidrantes/03individual/1095.html","1095")</f>
        <v>1095</v>
      </c>
      <c r="B2389" t="str">
        <f>HYPERLINK("http://bombeiros.sp.gov.br/hidrantes/08bsg/qrcodeBSG.html?id=1095&amp;lat=-23.46331&amp;long=-46.70147&amp;tipo=S","QRCODE")</f>
        <v>QRCODE</v>
      </c>
      <c r="C2389" t="s">
        <v>5328</v>
      </c>
      <c r="D2389" t="s">
        <v>60</v>
      </c>
      <c r="E2389" t="s">
        <v>208</v>
      </c>
      <c r="F2389" t="s">
        <v>21</v>
      </c>
      <c r="G2389" t="s">
        <v>1794</v>
      </c>
      <c r="H2389">
        <v>0</v>
      </c>
      <c r="I2389">
        <v>2</v>
      </c>
      <c r="J2389">
        <v>0</v>
      </c>
      <c r="K2389">
        <v>0</v>
      </c>
      <c r="L2389">
        <v>0</v>
      </c>
    </row>
    <row r="2390" spans="1:12">
      <c r="A2390" t="str">
        <f>HYPERLINK("http://bombeiros.sp.gov.br/hidrantes/03individual/1166.html","1166")</f>
        <v>1166</v>
      </c>
      <c r="B2390" t="str">
        <f>HYPERLINK("http://bombeiros.sp.gov.br/hidrantes/08bsg/qrcodeBSG.html?id=1166&amp;lat=-23.47185&amp;long=-46.70747&amp;tipo=S","QRCODE")</f>
        <v>QRCODE</v>
      </c>
      <c r="C2390" t="s">
        <v>5328</v>
      </c>
      <c r="D2390" t="s">
        <v>60</v>
      </c>
      <c r="E2390" t="s">
        <v>208</v>
      </c>
      <c r="F2390" t="s">
        <v>21</v>
      </c>
      <c r="G2390" t="s">
        <v>1551</v>
      </c>
      <c r="H2390">
        <v>0</v>
      </c>
      <c r="I2390">
        <v>3</v>
      </c>
      <c r="J2390">
        <v>0</v>
      </c>
      <c r="K2390">
        <v>0</v>
      </c>
      <c r="L2390">
        <v>0</v>
      </c>
    </row>
    <row r="2391" spans="1:12">
      <c r="A2391" t="str">
        <f>HYPERLINK("http://bombeiros.sp.gov.br/hidrantes/03individual/1267.html","1267")</f>
        <v>1267</v>
      </c>
      <c r="B2391" t="str">
        <f>HYPERLINK("http://bombeiros.sp.gov.br/hidrantes/08bsg/qrcodeBSG.html?id=1267&amp;lat=-23.49004&amp;long=-46.70979&amp;tipo=S","QRCODE")</f>
        <v>QRCODE</v>
      </c>
      <c r="C2391" t="s">
        <v>5328</v>
      </c>
      <c r="D2391" t="s">
        <v>60</v>
      </c>
      <c r="E2391" t="s">
        <v>208</v>
      </c>
      <c r="F2391" t="s">
        <v>21</v>
      </c>
      <c r="G2391" t="s">
        <v>3302</v>
      </c>
      <c r="H2391">
        <v>0</v>
      </c>
      <c r="I2391">
        <v>2</v>
      </c>
      <c r="J2391">
        <v>0</v>
      </c>
      <c r="K2391">
        <v>0</v>
      </c>
      <c r="L2391">
        <v>0</v>
      </c>
    </row>
    <row r="2392" spans="1:12">
      <c r="A2392" t="str">
        <f>HYPERLINK("http://bombeiros.sp.gov.br/hidrantes/03individual/4041.html","4041")</f>
        <v>4041</v>
      </c>
      <c r="B2392" t="str">
        <f>HYPERLINK("http://bombeiros.sp.gov.br/hidrantes/08bsg/qrcodeBSG.html?id=4041&amp;lat=-23.48591&amp;long=-46.70723&amp;tipo=S","QRCODE")</f>
        <v>QRCODE</v>
      </c>
      <c r="C2392" t="s">
        <v>5328</v>
      </c>
      <c r="D2392" t="s">
        <v>60</v>
      </c>
      <c r="E2392" t="s">
        <v>208</v>
      </c>
      <c r="F2392" t="s">
        <v>21</v>
      </c>
      <c r="G2392" t="s">
        <v>4245</v>
      </c>
      <c r="H2392">
        <v>0</v>
      </c>
      <c r="I2392">
        <v>1</v>
      </c>
      <c r="J2392">
        <v>0</v>
      </c>
      <c r="K2392">
        <v>0</v>
      </c>
      <c r="L2392">
        <v>0</v>
      </c>
    </row>
    <row r="2393" spans="1:12">
      <c r="A2393" t="str">
        <f>HYPERLINK("http://bombeiros.sp.gov.br/hidrantes/03individual/4042.html","4042")</f>
        <v>4042</v>
      </c>
      <c r="B2393" t="str">
        <f>HYPERLINK("http://bombeiros.sp.gov.br/hidrantes/08bsg/qrcodeBSG.html?id=4042&amp;lat=-23.47995&amp;long=-46.70595&amp;tipo=S","QRCODE")</f>
        <v>QRCODE</v>
      </c>
      <c r="C2393" t="s">
        <v>5328</v>
      </c>
      <c r="D2393" t="s">
        <v>60</v>
      </c>
      <c r="E2393" t="s">
        <v>208</v>
      </c>
      <c r="F2393" t="s">
        <v>21</v>
      </c>
      <c r="G2393" t="s">
        <v>3324</v>
      </c>
      <c r="H2393">
        <v>0</v>
      </c>
      <c r="I2393">
        <v>2</v>
      </c>
      <c r="J2393">
        <v>0</v>
      </c>
      <c r="K2393">
        <v>0</v>
      </c>
      <c r="L2393">
        <v>0</v>
      </c>
    </row>
    <row r="2394" spans="1:12">
      <c r="A2394" t="str">
        <f>HYPERLINK("http://bombeiros.sp.gov.br/hidrantes/03individual/3580.html","3580")</f>
        <v>3580</v>
      </c>
      <c r="B2394" t="str">
        <f>HYPERLINK("http://bombeiros.sp.gov.br/hidrantes/08bsg/qrcodeBSG.html?id=3580&amp;lat=-23.45543&amp;long=-46.58174&amp;tipo=C","QRCODE")</f>
        <v>QRCODE</v>
      </c>
      <c r="C2394" t="s">
        <v>5328</v>
      </c>
      <c r="D2394" t="s">
        <v>114</v>
      </c>
      <c r="E2394" t="s">
        <v>3478</v>
      </c>
      <c r="F2394" t="s">
        <v>12</v>
      </c>
      <c r="G2394" t="s">
        <v>3886</v>
      </c>
      <c r="H2394">
        <v>0</v>
      </c>
      <c r="I2394">
        <v>1</v>
      </c>
      <c r="J2394">
        <v>0</v>
      </c>
      <c r="K2394">
        <v>0</v>
      </c>
      <c r="L2394">
        <v>0</v>
      </c>
    </row>
    <row r="2395" spans="1:12">
      <c r="A2395" t="str">
        <f>HYPERLINK("http://bombeiros.sp.gov.br/hidrantes/03individual/3588.html","3588")</f>
        <v>3588</v>
      </c>
      <c r="B2395" t="str">
        <f>HYPERLINK("http://bombeiros.sp.gov.br/hidrantes/08bsg/qrcodeBSG.html?id=3588&amp;lat=-23.44927&amp;long=-46.57731&amp;tipo=C","QRCODE")</f>
        <v>QRCODE</v>
      </c>
      <c r="C2395" t="s">
        <v>5328</v>
      </c>
      <c r="D2395" t="s">
        <v>114</v>
      </c>
      <c r="E2395" t="s">
        <v>3478</v>
      </c>
      <c r="F2395" t="s">
        <v>12</v>
      </c>
      <c r="G2395" t="s">
        <v>3477</v>
      </c>
      <c r="H2395">
        <v>0</v>
      </c>
      <c r="I2395">
        <v>1</v>
      </c>
      <c r="J2395">
        <v>0</v>
      </c>
      <c r="K2395">
        <v>0</v>
      </c>
      <c r="L2395">
        <v>0</v>
      </c>
    </row>
    <row r="2396" spans="1:12">
      <c r="A2396" t="str">
        <f>HYPERLINK("http://bombeiros.sp.gov.br/hidrantes/03individual/580.html","580")</f>
        <v>580</v>
      </c>
      <c r="B2396" t="str">
        <f>HYPERLINK("http://bombeiros.sp.gov.br/hidrantes/08bsg/qrcodeBSG.html?id=580&amp;lat=-23.47075&amp;long=-46.58561&amp;tipo=C","QRCODE")</f>
        <v>QRCODE</v>
      </c>
      <c r="C2396" t="s">
        <v>5328</v>
      </c>
      <c r="D2396" t="s">
        <v>114</v>
      </c>
      <c r="E2396" t="s">
        <v>114</v>
      </c>
      <c r="F2396" t="s">
        <v>12</v>
      </c>
      <c r="G2396" t="s">
        <v>2984</v>
      </c>
      <c r="H2396">
        <v>0</v>
      </c>
      <c r="I2396">
        <v>2</v>
      </c>
      <c r="J2396">
        <v>0</v>
      </c>
      <c r="K2396">
        <v>0</v>
      </c>
      <c r="L2396">
        <v>0</v>
      </c>
    </row>
    <row r="2397" spans="1:12">
      <c r="A2397" t="str">
        <f>HYPERLINK("http://bombeiros.sp.gov.br/hidrantes/03individual/3475.html","3475")</f>
        <v>3475</v>
      </c>
      <c r="B2397" t="str">
        <f>HYPERLINK("http://bombeiros.sp.gov.br/hidrantes/08bsg/qrcodeBSG.html?id=3475&amp;lat=-23.46487&amp;long=-46.56960&amp;tipo=C","QRCODE")</f>
        <v>QRCODE</v>
      </c>
      <c r="C2397" t="s">
        <v>5328</v>
      </c>
      <c r="D2397" t="s">
        <v>114</v>
      </c>
      <c r="E2397" t="s">
        <v>114</v>
      </c>
      <c r="F2397" t="s">
        <v>12</v>
      </c>
      <c r="G2397" t="s">
        <v>2038</v>
      </c>
      <c r="H2397">
        <v>0</v>
      </c>
      <c r="I2397">
        <v>2</v>
      </c>
      <c r="J2397">
        <v>0</v>
      </c>
      <c r="K2397">
        <v>0</v>
      </c>
      <c r="L2397">
        <v>0</v>
      </c>
    </row>
    <row r="2398" spans="1:12">
      <c r="A2398" t="str">
        <f>HYPERLINK("http://bombeiros.sp.gov.br/hidrantes/03individual/3479.html","3479")</f>
        <v>3479</v>
      </c>
      <c r="B2398" t="str">
        <f>HYPERLINK("http://bombeiros.sp.gov.br/hidrantes/08bsg/qrcodeBSG.html?id=3479&amp;lat=-23.46698&amp;long=-46.57431&amp;tipo=C","QRCODE")</f>
        <v>QRCODE</v>
      </c>
      <c r="C2398" t="s">
        <v>5328</v>
      </c>
      <c r="D2398" t="s">
        <v>114</v>
      </c>
      <c r="E2398" t="s">
        <v>114</v>
      </c>
      <c r="F2398" t="s">
        <v>12</v>
      </c>
      <c r="G2398" t="s">
        <v>3884</v>
      </c>
      <c r="H2398">
        <v>0</v>
      </c>
      <c r="I2398">
        <v>1</v>
      </c>
      <c r="J2398">
        <v>0</v>
      </c>
      <c r="K2398">
        <v>0</v>
      </c>
      <c r="L2398">
        <v>0</v>
      </c>
    </row>
    <row r="2399" spans="1:12">
      <c r="A2399" t="str">
        <f>HYPERLINK("http://bombeiros.sp.gov.br/hidrantes/03individual/3537.html","3537")</f>
        <v>3537</v>
      </c>
      <c r="B2399" t="str">
        <f>HYPERLINK("http://bombeiros.sp.gov.br/hidrantes/08bsg/qrcodeBSG.html?id=3537&amp;lat=-23.45994&amp;long=-46.58453&amp;tipo=C","QRCODE")</f>
        <v>QRCODE</v>
      </c>
      <c r="C2399" t="s">
        <v>5328</v>
      </c>
      <c r="D2399" t="s">
        <v>114</v>
      </c>
      <c r="E2399" t="s">
        <v>114</v>
      </c>
      <c r="F2399" t="s">
        <v>12</v>
      </c>
      <c r="G2399" t="s">
        <v>2958</v>
      </c>
      <c r="H2399">
        <v>0</v>
      </c>
      <c r="I2399">
        <v>2</v>
      </c>
      <c r="J2399">
        <v>0</v>
      </c>
      <c r="K2399">
        <v>0</v>
      </c>
      <c r="L2399">
        <v>0</v>
      </c>
    </row>
    <row r="2400" spans="1:12">
      <c r="A2400" t="str">
        <f>HYPERLINK("http://bombeiros.sp.gov.br/hidrantes/03individual/3540.html","3540")</f>
        <v>3540</v>
      </c>
      <c r="B2400" t="str">
        <f>HYPERLINK("http://bombeiros.sp.gov.br/hidrantes/08bsg/qrcodeBSG.html?id=3540&amp;lat=-23.46133&amp;long=-46.58559&amp;tipo=C","QRCODE")</f>
        <v>QRCODE</v>
      </c>
      <c r="C2400" t="s">
        <v>5328</v>
      </c>
      <c r="D2400" t="s">
        <v>114</v>
      </c>
      <c r="E2400" t="s">
        <v>114</v>
      </c>
      <c r="F2400" t="s">
        <v>12</v>
      </c>
      <c r="G2400" t="s">
        <v>731</v>
      </c>
      <c r="H2400">
        <v>0</v>
      </c>
      <c r="I2400">
        <v>2</v>
      </c>
      <c r="J2400">
        <v>0</v>
      </c>
      <c r="K2400">
        <v>0</v>
      </c>
      <c r="L2400">
        <v>0</v>
      </c>
    </row>
    <row r="2401" spans="1:12">
      <c r="A2401" t="str">
        <f>HYPERLINK("http://bombeiros.sp.gov.br/hidrantes/03individual/3541.html","3541")</f>
        <v>3541</v>
      </c>
      <c r="B2401" t="str">
        <f>HYPERLINK("http://bombeiros.sp.gov.br/hidrantes/08bsg/qrcodeBSG.html?id=3541&amp;lat=-23.46290&amp;long=-46.58407&amp;tipo=C","QRCODE")</f>
        <v>QRCODE</v>
      </c>
      <c r="C2401" t="s">
        <v>5328</v>
      </c>
      <c r="D2401" t="s">
        <v>114</v>
      </c>
      <c r="E2401" t="s">
        <v>114</v>
      </c>
      <c r="F2401" t="s">
        <v>12</v>
      </c>
      <c r="G2401" t="s">
        <v>3883</v>
      </c>
      <c r="H2401">
        <v>0</v>
      </c>
      <c r="I2401">
        <v>1</v>
      </c>
      <c r="J2401">
        <v>0</v>
      </c>
      <c r="K2401">
        <v>0</v>
      </c>
      <c r="L2401">
        <v>0</v>
      </c>
    </row>
    <row r="2402" spans="1:12">
      <c r="A2402" t="str">
        <f>HYPERLINK("http://bombeiros.sp.gov.br/hidrantes/03individual/3584.html","3584")</f>
        <v>3584</v>
      </c>
      <c r="B2402" t="str">
        <f>HYPERLINK("http://bombeiros.sp.gov.br/hidrantes/08bsg/qrcodeBSG.html?id=3584&amp;lat=-23.46228&amp;long=-46.57030&amp;tipo=C","QRCODE")</f>
        <v>QRCODE</v>
      </c>
      <c r="C2402" t="s">
        <v>5328</v>
      </c>
      <c r="D2402" t="s">
        <v>114</v>
      </c>
      <c r="E2402" t="s">
        <v>114</v>
      </c>
      <c r="F2402" t="s">
        <v>12</v>
      </c>
      <c r="G2402" t="s">
        <v>3885</v>
      </c>
      <c r="H2402">
        <v>0</v>
      </c>
      <c r="I2402">
        <v>1</v>
      </c>
      <c r="J2402">
        <v>0</v>
      </c>
      <c r="K2402">
        <v>0</v>
      </c>
      <c r="L2402">
        <v>0</v>
      </c>
    </row>
    <row r="2403" spans="1:12">
      <c r="A2403" t="str">
        <f>HYPERLINK("http://bombeiros.sp.gov.br/hidrantes/03individual/572.html","572")</f>
        <v>572</v>
      </c>
      <c r="B2403" t="str">
        <f>HYPERLINK("http://bombeiros.sp.gov.br/hidrantes/08bsg/qrcodeBSG.html?id=572&amp;lat=-23.46910&amp;long=-46.57723&amp;tipo=S","QRCODE")</f>
        <v>QRCODE</v>
      </c>
      <c r="C2403" t="s">
        <v>5328</v>
      </c>
      <c r="D2403" t="s">
        <v>114</v>
      </c>
      <c r="E2403" t="s">
        <v>114</v>
      </c>
      <c r="F2403" t="s">
        <v>21</v>
      </c>
      <c r="G2403" t="s">
        <v>2075</v>
      </c>
      <c r="H2403">
        <v>0</v>
      </c>
      <c r="I2403">
        <v>2</v>
      </c>
      <c r="J2403">
        <v>0</v>
      </c>
      <c r="K2403">
        <v>0</v>
      </c>
      <c r="L2403">
        <v>0</v>
      </c>
    </row>
    <row r="2404" spans="1:12">
      <c r="A2404" t="str">
        <f>HYPERLINK("http://bombeiros.sp.gov.br/hidrantes/03individual/583.html","583")</f>
        <v>583</v>
      </c>
      <c r="B2404" t="str">
        <f>HYPERLINK("http://bombeiros.sp.gov.br/hidrantes/08bsg/qrcodeBSG.html?id=583&amp;lat=-23.46865&amp;long=-46.57986&amp;tipo=S","QRCODE")</f>
        <v>QRCODE</v>
      </c>
      <c r="C2404" t="s">
        <v>5328</v>
      </c>
      <c r="D2404" t="s">
        <v>114</v>
      </c>
      <c r="E2404" t="s">
        <v>114</v>
      </c>
      <c r="F2404" t="s">
        <v>21</v>
      </c>
      <c r="G2404" t="s">
        <v>2985</v>
      </c>
      <c r="H2404">
        <v>0</v>
      </c>
      <c r="I2404">
        <v>2</v>
      </c>
      <c r="J2404">
        <v>0</v>
      </c>
      <c r="K2404">
        <v>0</v>
      </c>
      <c r="L2404">
        <v>0</v>
      </c>
    </row>
    <row r="2405" spans="1:12">
      <c r="A2405" t="str">
        <f>HYPERLINK("http://bombeiros.sp.gov.br/hidrantes/03individual/597.html","597")</f>
        <v>597</v>
      </c>
      <c r="B2405" t="str">
        <f>HYPERLINK("http://bombeiros.sp.gov.br/hidrantes/08bsg/qrcodeBSG.html?id=597&amp;lat=-23.47067&amp;long=-46.57435&amp;tipo=S","QRCODE")</f>
        <v>QRCODE</v>
      </c>
      <c r="C2405" t="s">
        <v>5328</v>
      </c>
      <c r="D2405" t="s">
        <v>114</v>
      </c>
      <c r="E2405" t="s">
        <v>114</v>
      </c>
      <c r="F2405" t="s">
        <v>21</v>
      </c>
      <c r="G2405" t="s">
        <v>2078</v>
      </c>
      <c r="H2405">
        <v>0</v>
      </c>
      <c r="I2405">
        <v>2</v>
      </c>
      <c r="J2405">
        <v>0</v>
      </c>
      <c r="K2405">
        <v>0</v>
      </c>
      <c r="L2405">
        <v>0</v>
      </c>
    </row>
    <row r="2406" spans="1:12">
      <c r="A2406" t="str">
        <f>HYPERLINK("http://bombeiros.sp.gov.br/hidrantes/03individual/665.html","665")</f>
        <v>665</v>
      </c>
      <c r="B2406" t="str">
        <f>HYPERLINK("http://bombeiros.sp.gov.br/hidrantes/08bsg/qrcodeBSG.html?id=665&amp;lat=-23.46106&amp;long=-46.57773&amp;tipo=S","QRCODE")</f>
        <v>QRCODE</v>
      </c>
      <c r="C2406" t="s">
        <v>5328</v>
      </c>
      <c r="D2406" t="s">
        <v>114</v>
      </c>
      <c r="E2406" t="s">
        <v>114</v>
      </c>
      <c r="F2406" t="s">
        <v>21</v>
      </c>
      <c r="G2406" t="s">
        <v>2060</v>
      </c>
      <c r="H2406">
        <v>0</v>
      </c>
      <c r="I2406">
        <v>2</v>
      </c>
      <c r="J2406">
        <v>0</v>
      </c>
      <c r="K2406">
        <v>0</v>
      </c>
      <c r="L2406">
        <v>0</v>
      </c>
    </row>
    <row r="2407" spans="1:12">
      <c r="A2407" t="str">
        <f>HYPERLINK("http://bombeiros.sp.gov.br/hidrantes/03individual/681.html","681")</f>
        <v>681</v>
      </c>
      <c r="B2407" t="str">
        <f>HYPERLINK("http://bombeiros.sp.gov.br/hidrantes/08bsg/qrcodeBSG.html?id=681&amp;lat=-23.46172&amp;long=-46.58136&amp;tipo=S","QRCODE")</f>
        <v>QRCODE</v>
      </c>
      <c r="C2407" t="s">
        <v>5328</v>
      </c>
      <c r="D2407" t="s">
        <v>114</v>
      </c>
      <c r="E2407" t="s">
        <v>114</v>
      </c>
      <c r="F2407" t="s">
        <v>21</v>
      </c>
      <c r="G2407" t="s">
        <v>2061</v>
      </c>
      <c r="H2407">
        <v>0</v>
      </c>
      <c r="I2407">
        <v>2</v>
      </c>
      <c r="J2407">
        <v>0</v>
      </c>
      <c r="K2407">
        <v>0</v>
      </c>
      <c r="L2407">
        <v>0</v>
      </c>
    </row>
    <row r="2408" spans="1:12">
      <c r="A2408" t="str">
        <f>HYPERLINK("http://bombeiros.sp.gov.br/hidrantes/03individual/725.html","725")</f>
        <v>725</v>
      </c>
      <c r="B2408" t="str">
        <f>HYPERLINK("http://bombeiros.sp.gov.br/hidrantes/08bsg/qrcodeBSG.html?id=725&amp;lat=-23.47395&amp;long=-46.58395&amp;tipo=S","QRCODE")</f>
        <v>QRCODE</v>
      </c>
      <c r="C2408" t="s">
        <v>5328</v>
      </c>
      <c r="D2408" t="s">
        <v>114</v>
      </c>
      <c r="E2408" t="s">
        <v>114</v>
      </c>
      <c r="F2408" t="s">
        <v>21</v>
      </c>
      <c r="G2408" t="s">
        <v>130</v>
      </c>
      <c r="H2408">
        <v>0</v>
      </c>
      <c r="I2408">
        <v>2</v>
      </c>
      <c r="J2408">
        <v>0</v>
      </c>
      <c r="K2408">
        <v>0</v>
      </c>
      <c r="L2408">
        <v>0</v>
      </c>
    </row>
    <row r="2409" spans="1:12">
      <c r="A2409" t="str">
        <f>HYPERLINK("http://bombeiros.sp.gov.br/hidrantes/03individual/729.html","729")</f>
        <v>729</v>
      </c>
      <c r="B2409" t="str">
        <f>HYPERLINK("http://bombeiros.sp.gov.br/hidrantes/08bsg/qrcodeBSG.html?id=729&amp;lat=-23.46136&amp;long=-46.58070&amp;tipo=S","QRCODE")</f>
        <v>QRCODE</v>
      </c>
      <c r="C2409" t="s">
        <v>5328</v>
      </c>
      <c r="D2409" t="s">
        <v>114</v>
      </c>
      <c r="E2409" t="s">
        <v>114</v>
      </c>
      <c r="F2409" t="s">
        <v>21</v>
      </c>
      <c r="G2409" t="s">
        <v>2066</v>
      </c>
      <c r="H2409">
        <v>0</v>
      </c>
      <c r="I2409">
        <v>2</v>
      </c>
      <c r="J2409">
        <v>0</v>
      </c>
      <c r="K2409">
        <v>0</v>
      </c>
      <c r="L2409">
        <v>0</v>
      </c>
    </row>
    <row r="2410" spans="1:12">
      <c r="A2410" t="str">
        <f>HYPERLINK("http://bombeiros.sp.gov.br/hidrantes/03individual/730.html","730")</f>
        <v>730</v>
      </c>
      <c r="B2410" t="str">
        <f>HYPERLINK("http://bombeiros.sp.gov.br/hidrantes/08bsg/qrcodeBSG.html?id=730&amp;lat=-23.47010&amp;long=-46.57936&amp;tipo=S","QRCODE")</f>
        <v>QRCODE</v>
      </c>
      <c r="C2410" t="s">
        <v>5328</v>
      </c>
      <c r="D2410" t="s">
        <v>114</v>
      </c>
      <c r="E2410" t="s">
        <v>114</v>
      </c>
      <c r="F2410" t="s">
        <v>21</v>
      </c>
      <c r="G2410" t="s">
        <v>2067</v>
      </c>
      <c r="H2410">
        <v>0</v>
      </c>
      <c r="I2410">
        <v>2</v>
      </c>
      <c r="J2410">
        <v>0</v>
      </c>
      <c r="K2410">
        <v>0</v>
      </c>
      <c r="L2410">
        <v>0</v>
      </c>
    </row>
    <row r="2411" spans="1:12">
      <c r="A2411" t="str">
        <f>HYPERLINK("http://bombeiros.sp.gov.br/hidrantes/03individual/731.html","731")</f>
        <v>731</v>
      </c>
      <c r="B2411" t="str">
        <f>HYPERLINK("http://bombeiros.sp.gov.br/hidrantes/08bsg/qrcodeBSG.html?id=731&amp;lat=-23.46454&amp;long=-46.57905&amp;tipo=S","QRCODE")</f>
        <v>QRCODE</v>
      </c>
      <c r="C2411" t="s">
        <v>5328</v>
      </c>
      <c r="D2411" t="s">
        <v>114</v>
      </c>
      <c r="E2411" t="s">
        <v>114</v>
      </c>
      <c r="F2411" t="s">
        <v>21</v>
      </c>
      <c r="G2411" t="s">
        <v>3814</v>
      </c>
      <c r="H2411">
        <v>0</v>
      </c>
      <c r="I2411">
        <v>2</v>
      </c>
      <c r="J2411">
        <v>0</v>
      </c>
      <c r="K2411">
        <v>0</v>
      </c>
      <c r="L2411">
        <v>0</v>
      </c>
    </row>
    <row r="2412" spans="1:12">
      <c r="A2412" t="str">
        <f>HYPERLINK("http://bombeiros.sp.gov.br/hidrantes/03individual/756.html","756")</f>
        <v>756</v>
      </c>
      <c r="B2412" t="str">
        <f>HYPERLINK("http://bombeiros.sp.gov.br/hidrantes/08bsg/qrcodeBSG.html?id=756&amp;lat=-23.46423&amp;long=-46.57033&amp;tipo=S","QRCODE")</f>
        <v>QRCODE</v>
      </c>
      <c r="C2412" t="s">
        <v>5328</v>
      </c>
      <c r="D2412" t="s">
        <v>114</v>
      </c>
      <c r="E2412" t="s">
        <v>114</v>
      </c>
      <c r="F2412" t="s">
        <v>21</v>
      </c>
      <c r="G2412" t="s">
        <v>2064</v>
      </c>
      <c r="H2412">
        <v>0</v>
      </c>
      <c r="I2412">
        <v>2</v>
      </c>
      <c r="J2412">
        <v>0</v>
      </c>
      <c r="K2412">
        <v>0</v>
      </c>
      <c r="L2412">
        <v>0</v>
      </c>
    </row>
    <row r="2413" spans="1:12">
      <c r="A2413" t="str">
        <f>HYPERLINK("http://bombeiros.sp.gov.br/hidrantes/03individual/768.html","768")</f>
        <v>768</v>
      </c>
      <c r="B2413" t="str">
        <f>HYPERLINK("http://bombeiros.sp.gov.br/hidrantes/08bsg/qrcodeBSG.html?id=768&amp;lat=-23.46331&amp;long=-46.58043&amp;tipo=S","QRCODE")</f>
        <v>QRCODE</v>
      </c>
      <c r="C2413" t="s">
        <v>5328</v>
      </c>
      <c r="D2413" t="s">
        <v>114</v>
      </c>
      <c r="E2413" t="s">
        <v>114</v>
      </c>
      <c r="F2413" t="s">
        <v>21</v>
      </c>
      <c r="G2413" t="s">
        <v>2065</v>
      </c>
      <c r="H2413">
        <v>0</v>
      </c>
      <c r="I2413">
        <v>2</v>
      </c>
      <c r="J2413">
        <v>0</v>
      </c>
      <c r="K2413">
        <v>0</v>
      </c>
      <c r="L2413">
        <v>0</v>
      </c>
    </row>
    <row r="2414" spans="1:12">
      <c r="A2414" t="str">
        <f>HYPERLINK("http://bombeiros.sp.gov.br/hidrantes/03individual/769.html","769")</f>
        <v>769</v>
      </c>
      <c r="B2414" t="str">
        <f>HYPERLINK("http://bombeiros.sp.gov.br/hidrantes/08bsg/qrcodeBSG.html?id=769&amp;lat=-23.46217&amp;long=-46.57749&amp;tipo=S","QRCODE")</f>
        <v>QRCODE</v>
      </c>
      <c r="C2414" t="s">
        <v>5328</v>
      </c>
      <c r="D2414" t="s">
        <v>114</v>
      </c>
      <c r="E2414" t="s">
        <v>114</v>
      </c>
      <c r="F2414" t="s">
        <v>21</v>
      </c>
      <c r="G2414" t="s">
        <v>2989</v>
      </c>
      <c r="H2414">
        <v>0</v>
      </c>
      <c r="I2414">
        <v>2</v>
      </c>
      <c r="J2414">
        <v>0</v>
      </c>
      <c r="K2414">
        <v>0</v>
      </c>
      <c r="L2414">
        <v>0</v>
      </c>
    </row>
    <row r="2415" spans="1:12">
      <c r="A2415" t="str">
        <f>HYPERLINK("http://bombeiros.sp.gov.br/hidrantes/03individual/877.html","877")</f>
        <v>877</v>
      </c>
      <c r="B2415" t="str">
        <f>HYPERLINK("http://bombeiros.sp.gov.br/hidrantes/08bsg/qrcodeBSG.html?id=877&amp;lat=-23.47507&amp;long=-46.58132&amp;tipo=S","QRCODE")</f>
        <v>QRCODE</v>
      </c>
      <c r="C2415" t="s">
        <v>5328</v>
      </c>
      <c r="D2415" t="s">
        <v>114</v>
      </c>
      <c r="E2415" t="s">
        <v>114</v>
      </c>
      <c r="F2415" t="s">
        <v>21</v>
      </c>
      <c r="G2415" t="s">
        <v>113</v>
      </c>
      <c r="H2415">
        <v>0</v>
      </c>
      <c r="I2415">
        <v>2</v>
      </c>
      <c r="J2415">
        <v>0</v>
      </c>
      <c r="K2415">
        <v>0</v>
      </c>
      <c r="L2415">
        <v>0</v>
      </c>
    </row>
    <row r="2416" spans="1:12">
      <c r="A2416" t="str">
        <f>HYPERLINK("http://bombeiros.sp.gov.br/hidrantes/03individual/882.html","882")</f>
        <v>882</v>
      </c>
      <c r="B2416" t="str">
        <f>HYPERLINK("http://bombeiros.sp.gov.br/hidrantes/08bsg/qrcodeBSG.html?id=882&amp;lat=-23.46519&amp;long=-46.58903&amp;tipo=S","QRCODE")</f>
        <v>QRCODE</v>
      </c>
      <c r="C2416" t="s">
        <v>5328</v>
      </c>
      <c r="D2416" t="s">
        <v>114</v>
      </c>
      <c r="E2416" t="s">
        <v>114</v>
      </c>
      <c r="F2416" t="s">
        <v>21</v>
      </c>
      <c r="G2416" t="s">
        <v>2058</v>
      </c>
      <c r="H2416">
        <v>0</v>
      </c>
      <c r="I2416">
        <v>2</v>
      </c>
      <c r="J2416">
        <v>0</v>
      </c>
      <c r="K2416">
        <v>0</v>
      </c>
      <c r="L2416">
        <v>0</v>
      </c>
    </row>
    <row r="2417" spans="1:12">
      <c r="A2417" t="str">
        <f>HYPERLINK("http://bombeiros.sp.gov.br/hidrantes/03individual/886.html","886")</f>
        <v>886</v>
      </c>
      <c r="B2417" t="str">
        <f>HYPERLINK("http://bombeiros.sp.gov.br/hidrantes/08bsg/qrcodeBSG.html?id=886&amp;lat=-23.46798&amp;long=-46.59043&amp;tipo=S","QRCODE")</f>
        <v>QRCODE</v>
      </c>
      <c r="C2417" t="s">
        <v>5328</v>
      </c>
      <c r="D2417" t="s">
        <v>114</v>
      </c>
      <c r="E2417" t="s">
        <v>114</v>
      </c>
      <c r="F2417" t="s">
        <v>21</v>
      </c>
      <c r="G2417" t="s">
        <v>2973</v>
      </c>
      <c r="H2417">
        <v>0</v>
      </c>
      <c r="I2417">
        <v>2</v>
      </c>
      <c r="J2417">
        <v>0</v>
      </c>
      <c r="K2417">
        <v>0</v>
      </c>
      <c r="L2417">
        <v>0</v>
      </c>
    </row>
    <row r="2418" spans="1:12">
      <c r="A2418" t="str">
        <f>HYPERLINK("http://bombeiros.sp.gov.br/hidrantes/03individual/3477.html","3477")</f>
        <v>3477</v>
      </c>
      <c r="B2418" t="str">
        <f>HYPERLINK("http://bombeiros.sp.gov.br/hidrantes/08bsg/qrcodeBSG.html?id=3477&amp;lat=-23.46645&amp;long=-46.56950&amp;tipo=S","QRCODE")</f>
        <v>QRCODE</v>
      </c>
      <c r="C2418" t="s">
        <v>5328</v>
      </c>
      <c r="D2418" t="s">
        <v>114</v>
      </c>
      <c r="E2418" t="s">
        <v>114</v>
      </c>
      <c r="F2418" t="s">
        <v>21</v>
      </c>
      <c r="G2418" t="s">
        <v>2039</v>
      </c>
      <c r="H2418">
        <v>0</v>
      </c>
      <c r="I2418">
        <v>2</v>
      </c>
      <c r="J2418">
        <v>0</v>
      </c>
      <c r="K2418">
        <v>0</v>
      </c>
      <c r="L2418">
        <v>0</v>
      </c>
    </row>
    <row r="2419" spans="1:12">
      <c r="A2419" t="str">
        <f>HYPERLINK("http://bombeiros.sp.gov.br/hidrantes/03individual/3485.html","3485")</f>
        <v>3485</v>
      </c>
      <c r="B2419" t="str">
        <f>HYPERLINK("http://bombeiros.sp.gov.br/hidrantes/08bsg/qrcodeBSG.html?id=3485&amp;lat=-23.47023&amp;long=-46.58520&amp;tipo=S","QRCODE")</f>
        <v>QRCODE</v>
      </c>
      <c r="C2419" t="s">
        <v>5328</v>
      </c>
      <c r="D2419" t="s">
        <v>114</v>
      </c>
      <c r="E2419" t="s">
        <v>114</v>
      </c>
      <c r="F2419" t="s">
        <v>21</v>
      </c>
      <c r="G2419" t="s">
        <v>867</v>
      </c>
      <c r="H2419">
        <v>1</v>
      </c>
      <c r="I2419">
        <v>2</v>
      </c>
      <c r="J2419">
        <v>0</v>
      </c>
      <c r="K2419">
        <v>0</v>
      </c>
      <c r="L2419">
        <v>0</v>
      </c>
    </row>
    <row r="2420" spans="1:12">
      <c r="A2420" t="str">
        <f>HYPERLINK("http://bombeiros.sp.gov.br/hidrantes/03individual/3571.html","3571")</f>
        <v>3571</v>
      </c>
      <c r="B2420" t="str">
        <f>HYPERLINK("http://bombeiros.sp.gov.br/hidrantes/08bsg/qrcodeBSG.html?id=3571&amp;lat=-23.46775&amp;long=-46.58577&amp;tipo=S","QRCODE")</f>
        <v>QRCODE</v>
      </c>
      <c r="C2420" t="s">
        <v>5328</v>
      </c>
      <c r="D2420" t="s">
        <v>114</v>
      </c>
      <c r="E2420" t="s">
        <v>114</v>
      </c>
      <c r="F2420" t="s">
        <v>21</v>
      </c>
      <c r="G2420" t="s">
        <v>2046</v>
      </c>
      <c r="H2420">
        <v>0</v>
      </c>
      <c r="I2420">
        <v>2</v>
      </c>
      <c r="J2420">
        <v>0</v>
      </c>
      <c r="K2420">
        <v>0</v>
      </c>
      <c r="L2420">
        <v>0</v>
      </c>
    </row>
    <row r="2421" spans="1:12">
      <c r="A2421" t="str">
        <f>HYPERLINK("http://bombeiros.sp.gov.br/hidrantes/03individual/26904.html","26904")</f>
        <v>26904</v>
      </c>
      <c r="B2421" t="str">
        <f>HYPERLINK("http://bombeiros.sp.gov.br/hidrantes/08bsg/qrcodeBSG.html?id=26904&amp;lat=-23.47397&amp;long=-46.58016&amp;tipo=S","QRCODE")</f>
        <v>QRCODE</v>
      </c>
      <c r="C2421" t="s">
        <v>5328</v>
      </c>
      <c r="D2421" t="s">
        <v>114</v>
      </c>
      <c r="E2421" t="s">
        <v>114</v>
      </c>
      <c r="F2421" t="s">
        <v>21</v>
      </c>
      <c r="G2421" t="s">
        <v>222</v>
      </c>
      <c r="H2421">
        <v>0</v>
      </c>
      <c r="I2421">
        <v>2</v>
      </c>
      <c r="J2421">
        <v>0</v>
      </c>
      <c r="K2421">
        <v>0</v>
      </c>
      <c r="L2421">
        <v>0</v>
      </c>
    </row>
    <row r="2422" spans="1:12">
      <c r="A2422" t="str">
        <f>HYPERLINK("http://bombeiros.sp.gov.br/hidrantes/03individual/719.html","719")</f>
        <v>719</v>
      </c>
      <c r="B2422" t="str">
        <f>HYPERLINK("http://bombeiros.sp.gov.br/hidrantes/08bsg/qrcodeBSG.html?id=719&amp;lat=-23.47451&amp;long=-46.56365&amp;tipo=C","QRCODE")</f>
        <v>QRCODE</v>
      </c>
      <c r="C2422" t="s">
        <v>5328</v>
      </c>
      <c r="D2422" t="s">
        <v>114</v>
      </c>
      <c r="E2422" t="s">
        <v>125</v>
      </c>
      <c r="F2422" t="s">
        <v>12</v>
      </c>
      <c r="G2422" t="s">
        <v>2391</v>
      </c>
      <c r="H2422">
        <v>0</v>
      </c>
      <c r="I2422">
        <v>2</v>
      </c>
      <c r="J2422">
        <v>0</v>
      </c>
      <c r="K2422">
        <v>0</v>
      </c>
      <c r="L2422">
        <v>0</v>
      </c>
    </row>
    <row r="2423" spans="1:12">
      <c r="A2423" t="str">
        <f>HYPERLINK("http://bombeiros.sp.gov.br/hidrantes/03individual/3522.html","3522")</f>
        <v>3522</v>
      </c>
      <c r="B2423" t="str">
        <f>HYPERLINK("http://bombeiros.sp.gov.br/hidrantes/08bsg/qrcodeBSG.html?id=3522&amp;lat=-23.47141&amp;long=-46.56797&amp;tipo=C","QRCODE")</f>
        <v>QRCODE</v>
      </c>
      <c r="C2423" t="s">
        <v>5328</v>
      </c>
      <c r="D2423" t="s">
        <v>114</v>
      </c>
      <c r="E2423" t="s">
        <v>125</v>
      </c>
      <c r="F2423" t="s">
        <v>12</v>
      </c>
      <c r="G2423" t="s">
        <v>3227</v>
      </c>
      <c r="H2423">
        <v>1</v>
      </c>
      <c r="I2423">
        <v>1</v>
      </c>
      <c r="J2423">
        <v>0</v>
      </c>
      <c r="K2423">
        <v>0</v>
      </c>
      <c r="L2423">
        <v>0</v>
      </c>
    </row>
    <row r="2424" spans="1:12">
      <c r="A2424" t="str">
        <f>HYPERLINK("http://bombeiros.sp.gov.br/hidrantes/03individual/538.html","538")</f>
        <v>538</v>
      </c>
      <c r="B2424" t="str">
        <f>HYPERLINK("http://bombeiros.sp.gov.br/hidrantes/08bsg/qrcodeBSG.html?id=538&amp;lat=-23.47568&amp;long=-46.56963&amp;tipo=S","QRCODE")</f>
        <v>QRCODE</v>
      </c>
      <c r="C2424" t="s">
        <v>5328</v>
      </c>
      <c r="D2424" t="s">
        <v>114</v>
      </c>
      <c r="E2424" t="s">
        <v>125</v>
      </c>
      <c r="F2424" t="s">
        <v>21</v>
      </c>
      <c r="G2424" t="s">
        <v>3812</v>
      </c>
      <c r="H2424">
        <v>0</v>
      </c>
      <c r="I2424">
        <v>2</v>
      </c>
      <c r="J2424">
        <v>0</v>
      </c>
      <c r="K2424">
        <v>0</v>
      </c>
      <c r="L2424">
        <v>0</v>
      </c>
    </row>
    <row r="2425" spans="1:12">
      <c r="A2425" t="str">
        <f>HYPERLINK("http://bombeiros.sp.gov.br/hidrantes/03individual/546.html","546")</f>
        <v>546</v>
      </c>
      <c r="B2425" t="str">
        <f>HYPERLINK("http://bombeiros.sp.gov.br/hidrantes/08bsg/qrcodeBSG.html?id=546&amp;lat=-23.47739&amp;long=-46.56431&amp;tipo=S","QRCODE")</f>
        <v>QRCODE</v>
      </c>
      <c r="C2425" t="s">
        <v>5328</v>
      </c>
      <c r="D2425" t="s">
        <v>114</v>
      </c>
      <c r="E2425" t="s">
        <v>125</v>
      </c>
      <c r="F2425" t="s">
        <v>21</v>
      </c>
      <c r="G2425" t="s">
        <v>2394</v>
      </c>
      <c r="H2425">
        <v>0</v>
      </c>
      <c r="I2425">
        <v>2</v>
      </c>
      <c r="J2425">
        <v>0</v>
      </c>
      <c r="K2425">
        <v>0</v>
      </c>
      <c r="L2425">
        <v>0</v>
      </c>
    </row>
    <row r="2426" spans="1:12">
      <c r="A2426" t="str">
        <f>HYPERLINK("http://bombeiros.sp.gov.br/hidrantes/03individual/570.html","570")</f>
        <v>570</v>
      </c>
      <c r="B2426" t="str">
        <f>HYPERLINK("http://bombeiros.sp.gov.br/hidrantes/08bsg/qrcodeBSG.html?id=570&amp;lat=-23.47468&amp;long=-46.57018&amp;tipo=S","QRCODE")</f>
        <v>QRCODE</v>
      </c>
      <c r="C2426" t="s">
        <v>5328</v>
      </c>
      <c r="D2426" t="s">
        <v>114</v>
      </c>
      <c r="E2426" t="s">
        <v>125</v>
      </c>
      <c r="F2426" t="s">
        <v>21</v>
      </c>
      <c r="G2426" t="s">
        <v>3257</v>
      </c>
      <c r="H2426">
        <v>0</v>
      </c>
      <c r="I2426">
        <v>2</v>
      </c>
      <c r="J2426">
        <v>0</v>
      </c>
      <c r="K2426">
        <v>0</v>
      </c>
      <c r="L2426">
        <v>0</v>
      </c>
    </row>
    <row r="2427" spans="1:12">
      <c r="A2427" t="str">
        <f>HYPERLINK("http://bombeiros.sp.gov.br/hidrantes/03individual/598.html","598")</f>
        <v>598</v>
      </c>
      <c r="B2427" t="str">
        <f>HYPERLINK("http://bombeiros.sp.gov.br/hidrantes/08bsg/qrcodeBSG.html?id=598&amp;lat=-23.48230&amp;long=-46.56288&amp;tipo=S","QRCODE")</f>
        <v>QRCODE</v>
      </c>
      <c r="C2427" t="s">
        <v>5328</v>
      </c>
      <c r="D2427" t="s">
        <v>114</v>
      </c>
      <c r="E2427" t="s">
        <v>125</v>
      </c>
      <c r="F2427" t="s">
        <v>21</v>
      </c>
      <c r="G2427" t="s">
        <v>124</v>
      </c>
      <c r="H2427">
        <v>0</v>
      </c>
      <c r="I2427">
        <v>2</v>
      </c>
      <c r="J2427">
        <v>0</v>
      </c>
      <c r="K2427">
        <v>0</v>
      </c>
      <c r="L2427">
        <v>0</v>
      </c>
    </row>
    <row r="2428" spans="1:12">
      <c r="A2428" t="str">
        <f>HYPERLINK("http://bombeiros.sp.gov.br/hidrantes/03individual/716.html","716")</f>
        <v>716</v>
      </c>
      <c r="B2428" t="str">
        <f>HYPERLINK("http://bombeiros.sp.gov.br/hidrantes/08bsg/qrcodeBSG.html?id=716&amp;lat=-23.47625&amp;long=-46.56740&amp;tipo=S","QRCODE")</f>
        <v>QRCODE</v>
      </c>
      <c r="C2428" t="s">
        <v>5328</v>
      </c>
      <c r="D2428" t="s">
        <v>114</v>
      </c>
      <c r="E2428" t="s">
        <v>125</v>
      </c>
      <c r="F2428" t="s">
        <v>21</v>
      </c>
      <c r="G2428" t="s">
        <v>2392</v>
      </c>
      <c r="H2428">
        <v>0</v>
      </c>
      <c r="I2428">
        <v>3</v>
      </c>
      <c r="J2428">
        <v>0</v>
      </c>
      <c r="K2428">
        <v>0</v>
      </c>
      <c r="L2428">
        <v>0</v>
      </c>
    </row>
    <row r="2429" spans="1:12">
      <c r="A2429" t="str">
        <f>HYPERLINK("http://bombeiros.sp.gov.br/hidrantes/03individual/3507.html","3507")</f>
        <v>3507</v>
      </c>
      <c r="B2429" t="str">
        <f>HYPERLINK("http://bombeiros.sp.gov.br/hidrantes/08bsg/qrcodeBSG.html?id=3507&amp;lat=-23.48085&amp;long=-46.56586&amp;tipo=S","QRCODE")</f>
        <v>QRCODE</v>
      </c>
      <c r="C2429" t="s">
        <v>5328</v>
      </c>
      <c r="D2429" t="s">
        <v>114</v>
      </c>
      <c r="E2429" t="s">
        <v>125</v>
      </c>
      <c r="F2429" t="s">
        <v>21</v>
      </c>
      <c r="G2429" t="s">
        <v>204</v>
      </c>
      <c r="H2429">
        <v>0</v>
      </c>
      <c r="I2429">
        <v>2</v>
      </c>
      <c r="J2429">
        <v>0</v>
      </c>
      <c r="K2429">
        <v>0</v>
      </c>
      <c r="L2429">
        <v>0</v>
      </c>
    </row>
    <row r="2430" spans="1:12">
      <c r="A2430" t="str">
        <f>HYPERLINK("http://bombeiros.sp.gov.br/hidrantes/03individual/3521.html","3521")</f>
        <v>3521</v>
      </c>
      <c r="B2430" t="str">
        <f>HYPERLINK("http://bombeiros.sp.gov.br/hidrantes/08bsg/qrcodeBSG.html?id=3521&amp;lat=-23.47461&amp;long=-46.56580&amp;tipo=S","QRCODE")</f>
        <v>QRCODE</v>
      </c>
      <c r="C2430" t="s">
        <v>5328</v>
      </c>
      <c r="D2430" t="s">
        <v>114</v>
      </c>
      <c r="E2430" t="s">
        <v>125</v>
      </c>
      <c r="F2430" t="s">
        <v>21</v>
      </c>
      <c r="G2430" t="s">
        <v>4248</v>
      </c>
      <c r="H2430">
        <v>0</v>
      </c>
      <c r="I2430">
        <v>1</v>
      </c>
      <c r="J2430">
        <v>0</v>
      </c>
      <c r="K2430">
        <v>0</v>
      </c>
      <c r="L2430">
        <v>0</v>
      </c>
    </row>
    <row r="2431" spans="1:12">
      <c r="A2431" t="str">
        <f>HYPERLINK("http://bombeiros.sp.gov.br/hidrantes/03individual/26805.html","26805")</f>
        <v>26805</v>
      </c>
      <c r="B2431" t="str">
        <f>HYPERLINK("http://bombeiros.sp.gov.br/hidrantes/08bsg/qrcodeBSG.html?id=26805&amp;lat=-23.48206&amp;long=-46.56521&amp;tipo=S","QRCODE")</f>
        <v>QRCODE</v>
      </c>
      <c r="C2431" t="s">
        <v>5328</v>
      </c>
      <c r="D2431" t="s">
        <v>114</v>
      </c>
      <c r="E2431" t="s">
        <v>125</v>
      </c>
      <c r="F2431" t="s">
        <v>21</v>
      </c>
      <c r="G2431" t="s">
        <v>3840</v>
      </c>
      <c r="H2431">
        <v>0</v>
      </c>
      <c r="I2431">
        <v>1</v>
      </c>
      <c r="J2431">
        <v>0</v>
      </c>
      <c r="K2431">
        <v>0</v>
      </c>
      <c r="L2431">
        <v>0</v>
      </c>
    </row>
    <row r="2432" spans="1:12">
      <c r="A2432" t="str">
        <f>HYPERLINK("http://bombeiros.sp.gov.br/hidrantes/03individual/1010.html","1010")</f>
        <v>1010</v>
      </c>
      <c r="B2432" t="str">
        <f>HYPERLINK("http://bombeiros.sp.gov.br/hidrantes/08bsg/qrcodeBSG.html?id=1010&amp;lat=-23.44095&amp;long=-46.75428&amp;tipo=C","QRCODE")</f>
        <v>QRCODE</v>
      </c>
      <c r="C2432" t="s">
        <v>5328</v>
      </c>
      <c r="D2432" t="s">
        <v>5339</v>
      </c>
      <c r="E2432" t="s">
        <v>1805</v>
      </c>
      <c r="F2432" t="s">
        <v>12</v>
      </c>
      <c r="G2432" t="s">
        <v>3386</v>
      </c>
      <c r="H2432">
        <v>0</v>
      </c>
      <c r="I2432">
        <v>2</v>
      </c>
      <c r="J2432">
        <v>0</v>
      </c>
      <c r="K2432">
        <v>0</v>
      </c>
      <c r="L2432">
        <v>0</v>
      </c>
    </row>
    <row r="2433" spans="1:12">
      <c r="A2433" t="str">
        <f>HYPERLINK("http://bombeiros.sp.gov.br/hidrantes/03individual/1011.html","1011")</f>
        <v>1011</v>
      </c>
      <c r="B2433" t="str">
        <f>HYPERLINK("http://bombeiros.sp.gov.br/hidrantes/08bsg/qrcodeBSG.html?id=1011&amp;lat=-23.45364&amp;long=-46.75084&amp;tipo=C","QRCODE")</f>
        <v>QRCODE</v>
      </c>
      <c r="C2433" t="s">
        <v>5328</v>
      </c>
      <c r="D2433" t="s">
        <v>5339</v>
      </c>
      <c r="E2433" t="s">
        <v>1805</v>
      </c>
      <c r="F2433" t="s">
        <v>12</v>
      </c>
      <c r="G2433" t="s">
        <v>4773</v>
      </c>
      <c r="H2433">
        <v>0</v>
      </c>
      <c r="I2433">
        <v>2</v>
      </c>
      <c r="J2433">
        <v>0</v>
      </c>
      <c r="K2433">
        <v>0</v>
      </c>
      <c r="L2433">
        <v>0</v>
      </c>
    </row>
    <row r="2434" spans="1:12">
      <c r="A2434" t="str">
        <f>HYPERLINK("http://bombeiros.sp.gov.br/hidrantes/03individual/4396.html","4396")</f>
        <v>4396</v>
      </c>
      <c r="B2434" t="str">
        <f>HYPERLINK("http://bombeiros.sp.gov.br/hidrantes/08bsg/qrcodeBSG.html?id=4396&amp;lat=-23.47235&amp;long=-46.75467&amp;tipo=C","QRCODE")</f>
        <v>QRCODE</v>
      </c>
      <c r="C2434" t="s">
        <v>5328</v>
      </c>
      <c r="D2434" t="s">
        <v>5339</v>
      </c>
      <c r="E2434" t="s">
        <v>1805</v>
      </c>
      <c r="F2434" t="s">
        <v>12</v>
      </c>
      <c r="G2434" t="s">
        <v>4207</v>
      </c>
      <c r="H2434">
        <v>0</v>
      </c>
      <c r="I2434">
        <v>1</v>
      </c>
      <c r="J2434">
        <v>0</v>
      </c>
      <c r="K2434">
        <v>0</v>
      </c>
      <c r="L2434">
        <v>0</v>
      </c>
    </row>
    <row r="2435" spans="1:12">
      <c r="A2435" t="str">
        <f>HYPERLINK("http://bombeiros.sp.gov.br/hidrantes/03individual/27323.html","27323")</f>
        <v>27323</v>
      </c>
      <c r="B2435" t="str">
        <f>HYPERLINK("http://bombeiros.sp.gov.br/hidrantes/08bsg/qrcodeBSG.html?id=27323&amp;lat=-23.45575&amp;long=-46.75037&amp;tipo=C","QRCODE")</f>
        <v>QRCODE</v>
      </c>
      <c r="C2435" t="s">
        <v>5328</v>
      </c>
      <c r="D2435" t="s">
        <v>5339</v>
      </c>
      <c r="E2435" t="s">
        <v>1805</v>
      </c>
      <c r="F2435" t="s">
        <v>12</v>
      </c>
      <c r="G2435" t="s">
        <v>5340</v>
      </c>
      <c r="H2435">
        <v>0</v>
      </c>
      <c r="I2435">
        <v>0</v>
      </c>
      <c r="J2435">
        <v>0</v>
      </c>
      <c r="K2435">
        <v>0</v>
      </c>
      <c r="L2435">
        <v>0</v>
      </c>
    </row>
    <row r="2436" spans="1:12">
      <c r="A2436" t="str">
        <f>HYPERLINK("http://bombeiros.sp.gov.br/hidrantes/03individual/1187.html","1187")</f>
        <v>1187</v>
      </c>
      <c r="B2436" t="str">
        <f>HYPERLINK("http://bombeiros.sp.gov.br/hidrantes/08bsg/qrcodeBSG.html?id=1187&amp;lat=-23.45217&amp;long=-46.74705&amp;tipo=S","QRCODE")</f>
        <v>QRCODE</v>
      </c>
      <c r="C2436" t="s">
        <v>5328</v>
      </c>
      <c r="D2436" t="s">
        <v>5339</v>
      </c>
      <c r="E2436" t="s">
        <v>1805</v>
      </c>
      <c r="F2436" t="s">
        <v>21</v>
      </c>
      <c r="G2436" t="s">
        <v>5091</v>
      </c>
      <c r="H2436">
        <v>0</v>
      </c>
      <c r="I2436">
        <v>1</v>
      </c>
      <c r="J2436">
        <v>0</v>
      </c>
      <c r="K2436">
        <v>0</v>
      </c>
      <c r="L2436">
        <v>0</v>
      </c>
    </row>
    <row r="2437" spans="1:12">
      <c r="A2437" t="str">
        <f>HYPERLINK("http://bombeiros.sp.gov.br/hidrantes/03individual/4072.html","4072")</f>
        <v>4072</v>
      </c>
      <c r="B2437" t="str">
        <f>HYPERLINK("http://bombeiros.sp.gov.br/hidrantes/08bsg/qrcodeBSG.html?id=4072&amp;lat=-23.45657&amp;long=-46.74673&amp;tipo=S","QRCODE")</f>
        <v>QRCODE</v>
      </c>
      <c r="C2437" t="s">
        <v>5328</v>
      </c>
      <c r="D2437" t="s">
        <v>5339</v>
      </c>
      <c r="E2437" t="s">
        <v>1805</v>
      </c>
      <c r="F2437" t="s">
        <v>21</v>
      </c>
      <c r="G2437" t="s">
        <v>1804</v>
      </c>
      <c r="H2437">
        <v>0</v>
      </c>
      <c r="I2437">
        <v>2</v>
      </c>
      <c r="J2437">
        <v>0</v>
      </c>
      <c r="K2437">
        <v>0</v>
      </c>
      <c r="L2437">
        <v>0</v>
      </c>
    </row>
    <row r="2438" spans="1:12">
      <c r="A2438" t="str">
        <f>HYPERLINK("http://bombeiros.sp.gov.br/hidrantes/03individual/10047.html","10047")</f>
        <v>10047</v>
      </c>
      <c r="B2438" t="str">
        <f>HYPERLINK("http://bombeiros.sp.gov.br/hidrantes/08bsg/qrcodeBSG.html?id=10047&amp;lat=-23.45188&amp;long=-46.71803&amp;tipo=B","QRCODE")</f>
        <v>QRCODE</v>
      </c>
      <c r="C2438" t="s">
        <v>5328</v>
      </c>
      <c r="D2438" t="s">
        <v>5339</v>
      </c>
      <c r="E2438" t="s">
        <v>192</v>
      </c>
      <c r="F2438" t="s">
        <v>1719</v>
      </c>
      <c r="G2438" t="s">
        <v>5341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>
      <c r="A2439" t="str">
        <f>HYPERLINK("http://bombeiros.sp.gov.br/hidrantes/03individual/1013.html","1013")</f>
        <v>1013</v>
      </c>
      <c r="B2439" t="str">
        <f>HYPERLINK("http://bombeiros.sp.gov.br/hidrantes/08bsg/qrcodeBSG.html?id=1013&amp;lat=-23.43613&amp;long=-46.73977&amp;tipo=C","QRCODE")</f>
        <v>QRCODE</v>
      </c>
      <c r="C2439" t="s">
        <v>5328</v>
      </c>
      <c r="D2439" t="s">
        <v>5339</v>
      </c>
      <c r="E2439" t="s">
        <v>192</v>
      </c>
      <c r="F2439" t="s">
        <v>12</v>
      </c>
      <c r="G2439" t="s">
        <v>3387</v>
      </c>
      <c r="H2439">
        <v>0</v>
      </c>
      <c r="I2439">
        <v>2</v>
      </c>
      <c r="J2439">
        <v>0</v>
      </c>
      <c r="K2439">
        <v>0</v>
      </c>
      <c r="L2439">
        <v>0</v>
      </c>
    </row>
    <row r="2440" spans="1:12">
      <c r="A2440" t="str">
        <f>HYPERLINK("http://bombeiros.sp.gov.br/hidrantes/03individual/1394.html","1394")</f>
        <v>1394</v>
      </c>
      <c r="B2440" t="str">
        <f>HYPERLINK("http://bombeiros.sp.gov.br/hidrantes/08bsg/qrcodeBSG.html?id=1394&amp;lat=-23.43188&amp;long=-46.73103&amp;tipo=C","QRCODE")</f>
        <v>QRCODE</v>
      </c>
      <c r="C2440" t="s">
        <v>5328</v>
      </c>
      <c r="D2440" t="s">
        <v>5339</v>
      </c>
      <c r="E2440" t="s">
        <v>192</v>
      </c>
      <c r="F2440" t="s">
        <v>12</v>
      </c>
      <c r="G2440" t="s">
        <v>1185</v>
      </c>
      <c r="H2440">
        <v>0</v>
      </c>
      <c r="I2440">
        <v>2</v>
      </c>
      <c r="J2440">
        <v>0</v>
      </c>
      <c r="K2440">
        <v>0</v>
      </c>
      <c r="L2440">
        <v>0</v>
      </c>
    </row>
    <row r="2441" spans="1:12">
      <c r="A2441" t="str">
        <f>HYPERLINK("http://bombeiros.sp.gov.br/hidrantes/03individual/3979.html","3979")</f>
        <v>3979</v>
      </c>
      <c r="B2441" t="str">
        <f>HYPERLINK("http://bombeiros.sp.gov.br/hidrantes/08bsg/qrcodeBSG.html?id=3979&amp;lat=-23.43867&amp;long=-46.72194&amp;tipo=C","QRCODE")</f>
        <v>QRCODE</v>
      </c>
      <c r="C2441" t="s">
        <v>5328</v>
      </c>
      <c r="D2441" t="s">
        <v>5339</v>
      </c>
      <c r="E2441" t="s">
        <v>192</v>
      </c>
      <c r="F2441" t="s">
        <v>12</v>
      </c>
      <c r="G2441" t="s">
        <v>4951</v>
      </c>
      <c r="H2441">
        <v>0</v>
      </c>
      <c r="I2441">
        <v>2</v>
      </c>
      <c r="J2441">
        <v>0</v>
      </c>
      <c r="K2441">
        <v>0</v>
      </c>
      <c r="L2441">
        <v>0</v>
      </c>
    </row>
    <row r="2442" spans="1:12">
      <c r="A2442" t="str">
        <f>HYPERLINK("http://bombeiros.sp.gov.br/hidrantes/03individual/4062.html","4062")</f>
        <v>4062</v>
      </c>
      <c r="B2442" t="str">
        <f>HYPERLINK("http://bombeiros.sp.gov.br/hidrantes/08bsg/qrcodeBSG.html?id=4062&amp;lat=-23.43163&amp;long=-46.72895&amp;tipo=C","QRCODE")</f>
        <v>QRCODE</v>
      </c>
      <c r="C2442" t="s">
        <v>5328</v>
      </c>
      <c r="D2442" t="s">
        <v>5339</v>
      </c>
      <c r="E2442" t="s">
        <v>192</v>
      </c>
      <c r="F2442" t="s">
        <v>12</v>
      </c>
      <c r="G2442" t="s">
        <v>5179</v>
      </c>
      <c r="H2442">
        <v>0</v>
      </c>
      <c r="I2442">
        <v>1</v>
      </c>
      <c r="J2442">
        <v>0</v>
      </c>
      <c r="K2442">
        <v>0</v>
      </c>
      <c r="L2442">
        <v>0</v>
      </c>
    </row>
    <row r="2443" spans="1:12">
      <c r="A2443" t="str">
        <f>HYPERLINK("http://bombeiros.sp.gov.br/hidrantes/03individual/4064.html","4064")</f>
        <v>4064</v>
      </c>
      <c r="B2443" t="str">
        <f>HYPERLINK("http://bombeiros.sp.gov.br/hidrantes/08bsg/qrcodeBSG.html?id=4064&amp;lat=-23.44673&amp;long=-46.72644&amp;tipo=C","QRCODE")</f>
        <v>QRCODE</v>
      </c>
      <c r="C2443" t="s">
        <v>5328</v>
      </c>
      <c r="D2443" t="s">
        <v>5339</v>
      </c>
      <c r="E2443" t="s">
        <v>192</v>
      </c>
      <c r="F2443" t="s">
        <v>12</v>
      </c>
      <c r="G2443" t="s">
        <v>5184</v>
      </c>
      <c r="H2443">
        <v>0</v>
      </c>
      <c r="I2443">
        <v>1</v>
      </c>
      <c r="J2443">
        <v>0</v>
      </c>
      <c r="K2443">
        <v>0</v>
      </c>
      <c r="L2443">
        <v>0</v>
      </c>
    </row>
    <row r="2444" spans="1:12">
      <c r="A2444" t="str">
        <f>HYPERLINK("http://bombeiros.sp.gov.br/hidrantes/03individual/4068.html","4068")</f>
        <v>4068</v>
      </c>
      <c r="B2444" t="str">
        <f>HYPERLINK("http://bombeiros.sp.gov.br/hidrantes/08bsg/qrcodeBSG.html?id=4068&amp;lat=-23.44935&amp;long=-46.73452&amp;tipo=C","QRCODE")</f>
        <v>QRCODE</v>
      </c>
      <c r="C2444" t="s">
        <v>5328</v>
      </c>
      <c r="D2444" t="s">
        <v>5339</v>
      </c>
      <c r="E2444" t="s">
        <v>192</v>
      </c>
      <c r="F2444" t="s">
        <v>12</v>
      </c>
      <c r="G2444" t="s">
        <v>1803</v>
      </c>
      <c r="H2444">
        <v>0</v>
      </c>
      <c r="I2444">
        <v>2</v>
      </c>
      <c r="J2444">
        <v>0</v>
      </c>
      <c r="K2444">
        <v>0</v>
      </c>
      <c r="L2444">
        <v>0</v>
      </c>
    </row>
    <row r="2445" spans="1:12">
      <c r="A2445" t="str">
        <f>HYPERLINK("http://bombeiros.sp.gov.br/hidrantes/03individual/5523.html","5523")</f>
        <v>5523</v>
      </c>
      <c r="B2445" t="str">
        <f>HYPERLINK("http://bombeiros.sp.gov.br/hidrantes/08bsg/qrcodeBSG.html?id=5523&amp;lat=-23.43343&amp;long=-46.72258&amp;tipo=C","QRCODE")</f>
        <v>QRCODE</v>
      </c>
      <c r="C2445" t="s">
        <v>5328</v>
      </c>
      <c r="D2445" t="s">
        <v>5339</v>
      </c>
      <c r="E2445" t="s">
        <v>192</v>
      </c>
      <c r="F2445" t="s">
        <v>12</v>
      </c>
      <c r="G2445" t="s">
        <v>5183</v>
      </c>
      <c r="H2445">
        <v>0</v>
      </c>
      <c r="I2445">
        <v>1</v>
      </c>
      <c r="J2445">
        <v>0</v>
      </c>
      <c r="K2445">
        <v>0</v>
      </c>
      <c r="L2445">
        <v>0</v>
      </c>
    </row>
    <row r="2446" spans="1:12">
      <c r="A2446" t="str">
        <f>HYPERLINK("http://bombeiros.sp.gov.br/hidrantes/03individual/16369.html","16369")</f>
        <v>16369</v>
      </c>
      <c r="B2446" t="str">
        <f>HYPERLINK("http://bombeiros.sp.gov.br/hidrantes/08bsg/qrcodeBSG.html?id=16369&amp;lat=-23.44662&amp;long=-46.73942&amp;tipo=C","QRCODE")</f>
        <v>QRCODE</v>
      </c>
      <c r="C2446" t="s">
        <v>5328</v>
      </c>
      <c r="D2446" t="s">
        <v>5339</v>
      </c>
      <c r="E2446" t="s">
        <v>192</v>
      </c>
      <c r="F2446" t="s">
        <v>12</v>
      </c>
      <c r="G2446" t="s">
        <v>5055</v>
      </c>
      <c r="H2446">
        <v>0</v>
      </c>
      <c r="I2446">
        <v>1</v>
      </c>
      <c r="J2446">
        <v>0</v>
      </c>
      <c r="K2446">
        <v>0</v>
      </c>
      <c r="L2446">
        <v>0</v>
      </c>
    </row>
    <row r="2447" spans="1:12">
      <c r="A2447" t="str">
        <f>HYPERLINK("http://bombeiros.sp.gov.br/hidrantes/03individual/16409.html","16409")</f>
        <v>16409</v>
      </c>
      <c r="B2447" t="str">
        <f>HYPERLINK("http://bombeiros.sp.gov.br/hidrantes/08bsg/qrcodeBSG.html?id=16409&amp;lat=-23.44718&amp;long=-46.72209&amp;tipo=C","QRCODE")</f>
        <v>QRCODE</v>
      </c>
      <c r="C2447" t="s">
        <v>5328</v>
      </c>
      <c r="D2447" t="s">
        <v>5339</v>
      </c>
      <c r="E2447" t="s">
        <v>192</v>
      </c>
      <c r="F2447" t="s">
        <v>12</v>
      </c>
      <c r="G2447" t="s">
        <v>4102</v>
      </c>
      <c r="H2447">
        <v>0</v>
      </c>
      <c r="I2447">
        <v>1</v>
      </c>
      <c r="J2447">
        <v>0</v>
      </c>
      <c r="K2447">
        <v>0</v>
      </c>
      <c r="L2447">
        <v>0</v>
      </c>
    </row>
    <row r="2448" spans="1:12">
      <c r="A2448" t="str">
        <f>HYPERLINK("http://bombeiros.sp.gov.br/hidrantes/03individual/16422.html","16422")</f>
        <v>16422</v>
      </c>
      <c r="B2448" t="str">
        <f>HYPERLINK("http://bombeiros.sp.gov.br/hidrantes/08bsg/qrcodeBSG.html?id=16422&amp;lat=-23.44048&amp;long=-46.71410&amp;tipo=C","QRCODE")</f>
        <v>QRCODE</v>
      </c>
      <c r="C2448" t="s">
        <v>5328</v>
      </c>
      <c r="D2448" t="s">
        <v>5339</v>
      </c>
      <c r="E2448" t="s">
        <v>192</v>
      </c>
      <c r="F2448" t="s">
        <v>12</v>
      </c>
      <c r="G2448" t="s">
        <v>1833</v>
      </c>
      <c r="H2448">
        <v>0</v>
      </c>
      <c r="I2448">
        <v>2</v>
      </c>
      <c r="J2448">
        <v>0</v>
      </c>
      <c r="K2448">
        <v>0</v>
      </c>
      <c r="L2448">
        <v>0</v>
      </c>
    </row>
    <row r="2449" spans="1:12">
      <c r="A2449" t="str">
        <f>HYPERLINK("http://bombeiros.sp.gov.br/hidrantes/03individual/17902.html","17902")</f>
        <v>17902</v>
      </c>
      <c r="B2449" t="str">
        <f>HYPERLINK("http://bombeiros.sp.gov.br/hidrantes/08bsg/qrcodeBSG.html?id=17902&amp;lat=-23.43770&amp;long=-46.71106&amp;tipo=C","QRCODE")</f>
        <v>QRCODE</v>
      </c>
      <c r="C2449" t="s">
        <v>5328</v>
      </c>
      <c r="D2449" t="s">
        <v>5339</v>
      </c>
      <c r="E2449" t="s">
        <v>192</v>
      </c>
      <c r="F2449" t="s">
        <v>12</v>
      </c>
      <c r="G2449" t="s">
        <v>231</v>
      </c>
      <c r="H2449">
        <v>0</v>
      </c>
      <c r="I2449">
        <v>2</v>
      </c>
      <c r="J2449">
        <v>0</v>
      </c>
      <c r="K2449">
        <v>0</v>
      </c>
      <c r="L2449">
        <v>0</v>
      </c>
    </row>
    <row r="2450" spans="1:12">
      <c r="A2450" t="str">
        <f>HYPERLINK("http://bombeiros.sp.gov.br/hidrantes/03individual/24145.html","24145")</f>
        <v>24145</v>
      </c>
      <c r="B2450" t="str">
        <f>HYPERLINK("http://bombeiros.sp.gov.br/hidrantes/08bsg/qrcodeBSG.html?id=24145&amp;lat=-23.43701&amp;long=-46.71084&amp;tipo=C","QRCODE")</f>
        <v>QRCODE</v>
      </c>
      <c r="C2450" t="s">
        <v>5328</v>
      </c>
      <c r="D2450" t="s">
        <v>5339</v>
      </c>
      <c r="E2450" t="s">
        <v>192</v>
      </c>
      <c r="F2450" t="s">
        <v>12</v>
      </c>
      <c r="G2450" t="s">
        <v>232</v>
      </c>
      <c r="H2450">
        <v>0</v>
      </c>
      <c r="I2450">
        <v>2</v>
      </c>
      <c r="J2450">
        <v>0</v>
      </c>
      <c r="K2450">
        <v>0</v>
      </c>
      <c r="L2450">
        <v>0</v>
      </c>
    </row>
    <row r="2451" spans="1:12">
      <c r="A2451" t="str">
        <f>HYPERLINK("http://bombeiros.sp.gov.br/hidrantes/03individual/26682.html","26682")</f>
        <v>26682</v>
      </c>
      <c r="B2451" t="str">
        <f>HYPERLINK("http://bombeiros.sp.gov.br/hidrantes/08bsg/qrcodeBSG.html?id=26682&amp;lat=-23.44292&amp;long=-46.72271&amp;tipo=C","QRCODE")</f>
        <v>QRCODE</v>
      </c>
      <c r="C2451" t="s">
        <v>5328</v>
      </c>
      <c r="D2451" t="s">
        <v>5339</v>
      </c>
      <c r="E2451" t="s">
        <v>192</v>
      </c>
      <c r="F2451" t="s">
        <v>12</v>
      </c>
      <c r="G2451" t="s">
        <v>1842</v>
      </c>
      <c r="H2451">
        <v>0</v>
      </c>
      <c r="I2451">
        <v>2</v>
      </c>
      <c r="J2451">
        <v>0</v>
      </c>
      <c r="K2451">
        <v>0</v>
      </c>
      <c r="L2451">
        <v>0</v>
      </c>
    </row>
    <row r="2452" spans="1:12">
      <c r="A2452" t="str">
        <f>HYPERLINK("http://bombeiros.sp.gov.br/hidrantes/03individual/26688.html","26688")</f>
        <v>26688</v>
      </c>
      <c r="B2452" t="str">
        <f>HYPERLINK("http://bombeiros.sp.gov.br/hidrantes/08bsg/qrcodeBSG.html?id=26688&amp;lat=-23.43313&amp;long=-46.72742&amp;tipo=C","QRCODE")</f>
        <v>QRCODE</v>
      </c>
      <c r="C2452" t="s">
        <v>5328</v>
      </c>
      <c r="D2452" t="s">
        <v>5339</v>
      </c>
      <c r="E2452" t="s">
        <v>192</v>
      </c>
      <c r="F2452" t="s">
        <v>12</v>
      </c>
      <c r="G2452" t="s">
        <v>1135</v>
      </c>
      <c r="H2452">
        <v>0</v>
      </c>
      <c r="I2452">
        <v>2</v>
      </c>
      <c r="J2452">
        <v>0</v>
      </c>
      <c r="K2452">
        <v>0</v>
      </c>
      <c r="L2452">
        <v>0</v>
      </c>
    </row>
    <row r="2453" spans="1:12">
      <c r="A2453" t="str">
        <f>HYPERLINK("http://bombeiros.sp.gov.br/hidrantes/03individual/26944.html","26944")</f>
        <v>26944</v>
      </c>
      <c r="B2453" t="str">
        <f>HYPERLINK("http://bombeiros.sp.gov.br/hidrantes/08bsg/qrcodeBSG.html?id=26944&amp;lat=-23.44413&amp;long=-46.73301&amp;tipo=C","QRCODE")</f>
        <v>QRCODE</v>
      </c>
      <c r="C2453" t="s">
        <v>5328</v>
      </c>
      <c r="D2453" t="s">
        <v>5339</v>
      </c>
      <c r="E2453" t="s">
        <v>192</v>
      </c>
      <c r="F2453" t="s">
        <v>12</v>
      </c>
      <c r="G2453" t="s">
        <v>3509</v>
      </c>
      <c r="H2453">
        <v>0</v>
      </c>
      <c r="I2453">
        <v>1</v>
      </c>
      <c r="J2453">
        <v>0</v>
      </c>
      <c r="K2453">
        <v>0</v>
      </c>
      <c r="L2453">
        <v>0</v>
      </c>
    </row>
    <row r="2454" spans="1:12">
      <c r="A2454" t="str">
        <f>HYPERLINK("http://bombeiros.sp.gov.br/hidrantes/03individual/27267.html","27267")</f>
        <v>27267</v>
      </c>
      <c r="B2454" t="str">
        <f>HYPERLINK("http://bombeiros.sp.gov.br/hidrantes/08bsg/qrcodeBSG.html?id=27267&amp;lat=-23.43719&amp;long=-46.73422&amp;tipo=C","QRCODE")</f>
        <v>QRCODE</v>
      </c>
      <c r="C2454" t="s">
        <v>5328</v>
      </c>
      <c r="D2454" t="s">
        <v>5339</v>
      </c>
      <c r="E2454" t="s">
        <v>192</v>
      </c>
      <c r="F2454" t="s">
        <v>12</v>
      </c>
      <c r="G2454" t="s">
        <v>1134</v>
      </c>
      <c r="H2454">
        <v>0</v>
      </c>
      <c r="I2454">
        <v>1</v>
      </c>
      <c r="J2454">
        <v>0</v>
      </c>
      <c r="K2454">
        <v>0</v>
      </c>
      <c r="L2454">
        <v>0</v>
      </c>
    </row>
    <row r="2455" spans="1:12">
      <c r="A2455" t="str">
        <f>HYPERLINK("http://bombeiros.sp.gov.br/hidrantes/03individual/27387.html","27387")</f>
        <v>27387</v>
      </c>
      <c r="B2455" t="str">
        <f>HYPERLINK("http://bombeiros.sp.gov.br/hidrantes/08bsg/qrcodeBSG.html?id=27387&amp;lat=-23.43504&amp;long=-46.73704&amp;tipo=C","QRCODE")</f>
        <v>QRCODE</v>
      </c>
      <c r="C2455" t="s">
        <v>5328</v>
      </c>
      <c r="D2455" t="s">
        <v>5339</v>
      </c>
      <c r="E2455" t="s">
        <v>192</v>
      </c>
      <c r="F2455" t="s">
        <v>12</v>
      </c>
      <c r="G2455" t="s">
        <v>5342</v>
      </c>
      <c r="H2455">
        <v>0</v>
      </c>
      <c r="I2455">
        <v>0</v>
      </c>
      <c r="J2455">
        <v>0</v>
      </c>
      <c r="K2455">
        <v>0</v>
      </c>
      <c r="L2455">
        <v>0</v>
      </c>
    </row>
    <row r="2456" spans="1:12">
      <c r="A2456" t="str">
        <f>HYPERLINK("http://bombeiros.sp.gov.br/hidrantes/03individual/1061.html","1061")</f>
        <v>1061</v>
      </c>
      <c r="B2456" t="str">
        <f>HYPERLINK("http://bombeiros.sp.gov.br/hidrantes/08bsg/qrcodeBSG.html?id=1061&amp;lat=-23.45023&amp;long=-46.73793&amp;tipo=S","QRCODE")</f>
        <v>QRCODE</v>
      </c>
      <c r="C2456" t="s">
        <v>5328</v>
      </c>
      <c r="D2456" t="s">
        <v>5339</v>
      </c>
      <c r="E2456" t="s">
        <v>192</v>
      </c>
      <c r="F2456" t="s">
        <v>21</v>
      </c>
      <c r="G2456" t="s">
        <v>1765</v>
      </c>
      <c r="H2456">
        <v>0</v>
      </c>
      <c r="I2456">
        <v>2</v>
      </c>
      <c r="J2456">
        <v>0</v>
      </c>
      <c r="K2456">
        <v>0</v>
      </c>
      <c r="L2456">
        <v>0</v>
      </c>
    </row>
    <row r="2457" spans="1:12">
      <c r="A2457" t="str">
        <f>HYPERLINK("http://bombeiros.sp.gov.br/hidrantes/03individual/1119.html","1119")</f>
        <v>1119</v>
      </c>
      <c r="B2457" t="str">
        <f>HYPERLINK("http://bombeiros.sp.gov.br/hidrantes/08bsg/qrcodeBSG.html?id=1119&amp;lat=-23.43850&amp;long=-46.71751&amp;tipo=S","QRCODE")</f>
        <v>QRCODE</v>
      </c>
      <c r="C2457" t="s">
        <v>5328</v>
      </c>
      <c r="D2457" t="s">
        <v>5339</v>
      </c>
      <c r="E2457" t="s">
        <v>192</v>
      </c>
      <c r="F2457" t="s">
        <v>21</v>
      </c>
      <c r="G2457" t="s">
        <v>3721</v>
      </c>
      <c r="H2457">
        <v>0</v>
      </c>
      <c r="I2457">
        <v>2</v>
      </c>
      <c r="J2457">
        <v>0</v>
      </c>
      <c r="K2457">
        <v>0</v>
      </c>
      <c r="L2457">
        <v>0</v>
      </c>
    </row>
    <row r="2458" spans="1:12">
      <c r="A2458" t="str">
        <f>HYPERLINK("http://bombeiros.sp.gov.br/hidrantes/03individual/1321.html","1321")</f>
        <v>1321</v>
      </c>
      <c r="B2458" t="str">
        <f>HYPERLINK("http://bombeiros.sp.gov.br/hidrantes/08bsg/qrcodeBSG.html?id=1321&amp;lat=-23.44259&amp;long=-46.72031&amp;tipo=S","QRCODE")</f>
        <v>QRCODE</v>
      </c>
      <c r="C2458" t="s">
        <v>5328</v>
      </c>
      <c r="D2458" t="s">
        <v>5339</v>
      </c>
      <c r="E2458" t="s">
        <v>192</v>
      </c>
      <c r="F2458" t="s">
        <v>21</v>
      </c>
      <c r="G2458" t="s">
        <v>1782</v>
      </c>
      <c r="H2458">
        <v>0</v>
      </c>
      <c r="I2458">
        <v>2</v>
      </c>
      <c r="J2458">
        <v>0</v>
      </c>
      <c r="K2458">
        <v>0</v>
      </c>
      <c r="L2458">
        <v>0</v>
      </c>
    </row>
    <row r="2459" spans="1:12">
      <c r="A2459" t="str">
        <f>HYPERLINK("http://bombeiros.sp.gov.br/hidrantes/03individual/3978.html","3978")</f>
        <v>3978</v>
      </c>
      <c r="B2459" t="str">
        <f>HYPERLINK("http://bombeiros.sp.gov.br/hidrantes/08bsg/qrcodeBSG.html?id=3978&amp;lat=-23.42629&amp;long=-46.72599&amp;tipo=S","QRCODE")</f>
        <v>QRCODE</v>
      </c>
      <c r="C2459" t="s">
        <v>5328</v>
      </c>
      <c r="D2459" t="s">
        <v>5339</v>
      </c>
      <c r="E2459" t="s">
        <v>192</v>
      </c>
      <c r="F2459" t="s">
        <v>21</v>
      </c>
      <c r="G2459" t="s">
        <v>1165</v>
      </c>
      <c r="H2459">
        <v>0</v>
      </c>
      <c r="I2459">
        <v>2</v>
      </c>
      <c r="J2459">
        <v>0</v>
      </c>
      <c r="K2459">
        <v>0</v>
      </c>
      <c r="L2459">
        <v>0</v>
      </c>
    </row>
    <row r="2460" spans="1:12">
      <c r="A2460" t="str">
        <f>HYPERLINK("http://bombeiros.sp.gov.br/hidrantes/03individual/4057.html","4057")</f>
        <v>4057</v>
      </c>
      <c r="B2460" t="str">
        <f>HYPERLINK("http://bombeiros.sp.gov.br/hidrantes/08bsg/qrcodeBSG.html?id=4057&amp;lat=-23.43718&amp;long=-46.71198&amp;tipo=S","QRCODE")</f>
        <v>QRCODE</v>
      </c>
      <c r="C2460" t="s">
        <v>5328</v>
      </c>
      <c r="D2460" t="s">
        <v>5339</v>
      </c>
      <c r="E2460" t="s">
        <v>192</v>
      </c>
      <c r="F2460" t="s">
        <v>21</v>
      </c>
      <c r="G2460" t="s">
        <v>191</v>
      </c>
      <c r="H2460">
        <v>0</v>
      </c>
      <c r="I2460">
        <v>2</v>
      </c>
      <c r="J2460">
        <v>0</v>
      </c>
      <c r="K2460">
        <v>0</v>
      </c>
      <c r="L2460">
        <v>0</v>
      </c>
    </row>
    <row r="2461" spans="1:12">
      <c r="A2461" t="str">
        <f>HYPERLINK("http://bombeiros.sp.gov.br/hidrantes/03individual/5556.html","5556")</f>
        <v>5556</v>
      </c>
      <c r="B2461" t="str">
        <f>HYPERLINK("http://bombeiros.sp.gov.br/hidrantes/08bsg/qrcodeBSG.html?id=5556&amp;lat=-23.45532&amp;long=-46.73421&amp;tipo=S","QRCODE")</f>
        <v>QRCODE</v>
      </c>
      <c r="C2461" t="s">
        <v>5328</v>
      </c>
      <c r="D2461" t="s">
        <v>5339</v>
      </c>
      <c r="E2461" t="s">
        <v>192</v>
      </c>
      <c r="F2461" t="s">
        <v>21</v>
      </c>
      <c r="G2461" t="s">
        <v>4971</v>
      </c>
      <c r="H2461">
        <v>0</v>
      </c>
      <c r="I2461">
        <v>1</v>
      </c>
      <c r="J2461">
        <v>0</v>
      </c>
      <c r="K2461">
        <v>0</v>
      </c>
      <c r="L2461">
        <v>0</v>
      </c>
    </row>
    <row r="2462" spans="1:12">
      <c r="A2462" t="str">
        <f>HYPERLINK("http://bombeiros.sp.gov.br/hidrantes/03individual/5557.html","5557")</f>
        <v>5557</v>
      </c>
      <c r="B2462" t="str">
        <f>HYPERLINK("http://bombeiros.sp.gov.br/hidrantes/08bsg/qrcodeBSG.html?id=5557&amp;lat=-23.45490&amp;long=-46.73390&amp;tipo=S","QRCODE")</f>
        <v>QRCODE</v>
      </c>
      <c r="C2462" t="s">
        <v>5328</v>
      </c>
      <c r="D2462" t="s">
        <v>5339</v>
      </c>
      <c r="E2462" t="s">
        <v>192</v>
      </c>
      <c r="F2462" t="s">
        <v>21</v>
      </c>
      <c r="G2462" t="s">
        <v>4972</v>
      </c>
      <c r="H2462">
        <v>0</v>
      </c>
      <c r="I2462">
        <v>1</v>
      </c>
      <c r="J2462">
        <v>0</v>
      </c>
      <c r="K2462">
        <v>0</v>
      </c>
      <c r="L2462">
        <v>0</v>
      </c>
    </row>
    <row r="2463" spans="1:12">
      <c r="A2463" t="str">
        <f>HYPERLINK("http://bombeiros.sp.gov.br/hidrantes/03individual/16494.html","16494")</f>
        <v>16494</v>
      </c>
      <c r="B2463" t="str">
        <f>HYPERLINK("http://bombeiros.sp.gov.br/hidrantes/08bsg/qrcodeBSG.html?id=16494&amp;lat=-23.43894&amp;long=-46.74631&amp;tipo=S","QRCODE")</f>
        <v>QRCODE</v>
      </c>
      <c r="C2463" t="s">
        <v>5328</v>
      </c>
      <c r="D2463" t="s">
        <v>5339</v>
      </c>
      <c r="E2463" t="s">
        <v>192</v>
      </c>
      <c r="F2463" t="s">
        <v>21</v>
      </c>
      <c r="G2463" t="s">
        <v>4964</v>
      </c>
      <c r="H2463">
        <v>0</v>
      </c>
      <c r="I2463">
        <v>1</v>
      </c>
      <c r="J2463">
        <v>0</v>
      </c>
      <c r="K2463">
        <v>0</v>
      </c>
      <c r="L2463">
        <v>0</v>
      </c>
    </row>
    <row r="2464" spans="1:12">
      <c r="A2464" t="str">
        <f>HYPERLINK("http://bombeiros.sp.gov.br/hidrantes/03individual/25228.html","25228")</f>
        <v>25228</v>
      </c>
      <c r="B2464" t="str">
        <f>HYPERLINK("http://bombeiros.sp.gov.br/hidrantes/08bsg/qrcodeBSG.html?id=25228&amp;lat=-23.49400&amp;long=-46.67780&amp;tipo=C","QRCODE")</f>
        <v>QRCODE</v>
      </c>
      <c r="C2464" t="s">
        <v>5328</v>
      </c>
      <c r="D2464" t="s">
        <v>1969</v>
      </c>
      <c r="E2464" t="s">
        <v>195</v>
      </c>
      <c r="F2464" t="s">
        <v>12</v>
      </c>
      <c r="G2464" t="s">
        <v>2019</v>
      </c>
      <c r="H2464">
        <v>0</v>
      </c>
      <c r="I2464">
        <v>2</v>
      </c>
      <c r="J2464">
        <v>0</v>
      </c>
      <c r="K2464">
        <v>0</v>
      </c>
      <c r="L2464">
        <v>0</v>
      </c>
    </row>
    <row r="2465" spans="1:12">
      <c r="A2465" t="str">
        <f>HYPERLINK("http://bombeiros.sp.gov.br/hidrantes/03individual/937.html","937")</f>
        <v>937</v>
      </c>
      <c r="B2465" t="str">
        <f>HYPERLINK("http://bombeiros.sp.gov.br/hidrantes/08bsg/qrcodeBSG.html?id=937&amp;lat=-23.49978&amp;long=-46.67983&amp;tipo=S","QRCODE")</f>
        <v>QRCODE</v>
      </c>
      <c r="C2465" t="s">
        <v>5328</v>
      </c>
      <c r="D2465" t="s">
        <v>1969</v>
      </c>
      <c r="E2465" t="s">
        <v>195</v>
      </c>
      <c r="F2465" t="s">
        <v>21</v>
      </c>
      <c r="G2465" t="s">
        <v>1408</v>
      </c>
      <c r="H2465">
        <v>0</v>
      </c>
      <c r="I2465">
        <v>2</v>
      </c>
      <c r="J2465">
        <v>0</v>
      </c>
      <c r="K2465">
        <v>0</v>
      </c>
      <c r="L2465">
        <v>0</v>
      </c>
    </row>
    <row r="2466" spans="1:12">
      <c r="A2466" t="str">
        <f>HYPERLINK("http://bombeiros.sp.gov.br/hidrantes/03individual/1020.html","1020")</f>
        <v>1020</v>
      </c>
      <c r="B2466" t="str">
        <f>HYPERLINK("http://bombeiros.sp.gov.br/hidrantes/08bsg/qrcodeBSG.html?id=1020&amp;lat=-23.48444&amp;long=-46.67447&amp;tipo=S","QRCODE")</f>
        <v>QRCODE</v>
      </c>
      <c r="C2466" t="s">
        <v>5328</v>
      </c>
      <c r="D2466" t="s">
        <v>1969</v>
      </c>
      <c r="E2466" t="s">
        <v>195</v>
      </c>
      <c r="F2466" t="s">
        <v>21</v>
      </c>
      <c r="G2466" t="s">
        <v>2975</v>
      </c>
      <c r="H2466">
        <v>0</v>
      </c>
      <c r="I2466">
        <v>2</v>
      </c>
      <c r="J2466">
        <v>0</v>
      </c>
      <c r="K2466">
        <v>0</v>
      </c>
      <c r="L2466">
        <v>0</v>
      </c>
    </row>
    <row r="2467" spans="1:12">
      <c r="A2467" t="str">
        <f>HYPERLINK("http://bombeiros.sp.gov.br/hidrantes/03individual/1133.html","1133")</f>
        <v>1133</v>
      </c>
      <c r="B2467" t="str">
        <f>HYPERLINK("http://bombeiros.sp.gov.br/hidrantes/08bsg/qrcodeBSG.html?id=1133&amp;lat=-23.49206&amp;long=-46.68398&amp;tipo=S","QRCODE")</f>
        <v>QRCODE</v>
      </c>
      <c r="C2467" t="s">
        <v>5328</v>
      </c>
      <c r="D2467" t="s">
        <v>1969</v>
      </c>
      <c r="E2467" t="s">
        <v>195</v>
      </c>
      <c r="F2467" t="s">
        <v>21</v>
      </c>
      <c r="G2467" t="s">
        <v>5059</v>
      </c>
      <c r="H2467">
        <v>1</v>
      </c>
      <c r="I2467">
        <v>1</v>
      </c>
      <c r="J2467">
        <v>0</v>
      </c>
      <c r="K2467">
        <v>0</v>
      </c>
      <c r="L2467">
        <v>0</v>
      </c>
    </row>
    <row r="2468" spans="1:12">
      <c r="A2468" t="str">
        <f>HYPERLINK("http://bombeiros.sp.gov.br/hidrantes/03individual/1236.html","1236")</f>
        <v>1236</v>
      </c>
      <c r="B2468" t="str">
        <f>HYPERLINK("http://bombeiros.sp.gov.br/hidrantes/08bsg/qrcodeBSG.html?id=1236&amp;lat=-23.49122&amp;long=-46.67617&amp;tipo=S","QRCODE")</f>
        <v>QRCODE</v>
      </c>
      <c r="C2468" t="s">
        <v>5328</v>
      </c>
      <c r="D2468" t="s">
        <v>1969</v>
      </c>
      <c r="E2468" t="s">
        <v>195</v>
      </c>
      <c r="F2468" t="s">
        <v>21</v>
      </c>
      <c r="G2468" t="s">
        <v>3716</v>
      </c>
      <c r="H2468">
        <v>1</v>
      </c>
      <c r="I2468">
        <v>1</v>
      </c>
      <c r="J2468">
        <v>0</v>
      </c>
      <c r="K2468">
        <v>0</v>
      </c>
      <c r="L2468">
        <v>0</v>
      </c>
    </row>
    <row r="2469" spans="1:12">
      <c r="A2469" t="str">
        <f>HYPERLINK("http://bombeiros.sp.gov.br/hidrantes/03individual/1295.html","1295")</f>
        <v>1295</v>
      </c>
      <c r="B2469" t="str">
        <f>HYPERLINK("http://bombeiros.sp.gov.br/hidrantes/08bsg/qrcodeBSG.html?id=1295&amp;lat=-23.49308&amp;long=-46.68088&amp;tipo=S","QRCODE")</f>
        <v>QRCODE</v>
      </c>
      <c r="C2469" t="s">
        <v>5328</v>
      </c>
      <c r="D2469" t="s">
        <v>1969</v>
      </c>
      <c r="E2469" t="s">
        <v>195</v>
      </c>
      <c r="F2469" t="s">
        <v>21</v>
      </c>
      <c r="G2469" t="s">
        <v>3804</v>
      </c>
      <c r="H2469">
        <v>1</v>
      </c>
      <c r="I2469">
        <v>2</v>
      </c>
      <c r="J2469">
        <v>0</v>
      </c>
      <c r="K2469">
        <v>0</v>
      </c>
      <c r="L2469">
        <v>0</v>
      </c>
    </row>
    <row r="2470" spans="1:12">
      <c r="A2470" t="str">
        <f>HYPERLINK("http://bombeiros.sp.gov.br/hidrantes/03individual/1313.html","1313")</f>
        <v>1313</v>
      </c>
      <c r="B2470" t="str">
        <f>HYPERLINK("http://bombeiros.sp.gov.br/hidrantes/08bsg/qrcodeBSG.html?id=1313&amp;lat=-23.48697&amp;long=-46.68037&amp;tipo=S","QRCODE")</f>
        <v>QRCODE</v>
      </c>
      <c r="C2470" t="s">
        <v>5328</v>
      </c>
      <c r="D2470" t="s">
        <v>1969</v>
      </c>
      <c r="E2470" t="s">
        <v>195</v>
      </c>
      <c r="F2470" t="s">
        <v>21</v>
      </c>
      <c r="G2470" t="s">
        <v>2961</v>
      </c>
      <c r="H2470">
        <v>0</v>
      </c>
      <c r="I2470">
        <v>2</v>
      </c>
      <c r="J2470">
        <v>0</v>
      </c>
      <c r="K2470">
        <v>0</v>
      </c>
      <c r="L2470">
        <v>0</v>
      </c>
    </row>
    <row r="2471" spans="1:12">
      <c r="A2471" t="str">
        <f>HYPERLINK("http://bombeiros.sp.gov.br/hidrantes/03individual/3637.html","3637")</f>
        <v>3637</v>
      </c>
      <c r="B2471" t="str">
        <f>HYPERLINK("http://bombeiros.sp.gov.br/hidrantes/08bsg/qrcodeBSG.html?id=3637&amp;lat=-23.49254&amp;long=-46.67776&amp;tipo=S","QRCODE")</f>
        <v>QRCODE</v>
      </c>
      <c r="C2471" t="s">
        <v>5328</v>
      </c>
      <c r="D2471" t="s">
        <v>1969</v>
      </c>
      <c r="E2471" t="s">
        <v>195</v>
      </c>
      <c r="F2471" t="s">
        <v>21</v>
      </c>
      <c r="G2471" t="s">
        <v>2037</v>
      </c>
      <c r="H2471">
        <v>0</v>
      </c>
      <c r="I2471">
        <v>2</v>
      </c>
      <c r="J2471">
        <v>0</v>
      </c>
      <c r="K2471">
        <v>0</v>
      </c>
      <c r="L2471">
        <v>0</v>
      </c>
    </row>
    <row r="2472" spans="1:12">
      <c r="A2472" t="str">
        <f>HYPERLINK("http://bombeiros.sp.gov.br/hidrantes/03individual/3725.html","3725")</f>
        <v>3725</v>
      </c>
      <c r="B2472" t="str">
        <f>HYPERLINK("http://bombeiros.sp.gov.br/hidrantes/08bsg/qrcodeBSG.html?id=3725&amp;lat=-23.49911&amp;long=-46.68205&amp;tipo=S","QRCODE")</f>
        <v>QRCODE</v>
      </c>
      <c r="C2472" t="s">
        <v>5328</v>
      </c>
      <c r="D2472" t="s">
        <v>1969</v>
      </c>
      <c r="E2472" t="s">
        <v>195</v>
      </c>
      <c r="F2472" t="s">
        <v>21</v>
      </c>
      <c r="G2472" t="s">
        <v>2031</v>
      </c>
      <c r="H2472">
        <v>0</v>
      </c>
      <c r="I2472">
        <v>2</v>
      </c>
      <c r="J2472">
        <v>0</v>
      </c>
      <c r="K2472">
        <v>0</v>
      </c>
      <c r="L2472">
        <v>0</v>
      </c>
    </row>
    <row r="2473" spans="1:12">
      <c r="A2473" t="str">
        <f>HYPERLINK("http://bombeiros.sp.gov.br/hidrantes/03individual/3727.html","3727")</f>
        <v>3727</v>
      </c>
      <c r="B2473" t="str">
        <f>HYPERLINK("http://bombeiros.sp.gov.br/hidrantes/08bsg/qrcodeBSG.html?id=3727&amp;lat=-23.49479&amp;long=-46.68331&amp;tipo=S","QRCODE")</f>
        <v>QRCODE</v>
      </c>
      <c r="C2473" t="s">
        <v>5328</v>
      </c>
      <c r="D2473" t="s">
        <v>1969</v>
      </c>
      <c r="E2473" t="s">
        <v>195</v>
      </c>
      <c r="F2473" t="s">
        <v>21</v>
      </c>
      <c r="G2473" t="s">
        <v>3943</v>
      </c>
      <c r="H2473">
        <v>0</v>
      </c>
      <c r="I2473">
        <v>2</v>
      </c>
      <c r="J2473">
        <v>0</v>
      </c>
      <c r="K2473">
        <v>0</v>
      </c>
      <c r="L2473">
        <v>0</v>
      </c>
    </row>
    <row r="2474" spans="1:12">
      <c r="A2474" t="str">
        <f>HYPERLINK("http://bombeiros.sp.gov.br/hidrantes/03individual/3729.html","3729")</f>
        <v>3729</v>
      </c>
      <c r="B2474" t="str">
        <f>HYPERLINK("http://bombeiros.sp.gov.br/hidrantes/08bsg/qrcodeBSG.html?id=3729&amp;lat=-23.49531&amp;long=-46.67905&amp;tipo=S","QRCODE")</f>
        <v>QRCODE</v>
      </c>
      <c r="C2474" t="s">
        <v>5328</v>
      </c>
      <c r="D2474" t="s">
        <v>1969</v>
      </c>
      <c r="E2474" t="s">
        <v>195</v>
      </c>
      <c r="F2474" t="s">
        <v>21</v>
      </c>
      <c r="G2474" t="s">
        <v>3801</v>
      </c>
      <c r="H2474">
        <v>0</v>
      </c>
      <c r="I2474">
        <v>1</v>
      </c>
      <c r="J2474">
        <v>0</v>
      </c>
      <c r="K2474">
        <v>0</v>
      </c>
      <c r="L2474">
        <v>0</v>
      </c>
    </row>
    <row r="2475" spans="1:12">
      <c r="A2475" t="str">
        <f>HYPERLINK("http://bombeiros.sp.gov.br/hidrantes/03individual/3750.html","3750")</f>
        <v>3750</v>
      </c>
      <c r="B2475" t="str">
        <f>HYPERLINK("http://bombeiros.sp.gov.br/hidrantes/08bsg/qrcodeBSG.html?id=3750&amp;lat=-23.48833&amp;long=-46.68136&amp;tipo=S","QRCODE")</f>
        <v>QRCODE</v>
      </c>
      <c r="C2475" t="s">
        <v>5328</v>
      </c>
      <c r="D2475" t="s">
        <v>1969</v>
      </c>
      <c r="E2475" t="s">
        <v>195</v>
      </c>
      <c r="F2475" t="s">
        <v>21</v>
      </c>
      <c r="G2475" t="s">
        <v>2943</v>
      </c>
      <c r="H2475">
        <v>0</v>
      </c>
      <c r="I2475">
        <v>2</v>
      </c>
      <c r="J2475">
        <v>0</v>
      </c>
      <c r="K2475">
        <v>0</v>
      </c>
      <c r="L2475">
        <v>0</v>
      </c>
    </row>
    <row r="2476" spans="1:12">
      <c r="A2476" t="str">
        <f>HYPERLINK("http://bombeiros.sp.gov.br/hidrantes/03individual/3777.html","3777")</f>
        <v>3777</v>
      </c>
      <c r="B2476" t="str">
        <f>HYPERLINK("http://bombeiros.sp.gov.br/hidrantes/08bsg/qrcodeBSG.html?id=3777&amp;lat=-23.48577&amp;long=-46.67842&amp;tipo=S","QRCODE")</f>
        <v>QRCODE</v>
      </c>
      <c r="C2476" t="s">
        <v>5328</v>
      </c>
      <c r="D2476" t="s">
        <v>1969</v>
      </c>
      <c r="E2476" t="s">
        <v>195</v>
      </c>
      <c r="F2476" t="s">
        <v>21</v>
      </c>
      <c r="G2476" t="s">
        <v>194</v>
      </c>
      <c r="H2476">
        <v>1</v>
      </c>
      <c r="I2476">
        <v>2</v>
      </c>
      <c r="J2476">
        <v>0</v>
      </c>
      <c r="K2476">
        <v>0</v>
      </c>
      <c r="L2476">
        <v>0</v>
      </c>
    </row>
    <row r="2477" spans="1:12">
      <c r="A2477" t="str">
        <f>HYPERLINK("http://bombeiros.sp.gov.br/hidrantes/03individual/17772.html","17772")</f>
        <v>17772</v>
      </c>
      <c r="B2477" t="str">
        <f>HYPERLINK("http://bombeiros.sp.gov.br/hidrantes/08bsg/qrcodeBSG.html?id=17772&amp;lat=-23.49585&amp;long=-46.68382&amp;tipo=S","QRCODE")</f>
        <v>QRCODE</v>
      </c>
      <c r="C2477" t="s">
        <v>5328</v>
      </c>
      <c r="D2477" t="s">
        <v>1969</v>
      </c>
      <c r="E2477" t="s">
        <v>195</v>
      </c>
      <c r="F2477" t="s">
        <v>21</v>
      </c>
      <c r="G2477" t="s">
        <v>2447</v>
      </c>
      <c r="H2477">
        <v>0</v>
      </c>
      <c r="I2477">
        <v>1</v>
      </c>
      <c r="J2477">
        <v>0</v>
      </c>
      <c r="K2477">
        <v>0</v>
      </c>
      <c r="L2477">
        <v>0</v>
      </c>
    </row>
    <row r="2478" spans="1:12">
      <c r="A2478" t="str">
        <f>HYPERLINK("http://bombeiros.sp.gov.br/hidrantes/03individual/1014.html","1014")</f>
        <v>1014</v>
      </c>
      <c r="B2478" t="str">
        <f>HYPERLINK("http://bombeiros.sp.gov.br/hidrantes/08bsg/qrcodeBSG.html?id=1014&amp;lat=-23.50571&amp;long=-46.67153&amp;tipo=S","QRCODE")</f>
        <v>QRCODE</v>
      </c>
      <c r="C2478" t="s">
        <v>5328</v>
      </c>
      <c r="D2478" t="s">
        <v>1969</v>
      </c>
      <c r="E2478" t="s">
        <v>1969</v>
      </c>
      <c r="F2478" t="s">
        <v>21</v>
      </c>
      <c r="G2478" t="s">
        <v>1968</v>
      </c>
      <c r="H2478">
        <v>0</v>
      </c>
      <c r="I2478">
        <v>2</v>
      </c>
      <c r="J2478">
        <v>0</v>
      </c>
      <c r="K2478">
        <v>0</v>
      </c>
      <c r="L2478">
        <v>0</v>
      </c>
    </row>
    <row r="2479" spans="1:12">
      <c r="A2479" t="str">
        <f>HYPERLINK("http://bombeiros.sp.gov.br/hidrantes/03individual/1694.html","1694")</f>
        <v>1694</v>
      </c>
      <c r="B2479" t="str">
        <f>HYPERLINK("http://bombeiros.sp.gov.br/hidrantes/08bsg/qrcodeBSG.html?id=1694&amp;lat=-23.50749&amp;long=-46.67396&amp;tipo=S","QRCODE")</f>
        <v>QRCODE</v>
      </c>
      <c r="C2479" t="s">
        <v>5328</v>
      </c>
      <c r="D2479" t="s">
        <v>1969</v>
      </c>
      <c r="E2479" t="s">
        <v>1969</v>
      </c>
      <c r="F2479" t="s">
        <v>21</v>
      </c>
      <c r="G2479" t="s">
        <v>4772</v>
      </c>
      <c r="H2479">
        <v>0</v>
      </c>
      <c r="I2479">
        <v>2</v>
      </c>
      <c r="J2479">
        <v>0</v>
      </c>
      <c r="K2479">
        <v>0</v>
      </c>
      <c r="L2479">
        <v>0</v>
      </c>
    </row>
    <row r="2480" spans="1:12">
      <c r="A2480" t="str">
        <f>HYPERLINK("http://bombeiros.sp.gov.br/hidrantes/03individual/27065.html","27065")</f>
        <v>27065</v>
      </c>
      <c r="B2480" t="str">
        <f>HYPERLINK("http://bombeiros.sp.gov.br/hidrantes/08bsg/qrcodeBSG.html?id=27065&amp;lat=-23.50940&amp;long=-46.67340&amp;tipo=S","QRCODE")</f>
        <v>QRCODE</v>
      </c>
      <c r="C2480" t="s">
        <v>5328</v>
      </c>
      <c r="D2480" t="s">
        <v>1969</v>
      </c>
      <c r="E2480" t="s">
        <v>1969</v>
      </c>
      <c r="F2480" t="s">
        <v>21</v>
      </c>
      <c r="G2480" t="s">
        <v>3791</v>
      </c>
      <c r="H2480">
        <v>0</v>
      </c>
      <c r="I2480">
        <v>1</v>
      </c>
      <c r="J2480">
        <v>0</v>
      </c>
      <c r="K2480">
        <v>0</v>
      </c>
      <c r="L2480">
        <v>0</v>
      </c>
    </row>
    <row r="2481" spans="1:12">
      <c r="A2481" t="str">
        <f>HYPERLINK("http://bombeiros.sp.gov.br/hidrantes/03individual/27296.html","27296")</f>
        <v>27296</v>
      </c>
      <c r="B2481" t="str">
        <f>HYPERLINK("http://bombeiros.sp.gov.br/hidrantes/08bsg/qrcodeBSG.html?id=27296&amp;lat=-23.50722&amp;long=-46.67360&amp;tipo=S","QRCODE")</f>
        <v>QRCODE</v>
      </c>
      <c r="C2481" t="s">
        <v>5328</v>
      </c>
      <c r="D2481" t="s">
        <v>1969</v>
      </c>
      <c r="E2481" t="s">
        <v>1969</v>
      </c>
      <c r="F2481" t="s">
        <v>21</v>
      </c>
      <c r="G2481" t="s">
        <v>5343</v>
      </c>
      <c r="H2481">
        <v>0</v>
      </c>
      <c r="I2481">
        <v>0</v>
      </c>
      <c r="J2481">
        <v>0</v>
      </c>
      <c r="K2481">
        <v>0</v>
      </c>
      <c r="L2481">
        <v>0</v>
      </c>
    </row>
    <row r="2482" spans="1:12">
      <c r="A2482" t="str">
        <f>HYPERLINK("http://bombeiros.sp.gov.br/hidrantes/03individual/10054.html","10054")</f>
        <v>10054</v>
      </c>
      <c r="B2482" t="str">
        <f>HYPERLINK("http://bombeiros.sp.gov.br/hidrantes/08bsg/qrcodeBSG.html?id=10054&amp;lat=-23.49342&amp;long=-46.66821&amp;tipo=B","QRCODE")</f>
        <v>QRCODE</v>
      </c>
      <c r="C2482" t="s">
        <v>5328</v>
      </c>
      <c r="D2482" t="s">
        <v>1969</v>
      </c>
      <c r="E2482" t="s">
        <v>159</v>
      </c>
      <c r="F2482" t="s">
        <v>1719</v>
      </c>
      <c r="G2482" t="s">
        <v>5344</v>
      </c>
      <c r="H2482">
        <v>0</v>
      </c>
      <c r="I2482">
        <v>0</v>
      </c>
      <c r="J2482">
        <v>0</v>
      </c>
      <c r="K2482">
        <v>0</v>
      </c>
      <c r="L2482">
        <v>0</v>
      </c>
    </row>
    <row r="2483" spans="1:12">
      <c r="A2483" t="str">
        <f>HYPERLINK("http://bombeiros.sp.gov.br/hidrantes/03individual/949.html","949")</f>
        <v>949</v>
      </c>
      <c r="B2483" t="str">
        <f>HYPERLINK("http://bombeiros.sp.gov.br/hidrantes/08bsg/qrcodeBSG.html?id=949&amp;lat=-23.50073&amp;long=-46.67811&amp;tipo=S","QRCODE")</f>
        <v>QRCODE</v>
      </c>
      <c r="C2483" t="s">
        <v>5328</v>
      </c>
      <c r="D2483" t="s">
        <v>1969</v>
      </c>
      <c r="E2483" t="s">
        <v>159</v>
      </c>
      <c r="F2483" t="s">
        <v>21</v>
      </c>
      <c r="G2483" t="s">
        <v>2056</v>
      </c>
      <c r="H2483">
        <v>0</v>
      </c>
      <c r="I2483">
        <v>2</v>
      </c>
      <c r="J2483">
        <v>0</v>
      </c>
      <c r="K2483">
        <v>0</v>
      </c>
      <c r="L2483">
        <v>0</v>
      </c>
    </row>
    <row r="2484" spans="1:12">
      <c r="A2484" t="str">
        <f>HYPERLINK("http://bombeiros.sp.gov.br/hidrantes/03individual/1098.html","1098")</f>
        <v>1098</v>
      </c>
      <c r="B2484" t="str">
        <f>HYPERLINK("http://bombeiros.sp.gov.br/hidrantes/08bsg/qrcodeBSG.html?id=1098&amp;lat=-23.48963&amp;long=-46.67314&amp;tipo=S","QRCODE")</f>
        <v>QRCODE</v>
      </c>
      <c r="C2484" t="s">
        <v>5328</v>
      </c>
      <c r="D2484" t="s">
        <v>1969</v>
      </c>
      <c r="E2484" t="s">
        <v>159</v>
      </c>
      <c r="F2484" t="s">
        <v>21</v>
      </c>
      <c r="G2484" t="s">
        <v>171</v>
      </c>
      <c r="H2484">
        <v>0</v>
      </c>
      <c r="I2484">
        <v>2</v>
      </c>
      <c r="J2484">
        <v>0</v>
      </c>
      <c r="K2484">
        <v>0</v>
      </c>
      <c r="L2484">
        <v>0</v>
      </c>
    </row>
    <row r="2485" spans="1:12">
      <c r="A2485" t="str">
        <f>HYPERLINK("http://bombeiros.sp.gov.br/hidrantes/03individual/1107.html","1107")</f>
        <v>1107</v>
      </c>
      <c r="B2485" t="str">
        <f>HYPERLINK("http://bombeiros.sp.gov.br/hidrantes/08bsg/qrcodeBSG.html?id=1107&amp;lat=-23.48906&amp;long=-46.66822&amp;tipo=S","QRCODE")</f>
        <v>QRCODE</v>
      </c>
      <c r="C2485" t="s">
        <v>5328</v>
      </c>
      <c r="D2485" t="s">
        <v>1969</v>
      </c>
      <c r="E2485" t="s">
        <v>159</v>
      </c>
      <c r="F2485" t="s">
        <v>21</v>
      </c>
      <c r="G2485" t="s">
        <v>2047</v>
      </c>
      <c r="H2485">
        <v>1</v>
      </c>
      <c r="I2485">
        <v>2</v>
      </c>
      <c r="J2485">
        <v>0</v>
      </c>
      <c r="K2485">
        <v>0</v>
      </c>
      <c r="L2485">
        <v>0</v>
      </c>
    </row>
    <row r="2486" spans="1:12">
      <c r="A2486" t="str">
        <f>HYPERLINK("http://bombeiros.sp.gov.br/hidrantes/03individual/1145.html","1145")</f>
        <v>1145</v>
      </c>
      <c r="B2486" t="str">
        <f>HYPERLINK("http://bombeiros.sp.gov.br/hidrantes/08bsg/qrcodeBSG.html?id=1145&amp;lat=-23.48932&amp;long=-46.67253&amp;tipo=S","QRCODE")</f>
        <v>QRCODE</v>
      </c>
      <c r="C2486" t="s">
        <v>5328</v>
      </c>
      <c r="D2486" t="s">
        <v>1969</v>
      </c>
      <c r="E2486" t="s">
        <v>159</v>
      </c>
      <c r="F2486" t="s">
        <v>21</v>
      </c>
      <c r="G2486" t="s">
        <v>2048</v>
      </c>
      <c r="H2486">
        <v>1</v>
      </c>
      <c r="I2486">
        <v>2</v>
      </c>
      <c r="J2486">
        <v>0</v>
      </c>
      <c r="K2486">
        <v>0</v>
      </c>
      <c r="L2486">
        <v>0</v>
      </c>
    </row>
    <row r="2487" spans="1:12">
      <c r="A2487" t="str">
        <f>HYPERLINK("http://bombeiros.sp.gov.br/hidrantes/03individual/1155.html","1155")</f>
        <v>1155</v>
      </c>
      <c r="B2487" t="str">
        <f>HYPERLINK("http://bombeiros.sp.gov.br/hidrantes/08bsg/qrcodeBSG.html?id=1155&amp;lat=-23.48439&amp;long=-46.67084&amp;tipo=S","QRCODE")</f>
        <v>QRCODE</v>
      </c>
      <c r="C2487" t="s">
        <v>5328</v>
      </c>
      <c r="D2487" t="s">
        <v>1969</v>
      </c>
      <c r="E2487" t="s">
        <v>159</v>
      </c>
      <c r="F2487" t="s">
        <v>21</v>
      </c>
      <c r="G2487" t="s">
        <v>158</v>
      </c>
      <c r="H2487">
        <v>1</v>
      </c>
      <c r="I2487">
        <v>1</v>
      </c>
      <c r="J2487">
        <v>0</v>
      </c>
      <c r="K2487">
        <v>0</v>
      </c>
      <c r="L2487">
        <v>0</v>
      </c>
    </row>
    <row r="2488" spans="1:12">
      <c r="A2488" t="str">
        <f>HYPERLINK("http://bombeiros.sp.gov.br/hidrantes/03individual/1189.html","1189")</f>
        <v>1189</v>
      </c>
      <c r="B2488" t="str">
        <f>HYPERLINK("http://bombeiros.sp.gov.br/hidrantes/08bsg/qrcodeBSG.html?id=1189&amp;lat=-23.50379&amp;long=-46.67187&amp;tipo=S","QRCODE")</f>
        <v>QRCODE</v>
      </c>
      <c r="C2488" t="s">
        <v>5328</v>
      </c>
      <c r="D2488" t="s">
        <v>1969</v>
      </c>
      <c r="E2488" t="s">
        <v>159</v>
      </c>
      <c r="F2488" t="s">
        <v>21</v>
      </c>
      <c r="G2488" t="s">
        <v>1982</v>
      </c>
      <c r="H2488">
        <v>0</v>
      </c>
      <c r="I2488">
        <v>2</v>
      </c>
      <c r="J2488">
        <v>0</v>
      </c>
      <c r="K2488">
        <v>0</v>
      </c>
      <c r="L2488">
        <v>0</v>
      </c>
    </row>
    <row r="2489" spans="1:12">
      <c r="A2489" t="str">
        <f>HYPERLINK("http://bombeiros.sp.gov.br/hidrantes/03individual/1192.html","1192")</f>
        <v>1192</v>
      </c>
      <c r="B2489" t="str">
        <f>HYPERLINK("http://bombeiros.sp.gov.br/hidrantes/08bsg/qrcodeBSG.html?id=1192&amp;lat=-23.48839&amp;long=-46.67031&amp;tipo=S","QRCODE")</f>
        <v>QRCODE</v>
      </c>
      <c r="C2489" t="s">
        <v>5328</v>
      </c>
      <c r="D2489" t="s">
        <v>1969</v>
      </c>
      <c r="E2489" t="s">
        <v>159</v>
      </c>
      <c r="F2489" t="s">
        <v>21</v>
      </c>
      <c r="G2489" t="s">
        <v>2970</v>
      </c>
      <c r="H2489">
        <v>0</v>
      </c>
      <c r="I2489">
        <v>2</v>
      </c>
      <c r="J2489">
        <v>0</v>
      </c>
      <c r="K2489">
        <v>0</v>
      </c>
      <c r="L2489">
        <v>0</v>
      </c>
    </row>
    <row r="2490" spans="1:12">
      <c r="A2490" t="str">
        <f>HYPERLINK("http://bombeiros.sp.gov.br/hidrantes/03individual/1239.html","1239")</f>
        <v>1239</v>
      </c>
      <c r="B2490" t="str">
        <f>HYPERLINK("http://bombeiros.sp.gov.br/hidrantes/08bsg/qrcodeBSG.html?id=1239&amp;lat=-23.48564&amp;long=-46.66584&amp;tipo=S","QRCODE")</f>
        <v>QRCODE</v>
      </c>
      <c r="C2490" t="s">
        <v>5328</v>
      </c>
      <c r="D2490" t="s">
        <v>1969</v>
      </c>
      <c r="E2490" t="s">
        <v>159</v>
      </c>
      <c r="F2490" t="s">
        <v>21</v>
      </c>
      <c r="G2490" t="s">
        <v>3714</v>
      </c>
      <c r="H2490">
        <v>1</v>
      </c>
      <c r="I2490">
        <v>1</v>
      </c>
      <c r="J2490">
        <v>0</v>
      </c>
      <c r="K2490">
        <v>0</v>
      </c>
      <c r="L2490">
        <v>0</v>
      </c>
    </row>
    <row r="2491" spans="1:12">
      <c r="A2491" t="str">
        <f>HYPERLINK("http://bombeiros.sp.gov.br/hidrantes/03individual/1286.html","1286")</f>
        <v>1286</v>
      </c>
      <c r="B2491" t="str">
        <f>HYPERLINK("http://bombeiros.sp.gov.br/hidrantes/08bsg/qrcodeBSG.html?id=1286&amp;lat=-23.49923&amp;long=-46.66677&amp;tipo=S","QRCODE")</f>
        <v>QRCODE</v>
      </c>
      <c r="C2491" t="s">
        <v>5328</v>
      </c>
      <c r="D2491" t="s">
        <v>1969</v>
      </c>
      <c r="E2491" t="s">
        <v>159</v>
      </c>
      <c r="F2491" t="s">
        <v>21</v>
      </c>
      <c r="G2491" t="s">
        <v>1980</v>
      </c>
      <c r="H2491">
        <v>0</v>
      </c>
      <c r="I2491">
        <v>2</v>
      </c>
      <c r="J2491">
        <v>0</v>
      </c>
      <c r="K2491">
        <v>0</v>
      </c>
      <c r="L2491">
        <v>0</v>
      </c>
    </row>
    <row r="2492" spans="1:12">
      <c r="A2492" t="str">
        <f>HYPERLINK("http://bombeiros.sp.gov.br/hidrantes/03individual/1802.html","1802")</f>
        <v>1802</v>
      </c>
      <c r="B2492" t="str">
        <f>HYPERLINK("http://bombeiros.sp.gov.br/hidrantes/08bsg/qrcodeBSG.html?id=1802&amp;lat=-23.50294&amp;long=-46.66806&amp;tipo=S","QRCODE")</f>
        <v>QRCODE</v>
      </c>
      <c r="C2492" t="s">
        <v>5328</v>
      </c>
      <c r="D2492" t="s">
        <v>1969</v>
      </c>
      <c r="E2492" t="s">
        <v>159</v>
      </c>
      <c r="F2492" t="s">
        <v>21</v>
      </c>
      <c r="G2492" t="s">
        <v>4931</v>
      </c>
      <c r="H2492">
        <v>0</v>
      </c>
      <c r="I2492">
        <v>1</v>
      </c>
      <c r="J2492">
        <v>0</v>
      </c>
      <c r="K2492">
        <v>0</v>
      </c>
      <c r="L2492">
        <v>0</v>
      </c>
    </row>
    <row r="2493" spans="1:12">
      <c r="A2493" t="str">
        <f>HYPERLINK("http://bombeiros.sp.gov.br/hidrantes/03individual/3730.html","3730")</f>
        <v>3730</v>
      </c>
      <c r="B2493" t="str">
        <f>HYPERLINK("http://bombeiros.sp.gov.br/hidrantes/08bsg/qrcodeBSG.html?id=3730&amp;lat=-23.49782&amp;long=-46.67728&amp;tipo=S","QRCODE")</f>
        <v>QRCODE</v>
      </c>
      <c r="C2493" t="s">
        <v>5328</v>
      </c>
      <c r="D2493" t="s">
        <v>1969</v>
      </c>
      <c r="E2493" t="s">
        <v>159</v>
      </c>
      <c r="F2493" t="s">
        <v>21</v>
      </c>
      <c r="G2493" t="s">
        <v>2033</v>
      </c>
      <c r="H2493">
        <v>0</v>
      </c>
      <c r="I2493">
        <v>2</v>
      </c>
      <c r="J2493">
        <v>0</v>
      </c>
      <c r="K2493">
        <v>0</v>
      </c>
      <c r="L2493">
        <v>0</v>
      </c>
    </row>
    <row r="2494" spans="1:12">
      <c r="A2494" t="str">
        <f>HYPERLINK("http://bombeiros.sp.gov.br/hidrantes/03individual/3744.html","3744")</f>
        <v>3744</v>
      </c>
      <c r="B2494" t="str">
        <f>HYPERLINK("http://bombeiros.sp.gov.br/hidrantes/08bsg/qrcodeBSG.html?id=3744&amp;lat=-23.49469&amp;long=-46.67590&amp;tipo=S","QRCODE")</f>
        <v>QRCODE</v>
      </c>
      <c r="C2494" t="s">
        <v>5328</v>
      </c>
      <c r="D2494" t="s">
        <v>1969</v>
      </c>
      <c r="E2494" t="s">
        <v>159</v>
      </c>
      <c r="F2494" t="s">
        <v>21</v>
      </c>
      <c r="G2494" t="s">
        <v>2034</v>
      </c>
      <c r="H2494">
        <v>0</v>
      </c>
      <c r="I2494">
        <v>2</v>
      </c>
      <c r="J2494">
        <v>0</v>
      </c>
      <c r="K2494">
        <v>0</v>
      </c>
      <c r="L2494">
        <v>0</v>
      </c>
    </row>
    <row r="2495" spans="1:12">
      <c r="A2495" t="str">
        <f>HYPERLINK("http://bombeiros.sp.gov.br/hidrantes/03individual/3749.html","3749")</f>
        <v>3749</v>
      </c>
      <c r="B2495" t="str">
        <f>HYPERLINK("http://bombeiros.sp.gov.br/hidrantes/08bsg/qrcodeBSG.html?id=3749&amp;lat=-23.49212&amp;long=-46.67309&amp;tipo=S","QRCODE")</f>
        <v>QRCODE</v>
      </c>
      <c r="C2495" t="s">
        <v>5328</v>
      </c>
      <c r="D2495" t="s">
        <v>1969</v>
      </c>
      <c r="E2495" t="s">
        <v>159</v>
      </c>
      <c r="F2495" t="s">
        <v>21</v>
      </c>
      <c r="G2495" t="s">
        <v>2035</v>
      </c>
      <c r="H2495">
        <v>0</v>
      </c>
      <c r="I2495">
        <v>2</v>
      </c>
      <c r="J2495">
        <v>0</v>
      </c>
      <c r="K2495">
        <v>0</v>
      </c>
      <c r="L2495">
        <v>0</v>
      </c>
    </row>
    <row r="2496" spans="1:12">
      <c r="A2496" t="str">
        <f>HYPERLINK("http://bombeiros.sp.gov.br/hidrantes/03individual/3795.html","3795")</f>
        <v>3795</v>
      </c>
      <c r="B2496" t="str">
        <f>HYPERLINK("http://bombeiros.sp.gov.br/hidrantes/08bsg/qrcodeBSG.html?id=3795&amp;lat=-23.48765&amp;long=-46.67476&amp;tipo=S","QRCODE")</f>
        <v>QRCODE</v>
      </c>
      <c r="C2496" t="s">
        <v>5328</v>
      </c>
      <c r="D2496" t="s">
        <v>1969</v>
      </c>
      <c r="E2496" t="s">
        <v>159</v>
      </c>
      <c r="F2496" t="s">
        <v>21</v>
      </c>
      <c r="G2496" t="s">
        <v>2938</v>
      </c>
      <c r="H2496">
        <v>0</v>
      </c>
      <c r="I2496">
        <v>2</v>
      </c>
      <c r="J2496">
        <v>0</v>
      </c>
      <c r="K2496">
        <v>0</v>
      </c>
      <c r="L2496">
        <v>0</v>
      </c>
    </row>
    <row r="2497" spans="1:12">
      <c r="A2497" t="str">
        <f>HYPERLINK("http://bombeiros.sp.gov.br/hidrantes/03individual/17747.html","17747")</f>
        <v>17747</v>
      </c>
      <c r="B2497" t="str">
        <f>HYPERLINK("http://bombeiros.sp.gov.br/hidrantes/08bsg/qrcodeBSG.html?id=17747&amp;lat=-23.49706&amp;long=-46.66910&amp;tipo=S","QRCODE")</f>
        <v>QRCODE</v>
      </c>
      <c r="C2497" t="s">
        <v>5328</v>
      </c>
      <c r="D2497" t="s">
        <v>1969</v>
      </c>
      <c r="E2497" t="s">
        <v>159</v>
      </c>
      <c r="F2497" t="s">
        <v>21</v>
      </c>
      <c r="G2497" t="s">
        <v>2446</v>
      </c>
      <c r="H2497">
        <v>0</v>
      </c>
      <c r="I2497">
        <v>2</v>
      </c>
      <c r="J2497">
        <v>0</v>
      </c>
      <c r="K2497">
        <v>0</v>
      </c>
      <c r="L2497">
        <v>0</v>
      </c>
    </row>
    <row r="2498" spans="1:12">
      <c r="A2498" t="str">
        <f>HYPERLINK("http://bombeiros.sp.gov.br/hidrantes/03individual/17748.html","17748")</f>
        <v>17748</v>
      </c>
      <c r="B2498" t="str">
        <f>HYPERLINK("http://bombeiros.sp.gov.br/hidrantes/08bsg/qrcodeBSG.html?id=17748&amp;lat=-23.50032&amp;long=-46.66935&amp;tipo=S","QRCODE")</f>
        <v>QRCODE</v>
      </c>
      <c r="C2498" t="s">
        <v>5328</v>
      </c>
      <c r="D2498" t="s">
        <v>1969</v>
      </c>
      <c r="E2498" t="s">
        <v>159</v>
      </c>
      <c r="F2498" t="s">
        <v>21</v>
      </c>
      <c r="G2498" t="s">
        <v>1486</v>
      </c>
      <c r="H2498">
        <v>0</v>
      </c>
      <c r="I2498">
        <v>3</v>
      </c>
      <c r="J2498">
        <v>0</v>
      </c>
      <c r="K2498">
        <v>0</v>
      </c>
      <c r="L2498">
        <v>0</v>
      </c>
    </row>
    <row r="2499" spans="1:12">
      <c r="A2499" t="str">
        <f>HYPERLINK("http://bombeiros.sp.gov.br/hidrantes/03individual/17749.html","17749")</f>
        <v>17749</v>
      </c>
      <c r="B2499" t="str">
        <f>HYPERLINK("http://bombeiros.sp.gov.br/hidrantes/08bsg/qrcodeBSG.html?id=17749&amp;lat=-23.50040&amp;long=-46.67310&amp;tipo=S","QRCODE")</f>
        <v>QRCODE</v>
      </c>
      <c r="C2499" t="s">
        <v>5328</v>
      </c>
      <c r="D2499" t="s">
        <v>1969</v>
      </c>
      <c r="E2499" t="s">
        <v>159</v>
      </c>
      <c r="F2499" t="s">
        <v>21</v>
      </c>
      <c r="G2499" t="s">
        <v>5043</v>
      </c>
      <c r="H2499">
        <v>0</v>
      </c>
      <c r="I2499">
        <v>1</v>
      </c>
      <c r="J2499">
        <v>0</v>
      </c>
      <c r="K2499">
        <v>0</v>
      </c>
      <c r="L2499">
        <v>0</v>
      </c>
    </row>
    <row r="2500" spans="1:12">
      <c r="A2500" t="str">
        <f>HYPERLINK("http://bombeiros.sp.gov.br/hidrantes/03individual/17821.html","17821")</f>
        <v>17821</v>
      </c>
      <c r="B2500" t="str">
        <f>HYPERLINK("http://bombeiros.sp.gov.br/hidrantes/08bsg/qrcodeBSG.html?id=17821&amp;lat=-23.48336&amp;long=-46.66775&amp;tipo=S","QRCODE")</f>
        <v>QRCODE</v>
      </c>
      <c r="C2500" t="s">
        <v>5328</v>
      </c>
      <c r="D2500" t="s">
        <v>1969</v>
      </c>
      <c r="E2500" t="s">
        <v>159</v>
      </c>
      <c r="F2500" t="s">
        <v>21</v>
      </c>
      <c r="G2500" t="s">
        <v>237</v>
      </c>
      <c r="H2500">
        <v>0</v>
      </c>
      <c r="I2500">
        <v>2</v>
      </c>
      <c r="J2500">
        <v>0</v>
      </c>
      <c r="K2500">
        <v>0</v>
      </c>
      <c r="L2500">
        <v>0</v>
      </c>
    </row>
    <row r="2501" spans="1:12">
      <c r="A2501" t="str">
        <f>HYPERLINK("http://bombeiros.sp.gov.br/hidrantes/03individual/17882.html","17882")</f>
        <v>17882</v>
      </c>
      <c r="B2501" t="str">
        <f>HYPERLINK("http://bombeiros.sp.gov.br/hidrantes/08bsg/qrcodeBSG.html?id=17882&amp;lat=-23.48261&amp;long=-46.66514&amp;tipo=S","QRCODE")</f>
        <v>QRCODE</v>
      </c>
      <c r="C2501" t="s">
        <v>5328</v>
      </c>
      <c r="D2501" t="s">
        <v>1969</v>
      </c>
      <c r="E2501" t="s">
        <v>159</v>
      </c>
      <c r="F2501" t="s">
        <v>21</v>
      </c>
      <c r="G2501" t="s">
        <v>2918</v>
      </c>
      <c r="H2501">
        <v>0</v>
      </c>
      <c r="I2501">
        <v>2</v>
      </c>
      <c r="J2501">
        <v>0</v>
      </c>
      <c r="K2501">
        <v>0</v>
      </c>
      <c r="L2501">
        <v>0</v>
      </c>
    </row>
    <row r="2502" spans="1:12">
      <c r="A2502" t="str">
        <f>HYPERLINK("http://bombeiros.sp.gov.br/hidrantes/03individual/27110.html","27110")</f>
        <v>27110</v>
      </c>
      <c r="B2502" t="str">
        <f>HYPERLINK("http://bombeiros.sp.gov.br/hidrantes/08bsg/qrcodeBSG.html?id=27110&amp;lat=-23.50177&amp;long=-46.67135&amp;tipo=S","QRCODE")</f>
        <v>QRCODE</v>
      </c>
      <c r="C2502" t="s">
        <v>5328</v>
      </c>
      <c r="D2502" t="s">
        <v>1969</v>
      </c>
      <c r="E2502" t="s">
        <v>159</v>
      </c>
      <c r="F2502" t="s">
        <v>21</v>
      </c>
      <c r="G2502" t="s">
        <v>1486</v>
      </c>
      <c r="H2502">
        <v>0</v>
      </c>
      <c r="I2502">
        <v>0</v>
      </c>
      <c r="J2502">
        <v>0</v>
      </c>
      <c r="K2502">
        <v>0</v>
      </c>
      <c r="L2502">
        <v>0</v>
      </c>
    </row>
    <row r="2503" spans="1:12">
      <c r="A2503" t="str">
        <f>HYPERLINK("http://bombeiros.sp.gov.br/hidrantes/03individual/3510.html","3510")</f>
        <v>3510</v>
      </c>
      <c r="B2503" t="str">
        <f>HYPERLINK("http://bombeiros.sp.gov.br/hidrantes/08bsg/qrcodeBSG.html?id=3510&amp;lat=-23.46104&amp;long=-46.63953&amp;tipo=C","QRCODE")</f>
        <v>QRCODE</v>
      </c>
      <c r="C2503" t="s">
        <v>5328</v>
      </c>
      <c r="D2503" t="s">
        <v>70</v>
      </c>
      <c r="E2503" t="s">
        <v>2365</v>
      </c>
      <c r="F2503" t="s">
        <v>12</v>
      </c>
      <c r="G2503" t="s">
        <v>2364</v>
      </c>
      <c r="H2503">
        <v>0</v>
      </c>
      <c r="I2503">
        <v>2</v>
      </c>
      <c r="J2503">
        <v>0</v>
      </c>
      <c r="K2503">
        <v>0</v>
      </c>
      <c r="L2503">
        <v>0</v>
      </c>
    </row>
    <row r="2504" spans="1:12">
      <c r="A2504" t="str">
        <f>HYPERLINK("http://bombeiros.sp.gov.br/hidrantes/03individual/3512.html","3512")</f>
        <v>3512</v>
      </c>
      <c r="B2504" t="str">
        <f>HYPERLINK("http://bombeiros.sp.gov.br/hidrantes/08bsg/qrcodeBSG.html?id=3512&amp;lat=-23.46017&amp;long=-46.64291&amp;tipo=C","QRCODE")</f>
        <v>QRCODE</v>
      </c>
      <c r="C2504" t="s">
        <v>5328</v>
      </c>
      <c r="D2504" t="s">
        <v>70</v>
      </c>
      <c r="E2504" t="s">
        <v>2365</v>
      </c>
      <c r="F2504" t="s">
        <v>12</v>
      </c>
      <c r="G2504" t="s">
        <v>3228</v>
      </c>
      <c r="H2504">
        <v>0</v>
      </c>
      <c r="I2504">
        <v>2</v>
      </c>
      <c r="J2504">
        <v>0</v>
      </c>
      <c r="K2504">
        <v>0</v>
      </c>
      <c r="L2504">
        <v>0</v>
      </c>
    </row>
    <row r="2505" spans="1:12">
      <c r="A2505" t="str">
        <f>HYPERLINK("http://bombeiros.sp.gov.br/hidrantes/03individual/3726.html","3726")</f>
        <v>3726</v>
      </c>
      <c r="B2505" t="str">
        <f>HYPERLINK("http://bombeiros.sp.gov.br/hidrantes/08bsg/qrcodeBSG.html?id=3726&amp;lat=-23.45940&amp;long=-46.63324&amp;tipo=S","QRCODE")</f>
        <v>QRCODE</v>
      </c>
      <c r="C2505" t="s">
        <v>5328</v>
      </c>
      <c r="D2505" t="s">
        <v>70</v>
      </c>
      <c r="E2505" t="s">
        <v>2365</v>
      </c>
      <c r="F2505" t="s">
        <v>21</v>
      </c>
      <c r="G2505" t="s">
        <v>3319</v>
      </c>
      <c r="H2505">
        <v>1</v>
      </c>
      <c r="I2505">
        <v>1</v>
      </c>
      <c r="J2505">
        <v>0</v>
      </c>
      <c r="K2505">
        <v>0</v>
      </c>
      <c r="L2505">
        <v>0</v>
      </c>
    </row>
    <row r="2506" spans="1:12">
      <c r="A2506" t="str">
        <f>HYPERLINK("http://bombeiros.sp.gov.br/hidrantes/03individual/3579.html","3579")</f>
        <v>3579</v>
      </c>
      <c r="B2506" t="str">
        <f>HYPERLINK("http://bombeiros.sp.gov.br/hidrantes/08bsg/qrcodeBSG.html?id=3579&amp;lat=-23.48279&amp;long=-46.63080&amp;tipo=C","QRCODE")</f>
        <v>QRCODE</v>
      </c>
      <c r="C2506" t="s">
        <v>5328</v>
      </c>
      <c r="D2506" t="s">
        <v>70</v>
      </c>
      <c r="E2506" t="s">
        <v>70</v>
      </c>
      <c r="F2506" t="s">
        <v>12</v>
      </c>
      <c r="G2506" t="s">
        <v>2956</v>
      </c>
      <c r="H2506">
        <v>0</v>
      </c>
      <c r="I2506">
        <v>2</v>
      </c>
      <c r="J2506">
        <v>0</v>
      </c>
      <c r="K2506">
        <v>0</v>
      </c>
      <c r="L2506">
        <v>0</v>
      </c>
    </row>
    <row r="2507" spans="1:12">
      <c r="A2507" t="str">
        <f>HYPERLINK("http://bombeiros.sp.gov.br/hidrantes/03individual/3607.html","3607")</f>
        <v>3607</v>
      </c>
      <c r="B2507" t="str">
        <f>HYPERLINK("http://bombeiros.sp.gov.br/hidrantes/08bsg/qrcodeBSG.html?id=3607&amp;lat=-23.47564&amp;long=-46.64805&amp;tipo=C","QRCODE")</f>
        <v>QRCODE</v>
      </c>
      <c r="C2507" t="s">
        <v>5328</v>
      </c>
      <c r="D2507" t="s">
        <v>70</v>
      </c>
      <c r="E2507" t="s">
        <v>70</v>
      </c>
      <c r="F2507" t="s">
        <v>12</v>
      </c>
      <c r="G2507" t="s">
        <v>69</v>
      </c>
      <c r="H2507">
        <v>0</v>
      </c>
      <c r="I2507">
        <v>2</v>
      </c>
      <c r="J2507">
        <v>0</v>
      </c>
      <c r="K2507">
        <v>0</v>
      </c>
      <c r="L2507">
        <v>0</v>
      </c>
    </row>
    <row r="2508" spans="1:12">
      <c r="A2508" t="str">
        <f>HYPERLINK("http://bombeiros.sp.gov.br/hidrantes/03individual/3629.html","3629")</f>
        <v>3629</v>
      </c>
      <c r="B2508" t="str">
        <f>HYPERLINK("http://bombeiros.sp.gov.br/hidrantes/08bsg/qrcodeBSG.html?id=3629&amp;lat=-23.46664&amp;long=-46.63886&amp;tipo=C","QRCODE")</f>
        <v>QRCODE</v>
      </c>
      <c r="C2508" t="s">
        <v>5328</v>
      </c>
      <c r="D2508" t="s">
        <v>70</v>
      </c>
      <c r="E2508" t="s">
        <v>70</v>
      </c>
      <c r="F2508" t="s">
        <v>12</v>
      </c>
      <c r="G2508" t="s">
        <v>2359</v>
      </c>
      <c r="H2508">
        <v>0</v>
      </c>
      <c r="I2508">
        <v>2</v>
      </c>
      <c r="J2508">
        <v>0</v>
      </c>
      <c r="K2508">
        <v>0</v>
      </c>
      <c r="L2508">
        <v>0</v>
      </c>
    </row>
    <row r="2509" spans="1:12">
      <c r="A2509" t="str">
        <f>HYPERLINK("http://bombeiros.sp.gov.br/hidrantes/03individual/5560.html","5560")</f>
        <v>5560</v>
      </c>
      <c r="B2509" t="str">
        <f>HYPERLINK("http://bombeiros.sp.gov.br/hidrantes/08bsg/qrcodeBSG.html?id=5560&amp;lat=-23.46860&amp;long=-46.63704&amp;tipo=C","QRCODE")</f>
        <v>QRCODE</v>
      </c>
      <c r="C2509" t="s">
        <v>5328</v>
      </c>
      <c r="D2509" t="s">
        <v>70</v>
      </c>
      <c r="E2509" t="s">
        <v>70</v>
      </c>
      <c r="F2509" t="s">
        <v>12</v>
      </c>
      <c r="G2509" t="s">
        <v>5124</v>
      </c>
      <c r="H2509">
        <v>0</v>
      </c>
      <c r="I2509">
        <v>1</v>
      </c>
      <c r="J2509">
        <v>0</v>
      </c>
      <c r="K2509">
        <v>0</v>
      </c>
      <c r="L2509">
        <v>0</v>
      </c>
    </row>
    <row r="2510" spans="1:12">
      <c r="A2510" t="str">
        <f>HYPERLINK("http://bombeiros.sp.gov.br/hidrantes/03individual/5561.html","5561")</f>
        <v>5561</v>
      </c>
      <c r="B2510" t="str">
        <f>HYPERLINK("http://bombeiros.sp.gov.br/hidrantes/08bsg/qrcodeBSG.html?id=5561&amp;lat=-23.46914&amp;long=-46.63745&amp;tipo=C","QRCODE")</f>
        <v>QRCODE</v>
      </c>
      <c r="C2510" t="s">
        <v>5328</v>
      </c>
      <c r="D2510" t="s">
        <v>70</v>
      </c>
      <c r="E2510" t="s">
        <v>70</v>
      </c>
      <c r="F2510" t="s">
        <v>12</v>
      </c>
      <c r="G2510" t="s">
        <v>2358</v>
      </c>
      <c r="H2510">
        <v>0</v>
      </c>
      <c r="I2510">
        <v>3</v>
      </c>
      <c r="J2510">
        <v>0</v>
      </c>
      <c r="K2510">
        <v>0</v>
      </c>
      <c r="L2510">
        <v>0</v>
      </c>
    </row>
    <row r="2511" spans="1:12">
      <c r="A2511" t="str">
        <f>HYPERLINK("http://bombeiros.sp.gov.br/hidrantes/03individual/1004.html","1004")</f>
        <v>1004</v>
      </c>
      <c r="B2511" t="str">
        <f>HYPERLINK("http://bombeiros.sp.gov.br/hidrantes/08bsg/qrcodeBSG.html?id=1004&amp;lat=-23.47496&amp;long=-46.61928&amp;tipo=S","QRCODE")</f>
        <v>QRCODE</v>
      </c>
      <c r="C2511" t="s">
        <v>5328</v>
      </c>
      <c r="D2511" t="s">
        <v>70</v>
      </c>
      <c r="E2511" t="s">
        <v>70</v>
      </c>
      <c r="F2511" t="s">
        <v>21</v>
      </c>
      <c r="G2511" t="s">
        <v>3564</v>
      </c>
      <c r="H2511">
        <v>1</v>
      </c>
      <c r="I2511">
        <v>1</v>
      </c>
      <c r="J2511">
        <v>0</v>
      </c>
      <c r="K2511">
        <v>0</v>
      </c>
      <c r="L2511">
        <v>0</v>
      </c>
    </row>
    <row r="2512" spans="1:12">
      <c r="A2512" t="str">
        <f>HYPERLINK("http://bombeiros.sp.gov.br/hidrantes/03individual/1007.html","1007")</f>
        <v>1007</v>
      </c>
      <c r="B2512" t="str">
        <f>HYPERLINK("http://bombeiros.sp.gov.br/hidrantes/08bsg/qrcodeBSG.html?id=1007&amp;lat=-23.47870&amp;long=-46.65060&amp;tipo=S","QRCODE")</f>
        <v>QRCODE</v>
      </c>
      <c r="C2512" t="s">
        <v>5328</v>
      </c>
      <c r="D2512" t="s">
        <v>70</v>
      </c>
      <c r="E2512" t="s">
        <v>70</v>
      </c>
      <c r="F2512" t="s">
        <v>21</v>
      </c>
      <c r="G2512" t="s">
        <v>3278</v>
      </c>
      <c r="H2512">
        <v>0</v>
      </c>
      <c r="I2512">
        <v>2</v>
      </c>
      <c r="J2512">
        <v>0</v>
      </c>
      <c r="K2512">
        <v>0</v>
      </c>
      <c r="L2512">
        <v>0</v>
      </c>
    </row>
    <row r="2513" spans="1:12">
      <c r="A2513" t="str">
        <f>HYPERLINK("http://bombeiros.sp.gov.br/hidrantes/03individual/1009.html","1009")</f>
        <v>1009</v>
      </c>
      <c r="B2513" t="str">
        <f>HYPERLINK("http://bombeiros.sp.gov.br/hidrantes/08bsg/qrcodeBSG.html?id=1009&amp;lat=-23.48116&amp;long=-46.64002&amp;tipo=S","QRCODE")</f>
        <v>QRCODE</v>
      </c>
      <c r="C2513" t="s">
        <v>5328</v>
      </c>
      <c r="D2513" t="s">
        <v>70</v>
      </c>
      <c r="E2513" t="s">
        <v>70</v>
      </c>
      <c r="F2513" t="s">
        <v>21</v>
      </c>
      <c r="G2513" t="s">
        <v>3281</v>
      </c>
      <c r="H2513">
        <v>0</v>
      </c>
      <c r="I2513">
        <v>2</v>
      </c>
      <c r="J2513">
        <v>0</v>
      </c>
      <c r="K2513">
        <v>0</v>
      </c>
      <c r="L2513">
        <v>0</v>
      </c>
    </row>
    <row r="2514" spans="1:12">
      <c r="A2514" t="str">
        <f>HYPERLINK("http://bombeiros.sp.gov.br/hidrantes/03individual/1012.html","1012")</f>
        <v>1012</v>
      </c>
      <c r="B2514" t="str">
        <f>HYPERLINK("http://bombeiros.sp.gov.br/hidrantes/08bsg/qrcodeBSG.html?id=1012&amp;lat=-23.47627&amp;long=-46.64890&amp;tipo=S","QRCODE")</f>
        <v>QRCODE</v>
      </c>
      <c r="C2514" t="s">
        <v>5328</v>
      </c>
      <c r="D2514" t="s">
        <v>70</v>
      </c>
      <c r="E2514" t="s">
        <v>70</v>
      </c>
      <c r="F2514" t="s">
        <v>21</v>
      </c>
      <c r="G2514" t="s">
        <v>3277</v>
      </c>
      <c r="H2514">
        <v>0</v>
      </c>
      <c r="I2514">
        <v>2</v>
      </c>
      <c r="J2514">
        <v>0</v>
      </c>
      <c r="K2514">
        <v>0</v>
      </c>
      <c r="L2514">
        <v>0</v>
      </c>
    </row>
    <row r="2515" spans="1:12">
      <c r="A2515" t="str">
        <f>HYPERLINK("http://bombeiros.sp.gov.br/hidrantes/03individual/1055.html","1055")</f>
        <v>1055</v>
      </c>
      <c r="B2515" t="str">
        <f>HYPERLINK("http://bombeiros.sp.gov.br/hidrantes/08bsg/qrcodeBSG.html?id=1055&amp;lat=-23.47575&amp;long=-46.63841&amp;tipo=S","QRCODE")</f>
        <v>QRCODE</v>
      </c>
      <c r="C2515" t="s">
        <v>5328</v>
      </c>
      <c r="D2515" t="s">
        <v>70</v>
      </c>
      <c r="E2515" t="s">
        <v>70</v>
      </c>
      <c r="F2515" t="s">
        <v>21</v>
      </c>
      <c r="G2515" t="s">
        <v>3282</v>
      </c>
      <c r="H2515">
        <v>0</v>
      </c>
      <c r="I2515">
        <v>2</v>
      </c>
      <c r="J2515">
        <v>0</v>
      </c>
      <c r="K2515">
        <v>0</v>
      </c>
      <c r="L2515">
        <v>0</v>
      </c>
    </row>
    <row r="2516" spans="1:12">
      <c r="A2516" t="str">
        <f>HYPERLINK("http://bombeiros.sp.gov.br/hidrantes/03individual/1056.html","1056")</f>
        <v>1056</v>
      </c>
      <c r="B2516" t="str">
        <f>HYPERLINK("http://bombeiros.sp.gov.br/hidrantes/08bsg/qrcodeBSG.html?id=1056&amp;lat=-23.47406&amp;long=-46.64721&amp;tipo=S","QRCODE")</f>
        <v>QRCODE</v>
      </c>
      <c r="C2516" t="s">
        <v>5328</v>
      </c>
      <c r="D2516" t="s">
        <v>70</v>
      </c>
      <c r="E2516" t="s">
        <v>70</v>
      </c>
      <c r="F2516" t="s">
        <v>21</v>
      </c>
      <c r="G2516" t="s">
        <v>3283</v>
      </c>
      <c r="H2516">
        <v>0</v>
      </c>
      <c r="I2516">
        <v>2</v>
      </c>
      <c r="J2516">
        <v>0</v>
      </c>
      <c r="K2516">
        <v>0</v>
      </c>
      <c r="L2516">
        <v>0</v>
      </c>
    </row>
    <row r="2517" spans="1:12">
      <c r="A2517" t="str">
        <f>HYPERLINK("http://bombeiros.sp.gov.br/hidrantes/03individual/1058.html","1058")</f>
        <v>1058</v>
      </c>
      <c r="B2517" t="str">
        <f>HYPERLINK("http://bombeiros.sp.gov.br/hidrantes/08bsg/qrcodeBSG.html?id=1058&amp;lat=-23.47398&amp;long=-46.62319&amp;tipo=S","QRCODE")</f>
        <v>QRCODE</v>
      </c>
      <c r="C2517" t="s">
        <v>5328</v>
      </c>
      <c r="D2517" t="s">
        <v>70</v>
      </c>
      <c r="E2517" t="s">
        <v>70</v>
      </c>
      <c r="F2517" t="s">
        <v>21</v>
      </c>
      <c r="G2517" t="s">
        <v>3260</v>
      </c>
      <c r="H2517">
        <v>0</v>
      </c>
      <c r="I2517">
        <v>2</v>
      </c>
      <c r="J2517">
        <v>0</v>
      </c>
      <c r="K2517">
        <v>0</v>
      </c>
      <c r="L2517">
        <v>0</v>
      </c>
    </row>
    <row r="2518" spans="1:12">
      <c r="A2518" t="str">
        <f>HYPERLINK("http://bombeiros.sp.gov.br/hidrantes/03individual/1140.html","1140")</f>
        <v>1140</v>
      </c>
      <c r="B2518" t="str">
        <f>HYPERLINK("http://bombeiros.sp.gov.br/hidrantes/08bsg/qrcodeBSG.html?id=1140&amp;lat=-23.47887&amp;long=-46.62595&amp;tipo=S","QRCODE")</f>
        <v>QRCODE</v>
      </c>
      <c r="C2518" t="s">
        <v>5328</v>
      </c>
      <c r="D2518" t="s">
        <v>70</v>
      </c>
      <c r="E2518" t="s">
        <v>70</v>
      </c>
      <c r="F2518" t="s">
        <v>21</v>
      </c>
      <c r="G2518" t="s">
        <v>3253</v>
      </c>
      <c r="H2518">
        <v>0</v>
      </c>
      <c r="I2518">
        <v>2</v>
      </c>
      <c r="J2518">
        <v>0</v>
      </c>
      <c r="K2518">
        <v>0</v>
      </c>
      <c r="L2518">
        <v>0</v>
      </c>
    </row>
    <row r="2519" spans="1:12">
      <c r="A2519" t="str">
        <f>HYPERLINK("http://bombeiros.sp.gov.br/hidrantes/03individual/1191.html","1191")</f>
        <v>1191</v>
      </c>
      <c r="B2519" t="str">
        <f>HYPERLINK("http://bombeiros.sp.gov.br/hidrantes/08bsg/qrcodeBSG.html?id=1191&amp;lat=-23.46528&amp;long=-46.63396&amp;tipo=S","QRCODE")</f>
        <v>QRCODE</v>
      </c>
      <c r="C2519" t="s">
        <v>5328</v>
      </c>
      <c r="D2519" t="s">
        <v>70</v>
      </c>
      <c r="E2519" t="s">
        <v>70</v>
      </c>
      <c r="F2519" t="s">
        <v>21</v>
      </c>
      <c r="G2519" t="s">
        <v>3291</v>
      </c>
      <c r="H2519">
        <v>1</v>
      </c>
      <c r="I2519">
        <v>1</v>
      </c>
      <c r="J2519">
        <v>0</v>
      </c>
      <c r="K2519">
        <v>0</v>
      </c>
      <c r="L2519">
        <v>0</v>
      </c>
    </row>
    <row r="2520" spans="1:12">
      <c r="A2520" t="str">
        <f>HYPERLINK("http://bombeiros.sp.gov.br/hidrantes/03individual/1224.html","1224")</f>
        <v>1224</v>
      </c>
      <c r="B2520" t="str">
        <f>HYPERLINK("http://bombeiros.sp.gov.br/hidrantes/08bsg/qrcodeBSG.html?id=1224&amp;lat=-23.47451&amp;long=-46.64282&amp;tipo=S","QRCODE")</f>
        <v>QRCODE</v>
      </c>
      <c r="C2520" t="s">
        <v>5328</v>
      </c>
      <c r="D2520" t="s">
        <v>70</v>
      </c>
      <c r="E2520" t="s">
        <v>70</v>
      </c>
      <c r="F2520" t="s">
        <v>21</v>
      </c>
      <c r="G2520" t="s">
        <v>1788</v>
      </c>
      <c r="H2520">
        <v>0</v>
      </c>
      <c r="I2520">
        <v>2</v>
      </c>
      <c r="J2520">
        <v>0</v>
      </c>
      <c r="K2520">
        <v>0</v>
      </c>
      <c r="L2520">
        <v>0</v>
      </c>
    </row>
    <row r="2521" spans="1:12">
      <c r="A2521" t="str">
        <f>HYPERLINK("http://bombeiros.sp.gov.br/hidrantes/03individual/1229.html","1229")</f>
        <v>1229</v>
      </c>
      <c r="B2521" t="str">
        <f>HYPERLINK("http://bombeiros.sp.gov.br/hidrantes/08bsg/qrcodeBSG.html?id=1229&amp;lat=-23.47320&amp;long=-46.63231&amp;tipo=S","QRCODE")</f>
        <v>QRCODE</v>
      </c>
      <c r="C2521" t="s">
        <v>5328</v>
      </c>
      <c r="D2521" t="s">
        <v>70</v>
      </c>
      <c r="E2521" t="s">
        <v>70</v>
      </c>
      <c r="F2521" t="s">
        <v>21</v>
      </c>
      <c r="G2521" t="s">
        <v>3238</v>
      </c>
      <c r="H2521">
        <v>0</v>
      </c>
      <c r="I2521">
        <v>2</v>
      </c>
      <c r="J2521">
        <v>0</v>
      </c>
      <c r="K2521">
        <v>0</v>
      </c>
      <c r="L2521">
        <v>0</v>
      </c>
    </row>
    <row r="2522" spans="1:12">
      <c r="A2522" t="str">
        <f>HYPERLINK("http://bombeiros.sp.gov.br/hidrantes/03individual/1270.html","1270")</f>
        <v>1270</v>
      </c>
      <c r="B2522" t="str">
        <f>HYPERLINK("http://bombeiros.sp.gov.br/hidrantes/08bsg/qrcodeBSG.html?id=1270&amp;lat=-23.48219&amp;long=-46.65310&amp;tipo=S","QRCODE")</f>
        <v>QRCODE</v>
      </c>
      <c r="C2522" t="s">
        <v>5328</v>
      </c>
      <c r="D2522" t="s">
        <v>70</v>
      </c>
      <c r="E2522" t="s">
        <v>70</v>
      </c>
      <c r="F2522" t="s">
        <v>21</v>
      </c>
      <c r="G2522" t="s">
        <v>1784</v>
      </c>
      <c r="H2522">
        <v>0</v>
      </c>
      <c r="I2522">
        <v>2</v>
      </c>
      <c r="J2522">
        <v>0</v>
      </c>
      <c r="K2522">
        <v>0</v>
      </c>
      <c r="L2522">
        <v>0</v>
      </c>
    </row>
    <row r="2523" spans="1:12">
      <c r="A2523" t="str">
        <f>HYPERLINK("http://bombeiros.sp.gov.br/hidrantes/03individual/1277.html","1277")</f>
        <v>1277</v>
      </c>
      <c r="B2523" t="str">
        <f>HYPERLINK("http://bombeiros.sp.gov.br/hidrantes/08bsg/qrcodeBSG.html?id=1277&amp;lat=-23.46947&amp;long=-46.62956&amp;tipo=S","QRCODE")</f>
        <v>QRCODE</v>
      </c>
      <c r="C2523" t="s">
        <v>5328</v>
      </c>
      <c r="D2523" t="s">
        <v>70</v>
      </c>
      <c r="E2523" t="s">
        <v>70</v>
      </c>
      <c r="F2523" t="s">
        <v>21</v>
      </c>
      <c r="G2523" t="s">
        <v>1785</v>
      </c>
      <c r="H2523">
        <v>0</v>
      </c>
      <c r="I2523">
        <v>2</v>
      </c>
      <c r="J2523">
        <v>0</v>
      </c>
      <c r="K2523">
        <v>0</v>
      </c>
      <c r="L2523">
        <v>0</v>
      </c>
    </row>
    <row r="2524" spans="1:12">
      <c r="A2524" t="str">
        <f>HYPERLINK("http://bombeiros.sp.gov.br/hidrantes/03individual/1278.html","1278")</f>
        <v>1278</v>
      </c>
      <c r="B2524" t="str">
        <f>HYPERLINK("http://bombeiros.sp.gov.br/hidrantes/08bsg/qrcodeBSG.html?id=1278&amp;lat=-23.47019&amp;long=-46.62806&amp;tipo=S","QRCODE")</f>
        <v>QRCODE</v>
      </c>
      <c r="C2524" t="s">
        <v>5328</v>
      </c>
      <c r="D2524" t="s">
        <v>70</v>
      </c>
      <c r="E2524" t="s">
        <v>70</v>
      </c>
      <c r="F2524" t="s">
        <v>21</v>
      </c>
      <c r="G2524" t="s">
        <v>2377</v>
      </c>
      <c r="H2524">
        <v>0</v>
      </c>
      <c r="I2524">
        <v>2</v>
      </c>
      <c r="J2524">
        <v>0</v>
      </c>
      <c r="K2524">
        <v>0</v>
      </c>
      <c r="L2524">
        <v>0</v>
      </c>
    </row>
    <row r="2525" spans="1:12">
      <c r="A2525" t="str">
        <f>HYPERLINK("http://bombeiros.sp.gov.br/hidrantes/03individual/1283.html","1283")</f>
        <v>1283</v>
      </c>
      <c r="B2525" t="str">
        <f>HYPERLINK("http://bombeiros.sp.gov.br/hidrantes/08bsg/qrcodeBSG.html?id=1283&amp;lat=-23.47510&amp;long=-46.62063&amp;tipo=S","QRCODE")</f>
        <v>QRCODE</v>
      </c>
      <c r="C2525" t="s">
        <v>5328</v>
      </c>
      <c r="D2525" t="s">
        <v>70</v>
      </c>
      <c r="E2525" t="s">
        <v>70</v>
      </c>
      <c r="F2525" t="s">
        <v>21</v>
      </c>
      <c r="G2525" t="s">
        <v>3241</v>
      </c>
      <c r="H2525">
        <v>0</v>
      </c>
      <c r="I2525">
        <v>2</v>
      </c>
      <c r="J2525">
        <v>0</v>
      </c>
      <c r="K2525">
        <v>0</v>
      </c>
      <c r="L2525">
        <v>0</v>
      </c>
    </row>
    <row r="2526" spans="1:12">
      <c r="A2526" t="str">
        <f>HYPERLINK("http://bombeiros.sp.gov.br/hidrantes/03individual/1285.html","1285")</f>
        <v>1285</v>
      </c>
      <c r="B2526" t="str">
        <f>HYPERLINK("http://bombeiros.sp.gov.br/hidrantes/08bsg/qrcodeBSG.html?id=1285&amp;lat=-23.47403&amp;long=-46.63650&amp;tipo=S","QRCODE")</f>
        <v>QRCODE</v>
      </c>
      <c r="C2526" t="s">
        <v>5328</v>
      </c>
      <c r="D2526" t="s">
        <v>70</v>
      </c>
      <c r="E2526" t="s">
        <v>70</v>
      </c>
      <c r="F2526" t="s">
        <v>21</v>
      </c>
      <c r="G2526" t="s">
        <v>3295</v>
      </c>
      <c r="H2526">
        <v>0</v>
      </c>
      <c r="I2526">
        <v>2</v>
      </c>
      <c r="J2526">
        <v>0</v>
      </c>
      <c r="K2526">
        <v>0</v>
      </c>
      <c r="L2526">
        <v>0</v>
      </c>
    </row>
    <row r="2527" spans="1:12">
      <c r="A2527" t="str">
        <f>HYPERLINK("http://bombeiros.sp.gov.br/hidrantes/03individual/1310.html","1310")</f>
        <v>1310</v>
      </c>
      <c r="B2527" t="str">
        <f>HYPERLINK("http://bombeiros.sp.gov.br/hidrantes/08bsg/qrcodeBSG.html?id=1310&amp;lat=-23.48156&amp;long=-46.65369&amp;tipo=S","QRCODE")</f>
        <v>QRCODE</v>
      </c>
      <c r="C2527" t="s">
        <v>5328</v>
      </c>
      <c r="D2527" t="s">
        <v>70</v>
      </c>
      <c r="E2527" t="s">
        <v>70</v>
      </c>
      <c r="F2527" t="s">
        <v>21</v>
      </c>
      <c r="G2527" t="s">
        <v>2962</v>
      </c>
      <c r="H2527">
        <v>0</v>
      </c>
      <c r="I2527">
        <v>2</v>
      </c>
      <c r="J2527">
        <v>0</v>
      </c>
      <c r="K2527">
        <v>0</v>
      </c>
      <c r="L2527">
        <v>0</v>
      </c>
    </row>
    <row r="2528" spans="1:12">
      <c r="A2528" t="str">
        <f>HYPERLINK("http://bombeiros.sp.gov.br/hidrantes/03individual/1317.html","1317")</f>
        <v>1317</v>
      </c>
      <c r="B2528" t="str">
        <f>HYPERLINK("http://bombeiros.sp.gov.br/hidrantes/08bsg/qrcodeBSG.html?id=1317&amp;lat=-23.46985&amp;long=-46.62924&amp;tipo=S","QRCODE")</f>
        <v>QRCODE</v>
      </c>
      <c r="C2528" t="s">
        <v>5328</v>
      </c>
      <c r="D2528" t="s">
        <v>70</v>
      </c>
      <c r="E2528" t="s">
        <v>70</v>
      </c>
      <c r="F2528" t="s">
        <v>21</v>
      </c>
      <c r="G2528" t="s">
        <v>2376</v>
      </c>
      <c r="H2528">
        <v>0</v>
      </c>
      <c r="I2528">
        <v>2</v>
      </c>
      <c r="J2528">
        <v>0</v>
      </c>
      <c r="K2528">
        <v>0</v>
      </c>
      <c r="L2528">
        <v>0</v>
      </c>
    </row>
    <row r="2529" spans="1:12">
      <c r="A2529" t="str">
        <f>HYPERLINK("http://bombeiros.sp.gov.br/hidrantes/03individual/3899.html","3899")</f>
        <v>3899</v>
      </c>
      <c r="B2529" t="str">
        <f>HYPERLINK("http://bombeiros.sp.gov.br/hidrantes/08bsg/qrcodeBSG.html?id=3899&amp;lat=-23.47123&amp;long=-46.65131&amp;tipo=S","QRCODE")</f>
        <v>QRCODE</v>
      </c>
      <c r="C2529" t="s">
        <v>5328</v>
      </c>
      <c r="D2529" t="s">
        <v>70</v>
      </c>
      <c r="E2529" t="s">
        <v>70</v>
      </c>
      <c r="F2529" t="s">
        <v>21</v>
      </c>
      <c r="G2529" t="s">
        <v>76</v>
      </c>
      <c r="H2529">
        <v>0</v>
      </c>
      <c r="I2529">
        <v>2</v>
      </c>
      <c r="J2529">
        <v>0</v>
      </c>
      <c r="K2529">
        <v>0</v>
      </c>
      <c r="L2529">
        <v>0</v>
      </c>
    </row>
    <row r="2530" spans="1:12">
      <c r="A2530" t="str">
        <f>HYPERLINK("http://bombeiros.sp.gov.br/hidrantes/03individual/3947.html","3947")</f>
        <v>3947</v>
      </c>
      <c r="B2530" t="str">
        <f>HYPERLINK("http://bombeiros.sp.gov.br/hidrantes/08bsg/qrcodeBSG.html?id=3947&amp;lat=-23.48614&amp;long=-46.64024&amp;tipo=S","QRCODE")</f>
        <v>QRCODE</v>
      </c>
      <c r="C2530" t="s">
        <v>5328</v>
      </c>
      <c r="D2530" t="s">
        <v>70</v>
      </c>
      <c r="E2530" t="s">
        <v>70</v>
      </c>
      <c r="F2530" t="s">
        <v>21</v>
      </c>
      <c r="G2530" t="s">
        <v>3858</v>
      </c>
      <c r="H2530">
        <v>0</v>
      </c>
      <c r="I2530">
        <v>1</v>
      </c>
      <c r="J2530">
        <v>0</v>
      </c>
      <c r="K2530">
        <v>0</v>
      </c>
      <c r="L2530">
        <v>0</v>
      </c>
    </row>
    <row r="2531" spans="1:12">
      <c r="A2531" t="str">
        <f>HYPERLINK("http://bombeiros.sp.gov.br/hidrantes/03individual/3953.html","3953")</f>
        <v>3953</v>
      </c>
      <c r="B2531" t="str">
        <f>HYPERLINK("http://bombeiros.sp.gov.br/hidrantes/08bsg/qrcodeBSG.html?id=3953&amp;lat=-23.47859&amp;long=-46.63984&amp;tipo=S","QRCODE")</f>
        <v>QRCODE</v>
      </c>
      <c r="C2531" t="s">
        <v>5328</v>
      </c>
      <c r="D2531" t="s">
        <v>70</v>
      </c>
      <c r="E2531" t="s">
        <v>70</v>
      </c>
      <c r="F2531" t="s">
        <v>21</v>
      </c>
      <c r="G2531" t="s">
        <v>3326</v>
      </c>
      <c r="H2531">
        <v>0</v>
      </c>
      <c r="I2531">
        <v>2</v>
      </c>
      <c r="J2531">
        <v>0</v>
      </c>
      <c r="K2531">
        <v>0</v>
      </c>
      <c r="L2531">
        <v>0</v>
      </c>
    </row>
    <row r="2532" spans="1:12">
      <c r="A2532" t="str">
        <f>HYPERLINK("http://bombeiros.sp.gov.br/hidrantes/03individual/17659.html","17659")</f>
        <v>17659</v>
      </c>
      <c r="B2532" t="str">
        <f>HYPERLINK("http://bombeiros.sp.gov.br/hidrantes/08bsg/qrcodeBSG.html?id=17659&amp;lat=-23.46946&amp;long=-46.64506&amp;tipo=S","QRCODE")</f>
        <v>QRCODE</v>
      </c>
      <c r="C2532" t="s">
        <v>5328</v>
      </c>
      <c r="D2532" t="s">
        <v>70</v>
      </c>
      <c r="E2532" t="s">
        <v>70</v>
      </c>
      <c r="F2532" t="s">
        <v>21</v>
      </c>
      <c r="G2532" t="s">
        <v>3344</v>
      </c>
      <c r="H2532">
        <v>0</v>
      </c>
      <c r="I2532">
        <v>2</v>
      </c>
      <c r="J2532">
        <v>0</v>
      </c>
      <c r="K2532">
        <v>0</v>
      </c>
      <c r="L2532">
        <v>0</v>
      </c>
    </row>
    <row r="2533" spans="1:12">
      <c r="A2533" t="str">
        <f>HYPERLINK("http://bombeiros.sp.gov.br/hidrantes/03individual/26783.html","26783")</f>
        <v>26783</v>
      </c>
      <c r="B2533" t="str">
        <f>HYPERLINK("http://bombeiros.sp.gov.br/hidrantes/08bsg/qrcodeBSG.html?id=26783&amp;lat=-23.46806&amp;long=-46.63851&amp;tipo=S","QRCODE")</f>
        <v>QRCODE</v>
      </c>
      <c r="C2533" t="s">
        <v>5328</v>
      </c>
      <c r="D2533" t="s">
        <v>70</v>
      </c>
      <c r="E2533" t="s">
        <v>70</v>
      </c>
      <c r="F2533" t="s">
        <v>21</v>
      </c>
      <c r="G2533" t="s">
        <v>3838</v>
      </c>
      <c r="H2533">
        <v>0</v>
      </c>
      <c r="I2533">
        <v>1</v>
      </c>
      <c r="J2533">
        <v>0</v>
      </c>
      <c r="K2533">
        <v>0</v>
      </c>
      <c r="L2533">
        <v>0</v>
      </c>
    </row>
    <row r="2534" spans="1:12">
      <c r="A2534" t="str">
        <f>HYPERLINK("http://bombeiros.sp.gov.br/hidrantes/03individual/27295.html","27295")</f>
        <v>27295</v>
      </c>
      <c r="B2534" t="str">
        <f>HYPERLINK("http://bombeiros.sp.gov.br/hidrantes/08bsg/qrcodeBSG.html?id=27295&amp;lat=-23.47948&amp;long=-46.64389&amp;tipo=S","QRCODE")</f>
        <v>QRCODE</v>
      </c>
      <c r="C2534" t="s">
        <v>5328</v>
      </c>
      <c r="D2534" t="s">
        <v>70</v>
      </c>
      <c r="E2534" t="s">
        <v>70</v>
      </c>
      <c r="F2534" t="s">
        <v>21</v>
      </c>
      <c r="G2534" t="s">
        <v>5345</v>
      </c>
      <c r="H2534">
        <v>0</v>
      </c>
      <c r="I2534">
        <v>0</v>
      </c>
      <c r="J2534">
        <v>0</v>
      </c>
      <c r="K2534">
        <v>0</v>
      </c>
      <c r="L2534">
        <v>0</v>
      </c>
    </row>
    <row r="2535" spans="1:12">
      <c r="A2535" t="str">
        <f>HYPERLINK("http://bombeiros.sp.gov.br/hidrantes/03individual/3945.html","3945")</f>
        <v>3945</v>
      </c>
      <c r="B2535" t="str">
        <f>HYPERLINK("http://bombeiros.sp.gov.br/hidrantes/08bsg/qrcodeBSG.html?id=3945&amp;lat=-23.40838&amp;long=-46.74216&amp;tipo=C","QRCODE")</f>
        <v>QRCODE</v>
      </c>
      <c r="C2535" t="s">
        <v>5328</v>
      </c>
      <c r="D2535" t="s">
        <v>1167</v>
      </c>
      <c r="E2535" t="s">
        <v>1167</v>
      </c>
      <c r="F2535" t="s">
        <v>12</v>
      </c>
      <c r="G2535" t="s">
        <v>1169</v>
      </c>
      <c r="H2535">
        <v>0</v>
      </c>
      <c r="I2535">
        <v>2</v>
      </c>
      <c r="J2535">
        <v>0</v>
      </c>
      <c r="K2535">
        <v>0</v>
      </c>
      <c r="L2535">
        <v>0</v>
      </c>
    </row>
    <row r="2536" spans="1:12">
      <c r="A2536" t="str">
        <f>HYPERLINK("http://bombeiros.sp.gov.br/hidrantes/03individual/3946.html","3946")</f>
        <v>3946</v>
      </c>
      <c r="B2536" t="str">
        <f>HYPERLINK("http://bombeiros.sp.gov.br/hidrantes/08bsg/qrcodeBSG.html?id=3946&amp;lat=-23.40649&amp;long=-46.73789&amp;tipo=C","QRCODE")</f>
        <v>QRCODE</v>
      </c>
      <c r="C2536" t="s">
        <v>5328</v>
      </c>
      <c r="D2536" t="s">
        <v>1167</v>
      </c>
      <c r="E2536" t="s">
        <v>1167</v>
      </c>
      <c r="F2536" t="s">
        <v>12</v>
      </c>
      <c r="G2536" t="s">
        <v>1170</v>
      </c>
      <c r="H2536">
        <v>0</v>
      </c>
      <c r="I2536">
        <v>2</v>
      </c>
      <c r="J2536">
        <v>0</v>
      </c>
      <c r="K2536">
        <v>0</v>
      </c>
      <c r="L2536">
        <v>0</v>
      </c>
    </row>
    <row r="2537" spans="1:12">
      <c r="A2537" t="str">
        <f>HYPERLINK("http://bombeiros.sp.gov.br/hidrantes/03individual/3950.html","3950")</f>
        <v>3950</v>
      </c>
      <c r="B2537" t="str">
        <f>HYPERLINK("http://bombeiros.sp.gov.br/hidrantes/08bsg/qrcodeBSG.html?id=3950&amp;lat=-23.40906&amp;long=-46.73581&amp;tipo=C","QRCODE")</f>
        <v>QRCODE</v>
      </c>
      <c r="C2537" t="s">
        <v>5328</v>
      </c>
      <c r="D2537" t="s">
        <v>1167</v>
      </c>
      <c r="E2537" t="s">
        <v>1167</v>
      </c>
      <c r="F2537" t="s">
        <v>12</v>
      </c>
      <c r="G2537" t="s">
        <v>1168</v>
      </c>
      <c r="H2537">
        <v>0</v>
      </c>
      <c r="I2537">
        <v>3</v>
      </c>
      <c r="J2537">
        <v>0</v>
      </c>
      <c r="K2537">
        <v>0</v>
      </c>
      <c r="L2537">
        <v>0</v>
      </c>
    </row>
    <row r="2538" spans="1:12">
      <c r="A2538" t="str">
        <f>HYPERLINK("http://bombeiros.sp.gov.br/hidrantes/03individual/15064.html","15064")</f>
        <v>15064</v>
      </c>
      <c r="B2538" t="str">
        <f>HYPERLINK("http://bombeiros.sp.gov.br/hidrantes/08bsg/qrcodeBSG.html?id=15064&amp;lat=-23.41717&amp;long=-46.75592&amp;tipo=C","QRCODE")</f>
        <v>QRCODE</v>
      </c>
      <c r="C2538" t="s">
        <v>5328</v>
      </c>
      <c r="D2538" t="s">
        <v>1167</v>
      </c>
      <c r="E2538" t="s">
        <v>1167</v>
      </c>
      <c r="F2538" t="s">
        <v>12</v>
      </c>
      <c r="G2538" t="s">
        <v>5235</v>
      </c>
      <c r="H2538">
        <v>1</v>
      </c>
      <c r="I2538">
        <v>0</v>
      </c>
      <c r="J2538">
        <v>0</v>
      </c>
      <c r="K2538">
        <v>0</v>
      </c>
      <c r="L2538">
        <v>0</v>
      </c>
    </row>
    <row r="2539" spans="1:12">
      <c r="A2539" t="str">
        <f>HYPERLINK("http://bombeiros.sp.gov.br/hidrantes/03individual/26300.html","26300")</f>
        <v>26300</v>
      </c>
      <c r="B2539" t="str">
        <f>HYPERLINK("http://bombeiros.sp.gov.br/hidrantes/08bsg/qrcodeBSG.html?id=26300&amp;lat=-23.41402&amp;long=-46.75604&amp;tipo=C","QRCODE")</f>
        <v>QRCODE</v>
      </c>
      <c r="C2539" t="s">
        <v>5328</v>
      </c>
      <c r="D2539" t="s">
        <v>1167</v>
      </c>
      <c r="E2539" t="s">
        <v>1167</v>
      </c>
      <c r="F2539" t="s">
        <v>12</v>
      </c>
      <c r="G2539" t="s">
        <v>4188</v>
      </c>
      <c r="H2539">
        <v>0</v>
      </c>
      <c r="I2539">
        <v>1</v>
      </c>
      <c r="J2539">
        <v>0</v>
      </c>
      <c r="K2539">
        <v>0</v>
      </c>
      <c r="L2539">
        <v>0</v>
      </c>
    </row>
    <row r="2540" spans="1:12">
      <c r="A2540" t="str">
        <f>HYPERLINK("http://bombeiros.sp.gov.br/hidrantes/03individual/26674.html","26674")</f>
        <v>26674</v>
      </c>
      <c r="B2540" t="str">
        <f>HYPERLINK("http://bombeiros.sp.gov.br/hidrantes/08bsg/qrcodeBSG.html?id=26674&amp;lat=-23.41288&amp;long=-46.75082&amp;tipo=C","QRCODE")</f>
        <v>QRCODE</v>
      </c>
      <c r="C2540" t="s">
        <v>5328</v>
      </c>
      <c r="D2540" t="s">
        <v>1167</v>
      </c>
      <c r="E2540" t="s">
        <v>1167</v>
      </c>
      <c r="F2540" t="s">
        <v>12</v>
      </c>
      <c r="G2540" t="s">
        <v>4187</v>
      </c>
      <c r="H2540">
        <v>0</v>
      </c>
      <c r="I2540">
        <v>1</v>
      </c>
      <c r="J2540">
        <v>0</v>
      </c>
      <c r="K2540">
        <v>0</v>
      </c>
      <c r="L2540">
        <v>0</v>
      </c>
    </row>
    <row r="2541" spans="1:12">
      <c r="A2541" t="str">
        <f>HYPERLINK("http://bombeiros.sp.gov.br/hidrantes/03individual/26899.html","26899")</f>
        <v>26899</v>
      </c>
      <c r="B2541" t="str">
        <f>HYPERLINK("http://bombeiros.sp.gov.br/hidrantes/08bsg/qrcodeBSG.html?id=26899&amp;lat=-23.41004&amp;long=-46.75040&amp;tipo=C","QRCODE")</f>
        <v>QRCODE</v>
      </c>
      <c r="C2541" t="s">
        <v>5328</v>
      </c>
      <c r="D2541" t="s">
        <v>1167</v>
      </c>
      <c r="E2541" t="s">
        <v>1167</v>
      </c>
      <c r="F2541" t="s">
        <v>12</v>
      </c>
      <c r="G2541" t="s">
        <v>3759</v>
      </c>
      <c r="H2541">
        <v>0</v>
      </c>
      <c r="I2541">
        <v>1</v>
      </c>
      <c r="J2541">
        <v>0</v>
      </c>
      <c r="K2541">
        <v>0</v>
      </c>
      <c r="L2541">
        <v>0</v>
      </c>
    </row>
    <row r="2542" spans="1:12">
      <c r="A2542" t="str">
        <f>HYPERLINK("http://bombeiros.sp.gov.br/hidrantes/03individual/1080.html","1080")</f>
        <v>1080</v>
      </c>
      <c r="B2542" t="str">
        <f>HYPERLINK("http://bombeiros.sp.gov.br/hidrantes/08bsg/qrcodeBSG.html?id=1080&amp;lat=-23.40631&amp;long=-46.75500&amp;tipo=S","QRCODE")</f>
        <v>QRCODE</v>
      </c>
      <c r="C2542" t="s">
        <v>5328</v>
      </c>
      <c r="D2542" t="s">
        <v>1167</v>
      </c>
      <c r="E2542" t="s">
        <v>1167</v>
      </c>
      <c r="F2542" t="s">
        <v>21</v>
      </c>
      <c r="G2542" t="s">
        <v>3468</v>
      </c>
      <c r="H2542">
        <v>0</v>
      </c>
      <c r="I2542">
        <v>1</v>
      </c>
      <c r="J2542">
        <v>0</v>
      </c>
      <c r="K2542">
        <v>0</v>
      </c>
      <c r="L2542">
        <v>0</v>
      </c>
    </row>
    <row r="2543" spans="1:12">
      <c r="A2543" t="str">
        <f>HYPERLINK("http://bombeiros.sp.gov.br/hidrantes/03individual/3963.html","3963")</f>
        <v>3963</v>
      </c>
      <c r="B2543" t="str">
        <f>HYPERLINK("http://bombeiros.sp.gov.br/hidrantes/08bsg/qrcodeBSG.html?id=3963&amp;lat=-23.40642&amp;long=-46.75584&amp;tipo=S","QRCODE")</f>
        <v>QRCODE</v>
      </c>
      <c r="C2543" t="s">
        <v>5328</v>
      </c>
      <c r="D2543" t="s">
        <v>1167</v>
      </c>
      <c r="E2543" t="s">
        <v>1167</v>
      </c>
      <c r="F2543" t="s">
        <v>21</v>
      </c>
      <c r="G2543" t="s">
        <v>1166</v>
      </c>
      <c r="H2543">
        <v>0</v>
      </c>
      <c r="I2543">
        <v>2</v>
      </c>
      <c r="J2543">
        <v>0</v>
      </c>
      <c r="K2543">
        <v>0</v>
      </c>
      <c r="L2543">
        <v>0</v>
      </c>
    </row>
    <row r="2544" spans="1:12">
      <c r="A2544" t="str">
        <f>HYPERLINK("http://bombeiros.sp.gov.br/hidrantes/03individual/5593.html","5593")</f>
        <v>5593</v>
      </c>
      <c r="B2544" t="str">
        <f>HYPERLINK("http://bombeiros.sp.gov.br/hidrantes/08bsg/qrcodeBSG.html?id=5593&amp;lat=-23.40249&amp;long=-46.74835&amp;tipo=S","QRCODE")</f>
        <v>QRCODE</v>
      </c>
      <c r="C2544" t="s">
        <v>5328</v>
      </c>
      <c r="D2544" t="s">
        <v>1167</v>
      </c>
      <c r="E2544" t="s">
        <v>1167</v>
      </c>
      <c r="F2544" t="s">
        <v>21</v>
      </c>
      <c r="G2544" t="s">
        <v>5005</v>
      </c>
      <c r="H2544">
        <v>0</v>
      </c>
      <c r="I2544">
        <v>1</v>
      </c>
      <c r="J2544">
        <v>0</v>
      </c>
      <c r="K2544">
        <v>0</v>
      </c>
      <c r="L2544">
        <v>0</v>
      </c>
    </row>
    <row r="2545" spans="1:12">
      <c r="A2545" t="str">
        <f>HYPERLINK("http://bombeiros.sp.gov.br/hidrantes/03individual/17903.html","17903")</f>
        <v>17903</v>
      </c>
      <c r="B2545" t="str">
        <f>HYPERLINK("http://bombeiros.sp.gov.br/hidrantes/08bsg/qrcodeBSG.html?id=17903&amp;lat=-23.40383&amp;long=-46.76250&amp;tipo=S","QRCODE")</f>
        <v>QRCODE</v>
      </c>
      <c r="C2545" t="s">
        <v>5328</v>
      </c>
      <c r="D2545" t="s">
        <v>1167</v>
      </c>
      <c r="E2545" t="s">
        <v>1167</v>
      </c>
      <c r="F2545" t="s">
        <v>21</v>
      </c>
      <c r="G2545" t="s">
        <v>4953</v>
      </c>
      <c r="H2545">
        <v>0</v>
      </c>
      <c r="I2545">
        <v>1</v>
      </c>
      <c r="J2545">
        <v>0</v>
      </c>
      <c r="K2545">
        <v>0</v>
      </c>
      <c r="L2545">
        <v>0</v>
      </c>
    </row>
    <row r="2546" spans="1:12">
      <c r="A2546" t="str">
        <f>HYPERLINK("http://bombeiros.sp.gov.br/hidrantes/03individual/1298.html","1298")</f>
        <v>1298</v>
      </c>
      <c r="B2546" t="str">
        <f>HYPERLINK("http://bombeiros.sp.gov.br/hidrantes/08bsg/qrcodeBSG.html?id=1298&amp;lat=-23.50117&amp;long=-46.72225&amp;tipo=C","QRCODE")</f>
        <v>QRCODE</v>
      </c>
      <c r="C2546" t="s">
        <v>5328</v>
      </c>
      <c r="D2546" t="s">
        <v>153</v>
      </c>
      <c r="E2546" t="s">
        <v>153</v>
      </c>
      <c r="F2546" t="s">
        <v>12</v>
      </c>
      <c r="G2546" t="s">
        <v>3294</v>
      </c>
      <c r="H2546">
        <v>1</v>
      </c>
      <c r="I2546">
        <v>1</v>
      </c>
      <c r="J2546">
        <v>0</v>
      </c>
      <c r="K2546">
        <v>0</v>
      </c>
      <c r="L2546">
        <v>0</v>
      </c>
    </row>
    <row r="2547" spans="1:12">
      <c r="A2547" t="str">
        <f>HYPERLINK("http://bombeiros.sp.gov.br/hidrantes/03individual/4019.html","4019")</f>
        <v>4019</v>
      </c>
      <c r="B2547" t="str">
        <f>HYPERLINK("http://bombeiros.sp.gov.br/hidrantes/08bsg/qrcodeBSG.html?id=4019&amp;lat=-23.49709&amp;long=-46.71969&amp;tipo=C","QRCODE")</f>
        <v>QRCODE</v>
      </c>
      <c r="C2547" t="s">
        <v>5328</v>
      </c>
      <c r="D2547" t="s">
        <v>153</v>
      </c>
      <c r="E2547" t="s">
        <v>153</v>
      </c>
      <c r="F2547" t="s">
        <v>12</v>
      </c>
      <c r="G2547" t="s">
        <v>3320</v>
      </c>
      <c r="H2547">
        <v>0</v>
      </c>
      <c r="I2547">
        <v>2</v>
      </c>
      <c r="J2547">
        <v>0</v>
      </c>
      <c r="K2547">
        <v>0</v>
      </c>
      <c r="L2547">
        <v>0</v>
      </c>
    </row>
    <row r="2548" spans="1:12">
      <c r="A2548" t="str">
        <f>HYPERLINK("http://bombeiros.sp.gov.br/hidrantes/03individual/1134.html","1134")</f>
        <v>1134</v>
      </c>
      <c r="B2548" t="str">
        <f>HYPERLINK("http://bombeiros.sp.gov.br/hidrantes/08bsg/qrcodeBSG.html?id=1134&amp;lat=-23.49170&amp;long=-46.73179&amp;tipo=S","QRCODE")</f>
        <v>QRCODE</v>
      </c>
      <c r="C2548" t="s">
        <v>5328</v>
      </c>
      <c r="D2548" t="s">
        <v>153</v>
      </c>
      <c r="E2548" t="s">
        <v>153</v>
      </c>
      <c r="F2548" t="s">
        <v>21</v>
      </c>
      <c r="G2548" t="s">
        <v>1790</v>
      </c>
      <c r="H2548">
        <v>0</v>
      </c>
      <c r="I2548">
        <v>3</v>
      </c>
      <c r="J2548">
        <v>0</v>
      </c>
      <c r="K2548">
        <v>0</v>
      </c>
      <c r="L2548">
        <v>0</v>
      </c>
    </row>
    <row r="2549" spans="1:12">
      <c r="A2549" t="str">
        <f>HYPERLINK("http://bombeiros.sp.gov.br/hidrantes/03individual/1164.html","1164")</f>
        <v>1164</v>
      </c>
      <c r="B2549" t="str">
        <f>HYPERLINK("http://bombeiros.sp.gov.br/hidrantes/08bsg/qrcodeBSG.html?id=1164&amp;lat=-23.49430&amp;long=-46.72252&amp;tipo=S","QRCODE")</f>
        <v>QRCODE</v>
      </c>
      <c r="C2549" t="s">
        <v>5328</v>
      </c>
      <c r="D2549" t="s">
        <v>153</v>
      </c>
      <c r="E2549" t="s">
        <v>153</v>
      </c>
      <c r="F2549" t="s">
        <v>21</v>
      </c>
      <c r="G2549" t="s">
        <v>1795</v>
      </c>
      <c r="H2549">
        <v>0</v>
      </c>
      <c r="I2549">
        <v>2</v>
      </c>
      <c r="J2549">
        <v>0</v>
      </c>
      <c r="K2549">
        <v>0</v>
      </c>
      <c r="L2549">
        <v>0</v>
      </c>
    </row>
    <row r="2550" spans="1:12">
      <c r="A2550" t="str">
        <f>HYPERLINK("http://bombeiros.sp.gov.br/hidrantes/03individual/1169.html","1169")</f>
        <v>1169</v>
      </c>
      <c r="B2550" t="str">
        <f>HYPERLINK("http://bombeiros.sp.gov.br/hidrantes/08bsg/qrcodeBSG.html?id=1169&amp;lat=-23.49599&amp;long=-46.72873&amp;tipo=S","QRCODE")</f>
        <v>QRCODE</v>
      </c>
      <c r="C2550" t="s">
        <v>5328</v>
      </c>
      <c r="D2550" t="s">
        <v>153</v>
      </c>
      <c r="E2550" t="s">
        <v>153</v>
      </c>
      <c r="F2550" t="s">
        <v>21</v>
      </c>
      <c r="G2550" t="s">
        <v>2967</v>
      </c>
      <c r="H2550">
        <v>0</v>
      </c>
      <c r="I2550">
        <v>2</v>
      </c>
      <c r="J2550">
        <v>0</v>
      </c>
      <c r="K2550">
        <v>0</v>
      </c>
      <c r="L2550">
        <v>0</v>
      </c>
    </row>
    <row r="2551" spans="1:12">
      <c r="A2551" t="str">
        <f>HYPERLINK("http://bombeiros.sp.gov.br/hidrantes/03individual/1256.html","1256")</f>
        <v>1256</v>
      </c>
      <c r="B2551" t="str">
        <f>HYPERLINK("http://bombeiros.sp.gov.br/hidrantes/08bsg/qrcodeBSG.html?id=1256&amp;lat=-23.49676&amp;long=-46.70862&amp;tipo=S","QRCODE")</f>
        <v>QRCODE</v>
      </c>
      <c r="C2551" t="s">
        <v>5328</v>
      </c>
      <c r="D2551" t="s">
        <v>153</v>
      </c>
      <c r="E2551" t="s">
        <v>153</v>
      </c>
      <c r="F2551" t="s">
        <v>21</v>
      </c>
      <c r="G2551" t="s">
        <v>1904</v>
      </c>
      <c r="H2551">
        <v>0</v>
      </c>
      <c r="I2551">
        <v>2</v>
      </c>
      <c r="J2551">
        <v>0</v>
      </c>
      <c r="K2551">
        <v>0</v>
      </c>
      <c r="L2551">
        <v>0</v>
      </c>
    </row>
    <row r="2552" spans="1:12">
      <c r="A2552" t="str">
        <f>HYPERLINK("http://bombeiros.sp.gov.br/hidrantes/03individual/1258.html","1258")</f>
        <v>1258</v>
      </c>
      <c r="B2552" t="str">
        <f>HYPERLINK("http://bombeiros.sp.gov.br/hidrantes/08bsg/qrcodeBSG.html?id=1258&amp;lat=-23.50264&amp;long=-46.71096&amp;tipo=S","QRCODE")</f>
        <v>QRCODE</v>
      </c>
      <c r="C2552" t="s">
        <v>5328</v>
      </c>
      <c r="D2552" t="s">
        <v>153</v>
      </c>
      <c r="E2552" t="s">
        <v>153</v>
      </c>
      <c r="F2552" t="s">
        <v>21</v>
      </c>
      <c r="G2552" t="s">
        <v>1903</v>
      </c>
      <c r="H2552">
        <v>0</v>
      </c>
      <c r="I2552">
        <v>2</v>
      </c>
      <c r="J2552">
        <v>0</v>
      </c>
      <c r="K2552">
        <v>0</v>
      </c>
      <c r="L2552">
        <v>0</v>
      </c>
    </row>
    <row r="2553" spans="1:12">
      <c r="A2553" t="str">
        <f>HYPERLINK("http://bombeiros.sp.gov.br/hidrantes/03individual/1297.html","1297")</f>
        <v>1297</v>
      </c>
      <c r="B2553" t="str">
        <f>HYPERLINK("http://bombeiros.sp.gov.br/hidrantes/08bsg/qrcodeBSG.html?id=1297&amp;lat=-23.49082&amp;long=-46.71134&amp;tipo=S","QRCODE")</f>
        <v>QRCODE</v>
      </c>
      <c r="C2553" t="s">
        <v>5328</v>
      </c>
      <c r="D2553" t="s">
        <v>153</v>
      </c>
      <c r="E2553" t="s">
        <v>153</v>
      </c>
      <c r="F2553" t="s">
        <v>21</v>
      </c>
      <c r="G2553" t="s">
        <v>3293</v>
      </c>
      <c r="H2553">
        <v>0</v>
      </c>
      <c r="I2553">
        <v>2</v>
      </c>
      <c r="J2553">
        <v>0</v>
      </c>
      <c r="K2553">
        <v>0</v>
      </c>
      <c r="L2553">
        <v>0</v>
      </c>
    </row>
    <row r="2554" spans="1:12">
      <c r="A2554" t="str">
        <f>HYPERLINK("http://bombeiros.sp.gov.br/hidrantes/03individual/1323.html","1323")</f>
        <v>1323</v>
      </c>
      <c r="B2554" t="str">
        <f>HYPERLINK("http://bombeiros.sp.gov.br/hidrantes/08bsg/qrcodeBSG.html?id=1323&amp;lat=-23.50302&amp;long=-46.71245&amp;tipo=S","QRCODE")</f>
        <v>QRCODE</v>
      </c>
      <c r="C2554" t="s">
        <v>5328</v>
      </c>
      <c r="D2554" t="s">
        <v>153</v>
      </c>
      <c r="E2554" t="s">
        <v>153</v>
      </c>
      <c r="F2554" t="s">
        <v>21</v>
      </c>
      <c r="G2554" t="s">
        <v>5060</v>
      </c>
      <c r="H2554">
        <v>0</v>
      </c>
      <c r="I2554">
        <v>1</v>
      </c>
      <c r="J2554">
        <v>0</v>
      </c>
      <c r="K2554">
        <v>0</v>
      </c>
      <c r="L2554">
        <v>0</v>
      </c>
    </row>
    <row r="2555" spans="1:12">
      <c r="A2555" t="str">
        <f>HYPERLINK("http://bombeiros.sp.gov.br/hidrantes/03individual/1325.html","1325")</f>
        <v>1325</v>
      </c>
      <c r="B2555" t="str">
        <f>HYPERLINK("http://bombeiros.sp.gov.br/hidrantes/08bsg/qrcodeBSG.html?id=1325&amp;lat=-23.50129&amp;long=-46.71231&amp;tipo=S","QRCODE")</f>
        <v>QRCODE</v>
      </c>
      <c r="C2555" t="s">
        <v>5328</v>
      </c>
      <c r="D2555" t="s">
        <v>153</v>
      </c>
      <c r="E2555" t="s">
        <v>153</v>
      </c>
      <c r="F2555" t="s">
        <v>21</v>
      </c>
      <c r="G2555" t="s">
        <v>1374</v>
      </c>
      <c r="H2555">
        <v>2</v>
      </c>
      <c r="I2555">
        <v>2</v>
      </c>
      <c r="J2555">
        <v>0</v>
      </c>
      <c r="K2555">
        <v>0</v>
      </c>
      <c r="L2555">
        <v>0</v>
      </c>
    </row>
    <row r="2556" spans="1:12">
      <c r="A2556" t="str">
        <f>HYPERLINK("http://bombeiros.sp.gov.br/hidrantes/03individual/1332.html","1332")</f>
        <v>1332</v>
      </c>
      <c r="B2556" t="str">
        <f>HYPERLINK("http://bombeiros.sp.gov.br/hidrantes/08bsg/qrcodeBSG.html?id=1332&amp;lat=-23.50395&amp;long=-46.71430&amp;tipo=S","QRCODE")</f>
        <v>QRCODE</v>
      </c>
      <c r="C2556" t="s">
        <v>5328</v>
      </c>
      <c r="D2556" t="s">
        <v>153</v>
      </c>
      <c r="E2556" t="s">
        <v>153</v>
      </c>
      <c r="F2556" t="s">
        <v>21</v>
      </c>
      <c r="G2556" t="s">
        <v>2270</v>
      </c>
      <c r="H2556">
        <v>0</v>
      </c>
      <c r="I2556">
        <v>2</v>
      </c>
      <c r="J2556">
        <v>0</v>
      </c>
      <c r="K2556">
        <v>0</v>
      </c>
      <c r="L2556">
        <v>0</v>
      </c>
    </row>
    <row r="2557" spans="1:12">
      <c r="A2557" t="str">
        <f>HYPERLINK("http://bombeiros.sp.gov.br/hidrantes/03individual/1336.html","1336")</f>
        <v>1336</v>
      </c>
      <c r="B2557" t="str">
        <f>HYPERLINK("http://bombeiros.sp.gov.br/hidrantes/08bsg/qrcodeBSG.html?id=1336&amp;lat=-23.50221&amp;long=-46.70752&amp;tipo=S","QRCODE")</f>
        <v>QRCODE</v>
      </c>
      <c r="C2557" t="s">
        <v>5328</v>
      </c>
      <c r="D2557" t="s">
        <v>153</v>
      </c>
      <c r="E2557" t="s">
        <v>153</v>
      </c>
      <c r="F2557" t="s">
        <v>21</v>
      </c>
      <c r="G2557" t="s">
        <v>5061</v>
      </c>
      <c r="H2557">
        <v>0</v>
      </c>
      <c r="I2557">
        <v>1</v>
      </c>
      <c r="J2557">
        <v>0</v>
      </c>
      <c r="K2557">
        <v>0</v>
      </c>
      <c r="L2557">
        <v>0</v>
      </c>
    </row>
    <row r="2558" spans="1:12">
      <c r="A2558" t="str">
        <f>HYPERLINK("http://bombeiros.sp.gov.br/hidrantes/03individual/1341.html","1341")</f>
        <v>1341</v>
      </c>
      <c r="B2558" t="str">
        <f>HYPERLINK("http://bombeiros.sp.gov.br/hidrantes/08bsg/qrcodeBSG.html?id=1341&amp;lat=-23.50576&amp;long=-46.71023&amp;tipo=S","QRCODE")</f>
        <v>QRCODE</v>
      </c>
      <c r="C2558" t="s">
        <v>5328</v>
      </c>
      <c r="D2558" t="s">
        <v>153</v>
      </c>
      <c r="E2558" t="s">
        <v>153</v>
      </c>
      <c r="F2558" t="s">
        <v>21</v>
      </c>
      <c r="G2558" t="s">
        <v>1905</v>
      </c>
      <c r="H2558">
        <v>0</v>
      </c>
      <c r="I2558">
        <v>2</v>
      </c>
      <c r="J2558">
        <v>0</v>
      </c>
      <c r="K2558">
        <v>0</v>
      </c>
      <c r="L2558">
        <v>0</v>
      </c>
    </row>
    <row r="2559" spans="1:12">
      <c r="A2559" t="str">
        <f>HYPERLINK("http://bombeiros.sp.gov.br/hidrantes/03individual/4024.html","4024")</f>
        <v>4024</v>
      </c>
      <c r="B2559" t="str">
        <f>HYPERLINK("http://bombeiros.sp.gov.br/hidrantes/08bsg/qrcodeBSG.html?id=4024&amp;lat=-23.49028&amp;long=-46.73079&amp;tipo=S","QRCODE")</f>
        <v>QRCODE</v>
      </c>
      <c r="C2559" t="s">
        <v>5328</v>
      </c>
      <c r="D2559" t="s">
        <v>153</v>
      </c>
      <c r="E2559" t="s">
        <v>153</v>
      </c>
      <c r="F2559" t="s">
        <v>21</v>
      </c>
      <c r="G2559" t="s">
        <v>2935</v>
      </c>
      <c r="H2559">
        <v>0</v>
      </c>
      <c r="I2559">
        <v>2</v>
      </c>
      <c r="J2559">
        <v>0</v>
      </c>
      <c r="K2559">
        <v>0</v>
      </c>
      <c r="L2559">
        <v>0</v>
      </c>
    </row>
    <row r="2560" spans="1:12">
      <c r="A2560" t="str">
        <f>HYPERLINK("http://bombeiros.sp.gov.br/hidrantes/03individual/4025.html","4025")</f>
        <v>4025</v>
      </c>
      <c r="B2560" t="str">
        <f>HYPERLINK("http://bombeiros.sp.gov.br/hidrantes/08bsg/qrcodeBSG.html?id=4025&amp;lat=-23.48895&amp;long=-46.72829&amp;tipo=S","QRCODE")</f>
        <v>QRCODE</v>
      </c>
      <c r="C2560" t="s">
        <v>5328</v>
      </c>
      <c r="D2560" t="s">
        <v>153</v>
      </c>
      <c r="E2560" t="s">
        <v>153</v>
      </c>
      <c r="F2560" t="s">
        <v>21</v>
      </c>
      <c r="G2560" t="s">
        <v>3321</v>
      </c>
      <c r="H2560">
        <v>0</v>
      </c>
      <c r="I2560">
        <v>2</v>
      </c>
      <c r="J2560">
        <v>0</v>
      </c>
      <c r="K2560">
        <v>0</v>
      </c>
      <c r="L2560">
        <v>0</v>
      </c>
    </row>
    <row r="2561" spans="1:12">
      <c r="A2561" t="str">
        <f>HYPERLINK("http://bombeiros.sp.gov.br/hidrantes/03individual/4032.html","4032")</f>
        <v>4032</v>
      </c>
      <c r="B2561" t="str">
        <f>HYPERLINK("http://bombeiros.sp.gov.br/hidrantes/08bsg/qrcodeBSG.html?id=4032&amp;lat=-23.48770&amp;long=-46.71714&amp;tipo=S","QRCODE")</f>
        <v>QRCODE</v>
      </c>
      <c r="C2561" t="s">
        <v>5328</v>
      </c>
      <c r="D2561" t="s">
        <v>153</v>
      </c>
      <c r="E2561" t="s">
        <v>153</v>
      </c>
      <c r="F2561" t="s">
        <v>21</v>
      </c>
      <c r="G2561" t="s">
        <v>3322</v>
      </c>
      <c r="H2561">
        <v>0</v>
      </c>
      <c r="I2561">
        <v>2</v>
      </c>
      <c r="J2561">
        <v>0</v>
      </c>
      <c r="K2561">
        <v>0</v>
      </c>
      <c r="L2561">
        <v>0</v>
      </c>
    </row>
    <row r="2562" spans="1:12">
      <c r="A2562" t="str">
        <f>HYPERLINK("http://bombeiros.sp.gov.br/hidrantes/03individual/4033.html","4033")</f>
        <v>4033</v>
      </c>
      <c r="B2562" t="str">
        <f>HYPERLINK("http://bombeiros.sp.gov.br/hidrantes/08bsg/qrcodeBSG.html?id=4033&amp;lat=-23.49186&amp;long=-46.72489&amp;tipo=S","QRCODE")</f>
        <v>QRCODE</v>
      </c>
      <c r="C2562" t="s">
        <v>5328</v>
      </c>
      <c r="D2562" t="s">
        <v>153</v>
      </c>
      <c r="E2562" t="s">
        <v>153</v>
      </c>
      <c r="F2562" t="s">
        <v>21</v>
      </c>
      <c r="G2562" t="s">
        <v>4246</v>
      </c>
      <c r="H2562">
        <v>0</v>
      </c>
      <c r="I2562">
        <v>1</v>
      </c>
      <c r="J2562">
        <v>0</v>
      </c>
      <c r="K2562">
        <v>0</v>
      </c>
      <c r="L2562">
        <v>0</v>
      </c>
    </row>
    <row r="2563" spans="1:12">
      <c r="A2563" t="str">
        <f>HYPERLINK("http://bombeiros.sp.gov.br/hidrantes/03individual/4034.html","4034")</f>
        <v>4034</v>
      </c>
      <c r="B2563" t="str">
        <f>HYPERLINK("http://bombeiros.sp.gov.br/hidrantes/08bsg/qrcodeBSG.html?id=4034&amp;lat=-23.49002&amp;long=-46.72664&amp;tipo=S","QRCODE")</f>
        <v>QRCODE</v>
      </c>
      <c r="C2563" t="s">
        <v>5328</v>
      </c>
      <c r="D2563" t="s">
        <v>153</v>
      </c>
      <c r="E2563" t="s">
        <v>153</v>
      </c>
      <c r="F2563" t="s">
        <v>21</v>
      </c>
      <c r="G2563" t="s">
        <v>3323</v>
      </c>
      <c r="H2563">
        <v>0</v>
      </c>
      <c r="I2563">
        <v>2</v>
      </c>
      <c r="J2563">
        <v>0</v>
      </c>
      <c r="K2563">
        <v>0</v>
      </c>
      <c r="L2563">
        <v>0</v>
      </c>
    </row>
    <row r="2564" spans="1:12">
      <c r="A2564" t="str">
        <f>HYPERLINK("http://bombeiros.sp.gov.br/hidrantes/03individual/5597.html","5597")</f>
        <v>5597</v>
      </c>
      <c r="B2564" t="str">
        <f>HYPERLINK("http://bombeiros.sp.gov.br/hidrantes/08bsg/qrcodeBSG.html?id=5597&amp;lat=-23.48812&amp;long=-46.72081&amp;tipo=S","QRCODE")</f>
        <v>QRCODE</v>
      </c>
      <c r="C2564" t="s">
        <v>5328</v>
      </c>
      <c r="D2564" t="s">
        <v>153</v>
      </c>
      <c r="E2564" t="s">
        <v>153</v>
      </c>
      <c r="F2564" t="s">
        <v>21</v>
      </c>
      <c r="G2564" t="s">
        <v>3331</v>
      </c>
      <c r="H2564">
        <v>0</v>
      </c>
      <c r="I2564">
        <v>2</v>
      </c>
      <c r="J2564">
        <v>0</v>
      </c>
      <c r="K2564">
        <v>0</v>
      </c>
      <c r="L2564">
        <v>0</v>
      </c>
    </row>
    <row r="2565" spans="1:12">
      <c r="A2565" t="str">
        <f>HYPERLINK("http://bombeiros.sp.gov.br/hidrantes/03individual/17822.html","17822")</f>
        <v>17822</v>
      </c>
      <c r="B2565" t="str">
        <f>HYPERLINK("http://bombeiros.sp.gov.br/hidrantes/08bsg/qrcodeBSG.html?id=17822&amp;lat=-23.49062&amp;long=-46.71894&amp;tipo=S","QRCODE")</f>
        <v>QRCODE</v>
      </c>
      <c r="C2565" t="s">
        <v>5328</v>
      </c>
      <c r="D2565" t="s">
        <v>153</v>
      </c>
      <c r="E2565" t="s">
        <v>153</v>
      </c>
      <c r="F2565" t="s">
        <v>21</v>
      </c>
      <c r="G2565" t="s">
        <v>4259</v>
      </c>
      <c r="H2565">
        <v>0</v>
      </c>
      <c r="I2565">
        <v>1</v>
      </c>
      <c r="J2565">
        <v>0</v>
      </c>
      <c r="K2565">
        <v>0</v>
      </c>
      <c r="L2565">
        <v>0</v>
      </c>
    </row>
    <row r="2566" spans="1:12">
      <c r="A2566" t="str">
        <f>HYPERLINK("http://bombeiros.sp.gov.br/hidrantes/03individual/5555.html","5555")</f>
        <v>5555</v>
      </c>
      <c r="B2566" t="str">
        <f>HYPERLINK("http://bombeiros.sp.gov.br/hidrantes/08bsg/qrcodeBSG.html?id=5555&amp;lat=-23.47372&amp;long=-46.74550&amp;tipo=C","QRCODE")</f>
        <v>QRCODE</v>
      </c>
      <c r="C2566" t="s">
        <v>5328</v>
      </c>
      <c r="D2566" t="s">
        <v>153</v>
      </c>
      <c r="E2566" t="s">
        <v>616</v>
      </c>
      <c r="F2566" t="s">
        <v>12</v>
      </c>
      <c r="G2566" t="s">
        <v>1810</v>
      </c>
      <c r="H2566">
        <v>0</v>
      </c>
      <c r="I2566">
        <v>1</v>
      </c>
      <c r="J2566">
        <v>0</v>
      </c>
      <c r="K2566">
        <v>0</v>
      </c>
      <c r="L2566">
        <v>0</v>
      </c>
    </row>
    <row r="2567" spans="1:12">
      <c r="A2567" t="str">
        <f>HYPERLINK("http://bombeiros.sp.gov.br/hidrantes/03individual/944.html","944")</f>
        <v>944</v>
      </c>
      <c r="B2567" t="str">
        <f>HYPERLINK("http://bombeiros.sp.gov.br/hidrantes/08bsg/qrcodeBSG.html?id=944&amp;lat=-23.48143&amp;long=-46.74083&amp;tipo=S","QRCODE")</f>
        <v>QRCODE</v>
      </c>
      <c r="C2567" t="s">
        <v>5328</v>
      </c>
      <c r="D2567" t="s">
        <v>153</v>
      </c>
      <c r="E2567" t="s">
        <v>616</v>
      </c>
      <c r="F2567" t="s">
        <v>21</v>
      </c>
      <c r="G2567" t="s">
        <v>2994</v>
      </c>
      <c r="H2567">
        <v>0</v>
      </c>
      <c r="I2567">
        <v>2</v>
      </c>
      <c r="J2567">
        <v>0</v>
      </c>
      <c r="K2567">
        <v>0</v>
      </c>
      <c r="L2567">
        <v>0</v>
      </c>
    </row>
    <row r="2568" spans="1:12">
      <c r="A2568" t="str">
        <f>HYPERLINK("http://bombeiros.sp.gov.br/hidrantes/03individual/970.html","970")</f>
        <v>970</v>
      </c>
      <c r="B2568" t="str">
        <f>HYPERLINK("http://bombeiros.sp.gov.br/hidrantes/08bsg/qrcodeBSG.html?id=970&amp;lat=-23.47305&amp;long=-46.74236&amp;tipo=S","QRCODE")</f>
        <v>QRCODE</v>
      </c>
      <c r="C2568" t="s">
        <v>5328</v>
      </c>
      <c r="D2568" t="s">
        <v>153</v>
      </c>
      <c r="E2568" t="s">
        <v>616</v>
      </c>
      <c r="F2568" t="s">
        <v>21</v>
      </c>
      <c r="G2568" t="s">
        <v>3703</v>
      </c>
      <c r="H2568">
        <v>2</v>
      </c>
      <c r="I2568">
        <v>1</v>
      </c>
      <c r="J2568">
        <v>0</v>
      </c>
      <c r="K2568">
        <v>0</v>
      </c>
      <c r="L2568">
        <v>0</v>
      </c>
    </row>
    <row r="2569" spans="1:12">
      <c r="A2569" t="str">
        <f>HYPERLINK("http://bombeiros.sp.gov.br/hidrantes/03individual/972.html","972")</f>
        <v>972</v>
      </c>
      <c r="B2569" t="str">
        <f>HYPERLINK("http://bombeiros.sp.gov.br/hidrantes/08bsg/qrcodeBSG.html?id=972&amp;lat=-23.47110&amp;long=-46.74385&amp;tipo=S","QRCODE")</f>
        <v>QRCODE</v>
      </c>
      <c r="C2569" t="s">
        <v>5328</v>
      </c>
      <c r="D2569" t="s">
        <v>153</v>
      </c>
      <c r="E2569" t="s">
        <v>616</v>
      </c>
      <c r="F2569" t="s">
        <v>21</v>
      </c>
      <c r="G2569" t="s">
        <v>3704</v>
      </c>
      <c r="H2569">
        <v>1</v>
      </c>
      <c r="I2569">
        <v>1</v>
      </c>
      <c r="J2569">
        <v>0</v>
      </c>
      <c r="K2569">
        <v>0</v>
      </c>
      <c r="L2569">
        <v>0</v>
      </c>
    </row>
    <row r="2570" spans="1:12">
      <c r="A2570" t="str">
        <f>HYPERLINK("http://bombeiros.sp.gov.br/hidrantes/03individual/977.html","977")</f>
        <v>977</v>
      </c>
      <c r="B2570" t="str">
        <f>HYPERLINK("http://bombeiros.sp.gov.br/hidrantes/08bsg/qrcodeBSG.html?id=977&amp;lat=-23.48916&amp;long=-46.72437&amp;tipo=S","QRCODE")</f>
        <v>QRCODE</v>
      </c>
      <c r="C2570" t="s">
        <v>5328</v>
      </c>
      <c r="D2570" t="s">
        <v>153</v>
      </c>
      <c r="E2570" t="s">
        <v>616</v>
      </c>
      <c r="F2570" t="s">
        <v>21</v>
      </c>
      <c r="G2570" t="s">
        <v>3284</v>
      </c>
      <c r="H2570">
        <v>0</v>
      </c>
      <c r="I2570">
        <v>2</v>
      </c>
      <c r="J2570">
        <v>0</v>
      </c>
      <c r="K2570">
        <v>0</v>
      </c>
      <c r="L2570">
        <v>0</v>
      </c>
    </row>
    <row r="2571" spans="1:12">
      <c r="A2571" t="str">
        <f>HYPERLINK("http://bombeiros.sp.gov.br/hidrantes/03individual/984.html","984")</f>
        <v>984</v>
      </c>
      <c r="B2571" t="str">
        <f>HYPERLINK("http://bombeiros.sp.gov.br/hidrantes/08bsg/qrcodeBSG.html?id=984&amp;lat=-23.48389&amp;long=-46.71059&amp;tipo=S","QRCODE")</f>
        <v>QRCODE</v>
      </c>
      <c r="C2571" t="s">
        <v>5328</v>
      </c>
      <c r="D2571" t="s">
        <v>153</v>
      </c>
      <c r="E2571" t="s">
        <v>616</v>
      </c>
      <c r="F2571" t="s">
        <v>21</v>
      </c>
      <c r="G2571" t="s">
        <v>3287</v>
      </c>
      <c r="H2571">
        <v>0</v>
      </c>
      <c r="I2571">
        <v>2</v>
      </c>
      <c r="J2571">
        <v>0</v>
      </c>
      <c r="K2571">
        <v>0</v>
      </c>
      <c r="L2571">
        <v>0</v>
      </c>
    </row>
    <row r="2572" spans="1:12">
      <c r="A2572" t="str">
        <f>HYPERLINK("http://bombeiros.sp.gov.br/hidrantes/03individual/1038.html","1038")</f>
        <v>1038</v>
      </c>
      <c r="B2572" t="str">
        <f>HYPERLINK("http://bombeiros.sp.gov.br/hidrantes/08bsg/qrcodeBSG.html?id=1038&amp;lat=-23.48220&amp;long=-46.71785&amp;tipo=S","QRCODE")</f>
        <v>QRCODE</v>
      </c>
      <c r="C2572" t="s">
        <v>5328</v>
      </c>
      <c r="D2572" t="s">
        <v>153</v>
      </c>
      <c r="E2572" t="s">
        <v>616</v>
      </c>
      <c r="F2572" t="s">
        <v>21</v>
      </c>
      <c r="G2572" t="s">
        <v>3706</v>
      </c>
      <c r="H2572">
        <v>1</v>
      </c>
      <c r="I2572">
        <v>1</v>
      </c>
      <c r="J2572">
        <v>0</v>
      </c>
      <c r="K2572">
        <v>0</v>
      </c>
      <c r="L2572">
        <v>0</v>
      </c>
    </row>
    <row r="2573" spans="1:12">
      <c r="A2573" t="str">
        <f>HYPERLINK("http://bombeiros.sp.gov.br/hidrantes/03individual/1084.html","1084")</f>
        <v>1084</v>
      </c>
      <c r="B2573" t="str">
        <f>HYPERLINK("http://bombeiros.sp.gov.br/hidrantes/08bsg/qrcodeBSG.html?id=1084&amp;lat=-23.48570&amp;long=-46.71501&amp;tipo=S","QRCODE")</f>
        <v>QRCODE</v>
      </c>
      <c r="C2573" t="s">
        <v>5328</v>
      </c>
      <c r="D2573" t="s">
        <v>153</v>
      </c>
      <c r="E2573" t="s">
        <v>616</v>
      </c>
      <c r="F2573" t="s">
        <v>21</v>
      </c>
      <c r="G2573" t="s">
        <v>2964</v>
      </c>
      <c r="H2573">
        <v>0</v>
      </c>
      <c r="I2573">
        <v>2</v>
      </c>
      <c r="J2573">
        <v>0</v>
      </c>
      <c r="K2573">
        <v>0</v>
      </c>
      <c r="L2573">
        <v>0</v>
      </c>
    </row>
    <row r="2574" spans="1:12">
      <c r="A2574" t="str">
        <f>HYPERLINK("http://bombeiros.sp.gov.br/hidrantes/03individual/1097.html","1097")</f>
        <v>1097</v>
      </c>
      <c r="B2574" t="str">
        <f>HYPERLINK("http://bombeiros.sp.gov.br/hidrantes/08bsg/qrcodeBSG.html?id=1097&amp;lat=-23.48647&amp;long=-46.73528&amp;tipo=S","QRCODE")</f>
        <v>QRCODE</v>
      </c>
      <c r="C2574" t="s">
        <v>5328</v>
      </c>
      <c r="D2574" t="s">
        <v>153</v>
      </c>
      <c r="E2574" t="s">
        <v>616</v>
      </c>
      <c r="F2574" t="s">
        <v>21</v>
      </c>
      <c r="G2574" t="s">
        <v>1793</v>
      </c>
      <c r="H2574">
        <v>0</v>
      </c>
      <c r="I2574">
        <v>2</v>
      </c>
      <c r="J2574">
        <v>0</v>
      </c>
      <c r="K2574">
        <v>0</v>
      </c>
      <c r="L2574">
        <v>0</v>
      </c>
    </row>
    <row r="2575" spans="1:12">
      <c r="A2575" t="str">
        <f>HYPERLINK("http://bombeiros.sp.gov.br/hidrantes/03individual/1123.html","1123")</f>
        <v>1123</v>
      </c>
      <c r="B2575" t="str">
        <f>HYPERLINK("http://bombeiros.sp.gov.br/hidrantes/08bsg/qrcodeBSG.html?id=1123&amp;lat=-23.48245&amp;long=-46.71003&amp;tipo=S","QRCODE")</f>
        <v>QRCODE</v>
      </c>
      <c r="C2575" t="s">
        <v>5328</v>
      </c>
      <c r="D2575" t="s">
        <v>153</v>
      </c>
      <c r="E2575" t="s">
        <v>616</v>
      </c>
      <c r="F2575" t="s">
        <v>21</v>
      </c>
      <c r="G2575" t="s">
        <v>1792</v>
      </c>
      <c r="H2575">
        <v>0</v>
      </c>
      <c r="I2575">
        <v>2</v>
      </c>
      <c r="J2575">
        <v>0</v>
      </c>
      <c r="K2575">
        <v>0</v>
      </c>
      <c r="L2575">
        <v>0</v>
      </c>
    </row>
    <row r="2576" spans="1:12">
      <c r="A2576" t="str">
        <f>HYPERLINK("http://bombeiros.sp.gov.br/hidrantes/03individual/1125.html","1125")</f>
        <v>1125</v>
      </c>
      <c r="B2576" t="str">
        <f>HYPERLINK("http://bombeiros.sp.gov.br/hidrantes/08bsg/qrcodeBSG.html?id=1125&amp;lat=-23.48323&amp;long=-46.71500&amp;tipo=S","QRCODE")</f>
        <v>QRCODE</v>
      </c>
      <c r="C2576" t="s">
        <v>5328</v>
      </c>
      <c r="D2576" t="s">
        <v>153</v>
      </c>
      <c r="E2576" t="s">
        <v>616</v>
      </c>
      <c r="F2576" t="s">
        <v>21</v>
      </c>
      <c r="G2576" t="s">
        <v>2965</v>
      </c>
      <c r="H2576">
        <v>0</v>
      </c>
      <c r="I2576">
        <v>2</v>
      </c>
      <c r="J2576">
        <v>0</v>
      </c>
      <c r="K2576">
        <v>0</v>
      </c>
      <c r="L2576">
        <v>0</v>
      </c>
    </row>
    <row r="2577" spans="1:12">
      <c r="A2577" t="str">
        <f>HYPERLINK("http://bombeiros.sp.gov.br/hidrantes/03individual/1135.html","1135")</f>
        <v>1135</v>
      </c>
      <c r="B2577" t="str">
        <f>HYPERLINK("http://bombeiros.sp.gov.br/hidrantes/08bsg/qrcodeBSG.html?id=1135&amp;lat=-23.47269&amp;long=-46.72154&amp;tipo=S","QRCODE")</f>
        <v>QRCODE</v>
      </c>
      <c r="C2577" t="s">
        <v>5328</v>
      </c>
      <c r="D2577" t="s">
        <v>153</v>
      </c>
      <c r="E2577" t="s">
        <v>616</v>
      </c>
      <c r="F2577" t="s">
        <v>21</v>
      </c>
      <c r="G2577" t="s">
        <v>1791</v>
      </c>
      <c r="H2577">
        <v>0</v>
      </c>
      <c r="I2577">
        <v>2</v>
      </c>
      <c r="J2577">
        <v>0</v>
      </c>
      <c r="K2577">
        <v>0</v>
      </c>
      <c r="L2577">
        <v>0</v>
      </c>
    </row>
    <row r="2578" spans="1:12">
      <c r="A2578" t="str">
        <f>HYPERLINK("http://bombeiros.sp.gov.br/hidrantes/03individual/1160.html","1160")</f>
        <v>1160</v>
      </c>
      <c r="B2578" t="str">
        <f>HYPERLINK("http://bombeiros.sp.gov.br/hidrantes/08bsg/qrcodeBSG.html?id=1160&amp;lat=-23.47393&amp;long=-46.74002&amp;tipo=S","QRCODE")</f>
        <v>QRCODE</v>
      </c>
      <c r="C2578" t="s">
        <v>5328</v>
      </c>
      <c r="D2578" t="s">
        <v>153</v>
      </c>
      <c r="E2578" t="s">
        <v>616</v>
      </c>
      <c r="F2578" t="s">
        <v>21</v>
      </c>
      <c r="G2578" t="s">
        <v>3288</v>
      </c>
      <c r="H2578">
        <v>0</v>
      </c>
      <c r="I2578">
        <v>2</v>
      </c>
      <c r="J2578">
        <v>0</v>
      </c>
      <c r="K2578">
        <v>0</v>
      </c>
      <c r="L2578">
        <v>0</v>
      </c>
    </row>
    <row r="2579" spans="1:12">
      <c r="A2579" t="str">
        <f>HYPERLINK("http://bombeiros.sp.gov.br/hidrantes/03individual/1171.html","1171")</f>
        <v>1171</v>
      </c>
      <c r="B2579" t="str">
        <f>HYPERLINK("http://bombeiros.sp.gov.br/hidrantes/08bsg/qrcodeBSG.html?id=1171&amp;lat=-23.48417&amp;long=-46.71895&amp;tipo=S","QRCODE")</f>
        <v>QRCODE</v>
      </c>
      <c r="C2579" t="s">
        <v>5328</v>
      </c>
      <c r="D2579" t="s">
        <v>153</v>
      </c>
      <c r="E2579" t="s">
        <v>616</v>
      </c>
      <c r="F2579" t="s">
        <v>21</v>
      </c>
      <c r="G2579" t="s">
        <v>2966</v>
      </c>
      <c r="H2579">
        <v>0</v>
      </c>
      <c r="I2579">
        <v>2</v>
      </c>
      <c r="J2579">
        <v>0</v>
      </c>
      <c r="K2579">
        <v>0</v>
      </c>
      <c r="L2579">
        <v>0</v>
      </c>
    </row>
    <row r="2580" spans="1:12">
      <c r="A2580" t="str">
        <f>HYPERLINK("http://bombeiros.sp.gov.br/hidrantes/03individual/1204.html","1204")</f>
        <v>1204</v>
      </c>
      <c r="B2580" t="str">
        <f>HYPERLINK("http://bombeiros.sp.gov.br/hidrantes/08bsg/qrcodeBSG.html?id=1204&amp;lat=-23.48204&amp;long=-46.75250&amp;tipo=S","QRCODE")</f>
        <v>QRCODE</v>
      </c>
      <c r="C2580" t="s">
        <v>5328</v>
      </c>
      <c r="D2580" t="s">
        <v>153</v>
      </c>
      <c r="E2580" t="s">
        <v>616</v>
      </c>
      <c r="F2580" t="s">
        <v>21</v>
      </c>
      <c r="G2580" t="s">
        <v>3965</v>
      </c>
      <c r="H2580">
        <v>1</v>
      </c>
      <c r="I2580">
        <v>1</v>
      </c>
      <c r="J2580">
        <v>0</v>
      </c>
      <c r="K2580">
        <v>0</v>
      </c>
      <c r="L2580">
        <v>0</v>
      </c>
    </row>
    <row r="2581" spans="1:12">
      <c r="A2581" t="str">
        <f>HYPERLINK("http://bombeiros.sp.gov.br/hidrantes/03individual/1208.html","1208")</f>
        <v>1208</v>
      </c>
      <c r="B2581" t="str">
        <f>HYPERLINK("http://bombeiros.sp.gov.br/hidrantes/08bsg/qrcodeBSG.html?id=1208&amp;lat=-23.48162&amp;long=-46.74190&amp;tipo=S","QRCODE")</f>
        <v>QRCODE</v>
      </c>
      <c r="C2581" t="s">
        <v>5328</v>
      </c>
      <c r="D2581" t="s">
        <v>153</v>
      </c>
      <c r="E2581" t="s">
        <v>616</v>
      </c>
      <c r="F2581" t="s">
        <v>21</v>
      </c>
      <c r="G2581" t="s">
        <v>3289</v>
      </c>
      <c r="H2581">
        <v>0</v>
      </c>
      <c r="I2581">
        <v>2</v>
      </c>
      <c r="J2581">
        <v>0</v>
      </c>
      <c r="K2581">
        <v>0</v>
      </c>
      <c r="L2581">
        <v>0</v>
      </c>
    </row>
    <row r="2582" spans="1:12">
      <c r="A2582" t="str">
        <f>HYPERLINK("http://bombeiros.sp.gov.br/hidrantes/03individual/1264.html","1264")</f>
        <v>1264</v>
      </c>
      <c r="B2582" t="str">
        <f>HYPERLINK("http://bombeiros.sp.gov.br/hidrantes/08bsg/qrcodeBSG.html?id=1264&amp;lat=-23.47562&amp;long=-46.73908&amp;tipo=S","QRCODE")</f>
        <v>QRCODE</v>
      </c>
      <c r="C2582" t="s">
        <v>5328</v>
      </c>
      <c r="D2582" t="s">
        <v>153</v>
      </c>
      <c r="E2582" t="s">
        <v>616</v>
      </c>
      <c r="F2582" t="s">
        <v>21</v>
      </c>
      <c r="G2582" t="s">
        <v>3301</v>
      </c>
      <c r="H2582">
        <v>0</v>
      </c>
      <c r="I2582">
        <v>2</v>
      </c>
      <c r="J2582">
        <v>0</v>
      </c>
      <c r="K2582">
        <v>0</v>
      </c>
      <c r="L2582">
        <v>0</v>
      </c>
    </row>
    <row r="2583" spans="1:12">
      <c r="A2583" t="str">
        <f>HYPERLINK("http://bombeiros.sp.gov.br/hidrantes/03individual/1288.html","1288")</f>
        <v>1288</v>
      </c>
      <c r="B2583" t="str">
        <f>HYPERLINK("http://bombeiros.sp.gov.br/hidrantes/08bsg/qrcodeBSG.html?id=1288&amp;lat=-23.48595&amp;long=-46.72018&amp;tipo=S","QRCODE")</f>
        <v>QRCODE</v>
      </c>
      <c r="C2583" t="s">
        <v>5328</v>
      </c>
      <c r="D2583" t="s">
        <v>153</v>
      </c>
      <c r="E2583" t="s">
        <v>616</v>
      </c>
      <c r="F2583" t="s">
        <v>21</v>
      </c>
      <c r="G2583" t="s">
        <v>1781</v>
      </c>
      <c r="H2583">
        <v>1</v>
      </c>
      <c r="I2583">
        <v>2</v>
      </c>
      <c r="J2583">
        <v>0</v>
      </c>
      <c r="K2583">
        <v>0</v>
      </c>
      <c r="L2583">
        <v>0</v>
      </c>
    </row>
    <row r="2584" spans="1:12">
      <c r="A2584" t="str">
        <f>HYPERLINK("http://bombeiros.sp.gov.br/hidrantes/03individual/1290.html","1290")</f>
        <v>1290</v>
      </c>
      <c r="B2584" t="str">
        <f>HYPERLINK("http://bombeiros.sp.gov.br/hidrantes/08bsg/qrcodeBSG.html?id=1290&amp;lat=-23.47198&amp;long=-46.72365&amp;tipo=S","QRCODE")</f>
        <v>QRCODE</v>
      </c>
      <c r="C2584" t="s">
        <v>5328</v>
      </c>
      <c r="D2584" t="s">
        <v>153</v>
      </c>
      <c r="E2584" t="s">
        <v>616</v>
      </c>
      <c r="F2584" t="s">
        <v>21</v>
      </c>
      <c r="G2584" t="s">
        <v>3713</v>
      </c>
      <c r="H2584">
        <v>1</v>
      </c>
      <c r="I2584">
        <v>1</v>
      </c>
      <c r="J2584">
        <v>0</v>
      </c>
      <c r="K2584">
        <v>0</v>
      </c>
      <c r="L2584">
        <v>0</v>
      </c>
    </row>
    <row r="2585" spans="1:12">
      <c r="A2585" t="str">
        <f>HYPERLINK("http://bombeiros.sp.gov.br/hidrantes/03individual/1296.html","1296")</f>
        <v>1296</v>
      </c>
      <c r="B2585" t="str">
        <f>HYPERLINK("http://bombeiros.sp.gov.br/hidrantes/08bsg/qrcodeBSG.html?id=1296&amp;lat=-23.48594&amp;long=-46.72170&amp;tipo=S","QRCODE")</f>
        <v>QRCODE</v>
      </c>
      <c r="C2585" t="s">
        <v>5328</v>
      </c>
      <c r="D2585" t="s">
        <v>153</v>
      </c>
      <c r="E2585" t="s">
        <v>616</v>
      </c>
      <c r="F2585" t="s">
        <v>21</v>
      </c>
      <c r="G2585" t="s">
        <v>1780</v>
      </c>
      <c r="H2585">
        <v>0</v>
      </c>
      <c r="I2585">
        <v>2</v>
      </c>
      <c r="J2585">
        <v>0</v>
      </c>
      <c r="K2585">
        <v>0</v>
      </c>
      <c r="L2585">
        <v>0</v>
      </c>
    </row>
    <row r="2586" spans="1:12">
      <c r="A2586" t="str">
        <f>HYPERLINK("http://bombeiros.sp.gov.br/hidrantes/03individual/4028.html","4028")</f>
        <v>4028</v>
      </c>
      <c r="B2586" t="str">
        <f>HYPERLINK("http://bombeiros.sp.gov.br/hidrantes/08bsg/qrcodeBSG.html?id=4028&amp;lat=-23.48644&amp;long=-46.71975&amp;tipo=S","QRCODE")</f>
        <v>QRCODE</v>
      </c>
      <c r="C2586" t="s">
        <v>5328</v>
      </c>
      <c r="D2586" t="s">
        <v>153</v>
      </c>
      <c r="E2586" t="s">
        <v>616</v>
      </c>
      <c r="F2586" t="s">
        <v>21</v>
      </c>
      <c r="G2586" t="s">
        <v>4247</v>
      </c>
      <c r="H2586">
        <v>0</v>
      </c>
      <c r="I2586">
        <v>1</v>
      </c>
      <c r="J2586">
        <v>0</v>
      </c>
      <c r="K2586">
        <v>0</v>
      </c>
      <c r="L2586">
        <v>0</v>
      </c>
    </row>
    <row r="2587" spans="1:12">
      <c r="A2587" t="str">
        <f>HYPERLINK("http://bombeiros.sp.gov.br/hidrantes/03individual/4030.html","4030")</f>
        <v>4030</v>
      </c>
      <c r="B2587" t="str">
        <f>HYPERLINK("http://bombeiros.sp.gov.br/hidrantes/08bsg/qrcodeBSG.html?id=4030&amp;lat=-23.48501&amp;long=-46.71873&amp;tipo=S","QRCODE")</f>
        <v>QRCODE</v>
      </c>
      <c r="C2587" t="s">
        <v>5328</v>
      </c>
      <c r="D2587" t="s">
        <v>153</v>
      </c>
      <c r="E2587" t="s">
        <v>616</v>
      </c>
      <c r="F2587" t="s">
        <v>21</v>
      </c>
      <c r="G2587" t="s">
        <v>2936</v>
      </c>
      <c r="H2587">
        <v>0</v>
      </c>
      <c r="I2587">
        <v>2</v>
      </c>
      <c r="J2587">
        <v>0</v>
      </c>
      <c r="K2587">
        <v>0</v>
      </c>
      <c r="L2587">
        <v>0</v>
      </c>
    </row>
    <row r="2588" spans="1:12">
      <c r="A2588" t="str">
        <f>HYPERLINK("http://bombeiros.sp.gov.br/hidrantes/03individual/4040.html","4040")</f>
        <v>4040</v>
      </c>
      <c r="B2588" t="str">
        <f>HYPERLINK("http://bombeiros.sp.gov.br/hidrantes/08bsg/qrcodeBSG.html?id=4040&amp;lat=-23.48245&amp;long=-46.70941&amp;tipo=S","QRCODE")</f>
        <v>QRCODE</v>
      </c>
      <c r="C2588" t="s">
        <v>5328</v>
      </c>
      <c r="D2588" t="s">
        <v>153</v>
      </c>
      <c r="E2588" t="s">
        <v>616</v>
      </c>
      <c r="F2588" t="s">
        <v>21</v>
      </c>
      <c r="G2588" t="s">
        <v>1533</v>
      </c>
      <c r="H2588">
        <v>0</v>
      </c>
      <c r="I2588">
        <v>3</v>
      </c>
      <c r="J2588">
        <v>0</v>
      </c>
      <c r="K2588">
        <v>0</v>
      </c>
      <c r="L2588">
        <v>0</v>
      </c>
    </row>
    <row r="2589" spans="1:12">
      <c r="A2589" t="str">
        <f>HYPERLINK("http://bombeiros.sp.gov.br/hidrantes/03individual/4044.html","4044")</f>
        <v>4044</v>
      </c>
      <c r="B2589" t="str">
        <f>HYPERLINK("http://bombeiros.sp.gov.br/hidrantes/08bsg/qrcodeBSG.html?id=4044&amp;lat=-23.47844&amp;long=-46.70945&amp;tipo=S","QRCODE")</f>
        <v>QRCODE</v>
      </c>
      <c r="C2589" t="s">
        <v>5328</v>
      </c>
      <c r="D2589" t="s">
        <v>153</v>
      </c>
      <c r="E2589" t="s">
        <v>616</v>
      </c>
      <c r="F2589" t="s">
        <v>21</v>
      </c>
      <c r="G2589" t="s">
        <v>5090</v>
      </c>
      <c r="H2589">
        <v>0</v>
      </c>
      <c r="I2589">
        <v>1</v>
      </c>
      <c r="J2589">
        <v>0</v>
      </c>
      <c r="K2589">
        <v>0</v>
      </c>
      <c r="L2589">
        <v>0</v>
      </c>
    </row>
    <row r="2590" spans="1:12">
      <c r="A2590" t="str">
        <f>HYPERLINK("http://bombeiros.sp.gov.br/hidrantes/03individual/4045.html","4045")</f>
        <v>4045</v>
      </c>
      <c r="B2590" t="str">
        <f>HYPERLINK("http://bombeiros.sp.gov.br/hidrantes/08bsg/qrcodeBSG.html?id=4045&amp;lat=-23.47783&amp;long=-46.71731&amp;tipo=S","QRCODE")</f>
        <v>QRCODE</v>
      </c>
      <c r="C2590" t="s">
        <v>5328</v>
      </c>
      <c r="D2590" t="s">
        <v>153</v>
      </c>
      <c r="E2590" t="s">
        <v>616</v>
      </c>
      <c r="F2590" t="s">
        <v>21</v>
      </c>
      <c r="G2590" t="s">
        <v>2934</v>
      </c>
      <c r="H2590">
        <v>0</v>
      </c>
      <c r="I2590">
        <v>2</v>
      </c>
      <c r="J2590">
        <v>0</v>
      </c>
      <c r="K2590">
        <v>0</v>
      </c>
      <c r="L2590">
        <v>0</v>
      </c>
    </row>
    <row r="2591" spans="1:12">
      <c r="A2591" t="str">
        <f>HYPERLINK("http://bombeiros.sp.gov.br/hidrantes/03individual/4046.html","4046")</f>
        <v>4046</v>
      </c>
      <c r="B2591" t="str">
        <f>HYPERLINK("http://bombeiros.sp.gov.br/hidrantes/08bsg/qrcodeBSG.html?id=4046&amp;lat=-23.47823&amp;long=-46.71895&amp;tipo=S","QRCODE")</f>
        <v>QRCODE</v>
      </c>
      <c r="C2591" t="s">
        <v>5328</v>
      </c>
      <c r="D2591" t="s">
        <v>153</v>
      </c>
      <c r="E2591" t="s">
        <v>616</v>
      </c>
      <c r="F2591" t="s">
        <v>21</v>
      </c>
      <c r="G2591" t="s">
        <v>1814</v>
      </c>
      <c r="H2591">
        <v>0</v>
      </c>
      <c r="I2591">
        <v>2</v>
      </c>
      <c r="J2591">
        <v>0</v>
      </c>
      <c r="K2591">
        <v>0</v>
      </c>
      <c r="L2591">
        <v>0</v>
      </c>
    </row>
    <row r="2592" spans="1:12">
      <c r="A2592" t="str">
        <f>HYPERLINK("http://bombeiros.sp.gov.br/hidrantes/03individual/4047.html","4047")</f>
        <v>4047</v>
      </c>
      <c r="B2592" t="str">
        <f>HYPERLINK("http://bombeiros.sp.gov.br/hidrantes/08bsg/qrcodeBSG.html?id=4047&amp;lat=-23.47687&amp;long=-46.72141&amp;tipo=S","QRCODE")</f>
        <v>QRCODE</v>
      </c>
      <c r="C2592" t="s">
        <v>5328</v>
      </c>
      <c r="D2592" t="s">
        <v>153</v>
      </c>
      <c r="E2592" t="s">
        <v>616</v>
      </c>
      <c r="F2592" t="s">
        <v>21</v>
      </c>
      <c r="G2592" t="s">
        <v>1534</v>
      </c>
      <c r="H2592">
        <v>0</v>
      </c>
      <c r="I2592">
        <v>3</v>
      </c>
      <c r="J2592">
        <v>0</v>
      </c>
      <c r="K2592">
        <v>0</v>
      </c>
      <c r="L2592">
        <v>0</v>
      </c>
    </row>
    <row r="2593" spans="1:12">
      <c r="A2593" t="str">
        <f>HYPERLINK("http://bombeiros.sp.gov.br/hidrantes/03individual/4075.html","4075")</f>
        <v>4075</v>
      </c>
      <c r="B2593" t="str">
        <f>HYPERLINK("http://bombeiros.sp.gov.br/hidrantes/08bsg/qrcodeBSG.html?id=4075&amp;lat=-23.48301&amp;long=-46.75441&amp;tipo=S","QRCODE")</f>
        <v>QRCODE</v>
      </c>
      <c r="C2593" t="s">
        <v>5328</v>
      </c>
      <c r="D2593" t="s">
        <v>153</v>
      </c>
      <c r="E2593" t="s">
        <v>616</v>
      </c>
      <c r="F2593" t="s">
        <v>21</v>
      </c>
      <c r="G2593" t="s">
        <v>3333</v>
      </c>
      <c r="H2593">
        <v>0</v>
      </c>
      <c r="I2593">
        <v>2</v>
      </c>
      <c r="J2593">
        <v>0</v>
      </c>
      <c r="K2593">
        <v>0</v>
      </c>
      <c r="L2593">
        <v>0</v>
      </c>
    </row>
    <row r="2594" spans="1:12">
      <c r="A2594" t="str">
        <f>HYPERLINK("http://bombeiros.sp.gov.br/hidrantes/03individual/4081.html","4081")</f>
        <v>4081</v>
      </c>
      <c r="B2594" t="str">
        <f>HYPERLINK("http://bombeiros.sp.gov.br/hidrantes/08bsg/qrcodeBSG.html?id=4081&amp;lat=-23.46986&amp;long=-46.74861&amp;tipo=S","QRCODE")</f>
        <v>QRCODE</v>
      </c>
      <c r="C2594" t="s">
        <v>5328</v>
      </c>
      <c r="D2594" t="s">
        <v>153</v>
      </c>
      <c r="E2594" t="s">
        <v>616</v>
      </c>
      <c r="F2594" t="s">
        <v>21</v>
      </c>
      <c r="G2594" t="s">
        <v>630</v>
      </c>
      <c r="H2594">
        <v>0</v>
      </c>
      <c r="I2594">
        <v>2</v>
      </c>
      <c r="J2594">
        <v>0</v>
      </c>
      <c r="K2594">
        <v>0</v>
      </c>
      <c r="L2594">
        <v>0</v>
      </c>
    </row>
    <row r="2595" spans="1:12">
      <c r="A2595" t="str">
        <f>HYPERLINK("http://bombeiros.sp.gov.br/hidrantes/03individual/4104.html","4104")</f>
        <v>4104</v>
      </c>
      <c r="B2595" t="str">
        <f>HYPERLINK("http://bombeiros.sp.gov.br/hidrantes/08bsg/qrcodeBSG.html?id=4104&amp;lat=-23.47995&amp;long=-46.74311&amp;tipo=S","QRCODE")</f>
        <v>QRCODE</v>
      </c>
      <c r="C2595" t="s">
        <v>5328</v>
      </c>
      <c r="D2595" t="s">
        <v>153</v>
      </c>
      <c r="E2595" t="s">
        <v>616</v>
      </c>
      <c r="F2595" t="s">
        <v>21</v>
      </c>
      <c r="G2595" t="s">
        <v>1802</v>
      </c>
      <c r="H2595">
        <v>0</v>
      </c>
      <c r="I2595">
        <v>2</v>
      </c>
      <c r="J2595">
        <v>0</v>
      </c>
      <c r="K2595">
        <v>0</v>
      </c>
      <c r="L2595">
        <v>0</v>
      </c>
    </row>
    <row r="2596" spans="1:12">
      <c r="A2596" t="str">
        <f>HYPERLINK("http://bombeiros.sp.gov.br/hidrantes/03individual/5493.html","5493")</f>
        <v>5493</v>
      </c>
      <c r="B2596" t="str">
        <f>HYPERLINK("http://bombeiros.sp.gov.br/hidrantes/08bsg/qrcodeBSG.html?id=5493&amp;lat=-23.47941&amp;long=-46.74989&amp;tipo=S","QRCODE")</f>
        <v>QRCODE</v>
      </c>
      <c r="C2596" t="s">
        <v>5328</v>
      </c>
      <c r="D2596" t="s">
        <v>153</v>
      </c>
      <c r="E2596" t="s">
        <v>616</v>
      </c>
      <c r="F2596" t="s">
        <v>21</v>
      </c>
      <c r="G2596" t="s">
        <v>3038</v>
      </c>
      <c r="H2596">
        <v>0</v>
      </c>
      <c r="I2596">
        <v>2</v>
      </c>
      <c r="J2596">
        <v>0</v>
      </c>
      <c r="K2596">
        <v>0</v>
      </c>
      <c r="L2596">
        <v>0</v>
      </c>
    </row>
    <row r="2597" spans="1:12">
      <c r="A2597" t="str">
        <f>HYPERLINK("http://bombeiros.sp.gov.br/hidrantes/03individual/5494.html","5494")</f>
        <v>5494</v>
      </c>
      <c r="B2597" t="str">
        <f>HYPERLINK("http://bombeiros.sp.gov.br/hidrantes/08bsg/qrcodeBSG.html?id=5494&amp;lat=-23.48118&amp;long=-46.75106&amp;tipo=S","QRCODE")</f>
        <v>QRCODE</v>
      </c>
      <c r="C2597" t="s">
        <v>5328</v>
      </c>
      <c r="D2597" t="s">
        <v>153</v>
      </c>
      <c r="E2597" t="s">
        <v>616</v>
      </c>
      <c r="F2597" t="s">
        <v>21</v>
      </c>
      <c r="G2597" t="s">
        <v>3039</v>
      </c>
      <c r="H2597">
        <v>0</v>
      </c>
      <c r="I2597">
        <v>2</v>
      </c>
      <c r="J2597">
        <v>0</v>
      </c>
      <c r="K2597">
        <v>0</v>
      </c>
      <c r="L2597">
        <v>0</v>
      </c>
    </row>
    <row r="2598" spans="1:12">
      <c r="A2598" t="str">
        <f>HYPERLINK("http://bombeiros.sp.gov.br/hidrantes/03individual/5497.html","5497")</f>
        <v>5497</v>
      </c>
      <c r="B2598" t="str">
        <f>HYPERLINK("http://bombeiros.sp.gov.br/hidrantes/08bsg/qrcodeBSG.html?id=5497&amp;lat=-23.47864&amp;long=-46.74924&amp;tipo=S","QRCODE")</f>
        <v>QRCODE</v>
      </c>
      <c r="C2598" t="s">
        <v>5328</v>
      </c>
      <c r="D2598" t="s">
        <v>153</v>
      </c>
      <c r="E2598" t="s">
        <v>616</v>
      </c>
      <c r="F2598" t="s">
        <v>21</v>
      </c>
      <c r="G2598" t="s">
        <v>615</v>
      </c>
      <c r="H2598">
        <v>0</v>
      </c>
      <c r="I2598">
        <v>2</v>
      </c>
      <c r="J2598">
        <v>0</v>
      </c>
      <c r="K2598">
        <v>0</v>
      </c>
      <c r="L2598">
        <v>0</v>
      </c>
    </row>
    <row r="2599" spans="1:12">
      <c r="A2599" t="str">
        <f>HYPERLINK("http://bombeiros.sp.gov.br/hidrantes/03individual/5558.html","5558")</f>
        <v>5558</v>
      </c>
      <c r="B2599" t="str">
        <f>HYPERLINK("http://bombeiros.sp.gov.br/hidrantes/08bsg/qrcodeBSG.html?id=5558&amp;lat=-23.48257&amp;long=-46.71780&amp;tipo=S","QRCODE")</f>
        <v>QRCODE</v>
      </c>
      <c r="C2599" t="s">
        <v>5328</v>
      </c>
      <c r="D2599" t="s">
        <v>153</v>
      </c>
      <c r="E2599" t="s">
        <v>616</v>
      </c>
      <c r="F2599" t="s">
        <v>21</v>
      </c>
      <c r="G2599" t="s">
        <v>2930</v>
      </c>
      <c r="H2599">
        <v>1</v>
      </c>
      <c r="I2599">
        <v>2</v>
      </c>
      <c r="J2599">
        <v>0</v>
      </c>
      <c r="K2599">
        <v>0</v>
      </c>
      <c r="L2599">
        <v>0</v>
      </c>
    </row>
    <row r="2600" spans="1:12">
      <c r="A2600" t="str">
        <f>HYPERLINK("http://bombeiros.sp.gov.br/hidrantes/03individual/5594.html","5594")</f>
        <v>5594</v>
      </c>
      <c r="B2600" t="str">
        <f>HYPERLINK("http://bombeiros.sp.gov.br/hidrantes/08bsg/qrcodeBSG.html?id=5594&amp;lat=-23.48724&amp;long=-46.72270&amp;tipo=S","QRCODE")</f>
        <v>QRCODE</v>
      </c>
      <c r="C2600" t="s">
        <v>5328</v>
      </c>
      <c r="D2600" t="s">
        <v>153</v>
      </c>
      <c r="E2600" t="s">
        <v>616</v>
      </c>
      <c r="F2600" t="s">
        <v>21</v>
      </c>
      <c r="G2600" t="s">
        <v>4252</v>
      </c>
      <c r="H2600">
        <v>0</v>
      </c>
      <c r="I2600">
        <v>1</v>
      </c>
      <c r="J2600">
        <v>0</v>
      </c>
      <c r="K2600">
        <v>0</v>
      </c>
      <c r="L2600">
        <v>0</v>
      </c>
    </row>
    <row r="2601" spans="1:12">
      <c r="A2601" t="str">
        <f>HYPERLINK("http://bombeiros.sp.gov.br/hidrantes/03individual/16597.html","16597")</f>
        <v>16597</v>
      </c>
      <c r="B2601" t="str">
        <f>HYPERLINK("http://bombeiros.sp.gov.br/hidrantes/08bsg/qrcodeBSG.html?id=16597&amp;lat=-23.47819&amp;long=-46.70754&amp;tipo=S","QRCODE")</f>
        <v>QRCODE</v>
      </c>
      <c r="C2601" t="s">
        <v>5328</v>
      </c>
      <c r="D2601" t="s">
        <v>153</v>
      </c>
      <c r="E2601" t="s">
        <v>616</v>
      </c>
      <c r="F2601" t="s">
        <v>21</v>
      </c>
      <c r="G2601" t="s">
        <v>1836</v>
      </c>
      <c r="H2601">
        <v>0</v>
      </c>
      <c r="I2601">
        <v>2</v>
      </c>
      <c r="J2601">
        <v>0</v>
      </c>
      <c r="K2601">
        <v>0</v>
      </c>
      <c r="L2601">
        <v>0</v>
      </c>
    </row>
    <row r="2602" spans="1:12">
      <c r="A2602" t="str">
        <f>HYPERLINK("http://bombeiros.sp.gov.br/hidrantes/03individual/17823.html","17823")</f>
        <v>17823</v>
      </c>
      <c r="B2602" t="str">
        <f>HYPERLINK("http://bombeiros.sp.gov.br/hidrantes/08bsg/qrcodeBSG.html?id=17823&amp;lat=-23.48588&amp;long=-46.72368&amp;tipo=S","QRCODE")</f>
        <v>QRCODE</v>
      </c>
      <c r="C2602" t="s">
        <v>5328</v>
      </c>
      <c r="D2602" t="s">
        <v>153</v>
      </c>
      <c r="E2602" t="s">
        <v>616</v>
      </c>
      <c r="F2602" t="s">
        <v>21</v>
      </c>
      <c r="G2602" t="s">
        <v>4803</v>
      </c>
      <c r="H2602">
        <v>0</v>
      </c>
      <c r="I2602">
        <v>2</v>
      </c>
      <c r="J2602">
        <v>0</v>
      </c>
      <c r="K2602">
        <v>0</v>
      </c>
      <c r="L2602">
        <v>0</v>
      </c>
    </row>
    <row r="2603" spans="1:12">
      <c r="A2603" t="str">
        <f>HYPERLINK("http://bombeiros.sp.gov.br/hidrantes/03individual/17824.html","17824")</f>
        <v>17824</v>
      </c>
      <c r="B2603" t="str">
        <f>HYPERLINK("http://bombeiros.sp.gov.br/hidrantes/08bsg/qrcodeBSG.html?id=17824&amp;lat=-23.48605&amp;long=-46.71223&amp;tipo=S","QRCODE")</f>
        <v>QRCODE</v>
      </c>
      <c r="C2603" t="s">
        <v>5328</v>
      </c>
      <c r="D2603" t="s">
        <v>153</v>
      </c>
      <c r="E2603" t="s">
        <v>616</v>
      </c>
      <c r="F2603" t="s">
        <v>21</v>
      </c>
      <c r="G2603" t="s">
        <v>3755</v>
      </c>
      <c r="H2603">
        <v>0</v>
      </c>
      <c r="I2603">
        <v>1</v>
      </c>
      <c r="J2603">
        <v>0</v>
      </c>
      <c r="K2603">
        <v>0</v>
      </c>
      <c r="L2603">
        <v>0</v>
      </c>
    </row>
    <row r="2604" spans="1:12">
      <c r="A2604" t="str">
        <f>HYPERLINK("http://bombeiros.sp.gov.br/hidrantes/03individual/26905.html","26905")</f>
        <v>26905</v>
      </c>
      <c r="B2604" t="str">
        <f>HYPERLINK("http://bombeiros.sp.gov.br/hidrantes/08bsg/qrcodeBSG.html?id=26905&amp;lat=-23.48503&amp;long=-46.74055&amp;tipo=S","QRCODE")</f>
        <v>QRCODE</v>
      </c>
      <c r="C2604" t="s">
        <v>5328</v>
      </c>
      <c r="D2604" t="s">
        <v>153</v>
      </c>
      <c r="E2604" t="s">
        <v>616</v>
      </c>
      <c r="F2604" t="s">
        <v>21</v>
      </c>
      <c r="G2604" t="s">
        <v>3758</v>
      </c>
      <c r="H2604">
        <v>0</v>
      </c>
      <c r="I2604">
        <v>1</v>
      </c>
      <c r="J2604">
        <v>0</v>
      </c>
      <c r="K2604">
        <v>0</v>
      </c>
      <c r="L2604">
        <v>0</v>
      </c>
    </row>
    <row r="2605" spans="1:12">
      <c r="A2605" t="str">
        <f>HYPERLINK("http://bombeiros.sp.gov.br/hidrantes/03individual/27266.html","27266")</f>
        <v>27266</v>
      </c>
      <c r="B2605" t="str">
        <f>HYPERLINK("http://bombeiros.sp.gov.br/hidrantes/08bsg/qrcodeBSG.html?id=27266&amp;lat=-23.47680&amp;long=-46.72355&amp;tipo=S","QRCODE")</f>
        <v>QRCODE</v>
      </c>
      <c r="C2605" t="s">
        <v>5328</v>
      </c>
      <c r="D2605" t="s">
        <v>153</v>
      </c>
      <c r="E2605" t="s">
        <v>616</v>
      </c>
      <c r="F2605" t="s">
        <v>21</v>
      </c>
      <c r="G2605" t="s">
        <v>1510</v>
      </c>
      <c r="H2605">
        <v>0</v>
      </c>
      <c r="I2605">
        <v>1</v>
      </c>
      <c r="J2605">
        <v>0</v>
      </c>
      <c r="K2605">
        <v>0</v>
      </c>
      <c r="L2605">
        <v>0</v>
      </c>
    </row>
    <row r="2606" spans="1:12">
      <c r="A2606" t="str">
        <f>HYPERLINK("http://bombeiros.sp.gov.br/hidrantes/03individual/708.html","708")</f>
        <v>708</v>
      </c>
      <c r="B2606" t="str">
        <f>HYPERLINK("http://bombeiros.sp.gov.br/hidrantes/08bsg/qrcodeBSG.html?id=708&amp;lat=-23.50048&amp;long=-46.63780&amp;tipo=C","QRCODE")</f>
        <v>QRCODE</v>
      </c>
      <c r="C2606" t="s">
        <v>5328</v>
      </c>
      <c r="D2606" t="s">
        <v>105</v>
      </c>
      <c r="E2606" t="s">
        <v>670</v>
      </c>
      <c r="F2606" t="s">
        <v>12</v>
      </c>
      <c r="G2606" t="s">
        <v>4575</v>
      </c>
      <c r="H2606">
        <v>1</v>
      </c>
      <c r="I2606">
        <v>2</v>
      </c>
      <c r="J2606">
        <v>0</v>
      </c>
      <c r="K2606">
        <v>0</v>
      </c>
      <c r="L2606">
        <v>0</v>
      </c>
    </row>
    <row r="2607" spans="1:12">
      <c r="A2607" t="str">
        <f>HYPERLINK("http://bombeiros.sp.gov.br/hidrantes/03individual/2230.html","2230")</f>
        <v>2230</v>
      </c>
      <c r="B2607" t="str">
        <f>HYPERLINK("http://bombeiros.sp.gov.br/hidrantes/08bsg/qrcodeBSG.html?id=2230&amp;lat=-23.50039&amp;long=-46.63213&amp;tipo=C","QRCODE")</f>
        <v>QRCODE</v>
      </c>
      <c r="C2607" t="s">
        <v>5328</v>
      </c>
      <c r="D2607" t="s">
        <v>105</v>
      </c>
      <c r="E2607" t="s">
        <v>670</v>
      </c>
      <c r="F2607" t="s">
        <v>12</v>
      </c>
      <c r="G2607" t="s">
        <v>3336</v>
      </c>
      <c r="H2607">
        <v>0</v>
      </c>
      <c r="I2607">
        <v>2</v>
      </c>
      <c r="J2607">
        <v>0</v>
      </c>
      <c r="K2607">
        <v>0</v>
      </c>
      <c r="L2607">
        <v>0</v>
      </c>
    </row>
    <row r="2608" spans="1:12">
      <c r="A2608" t="str">
        <f>HYPERLINK("http://bombeiros.sp.gov.br/hidrantes/03individual/3564.html","3564")</f>
        <v>3564</v>
      </c>
      <c r="B2608" t="str">
        <f>HYPERLINK("http://bombeiros.sp.gov.br/hidrantes/08bsg/qrcodeBSG.html?id=3564&amp;lat=-23.49037&amp;long=-46.62463&amp;tipo=C","QRCODE")</f>
        <v>QRCODE</v>
      </c>
      <c r="C2608" t="s">
        <v>5328</v>
      </c>
      <c r="D2608" t="s">
        <v>105</v>
      </c>
      <c r="E2608" t="s">
        <v>670</v>
      </c>
      <c r="F2608" t="s">
        <v>12</v>
      </c>
      <c r="G2608" t="s">
        <v>721</v>
      </c>
      <c r="H2608">
        <v>0</v>
      </c>
      <c r="I2608">
        <v>2</v>
      </c>
      <c r="J2608">
        <v>0</v>
      </c>
      <c r="K2608">
        <v>0</v>
      </c>
      <c r="L2608">
        <v>0</v>
      </c>
    </row>
    <row r="2609" spans="1:12">
      <c r="A2609" t="str">
        <f>HYPERLINK("http://bombeiros.sp.gov.br/hidrantes/03individual/3568.html","3568")</f>
        <v>3568</v>
      </c>
      <c r="B2609" t="str">
        <f>HYPERLINK("http://bombeiros.sp.gov.br/hidrantes/08bsg/qrcodeBSG.html?id=3568&amp;lat=-23.49800&amp;long=-46.64206&amp;tipo=C","QRCODE")</f>
        <v>QRCODE</v>
      </c>
      <c r="C2609" t="s">
        <v>5328</v>
      </c>
      <c r="D2609" t="s">
        <v>105</v>
      </c>
      <c r="E2609" t="s">
        <v>670</v>
      </c>
      <c r="F2609" t="s">
        <v>12</v>
      </c>
      <c r="G2609" t="s">
        <v>5136</v>
      </c>
      <c r="H2609">
        <v>0</v>
      </c>
      <c r="I2609">
        <v>1</v>
      </c>
      <c r="J2609">
        <v>0</v>
      </c>
      <c r="K2609">
        <v>0</v>
      </c>
      <c r="L2609">
        <v>0</v>
      </c>
    </row>
    <row r="2610" spans="1:12">
      <c r="A2610" t="str">
        <f>HYPERLINK("http://bombeiros.sp.gov.br/hidrantes/03individual/595.html","595")</f>
        <v>595</v>
      </c>
      <c r="B2610" t="str">
        <f>HYPERLINK("http://bombeiros.sp.gov.br/hidrantes/08bsg/qrcodeBSG.html?id=595&amp;lat=-23.50043&amp;long=-46.63634&amp;tipo=S","QRCODE")</f>
        <v>QRCODE</v>
      </c>
      <c r="C2610" t="s">
        <v>5328</v>
      </c>
      <c r="D2610" t="s">
        <v>105</v>
      </c>
      <c r="E2610" t="s">
        <v>670</v>
      </c>
      <c r="F2610" t="s">
        <v>21</v>
      </c>
      <c r="G2610" t="s">
        <v>1418</v>
      </c>
      <c r="H2610">
        <v>1</v>
      </c>
      <c r="I2610">
        <v>2</v>
      </c>
      <c r="J2610">
        <v>0</v>
      </c>
      <c r="K2610">
        <v>0</v>
      </c>
      <c r="L2610">
        <v>0</v>
      </c>
    </row>
    <row r="2611" spans="1:12">
      <c r="A2611" t="str">
        <f>HYPERLINK("http://bombeiros.sp.gov.br/hidrantes/03individual/613.html","613")</f>
        <v>613</v>
      </c>
      <c r="B2611" t="str">
        <f>HYPERLINK("http://bombeiros.sp.gov.br/hidrantes/08bsg/qrcodeBSG.html?id=613&amp;lat=-23.49681&amp;long=-46.62760&amp;tipo=S","QRCODE")</f>
        <v>QRCODE</v>
      </c>
      <c r="C2611" t="s">
        <v>5328</v>
      </c>
      <c r="D2611" t="s">
        <v>105</v>
      </c>
      <c r="E2611" t="s">
        <v>670</v>
      </c>
      <c r="F2611" t="s">
        <v>21</v>
      </c>
      <c r="G2611" t="s">
        <v>4052</v>
      </c>
      <c r="H2611">
        <v>0</v>
      </c>
      <c r="I2611">
        <v>1</v>
      </c>
      <c r="J2611">
        <v>0</v>
      </c>
      <c r="K2611">
        <v>0</v>
      </c>
      <c r="L2611">
        <v>0</v>
      </c>
    </row>
    <row r="2612" spans="1:12">
      <c r="A2612" t="str">
        <f>HYPERLINK("http://bombeiros.sp.gov.br/hidrantes/03individual/659.html","659")</f>
        <v>659</v>
      </c>
      <c r="B2612" t="str">
        <f>HYPERLINK("http://bombeiros.sp.gov.br/hidrantes/08bsg/qrcodeBSG.html?id=659&amp;lat=-23.49811&amp;long=-46.64242&amp;tipo=S","QRCODE")</f>
        <v>QRCODE</v>
      </c>
      <c r="C2612" t="s">
        <v>5328</v>
      </c>
      <c r="D2612" t="s">
        <v>105</v>
      </c>
      <c r="E2612" t="s">
        <v>670</v>
      </c>
      <c r="F2612" t="s">
        <v>21</v>
      </c>
      <c r="G2612" t="s">
        <v>1427</v>
      </c>
      <c r="H2612">
        <v>1</v>
      </c>
      <c r="I2612">
        <v>2</v>
      </c>
      <c r="J2612">
        <v>0</v>
      </c>
      <c r="K2612">
        <v>0</v>
      </c>
      <c r="L2612">
        <v>0</v>
      </c>
    </row>
    <row r="2613" spans="1:12">
      <c r="A2613" t="str">
        <f>HYPERLINK("http://bombeiros.sp.gov.br/hidrantes/03individual/661.html","661")</f>
        <v>661</v>
      </c>
      <c r="B2613" t="str">
        <f>HYPERLINK("http://bombeiros.sp.gov.br/hidrantes/08bsg/qrcodeBSG.html?id=661&amp;lat=-23.50250&amp;long=-46.63954&amp;tipo=S","QRCODE")</f>
        <v>QRCODE</v>
      </c>
      <c r="C2613" t="s">
        <v>5328</v>
      </c>
      <c r="D2613" t="s">
        <v>105</v>
      </c>
      <c r="E2613" t="s">
        <v>670</v>
      </c>
      <c r="F2613" t="s">
        <v>21</v>
      </c>
      <c r="G2613" t="s">
        <v>3866</v>
      </c>
      <c r="H2613">
        <v>1</v>
      </c>
      <c r="I2613">
        <v>2</v>
      </c>
      <c r="J2613">
        <v>0</v>
      </c>
      <c r="K2613">
        <v>0</v>
      </c>
      <c r="L2613">
        <v>0</v>
      </c>
    </row>
    <row r="2614" spans="1:12">
      <c r="A2614" t="str">
        <f>HYPERLINK("http://bombeiros.sp.gov.br/hidrantes/03individual/677.html","677")</f>
        <v>677</v>
      </c>
      <c r="B2614" t="str">
        <f>HYPERLINK("http://bombeiros.sp.gov.br/hidrantes/08bsg/qrcodeBSG.html?id=677&amp;lat=-23.50256&amp;long=-46.63053&amp;tipo=S","QRCODE")</f>
        <v>QRCODE</v>
      </c>
      <c r="C2614" t="s">
        <v>5328</v>
      </c>
      <c r="D2614" t="s">
        <v>105</v>
      </c>
      <c r="E2614" t="s">
        <v>670</v>
      </c>
      <c r="F2614" t="s">
        <v>21</v>
      </c>
      <c r="G2614" t="s">
        <v>1425</v>
      </c>
      <c r="H2614">
        <v>0</v>
      </c>
      <c r="I2614">
        <v>2</v>
      </c>
      <c r="J2614">
        <v>0</v>
      </c>
      <c r="K2614">
        <v>0</v>
      </c>
      <c r="L2614">
        <v>0</v>
      </c>
    </row>
    <row r="2615" spans="1:12">
      <c r="A2615" t="str">
        <f>HYPERLINK("http://bombeiros.sp.gov.br/hidrantes/03individual/678.html","678")</f>
        <v>678</v>
      </c>
      <c r="B2615" t="str">
        <f>HYPERLINK("http://bombeiros.sp.gov.br/hidrantes/08bsg/qrcodeBSG.html?id=678&amp;lat=-23.50322&amp;long=-46.63581&amp;tipo=S","QRCODE")</f>
        <v>QRCODE</v>
      </c>
      <c r="C2615" t="s">
        <v>5328</v>
      </c>
      <c r="D2615" t="s">
        <v>105</v>
      </c>
      <c r="E2615" t="s">
        <v>670</v>
      </c>
      <c r="F2615" t="s">
        <v>21</v>
      </c>
      <c r="G2615" t="s">
        <v>1426</v>
      </c>
      <c r="H2615">
        <v>0</v>
      </c>
      <c r="I2615">
        <v>2</v>
      </c>
      <c r="J2615">
        <v>0</v>
      </c>
      <c r="K2615">
        <v>0</v>
      </c>
      <c r="L2615">
        <v>0</v>
      </c>
    </row>
    <row r="2616" spans="1:12">
      <c r="A2616" t="str">
        <f>HYPERLINK("http://bombeiros.sp.gov.br/hidrantes/03individual/711.html","711")</f>
        <v>711</v>
      </c>
      <c r="B2616" t="str">
        <f>HYPERLINK("http://bombeiros.sp.gov.br/hidrantes/08bsg/qrcodeBSG.html?id=711&amp;lat=-23.49835&amp;long=-46.63146&amp;tipo=S","QRCODE")</f>
        <v>QRCODE</v>
      </c>
      <c r="C2616" t="s">
        <v>5328</v>
      </c>
      <c r="D2616" t="s">
        <v>105</v>
      </c>
      <c r="E2616" t="s">
        <v>670</v>
      </c>
      <c r="F2616" t="s">
        <v>21</v>
      </c>
      <c r="G2616" t="s">
        <v>2991</v>
      </c>
      <c r="H2616">
        <v>0</v>
      </c>
      <c r="I2616">
        <v>2</v>
      </c>
      <c r="J2616">
        <v>0</v>
      </c>
      <c r="K2616">
        <v>0</v>
      </c>
      <c r="L2616">
        <v>0</v>
      </c>
    </row>
    <row r="2617" spans="1:12">
      <c r="A2617" t="str">
        <f>HYPERLINK("http://bombeiros.sp.gov.br/hidrantes/03individual/748.html","748")</f>
        <v>748</v>
      </c>
      <c r="B2617" t="str">
        <f>HYPERLINK("http://bombeiros.sp.gov.br/hidrantes/08bsg/qrcodeBSG.html?id=748&amp;lat=-23.49483&amp;long=-46.63272&amp;tipo=S","QRCODE")</f>
        <v>QRCODE</v>
      </c>
      <c r="C2617" t="s">
        <v>5328</v>
      </c>
      <c r="D2617" t="s">
        <v>105</v>
      </c>
      <c r="E2617" t="s">
        <v>670</v>
      </c>
      <c r="F2617" t="s">
        <v>21</v>
      </c>
      <c r="G2617" t="s">
        <v>2988</v>
      </c>
      <c r="H2617">
        <v>0</v>
      </c>
      <c r="I2617">
        <v>2</v>
      </c>
      <c r="J2617">
        <v>0</v>
      </c>
      <c r="K2617">
        <v>0</v>
      </c>
      <c r="L2617">
        <v>0</v>
      </c>
    </row>
    <row r="2618" spans="1:12">
      <c r="A2618" t="str">
        <f>HYPERLINK("http://bombeiros.sp.gov.br/hidrantes/03individual/837.html","837")</f>
        <v>837</v>
      </c>
      <c r="B2618" t="str">
        <f>HYPERLINK("http://bombeiros.sp.gov.br/hidrantes/08bsg/qrcodeBSG.html?id=837&amp;lat=-23.49799&amp;long=-46.63229&amp;tipo=S","QRCODE")</f>
        <v>QRCODE</v>
      </c>
      <c r="C2618" t="s">
        <v>5328</v>
      </c>
      <c r="D2618" t="s">
        <v>105</v>
      </c>
      <c r="E2618" t="s">
        <v>670</v>
      </c>
      <c r="F2618" t="s">
        <v>21</v>
      </c>
      <c r="G2618" t="s">
        <v>2971</v>
      </c>
      <c r="H2618">
        <v>0</v>
      </c>
      <c r="I2618">
        <v>2</v>
      </c>
      <c r="J2618">
        <v>0</v>
      </c>
      <c r="K2618">
        <v>0</v>
      </c>
      <c r="L2618">
        <v>0</v>
      </c>
    </row>
    <row r="2619" spans="1:12">
      <c r="A2619" t="str">
        <f>HYPERLINK("http://bombeiros.sp.gov.br/hidrantes/03individual/903.html","903")</f>
        <v>903</v>
      </c>
      <c r="B2619" t="str">
        <f>HYPERLINK("http://bombeiros.sp.gov.br/hidrantes/08bsg/qrcodeBSG.html?id=903&amp;lat=-23.49784&amp;long=-46.62562&amp;tipo=S","QRCODE")</f>
        <v>QRCODE</v>
      </c>
      <c r="C2619" t="s">
        <v>5328</v>
      </c>
      <c r="D2619" t="s">
        <v>105</v>
      </c>
      <c r="E2619" t="s">
        <v>670</v>
      </c>
      <c r="F2619" t="s">
        <v>21</v>
      </c>
      <c r="G2619" t="s">
        <v>2974</v>
      </c>
      <c r="H2619">
        <v>0</v>
      </c>
      <c r="I2619">
        <v>2</v>
      </c>
      <c r="J2619">
        <v>0</v>
      </c>
      <c r="K2619">
        <v>0</v>
      </c>
      <c r="L2619">
        <v>0</v>
      </c>
    </row>
    <row r="2620" spans="1:12">
      <c r="A2620" t="str">
        <f>HYPERLINK("http://bombeiros.sp.gov.br/hidrantes/03individual/2236.html","2236")</f>
        <v>2236</v>
      </c>
      <c r="B2620" t="str">
        <f>HYPERLINK("http://bombeiros.sp.gov.br/hidrantes/08bsg/qrcodeBSG.html?id=2236&amp;lat=-23.50235&amp;long=-46.62741&amp;tipo=S","QRCODE")</f>
        <v>QRCODE</v>
      </c>
      <c r="C2620" t="s">
        <v>5328</v>
      </c>
      <c r="D2620" t="s">
        <v>105</v>
      </c>
      <c r="E2620" t="s">
        <v>670</v>
      </c>
      <c r="F2620" t="s">
        <v>21</v>
      </c>
      <c r="G2620" t="s">
        <v>1478</v>
      </c>
      <c r="H2620">
        <v>0</v>
      </c>
      <c r="I2620">
        <v>2</v>
      </c>
      <c r="J2620">
        <v>0</v>
      </c>
      <c r="K2620">
        <v>0</v>
      </c>
      <c r="L2620">
        <v>0</v>
      </c>
    </row>
    <row r="2621" spans="1:12">
      <c r="A2621" t="str">
        <f>HYPERLINK("http://bombeiros.sp.gov.br/hidrantes/03individual/2238.html","2238")</f>
        <v>2238</v>
      </c>
      <c r="B2621" t="str">
        <f>HYPERLINK("http://bombeiros.sp.gov.br/hidrantes/08bsg/qrcodeBSG.html?id=2238&amp;lat=-23.50201&amp;long=-46.62913&amp;tipo=S","QRCODE")</f>
        <v>QRCODE</v>
      </c>
      <c r="C2621" t="s">
        <v>5328</v>
      </c>
      <c r="D2621" t="s">
        <v>105</v>
      </c>
      <c r="E2621" t="s">
        <v>670</v>
      </c>
      <c r="F2621" t="s">
        <v>21</v>
      </c>
      <c r="G2621" t="s">
        <v>4073</v>
      </c>
      <c r="H2621">
        <v>0</v>
      </c>
      <c r="I2621">
        <v>1</v>
      </c>
      <c r="J2621">
        <v>0</v>
      </c>
      <c r="K2621">
        <v>0</v>
      </c>
      <c r="L2621">
        <v>0</v>
      </c>
    </row>
    <row r="2622" spans="1:12">
      <c r="A2622" t="str">
        <f>HYPERLINK("http://bombeiros.sp.gov.br/hidrantes/03individual/3976.html","3976")</f>
        <v>3976</v>
      </c>
      <c r="B2622" t="str">
        <f>HYPERLINK("http://bombeiros.sp.gov.br/hidrantes/08bsg/qrcodeBSG.html?id=3976&amp;lat=-23.49867&amp;long=-46.63771&amp;tipo=S","QRCODE")</f>
        <v>QRCODE</v>
      </c>
      <c r="C2622" t="s">
        <v>5328</v>
      </c>
      <c r="D2622" t="s">
        <v>105</v>
      </c>
      <c r="E2622" t="s">
        <v>670</v>
      </c>
      <c r="F2622" t="s">
        <v>21</v>
      </c>
      <c r="G2622" t="s">
        <v>2931</v>
      </c>
      <c r="H2622">
        <v>0</v>
      </c>
      <c r="I2622">
        <v>2</v>
      </c>
      <c r="J2622">
        <v>0</v>
      </c>
      <c r="K2622">
        <v>0</v>
      </c>
      <c r="L2622">
        <v>0</v>
      </c>
    </row>
    <row r="2623" spans="1:12">
      <c r="A2623" t="str">
        <f>HYPERLINK("http://bombeiros.sp.gov.br/hidrantes/03individual/3983.html","3983")</f>
        <v>3983</v>
      </c>
      <c r="B2623" t="str">
        <f>HYPERLINK("http://bombeiros.sp.gov.br/hidrantes/08bsg/qrcodeBSG.html?id=3983&amp;lat=-23.49777&amp;long=-46.63340&amp;tipo=S","QRCODE")</f>
        <v>QRCODE</v>
      </c>
      <c r="C2623" t="s">
        <v>5328</v>
      </c>
      <c r="D2623" t="s">
        <v>105</v>
      </c>
      <c r="E2623" t="s">
        <v>670</v>
      </c>
      <c r="F2623" t="s">
        <v>21</v>
      </c>
      <c r="G2623" t="s">
        <v>2932</v>
      </c>
      <c r="H2623">
        <v>0</v>
      </c>
      <c r="I2623">
        <v>2</v>
      </c>
      <c r="J2623">
        <v>0</v>
      </c>
      <c r="K2623">
        <v>0</v>
      </c>
      <c r="L2623">
        <v>0</v>
      </c>
    </row>
    <row r="2624" spans="1:12">
      <c r="A2624" t="str">
        <f>HYPERLINK("http://bombeiros.sp.gov.br/hidrantes/03individual/3988.html","3988")</f>
        <v>3988</v>
      </c>
      <c r="B2624" t="str">
        <f>HYPERLINK("http://bombeiros.sp.gov.br/hidrantes/08bsg/qrcodeBSG.html?id=3988&amp;lat=-23.49515&amp;long=-46.63072&amp;tipo=S","QRCODE")</f>
        <v>QRCODE</v>
      </c>
      <c r="C2624" t="s">
        <v>5328</v>
      </c>
      <c r="D2624" t="s">
        <v>105</v>
      </c>
      <c r="E2624" t="s">
        <v>670</v>
      </c>
      <c r="F2624" t="s">
        <v>21</v>
      </c>
      <c r="G2624" t="s">
        <v>713</v>
      </c>
      <c r="H2624">
        <v>1</v>
      </c>
      <c r="I2624">
        <v>3</v>
      </c>
      <c r="J2624">
        <v>0</v>
      </c>
      <c r="K2624">
        <v>0</v>
      </c>
      <c r="L2624">
        <v>0</v>
      </c>
    </row>
    <row r="2625" spans="1:12">
      <c r="A2625" t="str">
        <f>HYPERLINK("http://bombeiros.sp.gov.br/hidrantes/03individual/3989.html","3989")</f>
        <v>3989</v>
      </c>
      <c r="B2625" t="str">
        <f>HYPERLINK("http://bombeiros.sp.gov.br/hidrantes/08bsg/qrcodeBSG.html?id=3989&amp;lat=-23.49685&amp;long=-46.62875&amp;tipo=S","QRCODE")</f>
        <v>QRCODE</v>
      </c>
      <c r="C2625" t="s">
        <v>5328</v>
      </c>
      <c r="D2625" t="s">
        <v>105</v>
      </c>
      <c r="E2625" t="s">
        <v>670</v>
      </c>
      <c r="F2625" t="s">
        <v>21</v>
      </c>
      <c r="G2625" t="s">
        <v>4061</v>
      </c>
      <c r="H2625">
        <v>0</v>
      </c>
      <c r="I2625">
        <v>1</v>
      </c>
      <c r="J2625">
        <v>0</v>
      </c>
      <c r="K2625">
        <v>0</v>
      </c>
      <c r="L2625">
        <v>0</v>
      </c>
    </row>
    <row r="2626" spans="1:12">
      <c r="A2626" t="str">
        <f>HYPERLINK("http://bombeiros.sp.gov.br/hidrantes/03individual/5252.html","5252")</f>
        <v>5252</v>
      </c>
      <c r="B2626" t="str">
        <f>HYPERLINK("http://bombeiros.sp.gov.br/hidrantes/08bsg/qrcodeBSG.html?id=5252&amp;lat=-23.49824&amp;long=-46.62342&amp;tipo=S","QRCODE")</f>
        <v>QRCODE</v>
      </c>
      <c r="C2626" t="s">
        <v>5328</v>
      </c>
      <c r="D2626" t="s">
        <v>105</v>
      </c>
      <c r="E2626" t="s">
        <v>670</v>
      </c>
      <c r="F2626" t="s">
        <v>21</v>
      </c>
      <c r="G2626" t="s">
        <v>5143</v>
      </c>
      <c r="H2626">
        <v>0</v>
      </c>
      <c r="I2626">
        <v>1</v>
      </c>
      <c r="J2626">
        <v>0</v>
      </c>
      <c r="K2626">
        <v>0</v>
      </c>
      <c r="L2626">
        <v>0</v>
      </c>
    </row>
    <row r="2627" spans="1:12">
      <c r="A2627" t="str">
        <f>HYPERLINK("http://bombeiros.sp.gov.br/hidrantes/03individual/24153.html","24153")</f>
        <v>24153</v>
      </c>
      <c r="B2627" t="str">
        <f>HYPERLINK("http://bombeiros.sp.gov.br/hidrantes/08bsg/qrcodeBSG.html?id=24153&amp;lat=-23.49761&amp;long=-46.62320&amp;tipo=S","QRCODE")</f>
        <v>QRCODE</v>
      </c>
      <c r="C2627" t="s">
        <v>5328</v>
      </c>
      <c r="D2627" t="s">
        <v>105</v>
      </c>
      <c r="E2627" t="s">
        <v>670</v>
      </c>
      <c r="F2627" t="s">
        <v>21</v>
      </c>
      <c r="G2627" t="s">
        <v>669</v>
      </c>
      <c r="H2627">
        <v>1</v>
      </c>
      <c r="I2627">
        <v>2</v>
      </c>
      <c r="J2627">
        <v>0</v>
      </c>
      <c r="K2627">
        <v>0</v>
      </c>
      <c r="L2627">
        <v>0</v>
      </c>
    </row>
    <row r="2628" spans="1:12">
      <c r="A2628" t="str">
        <f>HYPERLINK("http://bombeiros.sp.gov.br/hidrantes/03individual/892.html","892")</f>
        <v>892</v>
      </c>
      <c r="B2628" t="str">
        <f>HYPERLINK("http://bombeiros.sp.gov.br/hidrantes/08bsg/qrcodeBSG.html?id=892&amp;lat=-23.50618&amp;long=-46.62644&amp;tipo=C","QRCODE")</f>
        <v>QRCODE</v>
      </c>
      <c r="C2628" t="s">
        <v>5328</v>
      </c>
      <c r="D2628" t="s">
        <v>105</v>
      </c>
      <c r="E2628" t="s">
        <v>1236</v>
      </c>
      <c r="F2628" t="s">
        <v>12</v>
      </c>
      <c r="G2628" t="s">
        <v>1235</v>
      </c>
      <c r="H2628">
        <v>0</v>
      </c>
      <c r="I2628">
        <v>2</v>
      </c>
      <c r="J2628">
        <v>0</v>
      </c>
      <c r="K2628">
        <v>0</v>
      </c>
      <c r="L2628">
        <v>0</v>
      </c>
    </row>
    <row r="2629" spans="1:12">
      <c r="A2629" t="str">
        <f>HYPERLINK("http://bombeiros.sp.gov.br/hidrantes/03individual/2586.html","2586")</f>
        <v>2586</v>
      </c>
      <c r="B2629" t="str">
        <f>HYPERLINK("http://bombeiros.sp.gov.br/hidrantes/08bsg/qrcodeBSG.html?id=2586&amp;lat=-23.50639&amp;long=-46.62787&amp;tipo=C","QRCODE")</f>
        <v>QRCODE</v>
      </c>
      <c r="C2629" t="s">
        <v>5328</v>
      </c>
      <c r="D2629" t="s">
        <v>105</v>
      </c>
      <c r="E2629" t="s">
        <v>1236</v>
      </c>
      <c r="F2629" t="s">
        <v>12</v>
      </c>
      <c r="G2629" t="s">
        <v>1288</v>
      </c>
      <c r="H2629">
        <v>0</v>
      </c>
      <c r="I2629">
        <v>3</v>
      </c>
      <c r="J2629">
        <v>0</v>
      </c>
      <c r="K2629">
        <v>0</v>
      </c>
      <c r="L2629">
        <v>0</v>
      </c>
    </row>
    <row r="2630" spans="1:12">
      <c r="A2630" t="str">
        <f>HYPERLINK("http://bombeiros.sp.gov.br/hidrantes/03individual/534.html","534")</f>
        <v>534</v>
      </c>
      <c r="B2630" t="str">
        <f>HYPERLINK("http://bombeiros.sp.gov.br/hidrantes/08bsg/qrcodeBSG.html?id=534&amp;lat=-23.50837&amp;long=-46.62712&amp;tipo=S","QRCODE")</f>
        <v>QRCODE</v>
      </c>
      <c r="C2630" t="s">
        <v>5328</v>
      </c>
      <c r="D2630" t="s">
        <v>105</v>
      </c>
      <c r="E2630" t="s">
        <v>1236</v>
      </c>
      <c r="F2630" t="s">
        <v>21</v>
      </c>
      <c r="G2630" t="s">
        <v>1237</v>
      </c>
      <c r="H2630">
        <v>0</v>
      </c>
      <c r="I2630">
        <v>2</v>
      </c>
      <c r="J2630">
        <v>0</v>
      </c>
      <c r="K2630">
        <v>0</v>
      </c>
      <c r="L2630">
        <v>0</v>
      </c>
    </row>
    <row r="2631" spans="1:12">
      <c r="A2631" t="str">
        <f>HYPERLINK("http://bombeiros.sp.gov.br/hidrantes/03individual/563.html","563")</f>
        <v>563</v>
      </c>
      <c r="B2631" t="str">
        <f>HYPERLINK("http://bombeiros.sp.gov.br/hidrantes/08bsg/qrcodeBSG.html?id=563&amp;lat=-23.50437&amp;long=-46.62139&amp;tipo=S","QRCODE")</f>
        <v>QRCODE</v>
      </c>
      <c r="C2631" t="s">
        <v>5328</v>
      </c>
      <c r="D2631" t="s">
        <v>105</v>
      </c>
      <c r="E2631" t="s">
        <v>1236</v>
      </c>
      <c r="F2631" t="s">
        <v>21</v>
      </c>
      <c r="G2631" t="s">
        <v>2980</v>
      </c>
      <c r="H2631">
        <v>0</v>
      </c>
      <c r="I2631">
        <v>2</v>
      </c>
      <c r="J2631">
        <v>0</v>
      </c>
      <c r="K2631">
        <v>0</v>
      </c>
      <c r="L2631">
        <v>0</v>
      </c>
    </row>
    <row r="2632" spans="1:12">
      <c r="A2632" t="str">
        <f>HYPERLINK("http://bombeiros.sp.gov.br/hidrantes/03individual/2570.html","2570")</f>
        <v>2570</v>
      </c>
      <c r="B2632" t="str">
        <f>HYPERLINK("http://bombeiros.sp.gov.br/hidrantes/08bsg/qrcodeBSG.html?id=2570&amp;lat=-23.50454&amp;long=-46.62653&amp;tipo=S","QRCODE")</f>
        <v>QRCODE</v>
      </c>
      <c r="C2632" t="s">
        <v>5328</v>
      </c>
      <c r="D2632" t="s">
        <v>105</v>
      </c>
      <c r="E2632" t="s">
        <v>1236</v>
      </c>
      <c r="F2632" t="s">
        <v>21</v>
      </c>
      <c r="G2632" t="s">
        <v>5050</v>
      </c>
      <c r="H2632">
        <v>0</v>
      </c>
      <c r="I2632">
        <v>1</v>
      </c>
      <c r="J2632">
        <v>0</v>
      </c>
      <c r="K2632">
        <v>0</v>
      </c>
      <c r="L2632">
        <v>0</v>
      </c>
    </row>
    <row r="2633" spans="1:12">
      <c r="A2633" t="str">
        <f>HYPERLINK("http://bombeiros.sp.gov.br/hidrantes/03individual/2745.html","2745")</f>
        <v>2745</v>
      </c>
      <c r="B2633" t="str">
        <f>HYPERLINK("http://bombeiros.sp.gov.br/hidrantes/08bsg/qrcodeBSG.html?id=2745&amp;lat=-23.50520&amp;long=-46.62232&amp;tipo=S","QRCODE")</f>
        <v>QRCODE</v>
      </c>
      <c r="C2633" t="s">
        <v>5328</v>
      </c>
      <c r="D2633" t="s">
        <v>105</v>
      </c>
      <c r="E2633" t="s">
        <v>1236</v>
      </c>
      <c r="F2633" t="s">
        <v>21</v>
      </c>
      <c r="G2633" t="s">
        <v>1300</v>
      </c>
      <c r="H2633">
        <v>0</v>
      </c>
      <c r="I2633">
        <v>2</v>
      </c>
      <c r="J2633">
        <v>0</v>
      </c>
      <c r="K2633">
        <v>0</v>
      </c>
      <c r="L2633">
        <v>0</v>
      </c>
    </row>
    <row r="2634" spans="1:12">
      <c r="A2634" t="str">
        <f>HYPERLINK("http://bombeiros.sp.gov.br/hidrantes/03individual/908.html","908")</f>
        <v>908</v>
      </c>
      <c r="B2634" t="str">
        <f>HYPERLINK("http://bombeiros.sp.gov.br/hidrantes/08bsg/qrcodeBSG.html?id=908&amp;lat=-23.49503&amp;long=-46.61741&amp;tipo=C","QRCODE")</f>
        <v>QRCODE</v>
      </c>
      <c r="C2634" t="s">
        <v>5328</v>
      </c>
      <c r="D2634" t="s">
        <v>105</v>
      </c>
      <c r="E2634" t="s">
        <v>718</v>
      </c>
      <c r="F2634" t="s">
        <v>12</v>
      </c>
      <c r="G2634" t="s">
        <v>4371</v>
      </c>
      <c r="H2634">
        <v>0</v>
      </c>
      <c r="I2634">
        <v>2</v>
      </c>
      <c r="J2634">
        <v>0</v>
      </c>
      <c r="K2634">
        <v>0</v>
      </c>
      <c r="L2634">
        <v>0</v>
      </c>
    </row>
    <row r="2635" spans="1:12">
      <c r="A2635" t="str">
        <f>HYPERLINK("http://bombeiros.sp.gov.br/hidrantes/03individual/3558.html","3558")</f>
        <v>3558</v>
      </c>
      <c r="B2635" t="str">
        <f>HYPERLINK("http://bombeiros.sp.gov.br/hidrantes/08bsg/qrcodeBSG.html?id=3558&amp;lat=-23.48828&amp;long=-46.61243&amp;tipo=C","QRCODE")</f>
        <v>QRCODE</v>
      </c>
      <c r="C2635" t="s">
        <v>5328</v>
      </c>
      <c r="D2635" t="s">
        <v>105</v>
      </c>
      <c r="E2635" t="s">
        <v>718</v>
      </c>
      <c r="F2635" t="s">
        <v>12</v>
      </c>
      <c r="G2635" t="s">
        <v>3216</v>
      </c>
      <c r="H2635">
        <v>0</v>
      </c>
      <c r="I2635">
        <v>2</v>
      </c>
      <c r="J2635">
        <v>0</v>
      </c>
      <c r="K2635">
        <v>0</v>
      </c>
      <c r="L2635">
        <v>0</v>
      </c>
    </row>
    <row r="2636" spans="1:12">
      <c r="A2636" t="str">
        <f>HYPERLINK("http://bombeiros.sp.gov.br/hidrantes/03individual/3562.html","3562")</f>
        <v>3562</v>
      </c>
      <c r="B2636" t="str">
        <f>HYPERLINK("http://bombeiros.sp.gov.br/hidrantes/08bsg/qrcodeBSG.html?id=3562&amp;lat=-23.48701&amp;long=-46.62383&amp;tipo=C","QRCODE")</f>
        <v>QRCODE</v>
      </c>
      <c r="C2636" t="s">
        <v>5328</v>
      </c>
      <c r="D2636" t="s">
        <v>105</v>
      </c>
      <c r="E2636" t="s">
        <v>718</v>
      </c>
      <c r="F2636" t="s">
        <v>12</v>
      </c>
      <c r="G2636" t="s">
        <v>724</v>
      </c>
      <c r="H2636">
        <v>0</v>
      </c>
      <c r="I2636">
        <v>3</v>
      </c>
      <c r="J2636">
        <v>0</v>
      </c>
      <c r="K2636">
        <v>0</v>
      </c>
      <c r="L2636">
        <v>0</v>
      </c>
    </row>
    <row r="2637" spans="1:12">
      <c r="A2637" t="str">
        <f>HYPERLINK("http://bombeiros.sp.gov.br/hidrantes/03individual/3563.html","3563")</f>
        <v>3563</v>
      </c>
      <c r="B2637" t="str">
        <f>HYPERLINK("http://bombeiros.sp.gov.br/hidrantes/08bsg/qrcodeBSG.html?id=3563&amp;lat=-23.48774&amp;long=-46.62228&amp;tipo=C","QRCODE")</f>
        <v>QRCODE</v>
      </c>
      <c r="C2637" t="s">
        <v>5328</v>
      </c>
      <c r="D2637" t="s">
        <v>105</v>
      </c>
      <c r="E2637" t="s">
        <v>718</v>
      </c>
      <c r="F2637" t="s">
        <v>12</v>
      </c>
      <c r="G2637" t="s">
        <v>725</v>
      </c>
      <c r="H2637">
        <v>1</v>
      </c>
      <c r="I2637">
        <v>3</v>
      </c>
      <c r="J2637">
        <v>0</v>
      </c>
      <c r="K2637">
        <v>0</v>
      </c>
      <c r="L2637">
        <v>0</v>
      </c>
    </row>
    <row r="2638" spans="1:12">
      <c r="A2638" t="str">
        <f>HYPERLINK("http://bombeiros.sp.gov.br/hidrantes/03individual/3565.html","3565")</f>
        <v>3565</v>
      </c>
      <c r="B2638" t="str">
        <f>HYPERLINK("http://bombeiros.sp.gov.br/hidrantes/08bsg/qrcodeBSG.html?id=3565&amp;lat=-23.49657&amp;long=-46.61523&amp;tipo=C","QRCODE")</f>
        <v>QRCODE</v>
      </c>
      <c r="C2638" t="s">
        <v>5328</v>
      </c>
      <c r="D2638" t="s">
        <v>105</v>
      </c>
      <c r="E2638" t="s">
        <v>718</v>
      </c>
      <c r="F2638" t="s">
        <v>12</v>
      </c>
      <c r="G2638" t="s">
        <v>2952</v>
      </c>
      <c r="H2638">
        <v>0</v>
      </c>
      <c r="I2638">
        <v>2</v>
      </c>
      <c r="J2638">
        <v>0</v>
      </c>
      <c r="K2638">
        <v>0</v>
      </c>
      <c r="L2638">
        <v>0</v>
      </c>
    </row>
    <row r="2639" spans="1:12">
      <c r="A2639" t="str">
        <f>HYPERLINK("http://bombeiros.sp.gov.br/hidrantes/03individual/3566.html","3566")</f>
        <v>3566</v>
      </c>
      <c r="B2639" t="str">
        <f>HYPERLINK("http://bombeiros.sp.gov.br/hidrantes/08bsg/qrcodeBSG.html?id=3566&amp;lat=-23.49623&amp;long=-46.61227&amp;tipo=C","QRCODE")</f>
        <v>QRCODE</v>
      </c>
      <c r="C2639" t="s">
        <v>5328</v>
      </c>
      <c r="D2639" t="s">
        <v>105</v>
      </c>
      <c r="E2639" t="s">
        <v>718</v>
      </c>
      <c r="F2639" t="s">
        <v>12</v>
      </c>
      <c r="G2639" t="s">
        <v>722</v>
      </c>
      <c r="H2639">
        <v>0</v>
      </c>
      <c r="I2639">
        <v>2</v>
      </c>
      <c r="J2639">
        <v>0</v>
      </c>
      <c r="K2639">
        <v>0</v>
      </c>
      <c r="L2639">
        <v>0</v>
      </c>
    </row>
    <row r="2640" spans="1:12">
      <c r="A2640" t="str">
        <f>HYPERLINK("http://bombeiros.sp.gov.br/hidrantes/03individual/3581.html","3581")</f>
        <v>3581</v>
      </c>
      <c r="B2640" t="str">
        <f>HYPERLINK("http://bombeiros.sp.gov.br/hidrantes/08bsg/qrcodeBSG.html?id=3581&amp;lat=-23.48936&amp;long=-46.61917&amp;tipo=C","QRCODE")</f>
        <v>QRCODE</v>
      </c>
      <c r="C2640" t="s">
        <v>5328</v>
      </c>
      <c r="D2640" t="s">
        <v>105</v>
      </c>
      <c r="E2640" t="s">
        <v>718</v>
      </c>
      <c r="F2640" t="s">
        <v>12</v>
      </c>
      <c r="G2640" t="s">
        <v>4219</v>
      </c>
      <c r="H2640">
        <v>0</v>
      </c>
      <c r="I2640">
        <v>2</v>
      </c>
      <c r="J2640">
        <v>0</v>
      </c>
      <c r="K2640">
        <v>0</v>
      </c>
      <c r="L2640">
        <v>0</v>
      </c>
    </row>
    <row r="2641" spans="1:12">
      <c r="A2641" t="str">
        <f>HYPERLINK("http://bombeiros.sp.gov.br/hidrantes/03individual/3583.html","3583")</f>
        <v>3583</v>
      </c>
      <c r="B2641" t="str">
        <f>HYPERLINK("http://bombeiros.sp.gov.br/hidrantes/08bsg/qrcodeBSG.html?id=3583&amp;lat=-23.48550&amp;long=-46.61609&amp;tipo=C","QRCODE")</f>
        <v>QRCODE</v>
      </c>
      <c r="C2641" t="s">
        <v>5328</v>
      </c>
      <c r="D2641" t="s">
        <v>105</v>
      </c>
      <c r="E2641" t="s">
        <v>718</v>
      </c>
      <c r="F2641" t="s">
        <v>12</v>
      </c>
      <c r="G2641" t="s">
        <v>717</v>
      </c>
      <c r="H2641">
        <v>0</v>
      </c>
      <c r="I2641">
        <v>3</v>
      </c>
      <c r="J2641">
        <v>0</v>
      </c>
      <c r="K2641">
        <v>0</v>
      </c>
      <c r="L2641">
        <v>0</v>
      </c>
    </row>
    <row r="2642" spans="1:12">
      <c r="A2642" t="str">
        <f>HYPERLINK("http://bombeiros.sp.gov.br/hidrantes/03individual/532.html","532")</f>
        <v>532</v>
      </c>
      <c r="B2642" t="str">
        <f>HYPERLINK("http://bombeiros.sp.gov.br/hidrantes/08bsg/qrcodeBSG.html?id=532&amp;lat=-23.49271&amp;long=-46.61787&amp;tipo=S","QRCODE")</f>
        <v>QRCODE</v>
      </c>
      <c r="C2642" t="s">
        <v>5328</v>
      </c>
      <c r="D2642" t="s">
        <v>105</v>
      </c>
      <c r="E2642" t="s">
        <v>718</v>
      </c>
      <c r="F2642" t="s">
        <v>21</v>
      </c>
      <c r="G2642" t="s">
        <v>4377</v>
      </c>
      <c r="H2642">
        <v>0</v>
      </c>
      <c r="I2642">
        <v>2</v>
      </c>
      <c r="J2642">
        <v>0</v>
      </c>
      <c r="K2642">
        <v>0</v>
      </c>
      <c r="L2642">
        <v>0</v>
      </c>
    </row>
    <row r="2643" spans="1:12">
      <c r="A2643" t="str">
        <f>HYPERLINK("http://bombeiros.sp.gov.br/hidrantes/03individual/533.html","533")</f>
        <v>533</v>
      </c>
      <c r="B2643" t="str">
        <f>HYPERLINK("http://bombeiros.sp.gov.br/hidrantes/08bsg/qrcodeBSG.html?id=533&amp;lat=-23.49562&amp;long=-46.61627&amp;tipo=S","QRCODE")</f>
        <v>QRCODE</v>
      </c>
      <c r="C2643" t="s">
        <v>5328</v>
      </c>
      <c r="D2643" t="s">
        <v>105</v>
      </c>
      <c r="E2643" t="s">
        <v>718</v>
      </c>
      <c r="F2643" t="s">
        <v>21</v>
      </c>
      <c r="G2643" t="s">
        <v>4354</v>
      </c>
      <c r="H2643">
        <v>0</v>
      </c>
      <c r="I2643">
        <v>2</v>
      </c>
      <c r="J2643">
        <v>0</v>
      </c>
      <c r="K2643">
        <v>0</v>
      </c>
      <c r="L2643">
        <v>0</v>
      </c>
    </row>
    <row r="2644" spans="1:12">
      <c r="A2644" t="str">
        <f>HYPERLINK("http://bombeiros.sp.gov.br/hidrantes/03individual/576.html","576")</f>
        <v>576</v>
      </c>
      <c r="B2644" t="str">
        <f>HYPERLINK("http://bombeiros.sp.gov.br/hidrantes/08bsg/qrcodeBSG.html?id=576&amp;lat=-23.48242&amp;long=-46.62201&amp;tipo=S","QRCODE")</f>
        <v>QRCODE</v>
      </c>
      <c r="C2644" t="s">
        <v>5328</v>
      </c>
      <c r="D2644" t="s">
        <v>105</v>
      </c>
      <c r="E2644" t="s">
        <v>718</v>
      </c>
      <c r="F2644" t="s">
        <v>21</v>
      </c>
      <c r="G2644" t="s">
        <v>787</v>
      </c>
      <c r="H2644">
        <v>0</v>
      </c>
      <c r="I2644">
        <v>2</v>
      </c>
      <c r="J2644">
        <v>0</v>
      </c>
      <c r="K2644">
        <v>0</v>
      </c>
      <c r="L2644">
        <v>0</v>
      </c>
    </row>
    <row r="2645" spans="1:12">
      <c r="A2645" t="str">
        <f>HYPERLINK("http://bombeiros.sp.gov.br/hidrantes/03individual/669.html","669")</f>
        <v>669</v>
      </c>
      <c r="B2645" t="str">
        <f>HYPERLINK("http://bombeiros.sp.gov.br/hidrantes/08bsg/qrcodeBSG.html?id=669&amp;lat=-23.49917&amp;long=-46.61996&amp;tipo=S","QRCODE")</f>
        <v>QRCODE</v>
      </c>
      <c r="C2645" t="s">
        <v>5328</v>
      </c>
      <c r="D2645" t="s">
        <v>105</v>
      </c>
      <c r="E2645" t="s">
        <v>718</v>
      </c>
      <c r="F2645" t="s">
        <v>21</v>
      </c>
      <c r="G2645" t="s">
        <v>4590</v>
      </c>
      <c r="H2645">
        <v>1</v>
      </c>
      <c r="I2645">
        <v>2</v>
      </c>
      <c r="J2645">
        <v>0</v>
      </c>
      <c r="K2645">
        <v>0</v>
      </c>
      <c r="L2645">
        <v>0</v>
      </c>
    </row>
    <row r="2646" spans="1:12">
      <c r="A2646" t="str">
        <f>HYPERLINK("http://bombeiros.sp.gov.br/hidrantes/03individual/747.html","747")</f>
        <v>747</v>
      </c>
      <c r="B2646" t="str">
        <f>HYPERLINK("http://bombeiros.sp.gov.br/hidrantes/08bsg/qrcodeBSG.html?id=747&amp;lat=-23.49927&amp;long=-46.61607&amp;tipo=S","QRCODE")</f>
        <v>QRCODE</v>
      </c>
      <c r="C2646" t="s">
        <v>5328</v>
      </c>
      <c r="D2646" t="s">
        <v>105</v>
      </c>
      <c r="E2646" t="s">
        <v>718</v>
      </c>
      <c r="F2646" t="s">
        <v>21</v>
      </c>
      <c r="G2646" t="s">
        <v>2986</v>
      </c>
      <c r="H2646">
        <v>1</v>
      </c>
      <c r="I2646">
        <v>2</v>
      </c>
      <c r="J2646">
        <v>0</v>
      </c>
      <c r="K2646">
        <v>0</v>
      </c>
      <c r="L2646">
        <v>0</v>
      </c>
    </row>
    <row r="2647" spans="1:12">
      <c r="A2647" t="str">
        <f>HYPERLINK("http://bombeiros.sp.gov.br/hidrantes/03individual/749.html","749")</f>
        <v>749</v>
      </c>
      <c r="B2647" t="str">
        <f>HYPERLINK("http://bombeiros.sp.gov.br/hidrantes/08bsg/qrcodeBSG.html?id=749&amp;lat=-23.48927&amp;long=-46.62433&amp;tipo=S","QRCODE")</f>
        <v>QRCODE</v>
      </c>
      <c r="C2647" t="s">
        <v>5328</v>
      </c>
      <c r="D2647" t="s">
        <v>105</v>
      </c>
      <c r="E2647" t="s">
        <v>718</v>
      </c>
      <c r="F2647" t="s">
        <v>21</v>
      </c>
      <c r="G2647" t="s">
        <v>1606</v>
      </c>
      <c r="H2647">
        <v>0</v>
      </c>
      <c r="I2647">
        <v>2</v>
      </c>
      <c r="J2647">
        <v>0</v>
      </c>
      <c r="K2647">
        <v>0</v>
      </c>
      <c r="L2647">
        <v>0</v>
      </c>
    </row>
    <row r="2648" spans="1:12">
      <c r="A2648" t="str">
        <f>HYPERLINK("http://bombeiros.sp.gov.br/hidrantes/03individual/751.html","751")</f>
        <v>751</v>
      </c>
      <c r="B2648" t="str">
        <f>HYPERLINK("http://bombeiros.sp.gov.br/hidrantes/08bsg/qrcodeBSG.html?id=751&amp;lat=-23.48413&amp;long=-46.62772&amp;tipo=S","QRCODE")</f>
        <v>QRCODE</v>
      </c>
      <c r="C2648" t="s">
        <v>5328</v>
      </c>
      <c r="D2648" t="s">
        <v>105</v>
      </c>
      <c r="E2648" t="s">
        <v>718</v>
      </c>
      <c r="F2648" t="s">
        <v>21</v>
      </c>
      <c r="G2648" t="s">
        <v>1605</v>
      </c>
      <c r="H2648">
        <v>2</v>
      </c>
      <c r="I2648">
        <v>2</v>
      </c>
      <c r="J2648">
        <v>0</v>
      </c>
      <c r="K2648">
        <v>0</v>
      </c>
      <c r="L2648">
        <v>0</v>
      </c>
    </row>
    <row r="2649" spans="1:12">
      <c r="A2649" t="str">
        <f>HYPERLINK("http://bombeiros.sp.gov.br/hidrantes/03individual/857.html","857")</f>
        <v>857</v>
      </c>
      <c r="B2649" t="str">
        <f>HYPERLINK("http://bombeiros.sp.gov.br/hidrantes/08bsg/qrcodeBSG.html?id=857&amp;lat=-23.48851&amp;long=-46.61626&amp;tipo=S","QRCODE")</f>
        <v>QRCODE</v>
      </c>
      <c r="C2649" t="s">
        <v>5328</v>
      </c>
      <c r="D2649" t="s">
        <v>105</v>
      </c>
      <c r="E2649" t="s">
        <v>718</v>
      </c>
      <c r="F2649" t="s">
        <v>21</v>
      </c>
      <c r="G2649" t="s">
        <v>4373</v>
      </c>
      <c r="H2649">
        <v>0</v>
      </c>
      <c r="I2649">
        <v>2</v>
      </c>
      <c r="J2649">
        <v>0</v>
      </c>
      <c r="K2649">
        <v>0</v>
      </c>
      <c r="L2649">
        <v>0</v>
      </c>
    </row>
    <row r="2650" spans="1:12">
      <c r="A2650" t="str">
        <f>HYPERLINK("http://bombeiros.sp.gov.br/hidrantes/03individual/906.html","906")</f>
        <v>906</v>
      </c>
      <c r="B2650" t="str">
        <f>HYPERLINK("http://bombeiros.sp.gov.br/hidrantes/08bsg/qrcodeBSG.html?id=906&amp;lat=-23.49407&amp;long=-46.61822&amp;tipo=S","QRCODE")</f>
        <v>QRCODE</v>
      </c>
      <c r="C2650" t="s">
        <v>5328</v>
      </c>
      <c r="D2650" t="s">
        <v>105</v>
      </c>
      <c r="E2650" t="s">
        <v>718</v>
      </c>
      <c r="F2650" t="s">
        <v>21</v>
      </c>
      <c r="G2650" t="s">
        <v>4370</v>
      </c>
      <c r="H2650">
        <v>0</v>
      </c>
      <c r="I2650">
        <v>2</v>
      </c>
      <c r="J2650">
        <v>0</v>
      </c>
      <c r="K2650">
        <v>0</v>
      </c>
      <c r="L2650">
        <v>0</v>
      </c>
    </row>
    <row r="2651" spans="1:12">
      <c r="A2651" t="str">
        <f>HYPERLINK("http://bombeiros.sp.gov.br/hidrantes/03individual/910.html","910")</f>
        <v>910</v>
      </c>
      <c r="B2651" t="str">
        <f>HYPERLINK("http://bombeiros.sp.gov.br/hidrantes/08bsg/qrcodeBSG.html?id=910&amp;lat=-23.48494&amp;long=-46.62365&amp;tipo=S","QRCODE")</f>
        <v>QRCODE</v>
      </c>
      <c r="C2651" t="s">
        <v>5328</v>
      </c>
      <c r="D2651" t="s">
        <v>105</v>
      </c>
      <c r="E2651" t="s">
        <v>718</v>
      </c>
      <c r="F2651" t="s">
        <v>21</v>
      </c>
      <c r="G2651" t="s">
        <v>1601</v>
      </c>
      <c r="H2651">
        <v>0</v>
      </c>
      <c r="I2651">
        <v>2</v>
      </c>
      <c r="J2651">
        <v>0</v>
      </c>
      <c r="K2651">
        <v>0</v>
      </c>
      <c r="L2651">
        <v>0</v>
      </c>
    </row>
    <row r="2652" spans="1:12">
      <c r="A2652" t="str">
        <f>HYPERLINK("http://bombeiros.sp.gov.br/hidrantes/03individual/3559.html","3559")</f>
        <v>3559</v>
      </c>
      <c r="B2652" t="str">
        <f>HYPERLINK("http://bombeiros.sp.gov.br/hidrantes/08bsg/qrcodeBSG.html?id=3559&amp;lat=-23.49122&amp;long=-46.61179&amp;tipo=S","QRCODE")</f>
        <v>QRCODE</v>
      </c>
      <c r="C2652" t="s">
        <v>5328</v>
      </c>
      <c r="D2652" t="s">
        <v>105</v>
      </c>
      <c r="E2652" t="s">
        <v>718</v>
      </c>
      <c r="F2652" t="s">
        <v>21</v>
      </c>
      <c r="G2652" t="s">
        <v>2957</v>
      </c>
      <c r="H2652">
        <v>0</v>
      </c>
      <c r="I2652">
        <v>2</v>
      </c>
      <c r="J2652">
        <v>0</v>
      </c>
      <c r="K2652">
        <v>0</v>
      </c>
      <c r="L2652">
        <v>0</v>
      </c>
    </row>
    <row r="2653" spans="1:12">
      <c r="A2653" t="str">
        <f>HYPERLINK("http://bombeiros.sp.gov.br/hidrantes/03individual/3873.html","3873")</f>
        <v>3873</v>
      </c>
      <c r="B2653" t="str">
        <f>HYPERLINK("http://bombeiros.sp.gov.br/hidrantes/08bsg/qrcodeBSG.html?id=3873&amp;lat=-23.48430&amp;long=-46.62250&amp;tipo=S","QRCODE")</f>
        <v>QRCODE</v>
      </c>
      <c r="C2653" t="s">
        <v>5328</v>
      </c>
      <c r="D2653" t="s">
        <v>105</v>
      </c>
      <c r="E2653" t="s">
        <v>718</v>
      </c>
      <c r="F2653" t="s">
        <v>21</v>
      </c>
      <c r="G2653" t="s">
        <v>3536</v>
      </c>
      <c r="H2653">
        <v>1</v>
      </c>
      <c r="I2653">
        <v>1</v>
      </c>
      <c r="J2653">
        <v>0</v>
      </c>
      <c r="K2653">
        <v>0</v>
      </c>
      <c r="L2653">
        <v>0</v>
      </c>
    </row>
    <row r="2654" spans="1:12">
      <c r="A2654" t="str">
        <f>HYPERLINK("http://bombeiros.sp.gov.br/hidrantes/03individual/4378.html","4378")</f>
        <v>4378</v>
      </c>
      <c r="B2654" t="str">
        <f>HYPERLINK("http://bombeiros.sp.gov.br/hidrantes/08bsg/qrcodeBSG.html?id=4378&amp;lat=-23.48785&amp;long=-46.62155&amp;tipo=S","QRCODE")</f>
        <v>QRCODE</v>
      </c>
      <c r="C2654" t="s">
        <v>5328</v>
      </c>
      <c r="D2654" t="s">
        <v>105</v>
      </c>
      <c r="E2654" t="s">
        <v>718</v>
      </c>
      <c r="F2654" t="s">
        <v>21</v>
      </c>
      <c r="G2654" t="s">
        <v>1657</v>
      </c>
      <c r="H2654">
        <v>0</v>
      </c>
      <c r="I2654">
        <v>2</v>
      </c>
      <c r="J2654">
        <v>0</v>
      </c>
      <c r="K2654">
        <v>0</v>
      </c>
      <c r="L2654">
        <v>0</v>
      </c>
    </row>
    <row r="2655" spans="1:12">
      <c r="A2655" t="str">
        <f>HYPERLINK("http://bombeiros.sp.gov.br/hidrantes/03individual/5249.html","5249")</f>
        <v>5249</v>
      </c>
      <c r="B2655" t="str">
        <f>HYPERLINK("http://bombeiros.sp.gov.br/hidrantes/08bsg/qrcodeBSG.html?id=5249&amp;lat=-23.49521&amp;long=-46.61280&amp;tipo=S","QRCODE")</f>
        <v>QRCODE</v>
      </c>
      <c r="C2655" t="s">
        <v>5328</v>
      </c>
      <c r="D2655" t="s">
        <v>105</v>
      </c>
      <c r="E2655" t="s">
        <v>718</v>
      </c>
      <c r="F2655" t="s">
        <v>21</v>
      </c>
      <c r="G2655" t="s">
        <v>1991</v>
      </c>
      <c r="H2655">
        <v>1</v>
      </c>
      <c r="I2655">
        <v>2</v>
      </c>
      <c r="J2655">
        <v>0</v>
      </c>
      <c r="K2655">
        <v>0</v>
      </c>
      <c r="L2655">
        <v>0</v>
      </c>
    </row>
    <row r="2656" spans="1:12">
      <c r="A2656" t="str">
        <f>HYPERLINK("http://bombeiros.sp.gov.br/hidrantes/03individual/17819.html","17819")</f>
        <v>17819</v>
      </c>
      <c r="B2656" t="str">
        <f>HYPERLINK("http://bombeiros.sp.gov.br/hidrantes/08bsg/qrcodeBSG.html?id=17819&amp;lat=-23.48114&amp;long=-46.61754&amp;tipo=S","QRCODE")</f>
        <v>QRCODE</v>
      </c>
      <c r="C2656" t="s">
        <v>5328</v>
      </c>
      <c r="D2656" t="s">
        <v>105</v>
      </c>
      <c r="E2656" t="s">
        <v>718</v>
      </c>
      <c r="F2656" t="s">
        <v>21</v>
      </c>
      <c r="G2656" t="s">
        <v>4395</v>
      </c>
      <c r="H2656">
        <v>1</v>
      </c>
      <c r="I2656">
        <v>3</v>
      </c>
      <c r="J2656">
        <v>0</v>
      </c>
      <c r="K2656">
        <v>0</v>
      </c>
      <c r="L2656">
        <v>0</v>
      </c>
    </row>
    <row r="2657" spans="1:12">
      <c r="A2657" t="str">
        <f>HYPERLINK("http://bombeiros.sp.gov.br/hidrantes/03individual/17834.html","17834")</f>
        <v>17834</v>
      </c>
      <c r="B2657" t="str">
        <f>HYPERLINK("http://bombeiros.sp.gov.br/hidrantes/08bsg/qrcodeBSG.html?id=17834&amp;lat=-23.48760&amp;long=-46.61896&amp;tipo=S","QRCODE")</f>
        <v>QRCODE</v>
      </c>
      <c r="C2657" t="s">
        <v>5328</v>
      </c>
      <c r="D2657" t="s">
        <v>105</v>
      </c>
      <c r="E2657" t="s">
        <v>718</v>
      </c>
      <c r="F2657" t="s">
        <v>21</v>
      </c>
      <c r="G2657" t="s">
        <v>1689</v>
      </c>
      <c r="H2657">
        <v>1</v>
      </c>
      <c r="I2657">
        <v>2</v>
      </c>
      <c r="J2657">
        <v>0</v>
      </c>
      <c r="K2657">
        <v>0</v>
      </c>
      <c r="L2657">
        <v>0</v>
      </c>
    </row>
    <row r="2658" spans="1:12">
      <c r="A2658" t="str">
        <f>HYPERLINK("http://bombeiros.sp.gov.br/hidrantes/03individual/26909.html","26909")</f>
        <v>26909</v>
      </c>
      <c r="B2658" t="str">
        <f>HYPERLINK("http://bombeiros.sp.gov.br/hidrantes/08bsg/qrcodeBSG.html?id=26909&amp;lat=-23.49336&amp;long=-46.62295&amp;tipo=S","QRCODE")</f>
        <v>QRCODE</v>
      </c>
      <c r="C2658" t="s">
        <v>5328</v>
      </c>
      <c r="D2658" t="s">
        <v>105</v>
      </c>
      <c r="E2658" t="s">
        <v>718</v>
      </c>
      <c r="F2658" t="s">
        <v>21</v>
      </c>
      <c r="G2658" t="s">
        <v>4083</v>
      </c>
      <c r="H2658">
        <v>0</v>
      </c>
      <c r="I2658">
        <v>1</v>
      </c>
      <c r="J2658">
        <v>0</v>
      </c>
      <c r="K2658">
        <v>0</v>
      </c>
      <c r="L2658">
        <v>0</v>
      </c>
    </row>
    <row r="2659" spans="1:12">
      <c r="A2659" t="str">
        <f>HYPERLINK("http://bombeiros.sp.gov.br/hidrantes/03individual/2506.html","2506")</f>
        <v>2506</v>
      </c>
      <c r="B2659" t="str">
        <f>HYPERLINK("http://bombeiros.sp.gov.br/hidrantes/08bsg/qrcodeBSG.html?id=2506&amp;lat=-23.51420&amp;long=-46.63409&amp;tipo=C","QRCODE")</f>
        <v>QRCODE</v>
      </c>
      <c r="C2659" t="s">
        <v>5328</v>
      </c>
      <c r="D2659" t="s">
        <v>105</v>
      </c>
      <c r="E2659" t="s">
        <v>1097</v>
      </c>
      <c r="F2659" t="s">
        <v>12</v>
      </c>
      <c r="G2659" t="s">
        <v>4795</v>
      </c>
      <c r="H2659">
        <v>0</v>
      </c>
      <c r="I2659">
        <v>2</v>
      </c>
      <c r="J2659">
        <v>0</v>
      </c>
      <c r="K2659">
        <v>0</v>
      </c>
      <c r="L2659">
        <v>0</v>
      </c>
    </row>
    <row r="2660" spans="1:12">
      <c r="A2660" t="str">
        <f>HYPERLINK("http://bombeiros.sp.gov.br/hidrantes/03individual/5611.html","5611")</f>
        <v>5611</v>
      </c>
      <c r="B2660" t="str">
        <f>HYPERLINK("http://bombeiros.sp.gov.br/hidrantes/08bsg/qrcodeBSG.html?id=5611&amp;lat=-23.51574&amp;long=-46.64678&amp;tipo=C","QRCODE")</f>
        <v>QRCODE</v>
      </c>
      <c r="C2660" t="s">
        <v>5328</v>
      </c>
      <c r="D2660" t="s">
        <v>105</v>
      </c>
      <c r="E2660" t="s">
        <v>1097</v>
      </c>
      <c r="F2660" t="s">
        <v>12</v>
      </c>
      <c r="G2660" t="s">
        <v>1096</v>
      </c>
      <c r="H2660">
        <v>1</v>
      </c>
      <c r="I2660">
        <v>3</v>
      </c>
      <c r="J2660">
        <v>0</v>
      </c>
      <c r="K2660">
        <v>0</v>
      </c>
      <c r="L2660">
        <v>0</v>
      </c>
    </row>
    <row r="2661" spans="1:12">
      <c r="A2661" t="str">
        <f>HYPERLINK("http://bombeiros.sp.gov.br/hidrantes/03individual/16564.html","16564")</f>
        <v>16564</v>
      </c>
      <c r="B2661" t="str">
        <f>HYPERLINK("http://bombeiros.sp.gov.br/hidrantes/08bsg/qrcodeBSG.html?id=16564&amp;lat=-23.51476&amp;long=-46.63872&amp;tipo=C","QRCODE")</f>
        <v>QRCODE</v>
      </c>
      <c r="C2661" t="s">
        <v>5328</v>
      </c>
      <c r="D2661" t="s">
        <v>105</v>
      </c>
      <c r="E2661" t="s">
        <v>1097</v>
      </c>
      <c r="F2661" t="s">
        <v>12</v>
      </c>
      <c r="G2661" t="s">
        <v>5213</v>
      </c>
      <c r="H2661">
        <v>1</v>
      </c>
      <c r="I2661">
        <v>0</v>
      </c>
      <c r="J2661">
        <v>0</v>
      </c>
      <c r="K2661">
        <v>0</v>
      </c>
      <c r="L2661">
        <v>0</v>
      </c>
    </row>
    <row r="2662" spans="1:12">
      <c r="A2662" t="str">
        <f>HYPERLINK("http://bombeiros.sp.gov.br/hidrantes/03individual/16565.html","16565")</f>
        <v>16565</v>
      </c>
      <c r="B2662" t="str">
        <f>HYPERLINK("http://bombeiros.sp.gov.br/hidrantes/08bsg/qrcodeBSG.html?id=16565&amp;lat=-23.51675&amp;long=-46.64202&amp;tipo=C","QRCODE")</f>
        <v>QRCODE</v>
      </c>
      <c r="C2662" t="s">
        <v>5328</v>
      </c>
      <c r="D2662" t="s">
        <v>105</v>
      </c>
      <c r="E2662" t="s">
        <v>1097</v>
      </c>
      <c r="F2662" t="s">
        <v>12</v>
      </c>
      <c r="G2662" t="s">
        <v>3831</v>
      </c>
      <c r="H2662">
        <v>1</v>
      </c>
      <c r="I2662">
        <v>1</v>
      </c>
      <c r="J2662">
        <v>0</v>
      </c>
      <c r="K2662">
        <v>0</v>
      </c>
      <c r="L2662">
        <v>0</v>
      </c>
    </row>
    <row r="2663" spans="1:12">
      <c r="A2663" t="str">
        <f>HYPERLINK("http://bombeiros.sp.gov.br/hidrantes/03individual/2479.html","2479")</f>
        <v>2479</v>
      </c>
      <c r="B2663" t="str">
        <f>HYPERLINK("http://bombeiros.sp.gov.br/hidrantes/08bsg/qrcodeBSG.html?id=2479&amp;lat=-23.51527&amp;long=-46.64407&amp;tipo=S","QRCODE")</f>
        <v>QRCODE</v>
      </c>
      <c r="C2663" t="s">
        <v>5328</v>
      </c>
      <c r="D2663" t="s">
        <v>105</v>
      </c>
      <c r="E2663" t="s">
        <v>1097</v>
      </c>
      <c r="F2663" t="s">
        <v>21</v>
      </c>
      <c r="G2663" t="s">
        <v>1114</v>
      </c>
      <c r="H2663">
        <v>0</v>
      </c>
      <c r="I2663">
        <v>2</v>
      </c>
      <c r="J2663">
        <v>0</v>
      </c>
      <c r="K2663">
        <v>0</v>
      </c>
      <c r="L2663">
        <v>0</v>
      </c>
    </row>
    <row r="2664" spans="1:12">
      <c r="A2664" t="str">
        <f>HYPERLINK("http://bombeiros.sp.gov.br/hidrantes/03individual/3567.html","3567")</f>
        <v>3567</v>
      </c>
      <c r="B2664" t="str">
        <f>HYPERLINK("http://bombeiros.sp.gov.br/hidrantes/08bsg/qrcodeBSG.html?id=3567&amp;lat=-23.49599&amp;long=-46.63674&amp;tipo=C","QRCODE")</f>
        <v>QRCODE</v>
      </c>
      <c r="C2664" t="s">
        <v>5328</v>
      </c>
      <c r="D2664" t="s">
        <v>105</v>
      </c>
      <c r="E2664" t="s">
        <v>1420</v>
      </c>
      <c r="F2664" t="s">
        <v>12</v>
      </c>
      <c r="G2664" t="s">
        <v>2950</v>
      </c>
      <c r="H2664">
        <v>0</v>
      </c>
      <c r="I2664">
        <v>2</v>
      </c>
      <c r="J2664">
        <v>0</v>
      </c>
      <c r="K2664">
        <v>0</v>
      </c>
      <c r="L2664">
        <v>0</v>
      </c>
    </row>
    <row r="2665" spans="1:12">
      <c r="A2665" t="str">
        <f>HYPERLINK("http://bombeiros.sp.gov.br/hidrantes/03individual/3574.html","3574")</f>
        <v>3574</v>
      </c>
      <c r="B2665" t="str">
        <f>HYPERLINK("http://bombeiros.sp.gov.br/hidrantes/08bsg/qrcodeBSG.html?id=3574&amp;lat=-23.48876&amp;long=-46.63644&amp;tipo=C","QRCODE")</f>
        <v>QRCODE</v>
      </c>
      <c r="C2665" t="s">
        <v>5328</v>
      </c>
      <c r="D2665" t="s">
        <v>105</v>
      </c>
      <c r="E2665" t="s">
        <v>1420</v>
      </c>
      <c r="F2665" t="s">
        <v>12</v>
      </c>
      <c r="G2665" t="s">
        <v>2953</v>
      </c>
      <c r="H2665">
        <v>0</v>
      </c>
      <c r="I2665">
        <v>2</v>
      </c>
      <c r="J2665">
        <v>0</v>
      </c>
      <c r="K2665">
        <v>0</v>
      </c>
      <c r="L2665">
        <v>0</v>
      </c>
    </row>
    <row r="2666" spans="1:12">
      <c r="A2666" t="str">
        <f>HYPERLINK("http://bombeiros.sp.gov.br/hidrantes/03individual/3576.html","3576")</f>
        <v>3576</v>
      </c>
      <c r="B2666" t="str">
        <f>HYPERLINK("http://bombeiros.sp.gov.br/hidrantes/08bsg/qrcodeBSG.html?id=3576&amp;lat=-23.48693&amp;long=-46.63307&amp;tipo=C","QRCODE")</f>
        <v>QRCODE</v>
      </c>
      <c r="C2666" t="s">
        <v>5328</v>
      </c>
      <c r="D2666" t="s">
        <v>105</v>
      </c>
      <c r="E2666" t="s">
        <v>1420</v>
      </c>
      <c r="F2666" t="s">
        <v>12</v>
      </c>
      <c r="G2666" t="s">
        <v>2954</v>
      </c>
      <c r="H2666">
        <v>0</v>
      </c>
      <c r="I2666">
        <v>2</v>
      </c>
      <c r="J2666">
        <v>0</v>
      </c>
      <c r="K2666">
        <v>0</v>
      </c>
      <c r="L2666">
        <v>0</v>
      </c>
    </row>
    <row r="2667" spans="1:12">
      <c r="A2667" t="str">
        <f>HYPERLINK("http://bombeiros.sp.gov.br/hidrantes/03individual/3577.html","3577")</f>
        <v>3577</v>
      </c>
      <c r="B2667" t="str">
        <f>HYPERLINK("http://bombeiros.sp.gov.br/hidrantes/08bsg/qrcodeBSG.html?id=3577&amp;lat=-23.48321&amp;long=-46.63183&amp;tipo=C","QRCODE")</f>
        <v>QRCODE</v>
      </c>
      <c r="C2667" t="s">
        <v>5328</v>
      </c>
      <c r="D2667" t="s">
        <v>105</v>
      </c>
      <c r="E2667" t="s">
        <v>1420</v>
      </c>
      <c r="F2667" t="s">
        <v>12</v>
      </c>
      <c r="G2667" t="s">
        <v>5182</v>
      </c>
      <c r="H2667">
        <v>0</v>
      </c>
      <c r="I2667">
        <v>1</v>
      </c>
      <c r="J2667">
        <v>0</v>
      </c>
      <c r="K2667">
        <v>0</v>
      </c>
      <c r="L2667">
        <v>0</v>
      </c>
    </row>
    <row r="2668" spans="1:12">
      <c r="A2668" t="str">
        <f>HYPERLINK("http://bombeiros.sp.gov.br/hidrantes/03individual/564.html","564")</f>
        <v>564</v>
      </c>
      <c r="B2668" t="str">
        <f>HYPERLINK("http://bombeiros.sp.gov.br/hidrantes/08bsg/qrcodeBSG.html?id=564&amp;lat=-23.49319&amp;long=-46.64827&amp;tipo=S","QRCODE")</f>
        <v>QRCODE</v>
      </c>
      <c r="C2668" t="s">
        <v>5328</v>
      </c>
      <c r="D2668" t="s">
        <v>105</v>
      </c>
      <c r="E2668" t="s">
        <v>1420</v>
      </c>
      <c r="F2668" t="s">
        <v>21</v>
      </c>
      <c r="G2668" t="s">
        <v>3867</v>
      </c>
      <c r="H2668">
        <v>0</v>
      </c>
      <c r="I2668">
        <v>2</v>
      </c>
      <c r="J2668">
        <v>0</v>
      </c>
      <c r="K2668">
        <v>0</v>
      </c>
      <c r="L2668">
        <v>0</v>
      </c>
    </row>
    <row r="2669" spans="1:12">
      <c r="A2669" t="str">
        <f>HYPERLINK("http://bombeiros.sp.gov.br/hidrantes/03individual/591.html","591")</f>
        <v>591</v>
      </c>
      <c r="B2669" t="str">
        <f>HYPERLINK("http://bombeiros.sp.gov.br/hidrantes/08bsg/qrcodeBSG.html?id=591&amp;lat=-23.49188&amp;long=-46.64174&amp;tipo=S","QRCODE")</f>
        <v>QRCODE</v>
      </c>
      <c r="C2669" t="s">
        <v>5328</v>
      </c>
      <c r="D2669" t="s">
        <v>105</v>
      </c>
      <c r="E2669" t="s">
        <v>1420</v>
      </c>
      <c r="F2669" t="s">
        <v>21</v>
      </c>
      <c r="G2669" t="s">
        <v>1421</v>
      </c>
      <c r="H2669">
        <v>1</v>
      </c>
      <c r="I2669">
        <v>2</v>
      </c>
      <c r="J2669">
        <v>0</v>
      </c>
      <c r="K2669">
        <v>0</v>
      </c>
      <c r="L2669">
        <v>0</v>
      </c>
    </row>
    <row r="2670" spans="1:12">
      <c r="A2670" t="str">
        <f>HYPERLINK("http://bombeiros.sp.gov.br/hidrantes/03individual/592.html","592")</f>
        <v>592</v>
      </c>
      <c r="B2670" t="str">
        <f>HYPERLINK("http://bombeiros.sp.gov.br/hidrantes/08bsg/qrcodeBSG.html?id=592&amp;lat=-23.49120&amp;long=-46.64081&amp;tipo=S","QRCODE")</f>
        <v>QRCODE</v>
      </c>
      <c r="C2670" t="s">
        <v>5328</v>
      </c>
      <c r="D2670" t="s">
        <v>105</v>
      </c>
      <c r="E2670" t="s">
        <v>1420</v>
      </c>
      <c r="F2670" t="s">
        <v>21</v>
      </c>
      <c r="G2670" t="s">
        <v>2982</v>
      </c>
      <c r="H2670">
        <v>0</v>
      </c>
      <c r="I2670">
        <v>2</v>
      </c>
      <c r="J2670">
        <v>0</v>
      </c>
      <c r="K2670">
        <v>0</v>
      </c>
      <c r="L2670">
        <v>0</v>
      </c>
    </row>
    <row r="2671" spans="1:12">
      <c r="A2671" t="str">
        <f>HYPERLINK("http://bombeiros.sp.gov.br/hidrantes/03individual/594.html","594")</f>
        <v>594</v>
      </c>
      <c r="B2671" t="str">
        <f>HYPERLINK("http://bombeiros.sp.gov.br/hidrantes/08bsg/qrcodeBSG.html?id=594&amp;lat=-23.49597&amp;long=-46.64313&amp;tipo=S","QRCODE")</f>
        <v>QRCODE</v>
      </c>
      <c r="C2671" t="s">
        <v>5328</v>
      </c>
      <c r="D2671" t="s">
        <v>105</v>
      </c>
      <c r="E2671" t="s">
        <v>1420</v>
      </c>
      <c r="F2671" t="s">
        <v>21</v>
      </c>
      <c r="G2671" t="s">
        <v>1419</v>
      </c>
      <c r="H2671">
        <v>1</v>
      </c>
      <c r="I2671">
        <v>2</v>
      </c>
      <c r="J2671">
        <v>0</v>
      </c>
      <c r="K2671">
        <v>0</v>
      </c>
      <c r="L2671">
        <v>0</v>
      </c>
    </row>
    <row r="2672" spans="1:12">
      <c r="A2672" t="str">
        <f>HYPERLINK("http://bombeiros.sp.gov.br/hidrantes/03individual/648.html","648")</f>
        <v>648</v>
      </c>
      <c r="B2672" t="str">
        <f>HYPERLINK("http://bombeiros.sp.gov.br/hidrantes/08bsg/qrcodeBSG.html?id=648&amp;lat=-23.49189&amp;long=-46.62581&amp;tipo=S","QRCODE")</f>
        <v>QRCODE</v>
      </c>
      <c r="C2672" t="s">
        <v>5328</v>
      </c>
      <c r="D2672" t="s">
        <v>105</v>
      </c>
      <c r="E2672" t="s">
        <v>1420</v>
      </c>
      <c r="F2672" t="s">
        <v>21</v>
      </c>
      <c r="G2672" t="s">
        <v>1607</v>
      </c>
      <c r="H2672">
        <v>1</v>
      </c>
      <c r="I2672">
        <v>3</v>
      </c>
      <c r="J2672">
        <v>0</v>
      </c>
      <c r="K2672">
        <v>0</v>
      </c>
      <c r="L2672">
        <v>0</v>
      </c>
    </row>
    <row r="2673" spans="1:12">
      <c r="A2673" t="str">
        <f>HYPERLINK("http://bombeiros.sp.gov.br/hidrantes/03individual/676.html","676")</f>
        <v>676</v>
      </c>
      <c r="B2673" t="str">
        <f>HYPERLINK("http://bombeiros.sp.gov.br/hidrantes/08bsg/qrcodeBSG.html?id=676&amp;lat=-23.49123&amp;long=-46.64538&amp;tipo=S","QRCODE")</f>
        <v>QRCODE</v>
      </c>
      <c r="C2673" t="s">
        <v>5328</v>
      </c>
      <c r="D2673" t="s">
        <v>105</v>
      </c>
      <c r="E2673" t="s">
        <v>1420</v>
      </c>
      <c r="F2673" t="s">
        <v>21</v>
      </c>
      <c r="G2673" t="s">
        <v>3865</v>
      </c>
      <c r="H2673">
        <v>1</v>
      </c>
      <c r="I2673">
        <v>2</v>
      </c>
      <c r="J2673">
        <v>0</v>
      </c>
      <c r="K2673">
        <v>0</v>
      </c>
      <c r="L2673">
        <v>0</v>
      </c>
    </row>
    <row r="2674" spans="1:12">
      <c r="A2674" t="str">
        <f>HYPERLINK("http://bombeiros.sp.gov.br/hidrantes/03individual/710.html","710")</f>
        <v>710</v>
      </c>
      <c r="B2674" t="str">
        <f>HYPERLINK("http://bombeiros.sp.gov.br/hidrantes/08bsg/qrcodeBSG.html?id=710&amp;lat=-23.48780&amp;long=-46.63548&amp;tipo=S","QRCODE")</f>
        <v>QRCODE</v>
      </c>
      <c r="C2674" t="s">
        <v>5328</v>
      </c>
      <c r="D2674" t="s">
        <v>105</v>
      </c>
      <c r="E2674" t="s">
        <v>1420</v>
      </c>
      <c r="F2674" t="s">
        <v>21</v>
      </c>
      <c r="G2674" t="s">
        <v>5177</v>
      </c>
      <c r="H2674">
        <v>0</v>
      </c>
      <c r="I2674">
        <v>1</v>
      </c>
      <c r="J2674">
        <v>0</v>
      </c>
      <c r="K2674">
        <v>0</v>
      </c>
      <c r="L2674">
        <v>0</v>
      </c>
    </row>
    <row r="2675" spans="1:12">
      <c r="A2675" t="str">
        <f>HYPERLINK("http://bombeiros.sp.gov.br/hidrantes/03individual/821.html","821")</f>
        <v>821</v>
      </c>
      <c r="B2675" t="str">
        <f>HYPERLINK("http://bombeiros.sp.gov.br/hidrantes/08bsg/qrcodeBSG.html?id=821&amp;lat=-23.48760&amp;long=-46.63471&amp;tipo=S","QRCODE")</f>
        <v>QRCODE</v>
      </c>
      <c r="C2675" t="s">
        <v>5328</v>
      </c>
      <c r="D2675" t="s">
        <v>105</v>
      </c>
      <c r="E2675" t="s">
        <v>1420</v>
      </c>
      <c r="F2675" t="s">
        <v>21</v>
      </c>
      <c r="G2675" t="s">
        <v>4824</v>
      </c>
      <c r="H2675">
        <v>2</v>
      </c>
      <c r="I2675">
        <v>1</v>
      </c>
      <c r="J2675">
        <v>0</v>
      </c>
      <c r="K2675">
        <v>0</v>
      </c>
      <c r="L2675">
        <v>0</v>
      </c>
    </row>
    <row r="2676" spans="1:12">
      <c r="A2676" t="str">
        <f>HYPERLINK("http://bombeiros.sp.gov.br/hidrantes/03individual/823.html","823")</f>
        <v>823</v>
      </c>
      <c r="B2676" t="str">
        <f>HYPERLINK("http://bombeiros.sp.gov.br/hidrantes/08bsg/qrcodeBSG.html?id=823&amp;lat=-23.48855&amp;long=-46.64906&amp;tipo=S","QRCODE")</f>
        <v>QRCODE</v>
      </c>
      <c r="C2676" t="s">
        <v>5328</v>
      </c>
      <c r="D2676" t="s">
        <v>105</v>
      </c>
      <c r="E2676" t="s">
        <v>1420</v>
      </c>
      <c r="F2676" t="s">
        <v>21</v>
      </c>
      <c r="G2676" t="s">
        <v>3871</v>
      </c>
      <c r="H2676">
        <v>1</v>
      </c>
      <c r="I2676">
        <v>2</v>
      </c>
      <c r="J2676">
        <v>0</v>
      </c>
      <c r="K2676">
        <v>0</v>
      </c>
      <c r="L2676">
        <v>0</v>
      </c>
    </row>
    <row r="2677" spans="1:12">
      <c r="A2677" t="str">
        <f>HYPERLINK("http://bombeiros.sp.gov.br/hidrantes/03individual/953.html","953")</f>
        <v>953</v>
      </c>
      <c r="B2677" t="str">
        <f>HYPERLINK("http://bombeiros.sp.gov.br/hidrantes/08bsg/qrcodeBSG.html?id=953&amp;lat=-23.49405&amp;long=-46.64676&amp;tipo=S","QRCODE")</f>
        <v>QRCODE</v>
      </c>
      <c r="C2677" t="s">
        <v>5328</v>
      </c>
      <c r="D2677" t="s">
        <v>105</v>
      </c>
      <c r="E2677" t="s">
        <v>1420</v>
      </c>
      <c r="F2677" t="s">
        <v>21</v>
      </c>
      <c r="G2677" t="s">
        <v>3869</v>
      </c>
      <c r="H2677">
        <v>0</v>
      </c>
      <c r="I2677">
        <v>2</v>
      </c>
      <c r="J2677">
        <v>0</v>
      </c>
      <c r="K2677">
        <v>0</v>
      </c>
      <c r="L2677">
        <v>0</v>
      </c>
    </row>
    <row r="2678" spans="1:12">
      <c r="A2678" t="str">
        <f>HYPERLINK("http://bombeiros.sp.gov.br/hidrantes/03individual/3573.html","3573")</f>
        <v>3573</v>
      </c>
      <c r="B2678" t="str">
        <f>HYPERLINK("http://bombeiros.sp.gov.br/hidrantes/08bsg/qrcodeBSG.html?id=3573&amp;lat=-23.49016&amp;long=-46.63051&amp;tipo=S","QRCODE")</f>
        <v>QRCODE</v>
      </c>
      <c r="C2678" t="s">
        <v>5328</v>
      </c>
      <c r="D2678" t="s">
        <v>105</v>
      </c>
      <c r="E2678" t="s">
        <v>1420</v>
      </c>
      <c r="F2678" t="s">
        <v>21</v>
      </c>
      <c r="G2678" t="s">
        <v>3020</v>
      </c>
      <c r="H2678">
        <v>0</v>
      </c>
      <c r="I2678">
        <v>2</v>
      </c>
      <c r="J2678">
        <v>0</v>
      </c>
      <c r="K2678">
        <v>0</v>
      </c>
      <c r="L2678">
        <v>0</v>
      </c>
    </row>
    <row r="2679" spans="1:12">
      <c r="A2679" t="str">
        <f>HYPERLINK("http://bombeiros.sp.gov.br/hidrantes/03individual/17881.html","17881")</f>
        <v>17881</v>
      </c>
      <c r="B2679" t="str">
        <f>HYPERLINK("http://bombeiros.sp.gov.br/hidrantes/08bsg/qrcodeBSG.html?id=17881&amp;lat=-23.49410&amp;long=-46.63448&amp;tipo=S","QRCODE")</f>
        <v>QRCODE</v>
      </c>
      <c r="C2679" t="s">
        <v>5328</v>
      </c>
      <c r="D2679" t="s">
        <v>105</v>
      </c>
      <c r="E2679" t="s">
        <v>1420</v>
      </c>
      <c r="F2679" t="s">
        <v>21</v>
      </c>
      <c r="G2679" t="s">
        <v>1684</v>
      </c>
      <c r="H2679">
        <v>1</v>
      </c>
      <c r="I2679">
        <v>3</v>
      </c>
      <c r="J2679">
        <v>0</v>
      </c>
      <c r="K2679">
        <v>0</v>
      </c>
      <c r="L2679">
        <v>0</v>
      </c>
    </row>
    <row r="2680" spans="1:12">
      <c r="A2680" t="str">
        <f>HYPERLINK("http://bombeiros.sp.gov.br/hidrantes/03individual/2231.html","2231")</f>
        <v>2231</v>
      </c>
      <c r="B2680" t="str">
        <f>HYPERLINK("http://bombeiros.sp.gov.br/hidrantes/08bsg/qrcodeBSG.html?id=2231&amp;lat=-23.50044&amp;long=-46.62590&amp;tipo=C","QRCODE")</f>
        <v>QRCODE</v>
      </c>
      <c r="C2680" t="s">
        <v>5328</v>
      </c>
      <c r="D2680" t="s">
        <v>105</v>
      </c>
      <c r="E2680" t="s">
        <v>105</v>
      </c>
      <c r="F2680" t="s">
        <v>12</v>
      </c>
      <c r="G2680" t="s">
        <v>2919</v>
      </c>
      <c r="H2680">
        <v>0</v>
      </c>
      <c r="I2680">
        <v>2</v>
      </c>
      <c r="J2680">
        <v>0</v>
      </c>
      <c r="K2680">
        <v>0</v>
      </c>
      <c r="L2680">
        <v>0</v>
      </c>
    </row>
    <row r="2681" spans="1:12">
      <c r="A2681" t="str">
        <f>HYPERLINK("http://bombeiros.sp.gov.br/hidrantes/03individual/2526.html","2526")</f>
        <v>2526</v>
      </c>
      <c r="B2681" t="str">
        <f>HYPERLINK("http://bombeiros.sp.gov.br/hidrantes/08bsg/qrcodeBSG.html?id=2526&amp;lat=-23.50394&amp;long=-46.62809&amp;tipo=C","QRCODE")</f>
        <v>QRCODE</v>
      </c>
      <c r="C2681" t="s">
        <v>5328</v>
      </c>
      <c r="D2681" t="s">
        <v>105</v>
      </c>
      <c r="E2681" t="s">
        <v>105</v>
      </c>
      <c r="F2681" t="s">
        <v>12</v>
      </c>
      <c r="G2681" t="s">
        <v>679</v>
      </c>
      <c r="H2681">
        <v>0</v>
      </c>
      <c r="I2681">
        <v>2</v>
      </c>
      <c r="J2681">
        <v>0</v>
      </c>
      <c r="K2681">
        <v>0</v>
      </c>
      <c r="L2681">
        <v>0</v>
      </c>
    </row>
    <row r="2682" spans="1:12">
      <c r="A2682" t="str">
        <f>HYPERLINK("http://bombeiros.sp.gov.br/hidrantes/03individual/2637.html","2637")</f>
        <v>2637</v>
      </c>
      <c r="B2682" t="str">
        <f>HYPERLINK("http://bombeiros.sp.gov.br/hidrantes/08bsg/qrcodeBSG.html?id=2637&amp;lat=-23.50283&amp;long=-46.62440&amp;tipo=C","QRCODE")</f>
        <v>QRCODE</v>
      </c>
      <c r="C2682" t="s">
        <v>5328</v>
      </c>
      <c r="D2682" t="s">
        <v>105</v>
      </c>
      <c r="E2682" t="s">
        <v>105</v>
      </c>
      <c r="F2682" t="s">
        <v>12</v>
      </c>
      <c r="G2682" t="s">
        <v>2923</v>
      </c>
      <c r="H2682">
        <v>0</v>
      </c>
      <c r="I2682">
        <v>2</v>
      </c>
      <c r="J2682">
        <v>0</v>
      </c>
      <c r="K2682">
        <v>0</v>
      </c>
      <c r="L2682">
        <v>0</v>
      </c>
    </row>
    <row r="2683" spans="1:12">
      <c r="A2683" t="str">
        <f>HYPERLINK("http://bombeiros.sp.gov.br/hidrantes/03individual/5613.html","5613")</f>
        <v>5613</v>
      </c>
      <c r="B2683" t="str">
        <f>HYPERLINK("http://bombeiros.sp.gov.br/hidrantes/08bsg/qrcodeBSG.html?id=5613&amp;lat=-23.50286&amp;long=-46.62647&amp;tipo=C","QRCODE")</f>
        <v>QRCODE</v>
      </c>
      <c r="C2683" t="s">
        <v>5328</v>
      </c>
      <c r="D2683" t="s">
        <v>105</v>
      </c>
      <c r="E2683" t="s">
        <v>105</v>
      </c>
      <c r="F2683" t="s">
        <v>12</v>
      </c>
      <c r="G2683" t="s">
        <v>1458</v>
      </c>
      <c r="H2683">
        <v>0</v>
      </c>
      <c r="I2683">
        <v>2</v>
      </c>
      <c r="J2683">
        <v>0</v>
      </c>
      <c r="K2683">
        <v>0</v>
      </c>
      <c r="L2683">
        <v>0</v>
      </c>
    </row>
    <row r="2684" spans="1:12">
      <c r="A2684" t="str">
        <f>HYPERLINK("http://bombeiros.sp.gov.br/hidrantes/03individual/709.html","709")</f>
        <v>709</v>
      </c>
      <c r="B2684" t="str">
        <f>HYPERLINK("http://bombeiros.sp.gov.br/hidrantes/08bsg/qrcodeBSG.html?id=709&amp;lat=-23.50198&amp;long=-46.62111&amp;tipo=S","QRCODE")</f>
        <v>QRCODE</v>
      </c>
      <c r="C2684" t="s">
        <v>5328</v>
      </c>
      <c r="D2684" t="s">
        <v>105</v>
      </c>
      <c r="E2684" t="s">
        <v>105</v>
      </c>
      <c r="F2684" t="s">
        <v>21</v>
      </c>
      <c r="G2684" t="s">
        <v>2990</v>
      </c>
      <c r="H2684">
        <v>0</v>
      </c>
      <c r="I2684">
        <v>2</v>
      </c>
      <c r="J2684">
        <v>0</v>
      </c>
      <c r="K2684">
        <v>0</v>
      </c>
      <c r="L2684">
        <v>0</v>
      </c>
    </row>
    <row r="2685" spans="1:12">
      <c r="A2685" t="str">
        <f>HYPERLINK("http://bombeiros.sp.gov.br/hidrantes/03individual/712.html","712")</f>
        <v>712</v>
      </c>
      <c r="B2685" t="str">
        <f>HYPERLINK("http://bombeiros.sp.gov.br/hidrantes/08bsg/qrcodeBSG.html?id=712&amp;lat=-23.50121&amp;long=-46.61851&amp;tipo=S","QRCODE")</f>
        <v>QRCODE</v>
      </c>
      <c r="C2685" t="s">
        <v>5328</v>
      </c>
      <c r="D2685" t="s">
        <v>105</v>
      </c>
      <c r="E2685" t="s">
        <v>105</v>
      </c>
      <c r="F2685" t="s">
        <v>21</v>
      </c>
      <c r="G2685" t="s">
        <v>2992</v>
      </c>
      <c r="H2685">
        <v>0</v>
      </c>
      <c r="I2685">
        <v>2</v>
      </c>
      <c r="J2685">
        <v>0</v>
      </c>
      <c r="K2685">
        <v>0</v>
      </c>
      <c r="L2685">
        <v>0</v>
      </c>
    </row>
    <row r="2686" spans="1:12">
      <c r="A2686" t="str">
        <f>HYPERLINK("http://bombeiros.sp.gov.br/hidrantes/03individual/744.html","744")</f>
        <v>744</v>
      </c>
      <c r="B2686" t="str">
        <f>HYPERLINK("http://bombeiros.sp.gov.br/hidrantes/08bsg/qrcodeBSG.html?id=744&amp;lat=-23.49984&amp;long=-46.62108&amp;tipo=S","QRCODE")</f>
        <v>QRCODE</v>
      </c>
      <c r="C2686" t="s">
        <v>5328</v>
      </c>
      <c r="D2686" t="s">
        <v>105</v>
      </c>
      <c r="E2686" t="s">
        <v>105</v>
      </c>
      <c r="F2686" t="s">
        <v>21</v>
      </c>
      <c r="G2686" t="s">
        <v>2987</v>
      </c>
      <c r="H2686">
        <v>0</v>
      </c>
      <c r="I2686">
        <v>2</v>
      </c>
      <c r="J2686">
        <v>0</v>
      </c>
      <c r="K2686">
        <v>0</v>
      </c>
      <c r="L2686">
        <v>0</v>
      </c>
    </row>
    <row r="2687" spans="1:12">
      <c r="A2687" t="str">
        <f>HYPERLINK("http://bombeiros.sp.gov.br/hidrantes/03individual/827.html","827")</f>
        <v>827</v>
      </c>
      <c r="B2687" t="str">
        <f>HYPERLINK("http://bombeiros.sp.gov.br/hidrantes/08bsg/qrcodeBSG.html?id=827&amp;lat=-23.50003&amp;long=-46.62342&amp;tipo=S","QRCODE")</f>
        <v>QRCODE</v>
      </c>
      <c r="C2687" t="s">
        <v>5328</v>
      </c>
      <c r="D2687" t="s">
        <v>105</v>
      </c>
      <c r="E2687" t="s">
        <v>105</v>
      </c>
      <c r="F2687" t="s">
        <v>21</v>
      </c>
      <c r="G2687" t="s">
        <v>2972</v>
      </c>
      <c r="H2687">
        <v>0</v>
      </c>
      <c r="I2687">
        <v>2</v>
      </c>
      <c r="J2687">
        <v>0</v>
      </c>
      <c r="K2687">
        <v>0</v>
      </c>
      <c r="L2687">
        <v>0</v>
      </c>
    </row>
    <row r="2688" spans="1:12">
      <c r="A2688" t="str">
        <f>HYPERLINK("http://bombeiros.sp.gov.br/hidrantes/03individual/2705.html","2705")</f>
        <v>2705</v>
      </c>
      <c r="B2688" t="str">
        <f>HYPERLINK("http://bombeiros.sp.gov.br/hidrantes/08bsg/qrcodeBSG.html?id=2705&amp;lat=-23.50008&amp;long=-46.62133&amp;tipo=S","QRCODE")</f>
        <v>QRCODE</v>
      </c>
      <c r="C2688" t="s">
        <v>5328</v>
      </c>
      <c r="D2688" t="s">
        <v>105</v>
      </c>
      <c r="E2688" t="s">
        <v>105</v>
      </c>
      <c r="F2688" t="s">
        <v>21</v>
      </c>
      <c r="G2688" t="s">
        <v>2921</v>
      </c>
      <c r="H2688">
        <v>0</v>
      </c>
      <c r="I2688">
        <v>2</v>
      </c>
      <c r="J2688">
        <v>0</v>
      </c>
      <c r="K2688">
        <v>0</v>
      </c>
      <c r="L2688">
        <v>0</v>
      </c>
    </row>
    <row r="2689" spans="1:12">
      <c r="A2689" t="str">
        <f>HYPERLINK("http://bombeiros.sp.gov.br/hidrantes/03individual/2707.html","2707")</f>
        <v>2707</v>
      </c>
      <c r="B2689" t="str">
        <f>HYPERLINK("http://bombeiros.sp.gov.br/hidrantes/08bsg/qrcodeBSG.html?id=2707&amp;lat=-23.50005&amp;long=-46.62250&amp;tipo=S","QRCODE")</f>
        <v>QRCODE</v>
      </c>
      <c r="C2689" t="s">
        <v>5328</v>
      </c>
      <c r="D2689" t="s">
        <v>105</v>
      </c>
      <c r="E2689" t="s">
        <v>105</v>
      </c>
      <c r="F2689" t="s">
        <v>21</v>
      </c>
      <c r="G2689" t="s">
        <v>2922</v>
      </c>
      <c r="H2689">
        <v>0</v>
      </c>
      <c r="I2689">
        <v>2</v>
      </c>
      <c r="J2689">
        <v>0</v>
      </c>
      <c r="K2689">
        <v>0</v>
      </c>
      <c r="L2689">
        <v>0</v>
      </c>
    </row>
    <row r="2690" spans="1:12">
      <c r="A2690" t="str">
        <f>HYPERLINK("http://bombeiros.sp.gov.br/hidrantes/03individual/2111.html","2111")</f>
        <v>2111</v>
      </c>
      <c r="B2690" t="str">
        <f>HYPERLINK("http://bombeiros.sp.gov.br/hidrantes/08bsg/qrcodeBSG.html?id=2111&amp;lat=-23.51716&amp;long=-46.62755&amp;tipo=C","QRCODE")</f>
        <v>QRCODE</v>
      </c>
      <c r="C2690" t="s">
        <v>5328</v>
      </c>
      <c r="D2690" t="s">
        <v>105</v>
      </c>
      <c r="E2690" t="s">
        <v>1240</v>
      </c>
      <c r="F2690" t="s">
        <v>12</v>
      </c>
      <c r="G2690" t="s">
        <v>2233</v>
      </c>
      <c r="H2690">
        <v>0</v>
      </c>
      <c r="I2690">
        <v>2</v>
      </c>
      <c r="J2690">
        <v>0</v>
      </c>
      <c r="K2690">
        <v>0</v>
      </c>
      <c r="L2690">
        <v>0</v>
      </c>
    </row>
    <row r="2691" spans="1:12">
      <c r="A2691" t="str">
        <f>HYPERLINK("http://bombeiros.sp.gov.br/hidrantes/03individual/2114.html","2114")</f>
        <v>2114</v>
      </c>
      <c r="B2691" t="str">
        <f>HYPERLINK("http://bombeiros.sp.gov.br/hidrantes/08bsg/qrcodeBSG.html?id=2114&amp;lat=-23.51644&amp;long=-46.62549&amp;tipo=C","QRCODE")</f>
        <v>QRCODE</v>
      </c>
      <c r="C2691" t="s">
        <v>5328</v>
      </c>
      <c r="D2691" t="s">
        <v>105</v>
      </c>
      <c r="E2691" t="s">
        <v>1240</v>
      </c>
      <c r="F2691" t="s">
        <v>12</v>
      </c>
      <c r="G2691" t="s">
        <v>4056</v>
      </c>
      <c r="H2691">
        <v>0</v>
      </c>
      <c r="I2691">
        <v>1</v>
      </c>
      <c r="J2691">
        <v>0</v>
      </c>
      <c r="K2691">
        <v>0</v>
      </c>
      <c r="L2691">
        <v>0</v>
      </c>
    </row>
    <row r="2692" spans="1:12">
      <c r="A2692" t="str">
        <f>HYPERLINK("http://bombeiros.sp.gov.br/hidrantes/03individual/2179.html","2179")</f>
        <v>2179</v>
      </c>
      <c r="B2692" t="str">
        <f>HYPERLINK("http://bombeiros.sp.gov.br/hidrantes/08bsg/qrcodeBSG.html?id=2179&amp;lat=-23.51647&amp;long=-46.62480&amp;tipo=C","QRCODE")</f>
        <v>QRCODE</v>
      </c>
      <c r="C2692" t="s">
        <v>5328</v>
      </c>
      <c r="D2692" t="s">
        <v>105</v>
      </c>
      <c r="E2692" t="s">
        <v>1240</v>
      </c>
      <c r="F2692" t="s">
        <v>12</v>
      </c>
      <c r="G2692" t="s">
        <v>4072</v>
      </c>
      <c r="H2692">
        <v>0</v>
      </c>
      <c r="I2692">
        <v>1</v>
      </c>
      <c r="J2692">
        <v>0</v>
      </c>
      <c r="K2692">
        <v>0</v>
      </c>
      <c r="L2692">
        <v>0</v>
      </c>
    </row>
    <row r="2693" spans="1:12">
      <c r="A2693" t="str">
        <f>HYPERLINK("http://bombeiros.sp.gov.br/hidrantes/03individual/743.html","743")</f>
        <v>743</v>
      </c>
      <c r="B2693" t="str">
        <f>HYPERLINK("http://bombeiros.sp.gov.br/hidrantes/08bsg/qrcodeBSG.html?id=743&amp;lat=-23.51228&amp;long=-46.62601&amp;tipo=S","QRCODE")</f>
        <v>QRCODE</v>
      </c>
      <c r="C2693" t="s">
        <v>5328</v>
      </c>
      <c r="D2693" t="s">
        <v>105</v>
      </c>
      <c r="E2693" t="s">
        <v>1240</v>
      </c>
      <c r="F2693" t="s">
        <v>21</v>
      </c>
      <c r="G2693" t="s">
        <v>1239</v>
      </c>
      <c r="H2693">
        <v>0</v>
      </c>
      <c r="I2693">
        <v>2</v>
      </c>
      <c r="J2693">
        <v>0</v>
      </c>
      <c r="K2693">
        <v>0</v>
      </c>
      <c r="L2693">
        <v>0</v>
      </c>
    </row>
    <row r="2694" spans="1:12">
      <c r="A2694" t="str">
        <f>HYPERLINK("http://bombeiros.sp.gov.br/hidrantes/03individual/2112.html","2112")</f>
        <v>2112</v>
      </c>
      <c r="B2694" t="str">
        <f>HYPERLINK("http://bombeiros.sp.gov.br/hidrantes/08bsg/qrcodeBSG.html?id=2112&amp;lat=-23.51708&amp;long=-46.62749&amp;tipo=S","QRCODE")</f>
        <v>QRCODE</v>
      </c>
      <c r="C2694" t="s">
        <v>5328</v>
      </c>
      <c r="D2694" t="s">
        <v>105</v>
      </c>
      <c r="E2694" t="s">
        <v>1240</v>
      </c>
      <c r="F2694" t="s">
        <v>21</v>
      </c>
      <c r="G2694" t="s">
        <v>4057</v>
      </c>
      <c r="H2694">
        <v>0</v>
      </c>
      <c r="I2694">
        <v>1</v>
      </c>
      <c r="J2694">
        <v>0</v>
      </c>
      <c r="K2694">
        <v>0</v>
      </c>
      <c r="L2694">
        <v>0</v>
      </c>
    </row>
    <row r="2695" spans="1:12">
      <c r="A2695" t="str">
        <f>HYPERLINK("http://bombeiros.sp.gov.br/hidrantes/03individual/26785.html","26785")</f>
        <v>26785</v>
      </c>
      <c r="B2695" t="str">
        <f>HYPERLINK("http://bombeiros.sp.gov.br/hidrantes/08bsg/qrcodeBSG.html?id=26785&amp;lat=-23.51525&amp;long=-46.62130&amp;tipo=S","QRCODE")</f>
        <v>QRCODE</v>
      </c>
      <c r="C2695" t="s">
        <v>5328</v>
      </c>
      <c r="D2695" t="s">
        <v>105</v>
      </c>
      <c r="E2695" t="s">
        <v>1240</v>
      </c>
      <c r="F2695" t="s">
        <v>21</v>
      </c>
      <c r="G2695" t="s">
        <v>4104</v>
      </c>
      <c r="H2695">
        <v>0</v>
      </c>
      <c r="I2695">
        <v>1</v>
      </c>
      <c r="J2695">
        <v>0</v>
      </c>
      <c r="K2695">
        <v>0</v>
      </c>
      <c r="L2695">
        <v>0</v>
      </c>
    </row>
    <row r="2696" spans="1:12">
      <c r="A2696" t="str">
        <f>HYPERLINK("http://bombeiros.sp.gov.br/hidrantes/03individual/2756.html","2756")</f>
        <v>2756</v>
      </c>
      <c r="B2696" t="str">
        <f>HYPERLINK("http://bombeiros.sp.gov.br/hidrantes/08bsg/qrcodeBSG.html?id=2756&amp;lat=-23.50465&amp;long=-46.62096&amp;tipo=C","QRCODE")</f>
        <v>QRCODE</v>
      </c>
      <c r="C2696" t="s">
        <v>5328</v>
      </c>
      <c r="D2696" t="s">
        <v>105</v>
      </c>
      <c r="E2696" t="s">
        <v>1298</v>
      </c>
      <c r="F2696" t="s">
        <v>12</v>
      </c>
      <c r="G2696" t="s">
        <v>2920</v>
      </c>
      <c r="H2696">
        <v>0</v>
      </c>
      <c r="I2696">
        <v>2</v>
      </c>
      <c r="J2696">
        <v>0</v>
      </c>
      <c r="K2696">
        <v>0</v>
      </c>
      <c r="L2696">
        <v>0</v>
      </c>
    </row>
    <row r="2697" spans="1:12">
      <c r="A2697" t="str">
        <f>HYPERLINK("http://bombeiros.sp.gov.br/hidrantes/03individual/2768.html","2768")</f>
        <v>2768</v>
      </c>
      <c r="B2697" t="str">
        <f>HYPERLINK("http://bombeiros.sp.gov.br/hidrantes/08bsg/qrcodeBSG.html?id=2768&amp;lat=-23.50793&amp;long=-46.62460&amp;tipo=C","QRCODE")</f>
        <v>QRCODE</v>
      </c>
      <c r="C2697" t="s">
        <v>5328</v>
      </c>
      <c r="D2697" t="s">
        <v>105</v>
      </c>
      <c r="E2697" t="s">
        <v>1298</v>
      </c>
      <c r="F2697" t="s">
        <v>12</v>
      </c>
      <c r="G2697" t="s">
        <v>1299</v>
      </c>
      <c r="H2697">
        <v>0</v>
      </c>
      <c r="I2697">
        <v>2</v>
      </c>
      <c r="J2697">
        <v>0</v>
      </c>
      <c r="K2697">
        <v>0</v>
      </c>
      <c r="L2697">
        <v>0</v>
      </c>
    </row>
    <row r="2698" spans="1:12">
      <c r="A2698" t="str">
        <f>HYPERLINK("http://bombeiros.sp.gov.br/hidrantes/03individual/2771.html","2771")</f>
        <v>2771</v>
      </c>
      <c r="B2698" t="str">
        <f>HYPERLINK("http://bombeiros.sp.gov.br/hidrantes/08bsg/qrcodeBSG.html?id=2771&amp;lat=-23.50909&amp;long=-46.62457&amp;tipo=C","QRCODE")</f>
        <v>QRCODE</v>
      </c>
      <c r="C2698" t="s">
        <v>5328</v>
      </c>
      <c r="D2698" t="s">
        <v>105</v>
      </c>
      <c r="E2698" t="s">
        <v>1298</v>
      </c>
      <c r="F2698" t="s">
        <v>12</v>
      </c>
      <c r="G2698" t="s">
        <v>2196</v>
      </c>
      <c r="H2698">
        <v>0</v>
      </c>
      <c r="I2698">
        <v>2</v>
      </c>
      <c r="J2698">
        <v>0</v>
      </c>
      <c r="K2698">
        <v>0</v>
      </c>
      <c r="L2698">
        <v>0</v>
      </c>
    </row>
    <row r="2699" spans="1:12">
      <c r="A2699" t="str">
        <f>HYPERLINK("http://bombeiros.sp.gov.br/hidrantes/03individual/2804.html","2804")</f>
        <v>2804</v>
      </c>
      <c r="B2699" t="str">
        <f>HYPERLINK("http://bombeiros.sp.gov.br/hidrantes/08bsg/qrcodeBSG.html?id=2804&amp;lat=-23.50986&amp;long=-46.61856&amp;tipo=C","QRCODE")</f>
        <v>QRCODE</v>
      </c>
      <c r="C2699" t="s">
        <v>5328</v>
      </c>
      <c r="D2699" t="s">
        <v>105</v>
      </c>
      <c r="E2699" t="s">
        <v>1298</v>
      </c>
      <c r="F2699" t="s">
        <v>12</v>
      </c>
      <c r="G2699" t="s">
        <v>1297</v>
      </c>
      <c r="H2699">
        <v>0</v>
      </c>
      <c r="I2699">
        <v>2</v>
      </c>
      <c r="J2699">
        <v>0</v>
      </c>
      <c r="K2699">
        <v>0</v>
      </c>
      <c r="L2699">
        <v>0</v>
      </c>
    </row>
    <row r="2700" spans="1:12">
      <c r="A2700" t="str">
        <f>HYPERLINK("http://bombeiros.sp.gov.br/hidrantes/03individual/17663.html","17663")</f>
        <v>17663</v>
      </c>
      <c r="B2700" t="str">
        <f>HYPERLINK("http://bombeiros.sp.gov.br/hidrantes/08bsg/qrcodeBSG.html?id=17663&amp;lat=-23.50980&amp;long=-46.62002&amp;tipo=C","QRCODE")</f>
        <v>QRCODE</v>
      </c>
      <c r="C2700" t="s">
        <v>5328</v>
      </c>
      <c r="D2700" t="s">
        <v>105</v>
      </c>
      <c r="E2700" t="s">
        <v>1298</v>
      </c>
      <c r="F2700" t="s">
        <v>12</v>
      </c>
      <c r="G2700" t="s">
        <v>5044</v>
      </c>
      <c r="H2700">
        <v>1</v>
      </c>
      <c r="I2700">
        <v>1</v>
      </c>
      <c r="J2700">
        <v>0</v>
      </c>
      <c r="K2700">
        <v>0</v>
      </c>
      <c r="L2700">
        <v>0</v>
      </c>
    </row>
    <row r="2701" spans="1:12">
      <c r="A2701" t="str">
        <f>HYPERLINK("http://bombeiros.sp.gov.br/hidrantes/03individual/974.html","974")</f>
        <v>974</v>
      </c>
      <c r="B2701" t="str">
        <f>HYPERLINK("http://bombeiros.sp.gov.br/hidrantes/08bsg/qrcodeBSG.html?id=974&amp;lat=-23.50007&amp;long=-46.75181&amp;tipo=C","QRCODE")</f>
        <v>QRCODE</v>
      </c>
      <c r="C2701" t="s">
        <v>5328</v>
      </c>
      <c r="D2701" t="s">
        <v>157</v>
      </c>
      <c r="E2701" t="s">
        <v>3280</v>
      </c>
      <c r="F2701" t="s">
        <v>12</v>
      </c>
      <c r="G2701" t="s">
        <v>3285</v>
      </c>
      <c r="H2701">
        <v>0</v>
      </c>
      <c r="I2701">
        <v>2</v>
      </c>
      <c r="J2701">
        <v>0</v>
      </c>
      <c r="K2701">
        <v>0</v>
      </c>
      <c r="L2701">
        <v>0</v>
      </c>
    </row>
    <row r="2702" spans="1:12">
      <c r="A2702" t="str">
        <f>HYPERLINK("http://bombeiros.sp.gov.br/hidrantes/03individual/1005.html","1005")</f>
        <v>1005</v>
      </c>
      <c r="B2702" t="str">
        <f>HYPERLINK("http://bombeiros.sp.gov.br/hidrantes/08bsg/qrcodeBSG.html?id=1005&amp;lat=-23.48114&amp;long=-46.76595&amp;tipo=C","QRCODE")</f>
        <v>QRCODE</v>
      </c>
      <c r="C2702" t="s">
        <v>5328</v>
      </c>
      <c r="D2702" t="s">
        <v>157</v>
      </c>
      <c r="E2702" t="s">
        <v>3280</v>
      </c>
      <c r="F2702" t="s">
        <v>12</v>
      </c>
      <c r="G2702" t="s">
        <v>4228</v>
      </c>
      <c r="H2702">
        <v>0</v>
      </c>
      <c r="I2702">
        <v>1</v>
      </c>
      <c r="J2702">
        <v>0</v>
      </c>
      <c r="K2702">
        <v>0</v>
      </c>
      <c r="L2702">
        <v>0</v>
      </c>
    </row>
    <row r="2703" spans="1:12">
      <c r="A2703" t="str">
        <f>HYPERLINK("http://bombeiros.sp.gov.br/hidrantes/03individual/1006.html","1006")</f>
        <v>1006</v>
      </c>
      <c r="B2703" t="str">
        <f>HYPERLINK("http://bombeiros.sp.gov.br/hidrantes/08bsg/qrcodeBSG.html?id=1006&amp;lat=-23.48291&amp;long=-46.76495&amp;tipo=C","QRCODE")</f>
        <v>QRCODE</v>
      </c>
      <c r="C2703" t="s">
        <v>5328</v>
      </c>
      <c r="D2703" t="s">
        <v>157</v>
      </c>
      <c r="E2703" t="s">
        <v>3280</v>
      </c>
      <c r="F2703" t="s">
        <v>12</v>
      </c>
      <c r="G2703" t="s">
        <v>5070</v>
      </c>
      <c r="H2703">
        <v>0</v>
      </c>
      <c r="I2703">
        <v>1</v>
      </c>
      <c r="J2703">
        <v>0</v>
      </c>
      <c r="K2703">
        <v>0</v>
      </c>
      <c r="L2703">
        <v>0</v>
      </c>
    </row>
    <row r="2704" spans="1:12">
      <c r="A2704" t="str">
        <f>HYPERLINK("http://bombeiros.sp.gov.br/hidrantes/03individual/1008.html","1008")</f>
        <v>1008</v>
      </c>
      <c r="B2704" t="str">
        <f>HYPERLINK("http://bombeiros.sp.gov.br/hidrantes/08bsg/qrcodeBSG.html?id=1008&amp;lat=-23.48614&amp;long=-46.75113&amp;tipo=C","QRCODE")</f>
        <v>QRCODE</v>
      </c>
      <c r="C2704" t="s">
        <v>5328</v>
      </c>
      <c r="D2704" t="s">
        <v>157</v>
      </c>
      <c r="E2704" t="s">
        <v>3280</v>
      </c>
      <c r="F2704" t="s">
        <v>12</v>
      </c>
      <c r="G2704" t="s">
        <v>3279</v>
      </c>
      <c r="H2704">
        <v>0</v>
      </c>
      <c r="I2704">
        <v>2</v>
      </c>
      <c r="J2704">
        <v>0</v>
      </c>
      <c r="K2704">
        <v>0</v>
      </c>
      <c r="L2704">
        <v>0</v>
      </c>
    </row>
    <row r="2705" spans="1:12">
      <c r="A2705" t="str">
        <f>HYPERLINK("http://bombeiros.sp.gov.br/hidrantes/03individual/5496.html","5496")</f>
        <v>5496</v>
      </c>
      <c r="B2705" t="str">
        <f>HYPERLINK("http://bombeiros.sp.gov.br/hidrantes/08bsg/qrcodeBSG.html?id=5496&amp;lat=-23.47788&amp;long=-46.76518&amp;tipo=C","QRCODE")</f>
        <v>QRCODE</v>
      </c>
      <c r="C2705" t="s">
        <v>5328</v>
      </c>
      <c r="D2705" t="s">
        <v>157</v>
      </c>
      <c r="E2705" t="s">
        <v>3280</v>
      </c>
      <c r="F2705" t="s">
        <v>12</v>
      </c>
      <c r="G2705" t="s">
        <v>4209</v>
      </c>
      <c r="H2705">
        <v>0</v>
      </c>
      <c r="I2705">
        <v>1</v>
      </c>
      <c r="J2705">
        <v>0</v>
      </c>
      <c r="K2705">
        <v>0</v>
      </c>
      <c r="L2705">
        <v>0</v>
      </c>
    </row>
    <row r="2706" spans="1:12">
      <c r="A2706" t="str">
        <f>HYPERLINK("http://bombeiros.sp.gov.br/hidrantes/03individual/975.html","975")</f>
        <v>975</v>
      </c>
      <c r="B2706" t="str">
        <f>HYPERLINK("http://bombeiros.sp.gov.br/hidrantes/08bsg/qrcodeBSG.html?id=975&amp;lat=-23.48721&amp;long=-46.74799&amp;tipo=S","QRCODE")</f>
        <v>QRCODE</v>
      </c>
      <c r="C2706" t="s">
        <v>5328</v>
      </c>
      <c r="D2706" t="s">
        <v>157</v>
      </c>
      <c r="E2706" t="s">
        <v>3280</v>
      </c>
      <c r="F2706" t="s">
        <v>21</v>
      </c>
      <c r="G2706" t="s">
        <v>3286</v>
      </c>
      <c r="H2706">
        <v>0</v>
      </c>
      <c r="I2706">
        <v>2</v>
      </c>
      <c r="J2706">
        <v>0</v>
      </c>
      <c r="K2706">
        <v>0</v>
      </c>
      <c r="L2706">
        <v>0</v>
      </c>
    </row>
    <row r="2707" spans="1:12">
      <c r="A2707" t="str">
        <f>HYPERLINK("http://bombeiros.sp.gov.br/hidrantes/03individual/1070.html","1070")</f>
        <v>1070</v>
      </c>
      <c r="B2707" t="str">
        <f>HYPERLINK("http://bombeiros.sp.gov.br/hidrantes/08bsg/qrcodeBSG.html?id=1070&amp;lat=-23.49049&amp;long=-46.75400&amp;tipo=S","QRCODE")</f>
        <v>QRCODE</v>
      </c>
      <c r="C2707" t="s">
        <v>5328</v>
      </c>
      <c r="D2707" t="s">
        <v>157</v>
      </c>
      <c r="E2707" t="s">
        <v>3280</v>
      </c>
      <c r="F2707" t="s">
        <v>21</v>
      </c>
      <c r="G2707" t="s">
        <v>3292</v>
      </c>
      <c r="H2707">
        <v>0</v>
      </c>
      <c r="I2707">
        <v>2</v>
      </c>
      <c r="J2707">
        <v>0</v>
      </c>
      <c r="K2707">
        <v>0</v>
      </c>
      <c r="L2707">
        <v>0</v>
      </c>
    </row>
    <row r="2708" spans="1:12">
      <c r="A2708" t="str">
        <f>HYPERLINK("http://bombeiros.sp.gov.br/hidrantes/03individual/1100.html","1100")</f>
        <v>1100</v>
      </c>
      <c r="B2708" t="str">
        <f>HYPERLINK("http://bombeiros.sp.gov.br/hidrantes/08bsg/qrcodeBSG.html?id=1100&amp;lat=-23.48272&amp;long=-46.75620&amp;tipo=S","QRCODE")</f>
        <v>QRCODE</v>
      </c>
      <c r="C2708" t="s">
        <v>5328</v>
      </c>
      <c r="D2708" t="s">
        <v>157</v>
      </c>
      <c r="E2708" t="s">
        <v>3280</v>
      </c>
      <c r="F2708" t="s">
        <v>21</v>
      </c>
      <c r="G2708" t="s">
        <v>3964</v>
      </c>
      <c r="H2708">
        <v>1</v>
      </c>
      <c r="I2708">
        <v>1</v>
      </c>
      <c r="J2708">
        <v>0</v>
      </c>
      <c r="K2708">
        <v>0</v>
      </c>
      <c r="L2708">
        <v>0</v>
      </c>
    </row>
    <row r="2709" spans="1:12">
      <c r="A2709" t="str">
        <f>HYPERLINK("http://bombeiros.sp.gov.br/hidrantes/03individual/1201.html","1201")</f>
        <v>1201</v>
      </c>
      <c r="B2709" t="str">
        <f>HYPERLINK("http://bombeiros.sp.gov.br/hidrantes/08bsg/qrcodeBSG.html?id=1201&amp;lat=-23.48798&amp;long=-46.74950&amp;tipo=S","QRCODE")</f>
        <v>QRCODE</v>
      </c>
      <c r="C2709" t="s">
        <v>5328</v>
      </c>
      <c r="D2709" t="s">
        <v>157</v>
      </c>
      <c r="E2709" t="s">
        <v>3280</v>
      </c>
      <c r="F2709" t="s">
        <v>21</v>
      </c>
      <c r="G2709" t="s">
        <v>3290</v>
      </c>
      <c r="H2709">
        <v>0</v>
      </c>
      <c r="I2709">
        <v>2</v>
      </c>
      <c r="J2709">
        <v>0</v>
      </c>
      <c r="K2709">
        <v>0</v>
      </c>
      <c r="L2709">
        <v>0</v>
      </c>
    </row>
    <row r="2710" spans="1:12">
      <c r="A2710" t="str">
        <f>HYPERLINK("http://bombeiros.sp.gov.br/hidrantes/03individual/5495.html","5495")</f>
        <v>5495</v>
      </c>
      <c r="B2710" t="str">
        <f>HYPERLINK("http://bombeiros.sp.gov.br/hidrantes/08bsg/qrcodeBSG.html?id=5495&amp;lat=-23.47829&amp;long=-46.75928&amp;tipo=S","QRCODE")</f>
        <v>QRCODE</v>
      </c>
      <c r="C2710" t="s">
        <v>5328</v>
      </c>
      <c r="D2710" t="s">
        <v>157</v>
      </c>
      <c r="E2710" t="s">
        <v>3280</v>
      </c>
      <c r="F2710" t="s">
        <v>21</v>
      </c>
      <c r="G2710" t="s">
        <v>3976</v>
      </c>
      <c r="H2710">
        <v>1</v>
      </c>
      <c r="I2710">
        <v>1</v>
      </c>
      <c r="J2710">
        <v>0</v>
      </c>
      <c r="K2710">
        <v>0</v>
      </c>
      <c r="L2710">
        <v>0</v>
      </c>
    </row>
    <row r="2711" spans="1:12">
      <c r="A2711" t="str">
        <f>HYPERLINK("http://bombeiros.sp.gov.br/hidrantes/03individual/10053.html","10053")</f>
        <v>10053</v>
      </c>
      <c r="B2711" t="str">
        <f>HYPERLINK("http://bombeiros.sp.gov.br/hidrantes/08bsg/qrcodeBSG.html?id=10053&amp;lat=-23.48992&amp;long=-46.73789&amp;tipo=B","QRCODE")</f>
        <v>QRCODE</v>
      </c>
      <c r="C2711" t="s">
        <v>5328</v>
      </c>
      <c r="D2711" t="s">
        <v>157</v>
      </c>
      <c r="E2711" t="s">
        <v>157</v>
      </c>
      <c r="F2711" t="s">
        <v>1719</v>
      </c>
      <c r="G2711" t="s">
        <v>5185</v>
      </c>
      <c r="H2711">
        <v>0</v>
      </c>
      <c r="I2711">
        <v>1</v>
      </c>
      <c r="J2711">
        <v>0</v>
      </c>
      <c r="K2711">
        <v>0</v>
      </c>
      <c r="L2711">
        <v>0</v>
      </c>
    </row>
    <row r="2712" spans="1:12">
      <c r="A2712" t="str">
        <f>HYPERLINK("http://bombeiros.sp.gov.br/hidrantes/03individual/1031.html","1031")</f>
        <v>1031</v>
      </c>
      <c r="B2712" t="str">
        <f>HYPERLINK("http://bombeiros.sp.gov.br/hidrantes/08bsg/qrcodeBSG.html?id=1031&amp;lat=-23.50786&amp;long=-46.73669&amp;tipo=C","QRCODE")</f>
        <v>QRCODE</v>
      </c>
      <c r="C2712" t="s">
        <v>5328</v>
      </c>
      <c r="D2712" t="s">
        <v>157</v>
      </c>
      <c r="E2712" t="s">
        <v>157</v>
      </c>
      <c r="F2712" t="s">
        <v>12</v>
      </c>
      <c r="G2712" t="s">
        <v>2511</v>
      </c>
      <c r="H2712">
        <v>0</v>
      </c>
      <c r="I2712">
        <v>3</v>
      </c>
      <c r="J2712">
        <v>0</v>
      </c>
      <c r="K2712">
        <v>0</v>
      </c>
      <c r="L2712">
        <v>0</v>
      </c>
    </row>
    <row r="2713" spans="1:12">
      <c r="A2713" t="str">
        <f>HYPERLINK("http://bombeiros.sp.gov.br/hidrantes/03individual/1093.html","1093")</f>
        <v>1093</v>
      </c>
      <c r="B2713" t="str">
        <f>HYPERLINK("http://bombeiros.sp.gov.br/hidrantes/08bsg/qrcodeBSG.html?id=1093&amp;lat=-23.50535&amp;long=-46.74807&amp;tipo=C","QRCODE")</f>
        <v>QRCODE</v>
      </c>
      <c r="C2713" t="s">
        <v>5328</v>
      </c>
      <c r="D2713" t="s">
        <v>157</v>
      </c>
      <c r="E2713" t="s">
        <v>157</v>
      </c>
      <c r="F2713" t="s">
        <v>12</v>
      </c>
      <c r="G2713" t="s">
        <v>3962</v>
      </c>
      <c r="H2713">
        <v>0</v>
      </c>
      <c r="I2713">
        <v>3</v>
      </c>
      <c r="J2713">
        <v>0</v>
      </c>
      <c r="K2713">
        <v>0</v>
      </c>
      <c r="L2713">
        <v>0</v>
      </c>
    </row>
    <row r="2714" spans="1:12">
      <c r="A2714" t="str">
        <f>HYPERLINK("http://bombeiros.sp.gov.br/hidrantes/03individual/1159.html","1159")</f>
        <v>1159</v>
      </c>
      <c r="B2714" t="str">
        <f>HYPERLINK("http://bombeiros.sp.gov.br/hidrantes/08bsg/qrcodeBSG.html?id=1159&amp;lat=-23.48682&amp;long=-46.74396&amp;tipo=C","QRCODE")</f>
        <v>QRCODE</v>
      </c>
      <c r="C2714" t="s">
        <v>5328</v>
      </c>
      <c r="D2714" t="s">
        <v>157</v>
      </c>
      <c r="E2714" t="s">
        <v>157</v>
      </c>
      <c r="F2714" t="s">
        <v>12</v>
      </c>
      <c r="G2714" t="s">
        <v>612</v>
      </c>
      <c r="H2714">
        <v>0</v>
      </c>
      <c r="I2714">
        <v>2</v>
      </c>
      <c r="J2714">
        <v>0</v>
      </c>
      <c r="K2714">
        <v>0</v>
      </c>
      <c r="L2714">
        <v>0</v>
      </c>
    </row>
    <row r="2715" spans="1:12">
      <c r="A2715" t="str">
        <f>HYPERLINK("http://bombeiros.sp.gov.br/hidrantes/03individual/1303.html","1303")</f>
        <v>1303</v>
      </c>
      <c r="B2715" t="str">
        <f>HYPERLINK("http://bombeiros.sp.gov.br/hidrantes/08bsg/qrcodeBSG.html?id=1303&amp;lat=-23.50122&amp;long=-46.74213&amp;tipo=C","QRCODE")</f>
        <v>QRCODE</v>
      </c>
      <c r="C2715" t="s">
        <v>5328</v>
      </c>
      <c r="D2715" t="s">
        <v>157</v>
      </c>
      <c r="E2715" t="s">
        <v>157</v>
      </c>
      <c r="F2715" t="s">
        <v>12</v>
      </c>
      <c r="G2715" t="s">
        <v>3299</v>
      </c>
      <c r="H2715">
        <v>0</v>
      </c>
      <c r="I2715">
        <v>2</v>
      </c>
      <c r="J2715">
        <v>0</v>
      </c>
      <c r="K2715">
        <v>0</v>
      </c>
      <c r="L2715">
        <v>0</v>
      </c>
    </row>
    <row r="2716" spans="1:12">
      <c r="A2716" t="str">
        <f>HYPERLINK("http://bombeiros.sp.gov.br/hidrantes/03individual/1314.html","1314")</f>
        <v>1314</v>
      </c>
      <c r="B2716" t="str">
        <f>HYPERLINK("http://bombeiros.sp.gov.br/hidrantes/08bsg/qrcodeBSG.html?id=1314&amp;lat=-23.50840&amp;long=-46.73157&amp;tipo=C","QRCODE")</f>
        <v>QRCODE</v>
      </c>
      <c r="C2716" t="s">
        <v>5328</v>
      </c>
      <c r="D2716" t="s">
        <v>157</v>
      </c>
      <c r="E2716" t="s">
        <v>157</v>
      </c>
      <c r="F2716" t="s">
        <v>12</v>
      </c>
      <c r="G2716" t="s">
        <v>3297</v>
      </c>
      <c r="H2716">
        <v>0</v>
      </c>
      <c r="I2716">
        <v>2</v>
      </c>
      <c r="J2716">
        <v>0</v>
      </c>
      <c r="K2716">
        <v>0</v>
      </c>
      <c r="L2716">
        <v>0</v>
      </c>
    </row>
    <row r="2717" spans="1:12">
      <c r="A2717" t="str">
        <f>HYPERLINK("http://bombeiros.sp.gov.br/hidrantes/03individual/3363.html","3363")</f>
        <v>3363</v>
      </c>
      <c r="B2717" t="str">
        <f>HYPERLINK("http://bombeiros.sp.gov.br/hidrantes/08bsg/qrcodeBSG.html?id=3363&amp;lat=-23.50639&amp;long=-46.74242&amp;tipo=C","QRCODE")</f>
        <v>QRCODE</v>
      </c>
      <c r="C2717" t="s">
        <v>5328</v>
      </c>
      <c r="D2717" t="s">
        <v>157</v>
      </c>
      <c r="E2717" t="s">
        <v>157</v>
      </c>
      <c r="F2717" t="s">
        <v>12</v>
      </c>
      <c r="G2717" t="s">
        <v>3750</v>
      </c>
      <c r="H2717">
        <v>1</v>
      </c>
      <c r="I2717">
        <v>1</v>
      </c>
      <c r="J2717">
        <v>0</v>
      </c>
      <c r="K2717">
        <v>0</v>
      </c>
      <c r="L2717">
        <v>0</v>
      </c>
    </row>
    <row r="2718" spans="1:12">
      <c r="A2718" t="str">
        <f>HYPERLINK("http://bombeiros.sp.gov.br/hidrantes/03individual/4095.html","4095")</f>
        <v>4095</v>
      </c>
      <c r="B2718" t="str">
        <f>HYPERLINK("http://bombeiros.sp.gov.br/hidrantes/08bsg/qrcodeBSG.html?id=4095&amp;lat=-23.48972&amp;long=-46.74756&amp;tipo=C","QRCODE")</f>
        <v>QRCODE</v>
      </c>
      <c r="C2718" t="s">
        <v>5328</v>
      </c>
      <c r="D2718" t="s">
        <v>157</v>
      </c>
      <c r="E2718" t="s">
        <v>157</v>
      </c>
      <c r="F2718" t="s">
        <v>12</v>
      </c>
      <c r="G2718" t="s">
        <v>628</v>
      </c>
      <c r="H2718">
        <v>0</v>
      </c>
      <c r="I2718">
        <v>3</v>
      </c>
      <c r="J2718">
        <v>0</v>
      </c>
      <c r="K2718">
        <v>0</v>
      </c>
      <c r="L2718">
        <v>0</v>
      </c>
    </row>
    <row r="2719" spans="1:12">
      <c r="A2719" t="str">
        <f>HYPERLINK("http://bombeiros.sp.gov.br/hidrantes/03individual/4098.html","4098")</f>
        <v>4098</v>
      </c>
      <c r="B2719" t="str">
        <f>HYPERLINK("http://bombeiros.sp.gov.br/hidrantes/08bsg/qrcodeBSG.html?id=4098&amp;lat=-23.49619&amp;long=-46.74138&amp;tipo=C","QRCODE")</f>
        <v>QRCODE</v>
      </c>
      <c r="C2719" t="s">
        <v>5328</v>
      </c>
      <c r="D2719" t="s">
        <v>157</v>
      </c>
      <c r="E2719" t="s">
        <v>157</v>
      </c>
      <c r="F2719" t="s">
        <v>12</v>
      </c>
      <c r="G2719" t="s">
        <v>3055</v>
      </c>
      <c r="H2719">
        <v>0</v>
      </c>
      <c r="I2719">
        <v>2</v>
      </c>
      <c r="J2719">
        <v>0</v>
      </c>
      <c r="K2719">
        <v>0</v>
      </c>
      <c r="L2719">
        <v>0</v>
      </c>
    </row>
    <row r="2720" spans="1:12">
      <c r="A2720" t="str">
        <f>HYPERLINK("http://bombeiros.sp.gov.br/hidrantes/03individual/4100.html","4100")</f>
        <v>4100</v>
      </c>
      <c r="B2720" t="str">
        <f>HYPERLINK("http://bombeiros.sp.gov.br/hidrantes/08bsg/qrcodeBSG.html?id=4100&amp;lat=-23.49129&amp;long=-46.73849&amp;tipo=C","QRCODE")</f>
        <v>QRCODE</v>
      </c>
      <c r="C2720" t="s">
        <v>5328</v>
      </c>
      <c r="D2720" t="s">
        <v>157</v>
      </c>
      <c r="E2720" t="s">
        <v>157</v>
      </c>
      <c r="F2720" t="s">
        <v>12</v>
      </c>
      <c r="G2720" t="s">
        <v>1801</v>
      </c>
      <c r="H2720">
        <v>0</v>
      </c>
      <c r="I2720">
        <v>2</v>
      </c>
      <c r="J2720">
        <v>0</v>
      </c>
      <c r="K2720">
        <v>0</v>
      </c>
      <c r="L2720">
        <v>0</v>
      </c>
    </row>
    <row r="2721" spans="1:12">
      <c r="A2721" t="str">
        <f>HYPERLINK("http://bombeiros.sp.gov.br/hidrantes/03individual/27264.html","27264")</f>
        <v>27264</v>
      </c>
      <c r="B2721" t="str">
        <f>HYPERLINK("http://bombeiros.sp.gov.br/hidrantes/08bsg/qrcodeBSG.html?id=27264&amp;lat=-23.49046&amp;long=-46.74342&amp;tipo=C","QRCODE")</f>
        <v>QRCODE</v>
      </c>
      <c r="C2721" t="s">
        <v>5328</v>
      </c>
      <c r="D2721" t="s">
        <v>157</v>
      </c>
      <c r="E2721" t="s">
        <v>157</v>
      </c>
      <c r="F2721" t="s">
        <v>12</v>
      </c>
      <c r="G2721" t="s">
        <v>1508</v>
      </c>
      <c r="H2721">
        <v>0</v>
      </c>
      <c r="I2721">
        <v>1</v>
      </c>
      <c r="J2721">
        <v>0</v>
      </c>
      <c r="K2721">
        <v>0</v>
      </c>
      <c r="L2721">
        <v>0</v>
      </c>
    </row>
    <row r="2722" spans="1:12">
      <c r="A2722" t="str">
        <f>HYPERLINK("http://bombeiros.sp.gov.br/hidrantes/03individual/981.html","981")</f>
        <v>981</v>
      </c>
      <c r="B2722" t="str">
        <f>HYPERLINK("http://bombeiros.sp.gov.br/hidrantes/08bsg/qrcodeBSG.html?id=981&amp;lat=-23.50607&amp;long=-46.74556&amp;tipo=S","QRCODE")</f>
        <v>QRCODE</v>
      </c>
      <c r="C2722" t="s">
        <v>5328</v>
      </c>
      <c r="D2722" t="s">
        <v>157</v>
      </c>
      <c r="E2722" t="s">
        <v>157</v>
      </c>
      <c r="F2722" t="s">
        <v>21</v>
      </c>
      <c r="G2722" t="s">
        <v>2096</v>
      </c>
      <c r="H2722">
        <v>0</v>
      </c>
      <c r="I2722">
        <v>2</v>
      </c>
      <c r="J2722">
        <v>0</v>
      </c>
      <c r="K2722">
        <v>0</v>
      </c>
      <c r="L2722">
        <v>0</v>
      </c>
    </row>
    <row r="2723" spans="1:12">
      <c r="A2723" t="str">
        <f>HYPERLINK("http://bombeiros.sp.gov.br/hidrantes/03individual/1049.html","1049")</f>
        <v>1049</v>
      </c>
      <c r="B2723" t="str">
        <f>HYPERLINK("http://bombeiros.sp.gov.br/hidrantes/08bsg/qrcodeBSG.html?id=1049&amp;lat=-23.49766&amp;long=-46.74963&amp;tipo=S","QRCODE")</f>
        <v>QRCODE</v>
      </c>
      <c r="C2723" t="s">
        <v>5328</v>
      </c>
      <c r="D2723" t="s">
        <v>157</v>
      </c>
      <c r="E2723" t="s">
        <v>157</v>
      </c>
      <c r="F2723" t="s">
        <v>21</v>
      </c>
      <c r="G2723" t="s">
        <v>3705</v>
      </c>
      <c r="H2723">
        <v>1</v>
      </c>
      <c r="I2723">
        <v>1</v>
      </c>
      <c r="J2723">
        <v>0</v>
      </c>
      <c r="K2723">
        <v>0</v>
      </c>
      <c r="L2723">
        <v>0</v>
      </c>
    </row>
    <row r="2724" spans="1:12">
      <c r="A2724" t="str">
        <f>HYPERLINK("http://bombeiros.sp.gov.br/hidrantes/03individual/1086.html","1086")</f>
        <v>1086</v>
      </c>
      <c r="B2724" t="str">
        <f>HYPERLINK("http://bombeiros.sp.gov.br/hidrantes/08bsg/qrcodeBSG.html?id=1086&amp;lat=-23.50506&amp;long=-46.73346&amp;tipo=S","QRCODE")</f>
        <v>QRCODE</v>
      </c>
      <c r="C2724" t="s">
        <v>5328</v>
      </c>
      <c r="D2724" t="s">
        <v>157</v>
      </c>
      <c r="E2724" t="s">
        <v>157</v>
      </c>
      <c r="F2724" t="s">
        <v>21</v>
      </c>
      <c r="G2724" t="s">
        <v>4232</v>
      </c>
      <c r="H2724">
        <v>0</v>
      </c>
      <c r="I2724">
        <v>1</v>
      </c>
      <c r="J2724">
        <v>0</v>
      </c>
      <c r="K2724">
        <v>0</v>
      </c>
      <c r="L2724">
        <v>0</v>
      </c>
    </row>
    <row r="2725" spans="1:12">
      <c r="A2725" t="str">
        <f>HYPERLINK("http://bombeiros.sp.gov.br/hidrantes/03individual/1094.html","1094")</f>
        <v>1094</v>
      </c>
      <c r="B2725" t="str">
        <f>HYPERLINK("http://bombeiros.sp.gov.br/hidrantes/08bsg/qrcodeBSG.html?id=1094&amp;lat=-23.50458&amp;long=-46.74500&amp;tipo=S","QRCODE")</f>
        <v>QRCODE</v>
      </c>
      <c r="C2725" t="s">
        <v>5328</v>
      </c>
      <c r="D2725" t="s">
        <v>157</v>
      </c>
      <c r="E2725" t="s">
        <v>157</v>
      </c>
      <c r="F2725" t="s">
        <v>21</v>
      </c>
      <c r="G2725" t="s">
        <v>3963</v>
      </c>
      <c r="H2725">
        <v>0</v>
      </c>
      <c r="I2725">
        <v>2</v>
      </c>
      <c r="J2725">
        <v>0</v>
      </c>
      <c r="K2725">
        <v>0</v>
      </c>
      <c r="L2725">
        <v>0</v>
      </c>
    </row>
    <row r="2726" spans="1:12">
      <c r="A2726" t="str">
        <f>HYPERLINK("http://bombeiros.sp.gov.br/hidrantes/03individual/1114.html","1114")</f>
        <v>1114</v>
      </c>
      <c r="B2726" t="str">
        <f>HYPERLINK("http://bombeiros.sp.gov.br/hidrantes/08bsg/qrcodeBSG.html?id=1114&amp;lat=-23.50670&amp;long=-46.74059&amp;tipo=S","QRCODE")</f>
        <v>QRCODE</v>
      </c>
      <c r="C2726" t="s">
        <v>5328</v>
      </c>
      <c r="D2726" t="s">
        <v>157</v>
      </c>
      <c r="E2726" t="s">
        <v>157</v>
      </c>
      <c r="F2726" t="s">
        <v>21</v>
      </c>
      <c r="G2726" t="s">
        <v>3961</v>
      </c>
      <c r="H2726">
        <v>0</v>
      </c>
      <c r="I2726">
        <v>2</v>
      </c>
      <c r="J2726">
        <v>0</v>
      </c>
      <c r="K2726">
        <v>0</v>
      </c>
      <c r="L2726">
        <v>0</v>
      </c>
    </row>
    <row r="2727" spans="1:12">
      <c r="A2727" t="str">
        <f>HYPERLINK("http://bombeiros.sp.gov.br/hidrantes/03individual/1136.html","1136")</f>
        <v>1136</v>
      </c>
      <c r="B2727" t="str">
        <f>HYPERLINK("http://bombeiros.sp.gov.br/hidrantes/08bsg/qrcodeBSG.html?id=1136&amp;lat=-23.49548&amp;long=-46.74055&amp;tipo=S","QRCODE")</f>
        <v>QRCODE</v>
      </c>
      <c r="C2727" t="s">
        <v>5328</v>
      </c>
      <c r="D2727" t="s">
        <v>157</v>
      </c>
      <c r="E2727" t="s">
        <v>157</v>
      </c>
      <c r="F2727" t="s">
        <v>21</v>
      </c>
      <c r="G2727" t="s">
        <v>611</v>
      </c>
      <c r="H2727">
        <v>0</v>
      </c>
      <c r="I2727">
        <v>2</v>
      </c>
      <c r="J2727">
        <v>0</v>
      </c>
      <c r="K2727">
        <v>0</v>
      </c>
      <c r="L2727">
        <v>0</v>
      </c>
    </row>
    <row r="2728" spans="1:12">
      <c r="A2728" t="str">
        <f>HYPERLINK("http://bombeiros.sp.gov.br/hidrantes/03individual/1199.html","1199")</f>
        <v>1199</v>
      </c>
      <c r="B2728" t="str">
        <f>HYPERLINK("http://bombeiros.sp.gov.br/hidrantes/08bsg/qrcodeBSG.html?id=1199&amp;lat=-23.49238&amp;long=-46.74106&amp;tipo=S","QRCODE")</f>
        <v>QRCODE</v>
      </c>
      <c r="C2728" t="s">
        <v>5328</v>
      </c>
      <c r="D2728" t="s">
        <v>157</v>
      </c>
      <c r="E2728" t="s">
        <v>157</v>
      </c>
      <c r="F2728" t="s">
        <v>21</v>
      </c>
      <c r="G2728" t="s">
        <v>2999</v>
      </c>
      <c r="H2728">
        <v>0</v>
      </c>
      <c r="I2728">
        <v>2</v>
      </c>
      <c r="J2728">
        <v>0</v>
      </c>
      <c r="K2728">
        <v>0</v>
      </c>
      <c r="L2728">
        <v>0</v>
      </c>
    </row>
    <row r="2729" spans="1:12">
      <c r="A2729" t="str">
        <f>HYPERLINK("http://bombeiros.sp.gov.br/hidrantes/03individual/1200.html","1200")</f>
        <v>1200</v>
      </c>
      <c r="B2729" t="str">
        <f>HYPERLINK("http://bombeiros.sp.gov.br/hidrantes/08bsg/qrcodeBSG.html?id=1200&amp;lat=-23.49569&amp;long=-46.74557&amp;tipo=S","QRCODE")</f>
        <v>QRCODE</v>
      </c>
      <c r="C2729" t="s">
        <v>5328</v>
      </c>
      <c r="D2729" t="s">
        <v>157</v>
      </c>
      <c r="E2729" t="s">
        <v>157</v>
      </c>
      <c r="F2729" t="s">
        <v>21</v>
      </c>
      <c r="G2729" t="s">
        <v>4235</v>
      </c>
      <c r="H2729">
        <v>0</v>
      </c>
      <c r="I2729">
        <v>1</v>
      </c>
      <c r="J2729">
        <v>0</v>
      </c>
      <c r="K2729">
        <v>0</v>
      </c>
      <c r="L2729">
        <v>0</v>
      </c>
    </row>
    <row r="2730" spans="1:12">
      <c r="A2730" t="str">
        <f>HYPERLINK("http://bombeiros.sp.gov.br/hidrantes/03individual/1202.html","1202")</f>
        <v>1202</v>
      </c>
      <c r="B2730" t="str">
        <f>HYPERLINK("http://bombeiros.sp.gov.br/hidrantes/08bsg/qrcodeBSG.html?id=1202&amp;lat=-23.51000&amp;long=-46.72305&amp;tipo=S","QRCODE")</f>
        <v>QRCODE</v>
      </c>
      <c r="C2730" t="s">
        <v>5328</v>
      </c>
      <c r="D2730" t="s">
        <v>157</v>
      </c>
      <c r="E2730" t="s">
        <v>157</v>
      </c>
      <c r="F2730" t="s">
        <v>21</v>
      </c>
      <c r="G2730" t="s">
        <v>2267</v>
      </c>
      <c r="H2730">
        <v>0</v>
      </c>
      <c r="I2730">
        <v>2</v>
      </c>
      <c r="J2730">
        <v>0</v>
      </c>
      <c r="K2730">
        <v>0</v>
      </c>
      <c r="L2730">
        <v>0</v>
      </c>
    </row>
    <row r="2731" spans="1:12">
      <c r="A2731" t="str">
        <f>HYPERLINK("http://bombeiros.sp.gov.br/hidrantes/03individual/1206.html","1206")</f>
        <v>1206</v>
      </c>
      <c r="B2731" t="str">
        <f>HYPERLINK("http://bombeiros.sp.gov.br/hidrantes/08bsg/qrcodeBSG.html?id=1206&amp;lat=-23.49054&amp;long=-46.74600&amp;tipo=S","QRCODE")</f>
        <v>QRCODE</v>
      </c>
      <c r="C2731" t="s">
        <v>5328</v>
      </c>
      <c r="D2731" t="s">
        <v>157</v>
      </c>
      <c r="E2731" t="s">
        <v>157</v>
      </c>
      <c r="F2731" t="s">
        <v>21</v>
      </c>
      <c r="G2731" t="s">
        <v>1550</v>
      </c>
      <c r="H2731">
        <v>0</v>
      </c>
      <c r="I2731">
        <v>2</v>
      </c>
      <c r="J2731">
        <v>0</v>
      </c>
      <c r="K2731">
        <v>0</v>
      </c>
      <c r="L2731">
        <v>0</v>
      </c>
    </row>
    <row r="2732" spans="1:12">
      <c r="A2732" t="str">
        <f>HYPERLINK("http://bombeiros.sp.gov.br/hidrantes/03individual/1262.html","1262")</f>
        <v>1262</v>
      </c>
      <c r="B2732" t="str">
        <f>HYPERLINK("http://bombeiros.sp.gov.br/hidrantes/08bsg/qrcodeBSG.html?id=1262&amp;lat=-23.50036&amp;long=-46.75012&amp;tipo=S","QRCODE")</f>
        <v>QRCODE</v>
      </c>
      <c r="C2732" t="s">
        <v>5328</v>
      </c>
      <c r="D2732" t="s">
        <v>157</v>
      </c>
      <c r="E2732" t="s">
        <v>157</v>
      </c>
      <c r="F2732" t="s">
        <v>21</v>
      </c>
      <c r="G2732" t="s">
        <v>156</v>
      </c>
      <c r="H2732">
        <v>0</v>
      </c>
      <c r="I2732">
        <v>2</v>
      </c>
      <c r="J2732">
        <v>0</v>
      </c>
      <c r="K2732">
        <v>0</v>
      </c>
      <c r="L2732">
        <v>0</v>
      </c>
    </row>
    <row r="2733" spans="1:12">
      <c r="A2733" t="str">
        <f>HYPERLINK("http://bombeiros.sp.gov.br/hidrantes/03individual/1266.html","1266")</f>
        <v>1266</v>
      </c>
      <c r="B2733" t="str">
        <f>HYPERLINK("http://bombeiros.sp.gov.br/hidrantes/08bsg/qrcodeBSG.html?id=1266&amp;lat=-23.49383&amp;long=-46.73761&amp;tipo=S","QRCODE")</f>
        <v>QRCODE</v>
      </c>
      <c r="C2733" t="s">
        <v>5328</v>
      </c>
      <c r="D2733" t="s">
        <v>157</v>
      </c>
      <c r="E2733" t="s">
        <v>157</v>
      </c>
      <c r="F2733" t="s">
        <v>21</v>
      </c>
      <c r="G2733" t="s">
        <v>1554</v>
      </c>
      <c r="H2733">
        <v>0</v>
      </c>
      <c r="I2733">
        <v>2</v>
      </c>
      <c r="J2733">
        <v>0</v>
      </c>
      <c r="K2733">
        <v>0</v>
      </c>
      <c r="L2733">
        <v>0</v>
      </c>
    </row>
    <row r="2734" spans="1:12">
      <c r="A2734" t="str">
        <f>HYPERLINK("http://bombeiros.sp.gov.br/hidrantes/03individual/1299.html","1299")</f>
        <v>1299</v>
      </c>
      <c r="B2734" t="str">
        <f>HYPERLINK("http://bombeiros.sp.gov.br/hidrantes/08bsg/qrcodeBSG.html?id=1299&amp;lat=-23.50053&amp;long=-46.74414&amp;tipo=S","QRCODE")</f>
        <v>QRCODE</v>
      </c>
      <c r="C2734" t="s">
        <v>5328</v>
      </c>
      <c r="D2734" t="s">
        <v>157</v>
      </c>
      <c r="E2734" t="s">
        <v>157</v>
      </c>
      <c r="F2734" t="s">
        <v>21</v>
      </c>
      <c r="G2734" t="s">
        <v>2127</v>
      </c>
      <c r="H2734">
        <v>0</v>
      </c>
      <c r="I2734">
        <v>2</v>
      </c>
      <c r="J2734">
        <v>0</v>
      </c>
      <c r="K2734">
        <v>0</v>
      </c>
      <c r="L2734">
        <v>0</v>
      </c>
    </row>
    <row r="2735" spans="1:12">
      <c r="A2735" t="str">
        <f>HYPERLINK("http://bombeiros.sp.gov.br/hidrantes/03individual/1301.html","1301")</f>
        <v>1301</v>
      </c>
      <c r="B2735" t="str">
        <f>HYPERLINK("http://bombeiros.sp.gov.br/hidrantes/08bsg/qrcodeBSG.html?id=1301&amp;lat=-23.49277&amp;long=-46.74529&amp;tipo=S","QRCODE")</f>
        <v>QRCODE</v>
      </c>
      <c r="C2735" t="s">
        <v>5328</v>
      </c>
      <c r="D2735" t="s">
        <v>157</v>
      </c>
      <c r="E2735" t="s">
        <v>157</v>
      </c>
      <c r="F2735" t="s">
        <v>21</v>
      </c>
      <c r="G2735" t="s">
        <v>2128</v>
      </c>
      <c r="H2735">
        <v>0</v>
      </c>
      <c r="I2735">
        <v>4</v>
      </c>
      <c r="J2735">
        <v>0</v>
      </c>
      <c r="K2735">
        <v>0</v>
      </c>
      <c r="L2735">
        <v>0</v>
      </c>
    </row>
    <row r="2736" spans="1:12">
      <c r="A2736" t="str">
        <f>HYPERLINK("http://bombeiros.sp.gov.br/hidrantes/03individual/1316.html","1316")</f>
        <v>1316</v>
      </c>
      <c r="B2736" t="str">
        <f>HYPERLINK("http://bombeiros.sp.gov.br/hidrantes/08bsg/qrcodeBSG.html?id=1316&amp;lat=-23.50724&amp;long=-46.72320&amp;tipo=S","QRCODE")</f>
        <v>QRCODE</v>
      </c>
      <c r="C2736" t="s">
        <v>5328</v>
      </c>
      <c r="D2736" t="s">
        <v>157</v>
      </c>
      <c r="E2736" t="s">
        <v>157</v>
      </c>
      <c r="F2736" t="s">
        <v>21</v>
      </c>
      <c r="G2736" t="s">
        <v>3298</v>
      </c>
      <c r="H2736">
        <v>0</v>
      </c>
      <c r="I2736">
        <v>2</v>
      </c>
      <c r="J2736">
        <v>0</v>
      </c>
      <c r="K2736">
        <v>0</v>
      </c>
      <c r="L2736">
        <v>0</v>
      </c>
    </row>
    <row r="2737" spans="1:12">
      <c r="A2737" t="str">
        <f>HYPERLINK("http://bombeiros.sp.gov.br/hidrantes/03individual/4090.html","4090")</f>
        <v>4090</v>
      </c>
      <c r="B2737" t="str">
        <f>HYPERLINK("http://bombeiros.sp.gov.br/hidrantes/08bsg/qrcodeBSG.html?id=4090&amp;lat=-23.49980&amp;long=-46.74367&amp;tipo=S","QRCODE")</f>
        <v>QRCODE</v>
      </c>
      <c r="C2737" t="s">
        <v>5328</v>
      </c>
      <c r="D2737" t="s">
        <v>157</v>
      </c>
      <c r="E2737" t="s">
        <v>157</v>
      </c>
      <c r="F2737" t="s">
        <v>21</v>
      </c>
      <c r="G2737" t="s">
        <v>3332</v>
      </c>
      <c r="H2737">
        <v>0</v>
      </c>
      <c r="I2737">
        <v>2</v>
      </c>
      <c r="J2737">
        <v>0</v>
      </c>
      <c r="K2737">
        <v>0</v>
      </c>
      <c r="L2737">
        <v>0</v>
      </c>
    </row>
    <row r="2738" spans="1:12">
      <c r="A2738" t="str">
        <f>HYPERLINK("http://bombeiros.sp.gov.br/hidrantes/03individual/4091.html","4091")</f>
        <v>4091</v>
      </c>
      <c r="B2738" t="str">
        <f>HYPERLINK("http://bombeiros.sp.gov.br/hidrantes/08bsg/qrcodeBSG.html?id=4091&amp;lat=-23.49744&amp;long=-46.74461&amp;tipo=S","QRCODE")</f>
        <v>QRCODE</v>
      </c>
      <c r="C2738" t="s">
        <v>5328</v>
      </c>
      <c r="D2738" t="s">
        <v>157</v>
      </c>
      <c r="E2738" t="s">
        <v>157</v>
      </c>
      <c r="F2738" t="s">
        <v>21</v>
      </c>
      <c r="G2738" t="s">
        <v>2152</v>
      </c>
      <c r="H2738">
        <v>0</v>
      </c>
      <c r="I2738">
        <v>3</v>
      </c>
      <c r="J2738">
        <v>0</v>
      </c>
      <c r="K2738">
        <v>0</v>
      </c>
      <c r="L2738">
        <v>0</v>
      </c>
    </row>
    <row r="2739" spans="1:12">
      <c r="A2739" t="str">
        <f>HYPERLINK("http://bombeiros.sp.gov.br/hidrantes/03individual/4092.html","4092")</f>
        <v>4092</v>
      </c>
      <c r="B2739" t="str">
        <f>HYPERLINK("http://bombeiros.sp.gov.br/hidrantes/08bsg/qrcodeBSG.html?id=4092&amp;lat=-23.50003&amp;long=-46.74733&amp;tipo=S","QRCODE")</f>
        <v>QRCODE</v>
      </c>
      <c r="C2739" t="s">
        <v>5328</v>
      </c>
      <c r="D2739" t="s">
        <v>157</v>
      </c>
      <c r="E2739" t="s">
        <v>157</v>
      </c>
      <c r="F2739" t="s">
        <v>21</v>
      </c>
      <c r="G2739" t="s">
        <v>188</v>
      </c>
      <c r="H2739">
        <v>0</v>
      </c>
      <c r="I2739">
        <v>2</v>
      </c>
      <c r="J2739">
        <v>0</v>
      </c>
      <c r="K2739">
        <v>0</v>
      </c>
      <c r="L2739">
        <v>0</v>
      </c>
    </row>
    <row r="2740" spans="1:12">
      <c r="A2740" t="str">
        <f>HYPERLINK("http://bombeiros.sp.gov.br/hidrantes/03individual/4102.html","4102")</f>
        <v>4102</v>
      </c>
      <c r="B2740" t="str">
        <f>HYPERLINK("http://bombeiros.sp.gov.br/hidrantes/08bsg/qrcodeBSG.html?id=4102&amp;lat=-23.49777&amp;long=-46.73706&amp;tipo=S","QRCODE")</f>
        <v>QRCODE</v>
      </c>
      <c r="C2740" t="s">
        <v>5328</v>
      </c>
      <c r="D2740" t="s">
        <v>157</v>
      </c>
      <c r="E2740" t="s">
        <v>157</v>
      </c>
      <c r="F2740" t="s">
        <v>21</v>
      </c>
      <c r="G2740" t="s">
        <v>624</v>
      </c>
      <c r="H2740">
        <v>0</v>
      </c>
      <c r="I2740">
        <v>2</v>
      </c>
      <c r="J2740">
        <v>0</v>
      </c>
      <c r="K2740">
        <v>0</v>
      </c>
      <c r="L2740">
        <v>0</v>
      </c>
    </row>
    <row r="2741" spans="1:12">
      <c r="A2741" t="str">
        <f>HYPERLINK("http://bombeiros.sp.gov.br/hidrantes/03individual/4103.html","4103")</f>
        <v>4103</v>
      </c>
      <c r="B2741" t="str">
        <f>HYPERLINK("http://bombeiros.sp.gov.br/hidrantes/08bsg/qrcodeBSG.html?id=4103&amp;lat=-23.49433&amp;long=-46.74358&amp;tipo=S","QRCODE")</f>
        <v>QRCODE</v>
      </c>
      <c r="C2741" t="s">
        <v>5328</v>
      </c>
      <c r="D2741" t="s">
        <v>157</v>
      </c>
      <c r="E2741" t="s">
        <v>157</v>
      </c>
      <c r="F2741" t="s">
        <v>21</v>
      </c>
      <c r="G2741" t="s">
        <v>625</v>
      </c>
      <c r="H2741">
        <v>1</v>
      </c>
      <c r="I2741">
        <v>2</v>
      </c>
      <c r="J2741">
        <v>0</v>
      </c>
      <c r="K2741">
        <v>0</v>
      </c>
      <c r="L2741">
        <v>0</v>
      </c>
    </row>
    <row r="2742" spans="1:12">
      <c r="A2742" t="str">
        <f>HYPERLINK("http://bombeiros.sp.gov.br/hidrantes/03individual/5559.html","5559")</f>
        <v>5559</v>
      </c>
      <c r="B2742" t="str">
        <f>HYPERLINK("http://bombeiros.sp.gov.br/hidrantes/08bsg/qrcodeBSG.html?id=5559&amp;lat=-23.50198&amp;long=-46.73345&amp;tipo=S","QRCODE")</f>
        <v>QRCODE</v>
      </c>
      <c r="C2742" t="s">
        <v>5328</v>
      </c>
      <c r="D2742" t="s">
        <v>157</v>
      </c>
      <c r="E2742" t="s">
        <v>157</v>
      </c>
      <c r="F2742" t="s">
        <v>21</v>
      </c>
      <c r="G2742" t="s">
        <v>617</v>
      </c>
      <c r="H2742">
        <v>0</v>
      </c>
      <c r="I2742">
        <v>2</v>
      </c>
      <c r="J2742">
        <v>0</v>
      </c>
      <c r="K2742">
        <v>0</v>
      </c>
      <c r="L2742">
        <v>0</v>
      </c>
    </row>
    <row r="2743" spans="1:12">
      <c r="A2743" t="str">
        <f>HYPERLINK("http://bombeiros.sp.gov.br/hidrantes/03individual/17825.html","17825")</f>
        <v>17825</v>
      </c>
      <c r="B2743" t="str">
        <f>HYPERLINK("http://bombeiros.sp.gov.br/hidrantes/08bsg/qrcodeBSG.html?id=17825&amp;lat=-23.50045&amp;long=-46.73899&amp;tipo=S","QRCODE")</f>
        <v>QRCODE</v>
      </c>
      <c r="C2743" t="s">
        <v>5328</v>
      </c>
      <c r="D2743" t="s">
        <v>157</v>
      </c>
      <c r="E2743" t="s">
        <v>157</v>
      </c>
      <c r="F2743" t="s">
        <v>21</v>
      </c>
      <c r="G2743" t="s">
        <v>654</v>
      </c>
      <c r="H2743">
        <v>0</v>
      </c>
      <c r="I2743">
        <v>2</v>
      </c>
      <c r="J2743">
        <v>0</v>
      </c>
      <c r="K2743">
        <v>0</v>
      </c>
      <c r="L2743">
        <v>0</v>
      </c>
    </row>
    <row r="2744" spans="1:12">
      <c r="A2744" t="str">
        <f>HYPERLINK("http://bombeiros.sp.gov.br/hidrantes/03individual/17826.html","17826")</f>
        <v>17826</v>
      </c>
      <c r="B2744" t="str">
        <f>HYPERLINK("http://bombeiros.sp.gov.br/hidrantes/08bsg/qrcodeBSG.html?id=17826&amp;lat=-23.50512&amp;long=-46.74014&amp;tipo=S","QRCODE")</f>
        <v>QRCODE</v>
      </c>
      <c r="C2744" t="s">
        <v>5328</v>
      </c>
      <c r="D2744" t="s">
        <v>157</v>
      </c>
      <c r="E2744" t="s">
        <v>157</v>
      </c>
      <c r="F2744" t="s">
        <v>21</v>
      </c>
      <c r="G2744" t="s">
        <v>2917</v>
      </c>
      <c r="H2744">
        <v>0</v>
      </c>
      <c r="I2744">
        <v>2</v>
      </c>
      <c r="J2744">
        <v>0</v>
      </c>
      <c r="K2744">
        <v>0</v>
      </c>
      <c r="L2744">
        <v>0</v>
      </c>
    </row>
    <row r="2745" spans="1:12">
      <c r="A2745" t="str">
        <f>HYPERLINK("http://bombeiros.sp.gov.br/hidrantes/03individual/17827.html","17827")</f>
        <v>17827</v>
      </c>
      <c r="B2745" t="str">
        <f>HYPERLINK("http://bombeiros.sp.gov.br/hidrantes/08bsg/qrcodeBSG.html?id=17827&amp;lat=-23.50532&amp;long=-46.73715&amp;tipo=S","QRCODE")</f>
        <v>QRCODE</v>
      </c>
      <c r="C2745" t="s">
        <v>5328</v>
      </c>
      <c r="D2745" t="s">
        <v>157</v>
      </c>
      <c r="E2745" t="s">
        <v>157</v>
      </c>
      <c r="F2745" t="s">
        <v>21</v>
      </c>
      <c r="G2745" t="s">
        <v>3071</v>
      </c>
      <c r="H2745">
        <v>0</v>
      </c>
      <c r="I2745">
        <v>2</v>
      </c>
      <c r="J2745">
        <v>0</v>
      </c>
      <c r="K2745">
        <v>0</v>
      </c>
      <c r="L2745">
        <v>0</v>
      </c>
    </row>
    <row r="2746" spans="1:12">
      <c r="A2746" t="str">
        <f>HYPERLINK("http://bombeiros.sp.gov.br/hidrantes/03individual/17828.html","17828")</f>
        <v>17828</v>
      </c>
      <c r="B2746" t="str">
        <f>HYPERLINK("http://bombeiros.sp.gov.br/hidrantes/08bsg/qrcodeBSG.html?id=17828&amp;lat=-23.50288&amp;long=-46.73731&amp;tipo=S","QRCODE")</f>
        <v>QRCODE</v>
      </c>
      <c r="C2746" t="s">
        <v>5328</v>
      </c>
      <c r="D2746" t="s">
        <v>157</v>
      </c>
      <c r="E2746" t="s">
        <v>157</v>
      </c>
      <c r="F2746" t="s">
        <v>21</v>
      </c>
      <c r="G2746" t="s">
        <v>3072</v>
      </c>
      <c r="H2746">
        <v>0</v>
      </c>
      <c r="I2746">
        <v>2</v>
      </c>
      <c r="J2746">
        <v>0</v>
      </c>
      <c r="K2746">
        <v>0</v>
      </c>
      <c r="L2746">
        <v>0</v>
      </c>
    </row>
    <row r="2747" spans="1:12">
      <c r="A2747" t="str">
        <f>HYPERLINK("http://bombeiros.sp.gov.br/hidrantes/03individual/17829.html","17829")</f>
        <v>17829</v>
      </c>
      <c r="B2747" t="str">
        <f>HYPERLINK("http://bombeiros.sp.gov.br/hidrantes/08bsg/qrcodeBSG.html?id=17829&amp;lat=-23.50708&amp;long=-46.74389&amp;tipo=S","QRCODE")</f>
        <v>QRCODE</v>
      </c>
      <c r="C2747" t="s">
        <v>5328</v>
      </c>
      <c r="D2747" t="s">
        <v>157</v>
      </c>
      <c r="E2747" t="s">
        <v>157</v>
      </c>
      <c r="F2747" t="s">
        <v>21</v>
      </c>
      <c r="G2747" t="s">
        <v>3342</v>
      </c>
      <c r="H2747">
        <v>0</v>
      </c>
      <c r="I2747">
        <v>2</v>
      </c>
      <c r="J2747">
        <v>0</v>
      </c>
      <c r="K2747">
        <v>0</v>
      </c>
      <c r="L2747">
        <v>0</v>
      </c>
    </row>
    <row r="2748" spans="1:12">
      <c r="A2748" t="str">
        <f>HYPERLINK("http://bombeiros.sp.gov.br/hidrantes/03individual/17832.html","17832")</f>
        <v>17832</v>
      </c>
      <c r="B2748" t="str">
        <f>HYPERLINK("http://bombeiros.sp.gov.br/hidrantes/08bsg/qrcodeBSG.html?id=17832&amp;lat=-23.48818&amp;long=-46.74113&amp;tipo=S","QRCODE")</f>
        <v>QRCODE</v>
      </c>
      <c r="C2748" t="s">
        <v>5328</v>
      </c>
      <c r="D2748" t="s">
        <v>157</v>
      </c>
      <c r="E2748" t="s">
        <v>157</v>
      </c>
      <c r="F2748" t="s">
        <v>21</v>
      </c>
      <c r="G2748" t="s">
        <v>4260</v>
      </c>
      <c r="H2748">
        <v>0</v>
      </c>
      <c r="I2748">
        <v>1</v>
      </c>
      <c r="J2748">
        <v>0</v>
      </c>
      <c r="K2748">
        <v>0</v>
      </c>
      <c r="L2748">
        <v>0</v>
      </c>
    </row>
    <row r="2749" spans="1:12">
      <c r="A2749" t="str">
        <f>HYPERLINK("http://bombeiros.sp.gov.br/hidrantes/03individual/27265.html","27265")</f>
        <v>27265</v>
      </c>
      <c r="B2749" t="str">
        <f>HYPERLINK("http://bombeiros.sp.gov.br/hidrantes/08bsg/qrcodeBSG.html?id=27265&amp;lat=-23.48922&amp;long=-46.74371&amp;tipo=S","QRCODE")</f>
        <v>QRCODE</v>
      </c>
      <c r="C2749" t="s">
        <v>5328</v>
      </c>
      <c r="D2749" t="s">
        <v>157</v>
      </c>
      <c r="E2749" t="s">
        <v>157</v>
      </c>
      <c r="F2749" t="s">
        <v>21</v>
      </c>
      <c r="G2749" t="s">
        <v>1509</v>
      </c>
      <c r="H2749">
        <v>0</v>
      </c>
      <c r="I2749">
        <v>1</v>
      </c>
      <c r="J2749">
        <v>0</v>
      </c>
      <c r="K2749">
        <v>0</v>
      </c>
      <c r="L2749">
        <v>0</v>
      </c>
    </row>
    <row r="2750" spans="1:12">
      <c r="A2750" t="str">
        <f>HYPERLINK("http://bombeiros.sp.gov.br/hidrantes/03individual/3548.html","3548")</f>
        <v>3548</v>
      </c>
      <c r="B2750" t="str">
        <f>HYPERLINK("http://bombeiros.sp.gov.br/hidrantes/08bsg/qrcodeBSG.html?id=3548&amp;lat=-23.43507&amp;long=-46.58168&amp;tipo=C","QRCODE")</f>
        <v>QRCODE</v>
      </c>
      <c r="C2750" t="s">
        <v>5328</v>
      </c>
      <c r="D2750" t="s">
        <v>728</v>
      </c>
      <c r="E2750" t="s">
        <v>197</v>
      </c>
      <c r="F2750" t="s">
        <v>12</v>
      </c>
      <c r="G2750" t="s">
        <v>198</v>
      </c>
      <c r="H2750">
        <v>0</v>
      </c>
      <c r="I2750">
        <v>2</v>
      </c>
      <c r="J2750">
        <v>0</v>
      </c>
      <c r="K2750">
        <v>0</v>
      </c>
      <c r="L2750">
        <v>0</v>
      </c>
    </row>
    <row r="2751" spans="1:12">
      <c r="A2751" t="str">
        <f>HYPERLINK("http://bombeiros.sp.gov.br/hidrantes/03individual/3551.html","3551")</f>
        <v>3551</v>
      </c>
      <c r="B2751" t="str">
        <f>HYPERLINK("http://bombeiros.sp.gov.br/hidrantes/08bsg/qrcodeBSG.html?id=3551&amp;lat=-23.43517&amp;long=-46.57251&amp;tipo=C","QRCODE")</f>
        <v>QRCODE</v>
      </c>
      <c r="C2751" t="s">
        <v>5328</v>
      </c>
      <c r="D2751" t="s">
        <v>728</v>
      </c>
      <c r="E2751" t="s">
        <v>197</v>
      </c>
      <c r="F2751" t="s">
        <v>12</v>
      </c>
      <c r="G2751" t="s">
        <v>196</v>
      </c>
      <c r="H2751">
        <v>0</v>
      </c>
      <c r="I2751">
        <v>2</v>
      </c>
      <c r="J2751">
        <v>0</v>
      </c>
      <c r="K2751">
        <v>0</v>
      </c>
      <c r="L2751">
        <v>0</v>
      </c>
    </row>
    <row r="2752" spans="1:12">
      <c r="A2752" t="str">
        <f>HYPERLINK("http://bombeiros.sp.gov.br/hidrantes/03individual/3570.html","3570")</f>
        <v>3570</v>
      </c>
      <c r="B2752" t="str">
        <f>HYPERLINK("http://bombeiros.sp.gov.br/hidrantes/08bsg/qrcodeBSG.html?id=3570&amp;lat=-23.43943&amp;long=-46.57847&amp;tipo=C","QRCODE")</f>
        <v>QRCODE</v>
      </c>
      <c r="C2752" t="s">
        <v>5328</v>
      </c>
      <c r="D2752" t="s">
        <v>728</v>
      </c>
      <c r="E2752" t="s">
        <v>197</v>
      </c>
      <c r="F2752" t="s">
        <v>12</v>
      </c>
      <c r="G2752" t="s">
        <v>199</v>
      </c>
      <c r="H2752">
        <v>0</v>
      </c>
      <c r="I2752">
        <v>2</v>
      </c>
      <c r="J2752">
        <v>0</v>
      </c>
      <c r="K2752">
        <v>0</v>
      </c>
      <c r="L2752">
        <v>0</v>
      </c>
    </row>
    <row r="2753" spans="1:12">
      <c r="A2753" t="str">
        <f>HYPERLINK("http://bombeiros.sp.gov.br/hidrantes/03individual/3534.html","3534")</f>
        <v>3534</v>
      </c>
      <c r="B2753" t="str">
        <f>HYPERLINK("http://bombeiros.sp.gov.br/hidrantes/08bsg/qrcodeBSG.html?id=3534&amp;lat=-23.46555&amp;long=-46.59724&amp;tipo=C","QRCODE")</f>
        <v>QRCODE</v>
      </c>
      <c r="C2753" t="s">
        <v>5328</v>
      </c>
      <c r="D2753" t="s">
        <v>728</v>
      </c>
      <c r="E2753" t="s">
        <v>119</v>
      </c>
      <c r="F2753" t="s">
        <v>12</v>
      </c>
      <c r="G2753" t="s">
        <v>3226</v>
      </c>
      <c r="H2753">
        <v>0</v>
      </c>
      <c r="I2753">
        <v>2</v>
      </c>
      <c r="J2753">
        <v>0</v>
      </c>
      <c r="K2753">
        <v>0</v>
      </c>
      <c r="L2753">
        <v>0</v>
      </c>
    </row>
    <row r="2754" spans="1:12">
      <c r="A2754" t="str">
        <f>HYPERLINK("http://bombeiros.sp.gov.br/hidrantes/03individual/3543.html","3543")</f>
        <v>3543</v>
      </c>
      <c r="B2754" t="str">
        <f>HYPERLINK("http://bombeiros.sp.gov.br/hidrantes/08bsg/qrcodeBSG.html?id=3543&amp;lat=-23.45914&amp;long=-46.58645&amp;tipo=C","QRCODE")</f>
        <v>QRCODE</v>
      </c>
      <c r="C2754" t="s">
        <v>5328</v>
      </c>
      <c r="D2754" t="s">
        <v>728</v>
      </c>
      <c r="E2754" t="s">
        <v>119</v>
      </c>
      <c r="F2754" t="s">
        <v>12</v>
      </c>
      <c r="G2754" t="s">
        <v>732</v>
      </c>
      <c r="H2754">
        <v>1</v>
      </c>
      <c r="I2754">
        <v>2</v>
      </c>
      <c r="J2754">
        <v>0</v>
      </c>
      <c r="K2754">
        <v>0</v>
      </c>
      <c r="L2754">
        <v>0</v>
      </c>
    </row>
    <row r="2755" spans="1:12">
      <c r="A2755" t="str">
        <f>HYPERLINK("http://bombeiros.sp.gov.br/hidrantes/03individual/3546.html","3546")</f>
        <v>3546</v>
      </c>
      <c r="B2755" t="str">
        <f>HYPERLINK("http://bombeiros.sp.gov.br/hidrantes/08bsg/qrcodeBSG.html?id=3546&amp;lat=-23.45783&amp;long=-46.58896&amp;tipo=C","QRCODE")</f>
        <v>QRCODE</v>
      </c>
      <c r="C2755" t="s">
        <v>5328</v>
      </c>
      <c r="D2755" t="s">
        <v>728</v>
      </c>
      <c r="E2755" t="s">
        <v>119</v>
      </c>
      <c r="F2755" t="s">
        <v>12</v>
      </c>
      <c r="G2755" t="s">
        <v>3217</v>
      </c>
      <c r="H2755">
        <v>0</v>
      </c>
      <c r="I2755">
        <v>2</v>
      </c>
      <c r="J2755">
        <v>0</v>
      </c>
      <c r="K2755">
        <v>0</v>
      </c>
      <c r="L2755">
        <v>0</v>
      </c>
    </row>
    <row r="2756" spans="1:12">
      <c r="A2756" t="str">
        <f>HYPERLINK("http://bombeiros.sp.gov.br/hidrantes/03individual/3553.html","3553")</f>
        <v>3553</v>
      </c>
      <c r="B2756" t="str">
        <f>HYPERLINK("http://bombeiros.sp.gov.br/hidrantes/08bsg/qrcodeBSG.html?id=3553&amp;lat=-23.44573&amp;long=-46.58027&amp;tipo=C","QRCODE")</f>
        <v>QRCODE</v>
      </c>
      <c r="C2756" t="s">
        <v>5328</v>
      </c>
      <c r="D2756" t="s">
        <v>728</v>
      </c>
      <c r="E2756" t="s">
        <v>119</v>
      </c>
      <c r="F2756" t="s">
        <v>12</v>
      </c>
      <c r="G2756" t="s">
        <v>3480</v>
      </c>
      <c r="H2756">
        <v>0</v>
      </c>
      <c r="I2756">
        <v>1</v>
      </c>
      <c r="J2756">
        <v>0</v>
      </c>
      <c r="K2756">
        <v>0</v>
      </c>
      <c r="L2756">
        <v>0</v>
      </c>
    </row>
    <row r="2757" spans="1:12">
      <c r="A2757" t="str">
        <f>HYPERLINK("http://bombeiros.sp.gov.br/hidrantes/03individual/3575.html","3575")</f>
        <v>3575</v>
      </c>
      <c r="B2757" t="str">
        <f>HYPERLINK("http://bombeiros.sp.gov.br/hidrantes/08bsg/qrcodeBSG.html?id=3575&amp;lat=-23.44495&amp;long=-46.57792&amp;tipo=C","QRCODE")</f>
        <v>QRCODE</v>
      </c>
      <c r="C2757" t="s">
        <v>5328</v>
      </c>
      <c r="D2757" t="s">
        <v>728</v>
      </c>
      <c r="E2757" t="s">
        <v>119</v>
      </c>
      <c r="F2757" t="s">
        <v>12</v>
      </c>
      <c r="G2757" t="s">
        <v>3481</v>
      </c>
      <c r="H2757">
        <v>0</v>
      </c>
      <c r="I2757">
        <v>1</v>
      </c>
      <c r="J2757">
        <v>0</v>
      </c>
      <c r="K2757">
        <v>0</v>
      </c>
      <c r="L2757">
        <v>0</v>
      </c>
    </row>
    <row r="2758" spans="1:12">
      <c r="A2758" t="str">
        <f>HYPERLINK("http://bombeiros.sp.gov.br/hidrantes/03individual/3578.html","3578")</f>
        <v>3578</v>
      </c>
      <c r="B2758" t="str">
        <f>HYPERLINK("http://bombeiros.sp.gov.br/hidrantes/08bsg/qrcodeBSG.html?id=3578&amp;lat=-23.46070&amp;long=-46.59007&amp;tipo=C","QRCODE")</f>
        <v>QRCODE</v>
      </c>
      <c r="C2758" t="s">
        <v>5328</v>
      </c>
      <c r="D2758" t="s">
        <v>728</v>
      </c>
      <c r="E2758" t="s">
        <v>119</v>
      </c>
      <c r="F2758" t="s">
        <v>12</v>
      </c>
      <c r="G2758" t="s">
        <v>2955</v>
      </c>
      <c r="H2758">
        <v>0</v>
      </c>
      <c r="I2758">
        <v>2</v>
      </c>
      <c r="J2758">
        <v>0</v>
      </c>
      <c r="K2758">
        <v>0</v>
      </c>
      <c r="L2758">
        <v>0</v>
      </c>
    </row>
    <row r="2759" spans="1:12">
      <c r="A2759" t="str">
        <f>HYPERLINK("http://bombeiros.sp.gov.br/hidrantes/03individual/3586.html","3586")</f>
        <v>3586</v>
      </c>
      <c r="B2759" t="str">
        <f>HYPERLINK("http://bombeiros.sp.gov.br/hidrantes/08bsg/qrcodeBSG.html?id=3586&amp;lat=-23.45406&amp;long=-46.58699&amp;tipo=C","QRCODE")</f>
        <v>QRCODE</v>
      </c>
      <c r="C2759" t="s">
        <v>5328</v>
      </c>
      <c r="D2759" t="s">
        <v>728</v>
      </c>
      <c r="E2759" t="s">
        <v>119</v>
      </c>
      <c r="F2759" t="s">
        <v>12</v>
      </c>
      <c r="G2759" t="s">
        <v>3479</v>
      </c>
      <c r="H2759">
        <v>0</v>
      </c>
      <c r="I2759">
        <v>1</v>
      </c>
      <c r="J2759">
        <v>0</v>
      </c>
      <c r="K2759">
        <v>0</v>
      </c>
      <c r="L2759">
        <v>0</v>
      </c>
    </row>
    <row r="2760" spans="1:12">
      <c r="A2760" t="str">
        <f>HYPERLINK("http://bombeiros.sp.gov.br/hidrantes/03individual/549.html","549")</f>
        <v>549</v>
      </c>
      <c r="B2760" t="str">
        <f>HYPERLINK("http://bombeiros.sp.gov.br/hidrantes/08bsg/qrcodeBSG.html?id=549&amp;lat=-23.46256&amp;long=-46.59824&amp;tipo=S","QRCODE")</f>
        <v>QRCODE</v>
      </c>
      <c r="C2760" t="s">
        <v>5328</v>
      </c>
      <c r="D2760" t="s">
        <v>728</v>
      </c>
      <c r="E2760" t="s">
        <v>119</v>
      </c>
      <c r="F2760" t="s">
        <v>21</v>
      </c>
      <c r="G2760" t="s">
        <v>118</v>
      </c>
      <c r="H2760">
        <v>0</v>
      </c>
      <c r="I2760">
        <v>3</v>
      </c>
      <c r="J2760">
        <v>0</v>
      </c>
      <c r="K2760">
        <v>0</v>
      </c>
      <c r="L2760">
        <v>0</v>
      </c>
    </row>
    <row r="2761" spans="1:12">
      <c r="A2761" t="str">
        <f>HYPERLINK("http://bombeiros.sp.gov.br/hidrantes/03individual/666.html","666")</f>
        <v>666</v>
      </c>
      <c r="B2761" t="str">
        <f>HYPERLINK("http://bombeiros.sp.gov.br/hidrantes/08bsg/qrcodeBSG.html?id=666&amp;lat=-23.45656&amp;long=-46.59807&amp;tipo=S","QRCODE")</f>
        <v>QRCODE</v>
      </c>
      <c r="C2761" t="s">
        <v>5328</v>
      </c>
      <c r="D2761" t="s">
        <v>728</v>
      </c>
      <c r="E2761" t="s">
        <v>119</v>
      </c>
      <c r="F2761" t="s">
        <v>21</v>
      </c>
      <c r="G2761" t="s">
        <v>129</v>
      </c>
      <c r="H2761">
        <v>0</v>
      </c>
      <c r="I2761">
        <v>3</v>
      </c>
      <c r="J2761">
        <v>0</v>
      </c>
      <c r="K2761">
        <v>0</v>
      </c>
      <c r="L2761">
        <v>0</v>
      </c>
    </row>
    <row r="2762" spans="1:12">
      <c r="A2762" t="str">
        <f>HYPERLINK("http://bombeiros.sp.gov.br/hidrantes/03individual/770.html","770")</f>
        <v>770</v>
      </c>
      <c r="B2762" t="str">
        <f>HYPERLINK("http://bombeiros.sp.gov.br/hidrantes/08bsg/qrcodeBSG.html?id=770&amp;lat=-23.46418&amp;long=-46.59606&amp;tipo=S","QRCODE")</f>
        <v>QRCODE</v>
      </c>
      <c r="C2762" t="s">
        <v>5328</v>
      </c>
      <c r="D2762" t="s">
        <v>728</v>
      </c>
      <c r="E2762" t="s">
        <v>119</v>
      </c>
      <c r="F2762" t="s">
        <v>21</v>
      </c>
      <c r="G2762" t="s">
        <v>134</v>
      </c>
      <c r="H2762">
        <v>0</v>
      </c>
      <c r="I2762">
        <v>2</v>
      </c>
      <c r="J2762">
        <v>0</v>
      </c>
      <c r="K2762">
        <v>0</v>
      </c>
      <c r="L2762">
        <v>0</v>
      </c>
    </row>
    <row r="2763" spans="1:12">
      <c r="A2763" t="str">
        <f>HYPERLINK("http://bombeiros.sp.gov.br/hidrantes/03individual/771.html","771")</f>
        <v>771</v>
      </c>
      <c r="B2763" t="str">
        <f>HYPERLINK("http://bombeiros.sp.gov.br/hidrantes/08bsg/qrcodeBSG.html?id=771&amp;lat=-23.45947&amp;long=-46.59380&amp;tipo=S","QRCODE")</f>
        <v>QRCODE</v>
      </c>
      <c r="C2763" t="s">
        <v>5328</v>
      </c>
      <c r="D2763" t="s">
        <v>728</v>
      </c>
      <c r="E2763" t="s">
        <v>119</v>
      </c>
      <c r="F2763" t="s">
        <v>21</v>
      </c>
      <c r="G2763" t="s">
        <v>1588</v>
      </c>
      <c r="H2763">
        <v>0</v>
      </c>
      <c r="I2763">
        <v>3</v>
      </c>
      <c r="J2763">
        <v>0</v>
      </c>
      <c r="K2763">
        <v>0</v>
      </c>
      <c r="L2763">
        <v>0</v>
      </c>
    </row>
    <row r="2764" spans="1:12">
      <c r="A2764" t="str">
        <f>HYPERLINK("http://bombeiros.sp.gov.br/hidrantes/03individual/4417.html","4417")</f>
        <v>4417</v>
      </c>
      <c r="B2764" t="str">
        <f>HYPERLINK("http://bombeiros.sp.gov.br/hidrantes/08bsg/qrcodeBSG.html?id=4417&amp;lat=-23.44487&amp;long=-46.58800&amp;tipo=S","QRCODE")</f>
        <v>QRCODE</v>
      </c>
      <c r="C2764" t="s">
        <v>5328</v>
      </c>
      <c r="D2764" t="s">
        <v>728</v>
      </c>
      <c r="E2764" t="s">
        <v>119</v>
      </c>
      <c r="F2764" t="s">
        <v>21</v>
      </c>
      <c r="G2764" t="s">
        <v>3492</v>
      </c>
      <c r="H2764">
        <v>0</v>
      </c>
      <c r="I2764">
        <v>1</v>
      </c>
      <c r="J2764">
        <v>0</v>
      </c>
      <c r="K2764">
        <v>0</v>
      </c>
      <c r="L2764">
        <v>0</v>
      </c>
    </row>
    <row r="2765" spans="1:12">
      <c r="A2765" t="str">
        <f>HYPERLINK("http://bombeiros.sp.gov.br/hidrantes/03individual/17820.html","17820")</f>
        <v>17820</v>
      </c>
      <c r="B2765" t="str">
        <f>HYPERLINK("http://bombeiros.sp.gov.br/hidrantes/08bsg/qrcodeBSG.html?id=17820&amp;lat=-23.44531&amp;long=-46.59296&amp;tipo=S","QRCODE")</f>
        <v>QRCODE</v>
      </c>
      <c r="C2765" t="s">
        <v>5328</v>
      </c>
      <c r="D2765" t="s">
        <v>728</v>
      </c>
      <c r="E2765" t="s">
        <v>119</v>
      </c>
      <c r="F2765" t="s">
        <v>21</v>
      </c>
      <c r="G2765" t="s">
        <v>3188</v>
      </c>
      <c r="H2765">
        <v>1</v>
      </c>
      <c r="I2765">
        <v>1</v>
      </c>
      <c r="J2765">
        <v>0</v>
      </c>
      <c r="K2765">
        <v>0</v>
      </c>
      <c r="L2765">
        <v>0</v>
      </c>
    </row>
    <row r="2766" spans="1:12">
      <c r="A2766" t="str">
        <f>HYPERLINK("http://bombeiros.sp.gov.br/hidrantes/03individual/1315.html","1315")</f>
        <v>1315</v>
      </c>
      <c r="B2766" t="str">
        <f>HYPERLINK("http://bombeiros.sp.gov.br/hidrantes/08bsg/qrcodeBSG.html?id=1315&amp;lat=-23.45625&amp;long=-46.60390&amp;tipo=S","QRCODE")</f>
        <v>QRCODE</v>
      </c>
      <c r="C2766" t="s">
        <v>5328</v>
      </c>
      <c r="D2766" t="s">
        <v>728</v>
      </c>
      <c r="E2766" t="s">
        <v>3190</v>
      </c>
      <c r="F2766" t="s">
        <v>21</v>
      </c>
      <c r="G2766" t="s">
        <v>3245</v>
      </c>
      <c r="H2766">
        <v>0</v>
      </c>
      <c r="I2766">
        <v>2</v>
      </c>
      <c r="J2766">
        <v>0</v>
      </c>
      <c r="K2766">
        <v>0</v>
      </c>
      <c r="L2766">
        <v>0</v>
      </c>
    </row>
    <row r="2767" spans="1:12">
      <c r="A2767" t="str">
        <f>HYPERLINK("http://bombeiros.sp.gov.br/hidrantes/03individual/3728.html","3728")</f>
        <v>3728</v>
      </c>
      <c r="B2767" t="str">
        <f>HYPERLINK("http://bombeiros.sp.gov.br/hidrantes/08bsg/qrcodeBSG.html?id=3728&amp;lat=-23.45597&amp;long=-46.61419&amp;tipo=S","QRCODE")</f>
        <v>QRCODE</v>
      </c>
      <c r="C2767" t="s">
        <v>5328</v>
      </c>
      <c r="D2767" t="s">
        <v>728</v>
      </c>
      <c r="E2767" t="s">
        <v>3190</v>
      </c>
      <c r="F2767" t="s">
        <v>21</v>
      </c>
      <c r="G2767" t="s">
        <v>5056</v>
      </c>
      <c r="H2767">
        <v>0</v>
      </c>
      <c r="I2767">
        <v>1</v>
      </c>
      <c r="J2767">
        <v>0</v>
      </c>
      <c r="K2767">
        <v>0</v>
      </c>
      <c r="L2767">
        <v>0</v>
      </c>
    </row>
    <row r="2768" spans="1:12">
      <c r="A2768" t="str">
        <f>HYPERLINK("http://bombeiros.sp.gov.br/hidrantes/03individual/17901.html","17901")</f>
        <v>17901</v>
      </c>
      <c r="B2768" t="str">
        <f>HYPERLINK("http://bombeiros.sp.gov.br/hidrantes/08bsg/qrcodeBSG.html?id=17901&amp;lat=-23.44899&amp;long=-46.61303&amp;tipo=S","QRCODE")</f>
        <v>QRCODE</v>
      </c>
      <c r="C2768" t="s">
        <v>5328</v>
      </c>
      <c r="D2768" t="s">
        <v>728</v>
      </c>
      <c r="E2768" t="s">
        <v>3190</v>
      </c>
      <c r="F2768" t="s">
        <v>21</v>
      </c>
      <c r="G2768" t="s">
        <v>3189</v>
      </c>
      <c r="H2768">
        <v>1</v>
      </c>
      <c r="I2768">
        <v>1</v>
      </c>
      <c r="J2768">
        <v>0</v>
      </c>
      <c r="K2768">
        <v>0</v>
      </c>
      <c r="L2768">
        <v>0</v>
      </c>
    </row>
    <row r="2769" spans="1:12">
      <c r="A2769" t="str">
        <f>HYPERLINK("http://bombeiros.sp.gov.br/hidrantes/03individual/3517.html","3517")</f>
        <v>3517</v>
      </c>
      <c r="B2769" t="str">
        <f>HYPERLINK("http://bombeiros.sp.gov.br/hidrantes/08bsg/qrcodeBSG.html?id=3517&amp;lat=-23.45385&amp;long=-46.62961&amp;tipo=C","QRCODE")</f>
        <v>QRCODE</v>
      </c>
      <c r="C2769" t="s">
        <v>5328</v>
      </c>
      <c r="D2769" t="s">
        <v>728</v>
      </c>
      <c r="E2769" t="s">
        <v>728</v>
      </c>
      <c r="F2769" t="s">
        <v>12</v>
      </c>
      <c r="G2769" t="s">
        <v>4122</v>
      </c>
      <c r="H2769">
        <v>0</v>
      </c>
      <c r="I2769">
        <v>1</v>
      </c>
      <c r="J2769">
        <v>0</v>
      </c>
      <c r="K2769">
        <v>0</v>
      </c>
      <c r="L2769">
        <v>0</v>
      </c>
    </row>
    <row r="2770" spans="1:12">
      <c r="A2770" t="str">
        <f>HYPERLINK("http://bombeiros.sp.gov.br/hidrantes/03individual/3518.html","3518")</f>
        <v>3518</v>
      </c>
      <c r="B2770" t="str">
        <f>HYPERLINK("http://bombeiros.sp.gov.br/hidrantes/08bsg/qrcodeBSG.html?id=3518&amp;lat=-23.45798&amp;long=-46.61843&amp;tipo=C","QRCODE")</f>
        <v>QRCODE</v>
      </c>
      <c r="C2770" t="s">
        <v>5328</v>
      </c>
      <c r="D2770" t="s">
        <v>728</v>
      </c>
      <c r="E2770" t="s">
        <v>728</v>
      </c>
      <c r="F2770" t="s">
        <v>12</v>
      </c>
      <c r="G2770" t="s">
        <v>727</v>
      </c>
      <c r="H2770">
        <v>0</v>
      </c>
      <c r="I2770">
        <v>2</v>
      </c>
      <c r="J2770">
        <v>0</v>
      </c>
      <c r="K2770">
        <v>0</v>
      </c>
      <c r="L2770">
        <v>0</v>
      </c>
    </row>
    <row r="2771" spans="1:12">
      <c r="A2771" t="str">
        <f>HYPERLINK("http://bombeiros.sp.gov.br/hidrantes/03individual/1139.html","1139")</f>
        <v>1139</v>
      </c>
      <c r="B2771" t="str">
        <f>HYPERLINK("http://bombeiros.sp.gov.br/hidrantes/08bsg/qrcodeBSG.html?id=1139&amp;lat=-23.45896&amp;long=-46.63328&amp;tipo=S","QRCODE")</f>
        <v>QRCODE</v>
      </c>
      <c r="C2771" t="s">
        <v>5328</v>
      </c>
      <c r="D2771" t="s">
        <v>728</v>
      </c>
      <c r="E2771" t="s">
        <v>728</v>
      </c>
      <c r="F2771" t="s">
        <v>21</v>
      </c>
      <c r="G2771" t="s">
        <v>1796</v>
      </c>
      <c r="H2771">
        <v>0</v>
      </c>
      <c r="I2771">
        <v>2</v>
      </c>
      <c r="J2771">
        <v>0</v>
      </c>
      <c r="K2771">
        <v>0</v>
      </c>
      <c r="L2771">
        <v>0</v>
      </c>
    </row>
    <row r="2772" spans="1:12">
      <c r="A2772" t="str">
        <f>HYPERLINK("http://bombeiros.sp.gov.br/hidrantes/03individual/1184.html","1184")</f>
        <v>1184</v>
      </c>
      <c r="B2772" t="str">
        <f>HYPERLINK("http://bombeiros.sp.gov.br/hidrantes/08bsg/qrcodeBSG.html?id=1184&amp;lat=-23.45714&amp;long=-46.62063&amp;tipo=S","QRCODE")</f>
        <v>QRCODE</v>
      </c>
      <c r="C2772" t="s">
        <v>5328</v>
      </c>
      <c r="D2772" t="s">
        <v>728</v>
      </c>
      <c r="E2772" t="s">
        <v>728</v>
      </c>
      <c r="F2772" t="s">
        <v>21</v>
      </c>
      <c r="G2772" t="s">
        <v>3469</v>
      </c>
      <c r="H2772">
        <v>0</v>
      </c>
      <c r="I2772">
        <v>1</v>
      </c>
      <c r="J2772">
        <v>0</v>
      </c>
      <c r="K2772">
        <v>0</v>
      </c>
      <c r="L2772">
        <v>0</v>
      </c>
    </row>
    <row r="2773" spans="1:12">
      <c r="A2773" t="str">
        <f>HYPERLINK("http://bombeiros.sp.gov.br/hidrantes/03individual/1227.html","1227")</f>
        <v>1227</v>
      </c>
      <c r="B2773" t="str">
        <f>HYPERLINK("http://bombeiros.sp.gov.br/hidrantes/08bsg/qrcodeBSG.html?id=1227&amp;lat=-23.45461&amp;long=-46.63270&amp;tipo=S","QRCODE")</f>
        <v>QRCODE</v>
      </c>
      <c r="C2773" t="s">
        <v>5328</v>
      </c>
      <c r="D2773" t="s">
        <v>728</v>
      </c>
      <c r="E2773" t="s">
        <v>728</v>
      </c>
      <c r="F2773" t="s">
        <v>21</v>
      </c>
      <c r="G2773" t="s">
        <v>3305</v>
      </c>
      <c r="H2773">
        <v>0</v>
      </c>
      <c r="I2773">
        <v>2</v>
      </c>
      <c r="J2773">
        <v>0</v>
      </c>
      <c r="K2773">
        <v>0</v>
      </c>
      <c r="L2773">
        <v>0</v>
      </c>
    </row>
    <row r="2774" spans="1:12">
      <c r="A2774" t="str">
        <f>HYPERLINK("http://bombeiros.sp.gov.br/hidrantes/03individual/1230.html","1230")</f>
        <v>1230</v>
      </c>
      <c r="B2774" t="str">
        <f>HYPERLINK("http://bombeiros.sp.gov.br/hidrantes/08bsg/qrcodeBSG.html?id=1230&amp;lat=-23.45923&amp;long=-46.62393&amp;tipo=S","QRCODE")</f>
        <v>QRCODE</v>
      </c>
      <c r="C2774" t="s">
        <v>5328</v>
      </c>
      <c r="D2774" t="s">
        <v>728</v>
      </c>
      <c r="E2774" t="s">
        <v>728</v>
      </c>
      <c r="F2774" t="s">
        <v>21</v>
      </c>
      <c r="G2774" t="s">
        <v>4226</v>
      </c>
      <c r="H2774">
        <v>0</v>
      </c>
      <c r="I2774">
        <v>1</v>
      </c>
      <c r="J2774">
        <v>0</v>
      </c>
      <c r="K2774">
        <v>0</v>
      </c>
      <c r="L2774">
        <v>0</v>
      </c>
    </row>
    <row r="2775" spans="1:12">
      <c r="A2775" t="str">
        <f>HYPERLINK("http://bombeiros.sp.gov.br/hidrantes/03individual/1273.html","1273")</f>
        <v>1273</v>
      </c>
      <c r="B2775" t="str">
        <f>HYPERLINK("http://bombeiros.sp.gov.br/hidrantes/08bsg/qrcodeBSG.html?id=1273&amp;lat=-23.46086&amp;long=-46.62199&amp;tipo=S","QRCODE")</f>
        <v>QRCODE</v>
      </c>
      <c r="C2775" t="s">
        <v>5328</v>
      </c>
      <c r="D2775" t="s">
        <v>728</v>
      </c>
      <c r="E2775" t="s">
        <v>728</v>
      </c>
      <c r="F2775" t="s">
        <v>21</v>
      </c>
      <c r="G2775" t="s">
        <v>1783</v>
      </c>
      <c r="H2775">
        <v>0</v>
      </c>
      <c r="I2775">
        <v>2</v>
      </c>
      <c r="J2775">
        <v>0</v>
      </c>
      <c r="K2775">
        <v>0</v>
      </c>
      <c r="L2775">
        <v>0</v>
      </c>
    </row>
    <row r="2776" spans="1:12">
      <c r="A2776" t="str">
        <f>HYPERLINK("http://bombeiros.sp.gov.br/hidrantes/03individual/1275.html","1275")</f>
        <v>1275</v>
      </c>
      <c r="B2776" t="str">
        <f>HYPERLINK("http://bombeiros.sp.gov.br/hidrantes/08bsg/qrcodeBSG.html?id=1275&amp;lat=-23.45891&amp;long=-46.63154&amp;tipo=S","QRCODE")</f>
        <v>QRCODE</v>
      </c>
      <c r="C2776" t="s">
        <v>5328</v>
      </c>
      <c r="D2776" t="s">
        <v>728</v>
      </c>
      <c r="E2776" t="s">
        <v>728</v>
      </c>
      <c r="F2776" t="s">
        <v>21</v>
      </c>
      <c r="G2776" t="s">
        <v>865</v>
      </c>
      <c r="H2776">
        <v>0</v>
      </c>
      <c r="I2776">
        <v>2</v>
      </c>
      <c r="J2776">
        <v>0</v>
      </c>
      <c r="K2776">
        <v>0</v>
      </c>
      <c r="L2776">
        <v>0</v>
      </c>
    </row>
    <row r="2777" spans="1:12">
      <c r="A2777" t="str">
        <f>HYPERLINK("http://bombeiros.sp.gov.br/hidrantes/03individual/3710.html","3710")</f>
        <v>3710</v>
      </c>
      <c r="B2777" t="str">
        <f>HYPERLINK("http://bombeiros.sp.gov.br/hidrantes/08bsg/qrcodeBSG.html?id=3710&amp;lat=-23.45165&amp;long=-46.61636&amp;tipo=S","QRCODE")</f>
        <v>QRCODE</v>
      </c>
      <c r="C2777" t="s">
        <v>5328</v>
      </c>
      <c r="D2777" t="s">
        <v>728</v>
      </c>
      <c r="E2777" t="s">
        <v>728</v>
      </c>
      <c r="F2777" t="s">
        <v>21</v>
      </c>
      <c r="G2777" t="s">
        <v>1819</v>
      </c>
      <c r="H2777">
        <v>0</v>
      </c>
      <c r="I2777">
        <v>2</v>
      </c>
      <c r="J2777">
        <v>0</v>
      </c>
      <c r="K2777">
        <v>0</v>
      </c>
      <c r="L2777">
        <v>0</v>
      </c>
    </row>
    <row r="2778" spans="1:12">
      <c r="A2778" t="str">
        <f>HYPERLINK("http://bombeiros.sp.gov.br/hidrantes/03individual/3731.html","3731")</f>
        <v>3731</v>
      </c>
      <c r="B2778" t="str">
        <f>HYPERLINK("http://bombeiros.sp.gov.br/hidrantes/08bsg/qrcodeBSG.html?id=3731&amp;lat=-23.45720&amp;long=-46.62675&amp;tipo=S","QRCODE")</f>
        <v>QRCODE</v>
      </c>
      <c r="C2778" t="s">
        <v>5328</v>
      </c>
      <c r="D2778" t="s">
        <v>728</v>
      </c>
      <c r="E2778" t="s">
        <v>728</v>
      </c>
      <c r="F2778" t="s">
        <v>21</v>
      </c>
      <c r="G2778" t="s">
        <v>3316</v>
      </c>
      <c r="H2778">
        <v>0</v>
      </c>
      <c r="I2778">
        <v>2</v>
      </c>
      <c r="J2778">
        <v>0</v>
      </c>
      <c r="K2778">
        <v>0</v>
      </c>
      <c r="L2778">
        <v>0</v>
      </c>
    </row>
    <row r="2779" spans="1:12">
      <c r="A2779" t="str">
        <f>HYPERLINK("http://bombeiros.sp.gov.br/hidrantes/03individual/26820.html","26820")</f>
        <v>26820</v>
      </c>
      <c r="B2779" t="str">
        <f>HYPERLINK("http://bombeiros.sp.gov.br/hidrantes/08bsg/qrcodeBSG.html?id=26820&amp;lat=-23.45563&amp;long=-46.62517&amp;tipo=S","QRCODE")</f>
        <v>QRCODE</v>
      </c>
      <c r="C2779" t="s">
        <v>5328</v>
      </c>
      <c r="D2779" t="s">
        <v>728</v>
      </c>
      <c r="E2779" t="s">
        <v>728</v>
      </c>
      <c r="F2779" t="s">
        <v>21</v>
      </c>
      <c r="G2779" t="s">
        <v>3839</v>
      </c>
      <c r="H2779">
        <v>0</v>
      </c>
      <c r="I2779">
        <v>1</v>
      </c>
      <c r="J2779">
        <v>0</v>
      </c>
      <c r="K2779">
        <v>0</v>
      </c>
      <c r="L2779">
        <v>0</v>
      </c>
    </row>
    <row r="2780" spans="1:12">
      <c r="A2780" t="str">
        <f>HYPERLINK("http://bombeiros.sp.gov.br/hidrantes/03individual/599.html","599")</f>
        <v>599</v>
      </c>
      <c r="B2780" t="str">
        <f>HYPERLINK("http://bombeiros.sp.gov.br/hidrantes/08bsg/qrcodeBSG.html?id=599&amp;lat=-23.48123&amp;long=-46.60455&amp;tipo=C","QRCODE")</f>
        <v>QRCODE</v>
      </c>
      <c r="C2780" t="s">
        <v>5328</v>
      </c>
      <c r="D2780" t="s">
        <v>104</v>
      </c>
      <c r="E2780" t="s">
        <v>1278</v>
      </c>
      <c r="F2780" t="s">
        <v>12</v>
      </c>
      <c r="G2780" t="s">
        <v>2077</v>
      </c>
      <c r="H2780">
        <v>0</v>
      </c>
      <c r="I2780">
        <v>2</v>
      </c>
      <c r="J2780">
        <v>0</v>
      </c>
      <c r="K2780">
        <v>0</v>
      </c>
      <c r="L2780">
        <v>0</v>
      </c>
    </row>
    <row r="2781" spans="1:12">
      <c r="A2781" t="str">
        <f>HYPERLINK("http://bombeiros.sp.gov.br/hidrantes/03individual/3582.html","3582")</f>
        <v>3582</v>
      </c>
      <c r="B2781" t="str">
        <f>HYPERLINK("http://bombeiros.sp.gov.br/hidrantes/08bsg/qrcodeBSG.html?id=3582&amp;lat=-23.48622&amp;long=-46.61089&amp;tipo=C","QRCODE")</f>
        <v>QRCODE</v>
      </c>
      <c r="C2781" t="s">
        <v>5328</v>
      </c>
      <c r="D2781" t="s">
        <v>104</v>
      </c>
      <c r="E2781" t="s">
        <v>1278</v>
      </c>
      <c r="F2781" t="s">
        <v>12</v>
      </c>
      <c r="G2781" t="s">
        <v>3215</v>
      </c>
      <c r="H2781">
        <v>0</v>
      </c>
      <c r="I2781">
        <v>2</v>
      </c>
      <c r="J2781">
        <v>0</v>
      </c>
      <c r="K2781">
        <v>0</v>
      </c>
      <c r="L2781">
        <v>0</v>
      </c>
    </row>
    <row r="2782" spans="1:12">
      <c r="A2782" t="str">
        <f>HYPERLINK("http://bombeiros.sp.gov.br/hidrantes/03individual/517.html","517")</f>
        <v>517</v>
      </c>
      <c r="B2782" t="str">
        <f>HYPERLINK("http://bombeiros.sp.gov.br/hidrantes/08bsg/qrcodeBSG.html?id=517&amp;lat=-23.48662&amp;long=-46.59438&amp;tipo=S","QRCODE")</f>
        <v>QRCODE</v>
      </c>
      <c r="C2782" t="s">
        <v>5328</v>
      </c>
      <c r="D2782" t="s">
        <v>104</v>
      </c>
      <c r="E2782" t="s">
        <v>1278</v>
      </c>
      <c r="F2782" t="s">
        <v>21</v>
      </c>
      <c r="G2782" t="s">
        <v>4367</v>
      </c>
      <c r="H2782">
        <v>0</v>
      </c>
      <c r="I2782">
        <v>2</v>
      </c>
      <c r="J2782">
        <v>0</v>
      </c>
      <c r="K2782">
        <v>0</v>
      </c>
      <c r="L2782">
        <v>0</v>
      </c>
    </row>
    <row r="2783" spans="1:12">
      <c r="A2783" t="str">
        <f>HYPERLINK("http://bombeiros.sp.gov.br/hidrantes/03individual/565.html","565")</f>
        <v>565</v>
      </c>
      <c r="B2783" t="str">
        <f>HYPERLINK("http://bombeiros.sp.gov.br/hidrantes/08bsg/qrcodeBSG.html?id=565&amp;lat=-23.48545&amp;long=-46.59981&amp;tipo=S","QRCODE")</f>
        <v>QRCODE</v>
      </c>
      <c r="C2783" t="s">
        <v>5328</v>
      </c>
      <c r="D2783" t="s">
        <v>104</v>
      </c>
      <c r="E2783" t="s">
        <v>1278</v>
      </c>
      <c r="F2783" t="s">
        <v>21</v>
      </c>
      <c r="G2783" t="s">
        <v>2076</v>
      </c>
      <c r="H2783">
        <v>0</v>
      </c>
      <c r="I2783">
        <v>2</v>
      </c>
      <c r="J2783">
        <v>0</v>
      </c>
      <c r="K2783">
        <v>0</v>
      </c>
      <c r="L2783">
        <v>0</v>
      </c>
    </row>
    <row r="2784" spans="1:12">
      <c r="A2784" t="str">
        <f>HYPERLINK("http://bombeiros.sp.gov.br/hidrantes/03individual/577.html","577")</f>
        <v>577</v>
      </c>
      <c r="B2784" t="str">
        <f>HYPERLINK("http://bombeiros.sp.gov.br/hidrantes/08bsg/qrcodeBSG.html?id=577&amp;lat=-23.48230&amp;long=-46.60464&amp;tipo=S","QRCODE")</f>
        <v>QRCODE</v>
      </c>
      <c r="C2784" t="s">
        <v>5328</v>
      </c>
      <c r="D2784" t="s">
        <v>104</v>
      </c>
      <c r="E2784" t="s">
        <v>1278</v>
      </c>
      <c r="F2784" t="s">
        <v>21</v>
      </c>
      <c r="G2784" t="s">
        <v>4380</v>
      </c>
      <c r="H2784">
        <v>0</v>
      </c>
      <c r="I2784">
        <v>2</v>
      </c>
      <c r="J2784">
        <v>0</v>
      </c>
      <c r="K2784">
        <v>0</v>
      </c>
      <c r="L2784">
        <v>0</v>
      </c>
    </row>
    <row r="2785" spans="1:12">
      <c r="A2785" t="str">
        <f>HYPERLINK("http://bombeiros.sp.gov.br/hidrantes/03individual/579.html","579")</f>
        <v>579</v>
      </c>
      <c r="B2785" t="str">
        <f>HYPERLINK("http://bombeiros.sp.gov.br/hidrantes/08bsg/qrcodeBSG.html?id=579&amp;lat=-23.48745&amp;long=-46.60751&amp;tipo=S","QRCODE")</f>
        <v>QRCODE</v>
      </c>
      <c r="C2785" t="s">
        <v>5328</v>
      </c>
      <c r="D2785" t="s">
        <v>104</v>
      </c>
      <c r="E2785" t="s">
        <v>1278</v>
      </c>
      <c r="F2785" t="s">
        <v>21</v>
      </c>
      <c r="G2785" t="s">
        <v>2983</v>
      </c>
      <c r="H2785">
        <v>0</v>
      </c>
      <c r="I2785">
        <v>2</v>
      </c>
      <c r="J2785">
        <v>0</v>
      </c>
      <c r="K2785">
        <v>0</v>
      </c>
      <c r="L2785">
        <v>0</v>
      </c>
    </row>
    <row r="2786" spans="1:12">
      <c r="A2786" t="str">
        <f>HYPERLINK("http://bombeiros.sp.gov.br/hidrantes/03individual/582.html","582")</f>
        <v>582</v>
      </c>
      <c r="B2786" t="str">
        <f>HYPERLINK("http://bombeiros.sp.gov.br/hidrantes/08bsg/qrcodeBSG.html?id=582&amp;lat=-23.48982&amp;long=-46.60962&amp;tipo=S","QRCODE")</f>
        <v>QRCODE</v>
      </c>
      <c r="C2786" t="s">
        <v>5328</v>
      </c>
      <c r="D2786" t="s">
        <v>104</v>
      </c>
      <c r="E2786" t="s">
        <v>1278</v>
      </c>
      <c r="F2786" t="s">
        <v>21</v>
      </c>
      <c r="G2786" t="s">
        <v>4379</v>
      </c>
      <c r="H2786">
        <v>0</v>
      </c>
      <c r="I2786">
        <v>2</v>
      </c>
      <c r="J2786">
        <v>0</v>
      </c>
      <c r="K2786">
        <v>0</v>
      </c>
      <c r="L2786">
        <v>0</v>
      </c>
    </row>
    <row r="2787" spans="1:12">
      <c r="A2787" t="str">
        <f>HYPERLINK("http://bombeiros.sp.gov.br/hidrantes/03individual/593.html","593")</f>
        <v>593</v>
      </c>
      <c r="B2787" t="str">
        <f>HYPERLINK("http://bombeiros.sp.gov.br/hidrantes/08bsg/qrcodeBSG.html?id=593&amp;lat=-23.48462&amp;long=-46.59345&amp;tipo=S","QRCODE")</f>
        <v>QRCODE</v>
      </c>
      <c r="C2787" t="s">
        <v>5328</v>
      </c>
      <c r="D2787" t="s">
        <v>104</v>
      </c>
      <c r="E2787" t="s">
        <v>1278</v>
      </c>
      <c r="F2787" t="s">
        <v>21</v>
      </c>
      <c r="G2787" t="s">
        <v>1590</v>
      </c>
      <c r="H2787">
        <v>1</v>
      </c>
      <c r="I2787">
        <v>2</v>
      </c>
      <c r="J2787">
        <v>0</v>
      </c>
      <c r="K2787">
        <v>0</v>
      </c>
      <c r="L2787">
        <v>0</v>
      </c>
    </row>
    <row r="2788" spans="1:12">
      <c r="A2788" t="str">
        <f>HYPERLINK("http://bombeiros.sp.gov.br/hidrantes/03individual/660.html","660")</f>
        <v>660</v>
      </c>
      <c r="B2788" t="str">
        <f>HYPERLINK("http://bombeiros.sp.gov.br/hidrantes/08bsg/qrcodeBSG.html?id=660&amp;lat=-23.48777&amp;long=-46.60031&amp;tipo=S","QRCODE")</f>
        <v>QRCODE</v>
      </c>
      <c r="C2788" t="s">
        <v>5328</v>
      </c>
      <c r="D2788" t="s">
        <v>104</v>
      </c>
      <c r="E2788" t="s">
        <v>1278</v>
      </c>
      <c r="F2788" t="s">
        <v>21</v>
      </c>
      <c r="G2788" t="s">
        <v>1587</v>
      </c>
      <c r="H2788">
        <v>3</v>
      </c>
      <c r="I2788">
        <v>3</v>
      </c>
      <c r="J2788">
        <v>0</v>
      </c>
      <c r="K2788">
        <v>0</v>
      </c>
      <c r="L2788">
        <v>0</v>
      </c>
    </row>
    <row r="2789" spans="1:12">
      <c r="A2789" t="str">
        <f>HYPERLINK("http://bombeiros.sp.gov.br/hidrantes/03individual/675.html","675")</f>
        <v>675</v>
      </c>
      <c r="B2789" t="str">
        <f>HYPERLINK("http://bombeiros.sp.gov.br/hidrantes/08bsg/qrcodeBSG.html?id=675&amp;lat=-23.49195&amp;long=-46.60561&amp;tipo=S","QRCODE")</f>
        <v>QRCODE</v>
      </c>
      <c r="C2789" t="s">
        <v>5328</v>
      </c>
      <c r="D2789" t="s">
        <v>104</v>
      </c>
      <c r="E2789" t="s">
        <v>1278</v>
      </c>
      <c r="F2789" t="s">
        <v>21</v>
      </c>
      <c r="G2789" t="s">
        <v>4589</v>
      </c>
      <c r="H2789">
        <v>1</v>
      </c>
      <c r="I2789">
        <v>2</v>
      </c>
      <c r="J2789">
        <v>0</v>
      </c>
      <c r="K2789">
        <v>0</v>
      </c>
      <c r="L2789">
        <v>0</v>
      </c>
    </row>
    <row r="2790" spans="1:12">
      <c r="A2790" t="str">
        <f>HYPERLINK("http://bombeiros.sp.gov.br/hidrantes/03individual/726.html","726")</f>
        <v>726</v>
      </c>
      <c r="B2790" t="str">
        <f>HYPERLINK("http://bombeiros.sp.gov.br/hidrantes/08bsg/qrcodeBSG.html?id=726&amp;lat=-23.48145&amp;long=-46.60626&amp;tipo=S","QRCODE")</f>
        <v>QRCODE</v>
      </c>
      <c r="C2790" t="s">
        <v>5328</v>
      </c>
      <c r="D2790" t="s">
        <v>104</v>
      </c>
      <c r="E2790" t="s">
        <v>1278</v>
      </c>
      <c r="F2790" t="s">
        <v>21</v>
      </c>
      <c r="G2790" t="s">
        <v>4381</v>
      </c>
      <c r="H2790">
        <v>0</v>
      </c>
      <c r="I2790">
        <v>2</v>
      </c>
      <c r="J2790">
        <v>0</v>
      </c>
      <c r="K2790">
        <v>0</v>
      </c>
      <c r="L2790">
        <v>0</v>
      </c>
    </row>
    <row r="2791" spans="1:12">
      <c r="A2791" t="str">
        <f>HYPERLINK("http://bombeiros.sp.gov.br/hidrantes/03individual/727.html","727")</f>
        <v>727</v>
      </c>
      <c r="B2791" t="str">
        <f>HYPERLINK("http://bombeiros.sp.gov.br/hidrantes/08bsg/qrcodeBSG.html?id=727&amp;lat=-23.47889&amp;long=-46.60892&amp;tipo=S","QRCODE")</f>
        <v>QRCODE</v>
      </c>
      <c r="C2791" t="s">
        <v>5328</v>
      </c>
      <c r="D2791" t="s">
        <v>104</v>
      </c>
      <c r="E2791" t="s">
        <v>1278</v>
      </c>
      <c r="F2791" t="s">
        <v>21</v>
      </c>
      <c r="G2791" t="s">
        <v>1763</v>
      </c>
      <c r="H2791">
        <v>0</v>
      </c>
      <c r="I2791">
        <v>2</v>
      </c>
      <c r="J2791">
        <v>0</v>
      </c>
      <c r="K2791">
        <v>0</v>
      </c>
      <c r="L2791">
        <v>0</v>
      </c>
    </row>
    <row r="2792" spans="1:12">
      <c r="A2792" t="str">
        <f>HYPERLINK("http://bombeiros.sp.gov.br/hidrantes/03individual/918.html","918")</f>
        <v>918</v>
      </c>
      <c r="B2792" t="str">
        <f>HYPERLINK("http://bombeiros.sp.gov.br/hidrantes/08bsg/qrcodeBSG.html?id=918&amp;lat=-23.48474&amp;long=-46.60051&amp;tipo=S","QRCODE")</f>
        <v>QRCODE</v>
      </c>
      <c r="C2792" t="s">
        <v>5328</v>
      </c>
      <c r="D2792" t="s">
        <v>104</v>
      </c>
      <c r="E2792" t="s">
        <v>1278</v>
      </c>
      <c r="F2792" t="s">
        <v>21</v>
      </c>
      <c r="G2792" t="s">
        <v>1591</v>
      </c>
      <c r="H2792">
        <v>0</v>
      </c>
      <c r="I2792">
        <v>2</v>
      </c>
      <c r="J2792">
        <v>0</v>
      </c>
      <c r="K2792">
        <v>0</v>
      </c>
      <c r="L2792">
        <v>0</v>
      </c>
    </row>
    <row r="2793" spans="1:12">
      <c r="A2793" t="str">
        <f>HYPERLINK("http://bombeiros.sp.gov.br/hidrantes/03individual/3500.html","3500")</f>
        <v>3500</v>
      </c>
      <c r="B2793" t="str">
        <f>HYPERLINK("http://bombeiros.sp.gov.br/hidrantes/08bsg/qrcodeBSG.html?id=3500&amp;lat=-23.48493&amp;long=-46.59721&amp;tipo=S","QRCODE")</f>
        <v>QRCODE</v>
      </c>
      <c r="C2793" t="s">
        <v>5328</v>
      </c>
      <c r="D2793" t="s">
        <v>104</v>
      </c>
      <c r="E2793" t="s">
        <v>1278</v>
      </c>
      <c r="F2793" t="s">
        <v>21</v>
      </c>
      <c r="G2793" t="s">
        <v>4389</v>
      </c>
      <c r="H2793">
        <v>1</v>
      </c>
      <c r="I2793">
        <v>2</v>
      </c>
      <c r="J2793">
        <v>0</v>
      </c>
      <c r="K2793">
        <v>0</v>
      </c>
      <c r="L2793">
        <v>0</v>
      </c>
    </row>
    <row r="2794" spans="1:12">
      <c r="A2794" t="str">
        <f>HYPERLINK("http://bombeiros.sp.gov.br/hidrantes/03individual/3544.html","3544")</f>
        <v>3544</v>
      </c>
      <c r="B2794" t="str">
        <f>HYPERLINK("http://bombeiros.sp.gov.br/hidrantes/08bsg/qrcodeBSG.html?id=3544&amp;lat=-23.47759&amp;long=-46.61026&amp;tipo=S","QRCODE")</f>
        <v>QRCODE</v>
      </c>
      <c r="C2794" t="s">
        <v>5328</v>
      </c>
      <c r="D2794" t="s">
        <v>104</v>
      </c>
      <c r="E2794" t="s">
        <v>1278</v>
      </c>
      <c r="F2794" t="s">
        <v>21</v>
      </c>
      <c r="G2794" t="s">
        <v>3223</v>
      </c>
      <c r="H2794">
        <v>0</v>
      </c>
      <c r="I2794">
        <v>2</v>
      </c>
      <c r="J2794">
        <v>0</v>
      </c>
      <c r="K2794">
        <v>0</v>
      </c>
      <c r="L2794">
        <v>0</v>
      </c>
    </row>
    <row r="2795" spans="1:12">
      <c r="A2795" t="str">
        <f>HYPERLINK("http://bombeiros.sp.gov.br/hidrantes/03individual/3834.html","3834")</f>
        <v>3834</v>
      </c>
      <c r="B2795" t="str">
        <f>HYPERLINK("http://bombeiros.sp.gov.br/hidrantes/08bsg/qrcodeBSG.html?id=3834&amp;lat=-23.48215&amp;long=-46.61282&amp;tipo=S","QRCODE")</f>
        <v>QRCODE</v>
      </c>
      <c r="C2795" t="s">
        <v>5328</v>
      </c>
      <c r="D2795" t="s">
        <v>104</v>
      </c>
      <c r="E2795" t="s">
        <v>1278</v>
      </c>
      <c r="F2795" t="s">
        <v>21</v>
      </c>
      <c r="G2795" t="s">
        <v>3211</v>
      </c>
      <c r="H2795">
        <v>0</v>
      </c>
      <c r="I2795">
        <v>2</v>
      </c>
      <c r="J2795">
        <v>0</v>
      </c>
      <c r="K2795">
        <v>0</v>
      </c>
      <c r="L2795">
        <v>0</v>
      </c>
    </row>
    <row r="2796" spans="1:12">
      <c r="A2796" t="str">
        <f>HYPERLINK("http://bombeiros.sp.gov.br/hidrantes/03individual/3845.html","3845")</f>
        <v>3845</v>
      </c>
      <c r="B2796" t="str">
        <f>HYPERLINK("http://bombeiros.sp.gov.br/hidrantes/08bsg/qrcodeBSG.html?id=3845&amp;lat=-23.48259&amp;long=-46.60227&amp;tipo=S","QRCODE")</f>
        <v>QRCODE</v>
      </c>
      <c r="C2796" t="s">
        <v>5328</v>
      </c>
      <c r="D2796" t="s">
        <v>104</v>
      </c>
      <c r="E2796" t="s">
        <v>1278</v>
      </c>
      <c r="F2796" t="s">
        <v>21</v>
      </c>
      <c r="G2796" t="s">
        <v>4391</v>
      </c>
      <c r="H2796">
        <v>1</v>
      </c>
      <c r="I2796">
        <v>2</v>
      </c>
      <c r="J2796">
        <v>0</v>
      </c>
      <c r="K2796">
        <v>0</v>
      </c>
      <c r="L2796">
        <v>0</v>
      </c>
    </row>
    <row r="2797" spans="1:12">
      <c r="A2797" t="str">
        <f>HYPERLINK("http://bombeiros.sp.gov.br/hidrantes/03individual/3891.html","3891")</f>
        <v>3891</v>
      </c>
      <c r="B2797" t="str">
        <f>HYPERLINK("http://bombeiros.sp.gov.br/hidrantes/08bsg/qrcodeBSG.html?id=3891&amp;lat=-23.49272&amp;long=-46.60898&amp;tipo=S","QRCODE")</f>
        <v>QRCODE</v>
      </c>
      <c r="C2797" t="s">
        <v>5328</v>
      </c>
      <c r="D2797" t="s">
        <v>104</v>
      </c>
      <c r="E2797" t="s">
        <v>1278</v>
      </c>
      <c r="F2797" t="s">
        <v>21</v>
      </c>
      <c r="G2797" t="s">
        <v>1277</v>
      </c>
      <c r="H2797">
        <v>0</v>
      </c>
      <c r="I2797">
        <v>2</v>
      </c>
      <c r="J2797">
        <v>0</v>
      </c>
      <c r="K2797">
        <v>0</v>
      </c>
      <c r="L2797">
        <v>0</v>
      </c>
    </row>
    <row r="2798" spans="1:12">
      <c r="A2798" t="str">
        <f>HYPERLINK("http://bombeiros.sp.gov.br/hidrantes/03individual/4439.html","4439")</f>
        <v>4439</v>
      </c>
      <c r="B2798" t="str">
        <f>HYPERLINK("http://bombeiros.sp.gov.br/hidrantes/08bsg/qrcodeBSG.html?id=4439&amp;lat=-23.48123&amp;long=-46.61197&amp;tipo=S","QRCODE")</f>
        <v>QRCODE</v>
      </c>
      <c r="C2798" t="s">
        <v>5328</v>
      </c>
      <c r="D2798" t="s">
        <v>104</v>
      </c>
      <c r="E2798" t="s">
        <v>1278</v>
      </c>
      <c r="F2798" t="s">
        <v>21</v>
      </c>
      <c r="G2798" t="s">
        <v>3209</v>
      </c>
      <c r="H2798">
        <v>0</v>
      </c>
      <c r="I2798">
        <v>2</v>
      </c>
      <c r="J2798">
        <v>0</v>
      </c>
      <c r="K2798">
        <v>0</v>
      </c>
      <c r="L2798">
        <v>0</v>
      </c>
    </row>
    <row r="2799" spans="1:12">
      <c r="A2799" t="str">
        <f>HYPERLINK("http://bombeiros.sp.gov.br/hidrantes/03individual/17837.html","17837")</f>
        <v>17837</v>
      </c>
      <c r="B2799" t="str">
        <f>HYPERLINK("http://bombeiros.sp.gov.br/hidrantes/08bsg/qrcodeBSG.html?id=17837&amp;lat=-23.48610&amp;long=-46.60733&amp;tipo=S","QRCODE")</f>
        <v>QRCODE</v>
      </c>
      <c r="C2799" t="s">
        <v>5328</v>
      </c>
      <c r="D2799" t="s">
        <v>104</v>
      </c>
      <c r="E2799" t="s">
        <v>1278</v>
      </c>
      <c r="F2799" t="s">
        <v>21</v>
      </c>
      <c r="G2799" t="s">
        <v>4396</v>
      </c>
      <c r="H2799">
        <v>1</v>
      </c>
      <c r="I2799">
        <v>2</v>
      </c>
      <c r="J2799">
        <v>0</v>
      </c>
      <c r="K2799">
        <v>0</v>
      </c>
      <c r="L2799">
        <v>0</v>
      </c>
    </row>
    <row r="2800" spans="1:12">
      <c r="A2800" t="str">
        <f>HYPERLINK("http://bombeiros.sp.gov.br/hidrantes/03individual/3520.html","3520")</f>
        <v>3520</v>
      </c>
      <c r="B2800" t="str">
        <f>HYPERLINK("http://bombeiros.sp.gov.br/hidrantes/08bsg/qrcodeBSG.html?id=3520&amp;lat=-23.46441&amp;long=-46.60389&amp;tipo=C","QRCODE")</f>
        <v>QRCODE</v>
      </c>
      <c r="C2800" t="s">
        <v>5328</v>
      </c>
      <c r="D2800" t="s">
        <v>104</v>
      </c>
      <c r="E2800" t="s">
        <v>104</v>
      </c>
      <c r="F2800" t="s">
        <v>12</v>
      </c>
      <c r="G2800" t="s">
        <v>2367</v>
      </c>
      <c r="H2800">
        <v>0</v>
      </c>
      <c r="I2800">
        <v>2</v>
      </c>
      <c r="J2800">
        <v>0</v>
      </c>
      <c r="K2800">
        <v>0</v>
      </c>
      <c r="L2800">
        <v>0</v>
      </c>
    </row>
    <row r="2801" spans="1:12">
      <c r="A2801" t="str">
        <f>HYPERLINK("http://bombeiros.sp.gov.br/hidrantes/03individual/3524.html","3524")</f>
        <v>3524</v>
      </c>
      <c r="B2801" t="str">
        <f>HYPERLINK("http://bombeiros.sp.gov.br/hidrantes/08bsg/qrcodeBSG.html?id=3524&amp;lat=-23.46861&amp;long=-46.60712&amp;tipo=C","QRCODE")</f>
        <v>QRCODE</v>
      </c>
      <c r="C2801" t="s">
        <v>5328</v>
      </c>
      <c r="D2801" t="s">
        <v>104</v>
      </c>
      <c r="E2801" t="s">
        <v>104</v>
      </c>
      <c r="F2801" t="s">
        <v>12</v>
      </c>
      <c r="G2801" t="s">
        <v>202</v>
      </c>
      <c r="H2801">
        <v>0</v>
      </c>
      <c r="I2801">
        <v>2</v>
      </c>
      <c r="J2801">
        <v>0</v>
      </c>
      <c r="K2801">
        <v>0</v>
      </c>
      <c r="L2801">
        <v>0</v>
      </c>
    </row>
    <row r="2802" spans="1:12">
      <c r="A2802" t="str">
        <f>HYPERLINK("http://bombeiros.sp.gov.br/hidrantes/03individual/3528.html","3528")</f>
        <v>3528</v>
      </c>
      <c r="B2802" t="str">
        <f>HYPERLINK("http://bombeiros.sp.gov.br/hidrantes/08bsg/qrcodeBSG.html?id=3528&amp;lat=-23.47371&amp;long=-46.61397&amp;tipo=C","QRCODE")</f>
        <v>QRCODE</v>
      </c>
      <c r="C2802" t="s">
        <v>5328</v>
      </c>
      <c r="D2802" t="s">
        <v>104</v>
      </c>
      <c r="E2802" t="s">
        <v>104</v>
      </c>
      <c r="F2802" t="s">
        <v>12</v>
      </c>
      <c r="G2802" t="s">
        <v>3225</v>
      </c>
      <c r="H2802">
        <v>0</v>
      </c>
      <c r="I2802">
        <v>2</v>
      </c>
      <c r="J2802">
        <v>0</v>
      </c>
      <c r="K2802">
        <v>0</v>
      </c>
      <c r="L2802">
        <v>0</v>
      </c>
    </row>
    <row r="2803" spans="1:12">
      <c r="A2803" t="str">
        <f>HYPERLINK("http://bombeiros.sp.gov.br/hidrantes/03individual/3533.html","3533")</f>
        <v>3533</v>
      </c>
      <c r="B2803" t="str">
        <f>HYPERLINK("http://bombeiros.sp.gov.br/hidrantes/08bsg/qrcodeBSG.html?id=3533&amp;lat=-23.47560&amp;long=-46.61240&amp;tipo=C","QRCODE")</f>
        <v>QRCODE</v>
      </c>
      <c r="C2803" t="s">
        <v>5328</v>
      </c>
      <c r="D2803" t="s">
        <v>104</v>
      </c>
      <c r="E2803" t="s">
        <v>104</v>
      </c>
      <c r="F2803" t="s">
        <v>12</v>
      </c>
      <c r="G2803" t="s">
        <v>3537</v>
      </c>
      <c r="H2803">
        <v>1</v>
      </c>
      <c r="I2803">
        <v>1</v>
      </c>
      <c r="J2803">
        <v>0</v>
      </c>
      <c r="K2803">
        <v>0</v>
      </c>
      <c r="L2803">
        <v>0</v>
      </c>
    </row>
    <row r="2804" spans="1:12">
      <c r="A2804" t="str">
        <f>HYPERLINK("http://bombeiros.sp.gov.br/hidrantes/03individual/3539.html","3539")</f>
        <v>3539</v>
      </c>
      <c r="B2804" t="str">
        <f>HYPERLINK("http://bombeiros.sp.gov.br/hidrantes/08bsg/qrcodeBSG.html?id=3539&amp;lat=-23.47640&amp;long=-46.61139&amp;tipo=C","QRCODE")</f>
        <v>QRCODE</v>
      </c>
      <c r="C2804" t="s">
        <v>5328</v>
      </c>
      <c r="D2804" t="s">
        <v>104</v>
      </c>
      <c r="E2804" t="s">
        <v>104</v>
      </c>
      <c r="F2804" t="s">
        <v>12</v>
      </c>
      <c r="G2804" t="s">
        <v>3221</v>
      </c>
      <c r="H2804">
        <v>1</v>
      </c>
      <c r="I2804">
        <v>2</v>
      </c>
      <c r="J2804">
        <v>0</v>
      </c>
      <c r="K2804">
        <v>0</v>
      </c>
      <c r="L2804">
        <v>0</v>
      </c>
    </row>
    <row r="2805" spans="1:12">
      <c r="A2805" t="str">
        <f>HYPERLINK("http://bombeiros.sp.gov.br/hidrantes/03individual/3542.html","3542")</f>
        <v>3542</v>
      </c>
      <c r="B2805" t="str">
        <f>HYPERLINK("http://bombeiros.sp.gov.br/hidrantes/08bsg/qrcodeBSG.html?id=3542&amp;lat=-23.47695&amp;long=-46.61046&amp;tipo=C","QRCODE")</f>
        <v>QRCODE</v>
      </c>
      <c r="C2805" t="s">
        <v>5328</v>
      </c>
      <c r="D2805" t="s">
        <v>104</v>
      </c>
      <c r="E2805" t="s">
        <v>104</v>
      </c>
      <c r="F2805" t="s">
        <v>12</v>
      </c>
      <c r="G2805" t="s">
        <v>3224</v>
      </c>
      <c r="H2805">
        <v>0</v>
      </c>
      <c r="I2805">
        <v>2</v>
      </c>
      <c r="J2805">
        <v>0</v>
      </c>
      <c r="K2805">
        <v>0</v>
      </c>
      <c r="L2805">
        <v>0</v>
      </c>
    </row>
    <row r="2806" spans="1:12">
      <c r="A2806" t="str">
        <f>HYPERLINK("http://bombeiros.sp.gov.br/hidrantes/03individual/3587.html","3587")</f>
        <v>3587</v>
      </c>
      <c r="B2806" t="str">
        <f>HYPERLINK("http://bombeiros.sp.gov.br/hidrantes/08bsg/qrcodeBSG.html?id=3587&amp;lat=-23.47201&amp;long=-46.61007&amp;tipo=C","QRCODE")</f>
        <v>QRCODE</v>
      </c>
      <c r="C2806" t="s">
        <v>5328</v>
      </c>
      <c r="D2806" t="s">
        <v>104</v>
      </c>
      <c r="E2806" t="s">
        <v>104</v>
      </c>
      <c r="F2806" t="s">
        <v>12</v>
      </c>
      <c r="G2806" t="s">
        <v>719</v>
      </c>
      <c r="H2806">
        <v>0</v>
      </c>
      <c r="I2806">
        <v>2</v>
      </c>
      <c r="J2806">
        <v>0</v>
      </c>
      <c r="K2806">
        <v>0</v>
      </c>
      <c r="L2806">
        <v>0</v>
      </c>
    </row>
    <row r="2807" spans="1:12">
      <c r="A2807" t="str">
        <f>HYPERLINK("http://bombeiros.sp.gov.br/hidrantes/03individual/3589.html","3589")</f>
        <v>3589</v>
      </c>
      <c r="B2807" t="str">
        <f>HYPERLINK("http://bombeiros.sp.gov.br/hidrantes/08bsg/qrcodeBSG.html?id=3589&amp;lat=-23.46471&amp;long=-46.61683&amp;tipo=C","QRCODE")</f>
        <v>QRCODE</v>
      </c>
      <c r="C2807" t="s">
        <v>5328</v>
      </c>
      <c r="D2807" t="s">
        <v>104</v>
      </c>
      <c r="E2807" t="s">
        <v>104</v>
      </c>
      <c r="F2807" t="s">
        <v>12</v>
      </c>
      <c r="G2807" t="s">
        <v>720</v>
      </c>
      <c r="H2807">
        <v>0</v>
      </c>
      <c r="I2807">
        <v>2</v>
      </c>
      <c r="J2807">
        <v>0</v>
      </c>
      <c r="K2807">
        <v>0</v>
      </c>
      <c r="L2807">
        <v>0</v>
      </c>
    </row>
    <row r="2808" spans="1:12">
      <c r="A2808" t="str">
        <f>HYPERLINK("http://bombeiros.sp.gov.br/hidrantes/03individual/5506.html","5506")</f>
        <v>5506</v>
      </c>
      <c r="B2808" t="str">
        <f>HYPERLINK("http://bombeiros.sp.gov.br/hidrantes/08bsg/qrcodeBSG.html?id=5506&amp;lat=-23.46925&amp;long=-46.62669&amp;tipo=C","QRCODE")</f>
        <v>QRCODE</v>
      </c>
      <c r="C2808" t="s">
        <v>5328</v>
      </c>
      <c r="D2808" t="s">
        <v>104</v>
      </c>
      <c r="E2808" t="s">
        <v>104</v>
      </c>
      <c r="F2808" t="s">
        <v>12</v>
      </c>
      <c r="G2808" t="s">
        <v>4208</v>
      </c>
      <c r="H2808">
        <v>0</v>
      </c>
      <c r="I2808">
        <v>1</v>
      </c>
      <c r="J2808">
        <v>0</v>
      </c>
      <c r="K2808">
        <v>0</v>
      </c>
      <c r="L2808">
        <v>0</v>
      </c>
    </row>
    <row r="2809" spans="1:12">
      <c r="A2809" t="str">
        <f>HYPERLINK("http://bombeiros.sp.gov.br/hidrantes/03individual/5554.html","5554")</f>
        <v>5554</v>
      </c>
      <c r="B2809" t="str">
        <f>HYPERLINK("http://bombeiros.sp.gov.br/hidrantes/08bsg/qrcodeBSG.html?id=5554&amp;lat=-23.46843&amp;long=-46.62651&amp;tipo=C","QRCODE")</f>
        <v>QRCODE</v>
      </c>
      <c r="C2809" t="s">
        <v>5328</v>
      </c>
      <c r="D2809" t="s">
        <v>104</v>
      </c>
      <c r="E2809" t="s">
        <v>104</v>
      </c>
      <c r="F2809" t="s">
        <v>12</v>
      </c>
      <c r="G2809" t="s">
        <v>4120</v>
      </c>
      <c r="H2809">
        <v>0</v>
      </c>
      <c r="I2809">
        <v>1</v>
      </c>
      <c r="J2809">
        <v>0</v>
      </c>
      <c r="K2809">
        <v>0</v>
      </c>
      <c r="L2809">
        <v>0</v>
      </c>
    </row>
    <row r="2810" spans="1:12">
      <c r="A2810" t="str">
        <f>HYPERLINK("http://bombeiros.sp.gov.br/hidrantes/03individual/584.html","584")</f>
        <v>584</v>
      </c>
      <c r="B2810" t="str">
        <f>HYPERLINK("http://bombeiros.sp.gov.br/hidrantes/08bsg/qrcodeBSG.html?id=584&amp;lat=-23.47260&amp;long=-46.61832&amp;tipo=S","QRCODE")</f>
        <v>QRCODE</v>
      </c>
      <c r="C2810" t="s">
        <v>5328</v>
      </c>
      <c r="D2810" t="s">
        <v>104</v>
      </c>
      <c r="E2810" t="s">
        <v>104</v>
      </c>
      <c r="F2810" t="s">
        <v>21</v>
      </c>
      <c r="G2810" t="s">
        <v>3256</v>
      </c>
      <c r="H2810">
        <v>0</v>
      </c>
      <c r="I2810">
        <v>2</v>
      </c>
      <c r="J2810">
        <v>0</v>
      </c>
      <c r="K2810">
        <v>0</v>
      </c>
      <c r="L2810">
        <v>0</v>
      </c>
    </row>
    <row r="2811" spans="1:12">
      <c r="A2811" t="str">
        <f>HYPERLINK("http://bombeiros.sp.gov.br/hidrantes/03individual/585.html","585")</f>
        <v>585</v>
      </c>
      <c r="B2811" t="str">
        <f>HYPERLINK("http://bombeiros.sp.gov.br/hidrantes/08bsg/qrcodeBSG.html?id=585&amp;lat=-23.46745&amp;long=-46.60567&amp;tipo=S","QRCODE")</f>
        <v>QRCODE</v>
      </c>
      <c r="C2811" t="s">
        <v>5328</v>
      </c>
      <c r="D2811" t="s">
        <v>104</v>
      </c>
      <c r="E2811" t="s">
        <v>104</v>
      </c>
      <c r="F2811" t="s">
        <v>21</v>
      </c>
      <c r="G2811" t="s">
        <v>4230</v>
      </c>
      <c r="H2811">
        <v>0</v>
      </c>
      <c r="I2811">
        <v>1</v>
      </c>
      <c r="J2811">
        <v>0</v>
      </c>
      <c r="K2811">
        <v>0</v>
      </c>
      <c r="L2811">
        <v>0</v>
      </c>
    </row>
    <row r="2812" spans="1:12">
      <c r="A2812" t="str">
        <f>HYPERLINK("http://bombeiros.sp.gov.br/hidrantes/03individual/621.html","621")</f>
        <v>621</v>
      </c>
      <c r="B2812" t="str">
        <f>HYPERLINK("http://bombeiros.sp.gov.br/hidrantes/08bsg/qrcodeBSG.html?id=621&amp;lat=-23.46429&amp;long=-46.60863&amp;tipo=S","QRCODE")</f>
        <v>QRCODE</v>
      </c>
      <c r="C2812" t="s">
        <v>5328</v>
      </c>
      <c r="D2812" t="s">
        <v>104</v>
      </c>
      <c r="E2812" t="s">
        <v>104</v>
      </c>
      <c r="F2812" t="s">
        <v>21</v>
      </c>
      <c r="G2812" t="s">
        <v>126</v>
      </c>
      <c r="H2812">
        <v>1</v>
      </c>
      <c r="I2812">
        <v>3</v>
      </c>
      <c r="J2812">
        <v>0</v>
      </c>
      <c r="K2812">
        <v>0</v>
      </c>
      <c r="L2812">
        <v>0</v>
      </c>
    </row>
    <row r="2813" spans="1:12">
      <c r="A2813" t="str">
        <f>HYPERLINK("http://bombeiros.sp.gov.br/hidrantes/03individual/642.html","642")</f>
        <v>642</v>
      </c>
      <c r="B2813" t="str">
        <f>HYPERLINK("http://bombeiros.sp.gov.br/hidrantes/08bsg/qrcodeBSG.html?id=642&amp;lat=-23.46905&amp;long=-46.60594&amp;tipo=S","QRCODE")</f>
        <v>QRCODE</v>
      </c>
      <c r="C2813" t="s">
        <v>5328</v>
      </c>
      <c r="D2813" t="s">
        <v>104</v>
      </c>
      <c r="E2813" t="s">
        <v>104</v>
      </c>
      <c r="F2813" t="s">
        <v>21</v>
      </c>
      <c r="G2813" t="s">
        <v>127</v>
      </c>
      <c r="H2813">
        <v>1</v>
      </c>
      <c r="I2813">
        <v>3</v>
      </c>
      <c r="J2813">
        <v>0</v>
      </c>
      <c r="K2813">
        <v>0</v>
      </c>
      <c r="L2813">
        <v>0</v>
      </c>
    </row>
    <row r="2814" spans="1:12">
      <c r="A2814" t="str">
        <f>HYPERLINK("http://bombeiros.sp.gov.br/hidrantes/03individual/664.html","664")</f>
        <v>664</v>
      </c>
      <c r="B2814" t="str">
        <f>HYPERLINK("http://bombeiros.sp.gov.br/hidrantes/08bsg/qrcodeBSG.html?id=664&amp;lat=-23.47706&amp;long=-46.61358&amp;tipo=S","QRCODE")</f>
        <v>QRCODE</v>
      </c>
      <c r="C2814" t="s">
        <v>5328</v>
      </c>
      <c r="D2814" t="s">
        <v>104</v>
      </c>
      <c r="E2814" t="s">
        <v>104</v>
      </c>
      <c r="F2814" t="s">
        <v>21</v>
      </c>
      <c r="G2814" t="s">
        <v>128</v>
      </c>
      <c r="H2814">
        <v>1</v>
      </c>
      <c r="I2814">
        <v>4</v>
      </c>
      <c r="J2814">
        <v>0</v>
      </c>
      <c r="K2814">
        <v>0</v>
      </c>
      <c r="L2814">
        <v>0</v>
      </c>
    </row>
    <row r="2815" spans="1:12">
      <c r="A2815" t="str">
        <f>HYPERLINK("http://bombeiros.sp.gov.br/hidrantes/03individual/772.html","772")</f>
        <v>772</v>
      </c>
      <c r="B2815" t="str">
        <f>HYPERLINK("http://bombeiros.sp.gov.br/hidrantes/08bsg/qrcodeBSG.html?id=772&amp;lat=-23.46995&amp;long=-46.60519&amp;tipo=S","QRCODE")</f>
        <v>QRCODE</v>
      </c>
      <c r="C2815" t="s">
        <v>5328</v>
      </c>
      <c r="D2815" t="s">
        <v>104</v>
      </c>
      <c r="E2815" t="s">
        <v>104</v>
      </c>
      <c r="F2815" t="s">
        <v>21</v>
      </c>
      <c r="G2815" t="s">
        <v>4135</v>
      </c>
      <c r="H2815">
        <v>1</v>
      </c>
      <c r="I2815">
        <v>2</v>
      </c>
      <c r="J2815">
        <v>0</v>
      </c>
      <c r="K2815">
        <v>0</v>
      </c>
      <c r="L2815">
        <v>0</v>
      </c>
    </row>
    <row r="2816" spans="1:12">
      <c r="A2816" t="str">
        <f>HYPERLINK("http://bombeiros.sp.gov.br/hidrantes/03individual/934.html","934")</f>
        <v>934</v>
      </c>
      <c r="B2816" t="str">
        <f>HYPERLINK("http://bombeiros.sp.gov.br/hidrantes/08bsg/qrcodeBSG.html?id=934&amp;lat=-23.46894&amp;long=-46.61399&amp;tipo=S","QRCODE")</f>
        <v>QRCODE</v>
      </c>
      <c r="C2816" t="s">
        <v>5328</v>
      </c>
      <c r="D2816" t="s">
        <v>104</v>
      </c>
      <c r="E2816" t="s">
        <v>104</v>
      </c>
      <c r="F2816" t="s">
        <v>21</v>
      </c>
      <c r="G2816" t="s">
        <v>103</v>
      </c>
      <c r="H2816">
        <v>0</v>
      </c>
      <c r="I2816">
        <v>2</v>
      </c>
      <c r="J2816">
        <v>0</v>
      </c>
      <c r="K2816">
        <v>0</v>
      </c>
      <c r="L2816">
        <v>0</v>
      </c>
    </row>
    <row r="2817" spans="1:12">
      <c r="A2817" t="str">
        <f>HYPERLINK("http://bombeiros.sp.gov.br/hidrantes/03individual/3529.html","3529")</f>
        <v>3529</v>
      </c>
      <c r="B2817" t="str">
        <f>HYPERLINK("http://bombeiros.sp.gov.br/hidrantes/08bsg/qrcodeBSG.html?id=3529&amp;lat=-23.47408&amp;long=-46.61398&amp;tipo=S","QRCODE")</f>
        <v>QRCODE</v>
      </c>
      <c r="C2817" t="s">
        <v>5328</v>
      </c>
      <c r="D2817" t="s">
        <v>104</v>
      </c>
      <c r="E2817" t="s">
        <v>104</v>
      </c>
      <c r="F2817" t="s">
        <v>21</v>
      </c>
      <c r="G2817" t="s">
        <v>200</v>
      </c>
      <c r="H2817">
        <v>0</v>
      </c>
      <c r="I2817">
        <v>2</v>
      </c>
      <c r="J2817">
        <v>0</v>
      </c>
      <c r="K2817">
        <v>0</v>
      </c>
      <c r="L2817">
        <v>0</v>
      </c>
    </row>
    <row r="2818" spans="1:12">
      <c r="A2818" t="str">
        <f>HYPERLINK("http://bombeiros.sp.gov.br/hidrantes/03individual/3536.html","3536")</f>
        <v>3536</v>
      </c>
      <c r="B2818" t="str">
        <f>HYPERLINK("http://bombeiros.sp.gov.br/hidrantes/08bsg/qrcodeBSG.html?id=3536&amp;lat=-23.47560&amp;long=-46.61282&amp;tipo=S","QRCODE")</f>
        <v>QRCODE</v>
      </c>
      <c r="C2818" t="s">
        <v>5328</v>
      </c>
      <c r="D2818" t="s">
        <v>104</v>
      </c>
      <c r="E2818" t="s">
        <v>104</v>
      </c>
      <c r="F2818" t="s">
        <v>21</v>
      </c>
      <c r="G2818" t="s">
        <v>3222</v>
      </c>
      <c r="H2818">
        <v>0</v>
      </c>
      <c r="I2818">
        <v>2</v>
      </c>
      <c r="J2818">
        <v>0</v>
      </c>
      <c r="K2818">
        <v>0</v>
      </c>
      <c r="L2818">
        <v>0</v>
      </c>
    </row>
    <row r="2819" spans="1:12">
      <c r="A2819" t="str">
        <f>HYPERLINK("http://bombeiros.sp.gov.br/hidrantes/03individual/3752.html","3752")</f>
        <v>3752</v>
      </c>
      <c r="B2819" t="str">
        <f>HYPERLINK("http://bombeiros.sp.gov.br/hidrantes/08bsg/qrcodeBSG.html?id=3752&amp;lat=-23.46839&amp;long=-46.60457&amp;tipo=S","QRCODE")</f>
        <v>QRCODE</v>
      </c>
      <c r="C2819" t="s">
        <v>5328</v>
      </c>
      <c r="D2819" t="s">
        <v>104</v>
      </c>
      <c r="E2819" t="s">
        <v>104</v>
      </c>
      <c r="F2819" t="s">
        <v>21</v>
      </c>
      <c r="G2819" t="s">
        <v>211</v>
      </c>
      <c r="H2819">
        <v>0</v>
      </c>
      <c r="I2819">
        <v>3</v>
      </c>
      <c r="J2819">
        <v>0</v>
      </c>
      <c r="K2819">
        <v>0</v>
      </c>
      <c r="L2819">
        <v>0</v>
      </c>
    </row>
    <row r="2820" spans="1:12">
      <c r="A2820" t="str">
        <f>HYPERLINK("http://bombeiros.sp.gov.br/hidrantes/03individual/17904.html","17904")</f>
        <v>17904</v>
      </c>
      <c r="B2820" t="str">
        <f>HYPERLINK("http://bombeiros.sp.gov.br/hidrantes/08bsg/qrcodeBSG.html?id=17904&amp;lat=-23.47042&amp;long=-46.61208&amp;tipo=S","QRCODE")</f>
        <v>QRCODE</v>
      </c>
      <c r="C2820" t="s">
        <v>5328</v>
      </c>
      <c r="D2820" t="s">
        <v>104</v>
      </c>
      <c r="E2820" t="s">
        <v>104</v>
      </c>
      <c r="F2820" t="s">
        <v>21</v>
      </c>
      <c r="G2820" t="s">
        <v>668</v>
      </c>
      <c r="H2820">
        <v>1</v>
      </c>
      <c r="I2820">
        <v>2</v>
      </c>
      <c r="J2820">
        <v>0</v>
      </c>
      <c r="K2820">
        <v>0</v>
      </c>
      <c r="L2820">
        <v>0</v>
      </c>
    </row>
    <row r="2821" spans="1:12">
      <c r="A2821" t="str">
        <f>HYPERLINK("http://bombeiros.sp.gov.br/hidrantes/03individual/27337.html","27337")</f>
        <v>27337</v>
      </c>
      <c r="B2821" t="str">
        <f>HYPERLINK("http://bombeiros.sp.gov.br/hidrantes/08bsg/qrcodeBSG.html?id=27337&amp;lat=-23.47165&amp;long=-46.61262&amp;tipo=S","QRCODE")</f>
        <v>QRCODE</v>
      </c>
      <c r="C2821" t="s">
        <v>5328</v>
      </c>
      <c r="D2821" t="s">
        <v>104</v>
      </c>
      <c r="E2821" t="s">
        <v>104</v>
      </c>
      <c r="F2821" t="s">
        <v>21</v>
      </c>
      <c r="G2821" t="s">
        <v>5346</v>
      </c>
      <c r="H2821">
        <v>0</v>
      </c>
      <c r="I2821">
        <v>0</v>
      </c>
      <c r="J2821">
        <v>0</v>
      </c>
      <c r="K2821">
        <v>0</v>
      </c>
      <c r="L2821">
        <v>0</v>
      </c>
    </row>
    <row r="2822" spans="1:12">
      <c r="A2822" t="str">
        <f>HYPERLINK("http://bombeiros.sp.gov.br/hidrantes/03individual/10052.html","10052")</f>
        <v>10052</v>
      </c>
      <c r="B2822" t="str">
        <f>HYPERLINK("http://bombeiros.sp.gov.br/hidrantes/08bsg/qrcodeBSG.html?id=10052&amp;lat=-23.47522&amp;long=-46.59530&amp;tipo=B","QRCODE")</f>
        <v>QRCODE</v>
      </c>
      <c r="C2822" t="s">
        <v>5328</v>
      </c>
      <c r="D2822" t="s">
        <v>104</v>
      </c>
      <c r="E2822" t="s">
        <v>112</v>
      </c>
      <c r="F2822" t="s">
        <v>1719</v>
      </c>
      <c r="G2822" t="s">
        <v>5347</v>
      </c>
      <c r="H2822">
        <v>0</v>
      </c>
      <c r="I2822">
        <v>0</v>
      </c>
      <c r="J2822">
        <v>0</v>
      </c>
      <c r="K2822">
        <v>0</v>
      </c>
      <c r="L2822">
        <v>0</v>
      </c>
    </row>
    <row r="2823" spans="1:12">
      <c r="A2823" t="str">
        <f>HYPERLINK("http://bombeiros.sp.gov.br/hidrantes/03individual/3526.html","3526")</f>
        <v>3526</v>
      </c>
      <c r="B2823" t="str">
        <f>HYPERLINK("http://bombeiros.sp.gov.br/hidrantes/08bsg/qrcodeBSG.html?id=3526&amp;lat=-23.47329&amp;long=-46.60756&amp;tipo=C","QRCODE")</f>
        <v>QRCODE</v>
      </c>
      <c r="C2823" t="s">
        <v>5328</v>
      </c>
      <c r="D2823" t="s">
        <v>104</v>
      </c>
      <c r="E2823" t="s">
        <v>112</v>
      </c>
      <c r="F2823" t="s">
        <v>12</v>
      </c>
      <c r="G2823" t="s">
        <v>2368</v>
      </c>
      <c r="H2823">
        <v>0</v>
      </c>
      <c r="I2823">
        <v>2</v>
      </c>
      <c r="J2823">
        <v>0</v>
      </c>
      <c r="K2823">
        <v>0</v>
      </c>
      <c r="L2823">
        <v>0</v>
      </c>
    </row>
    <row r="2824" spans="1:12">
      <c r="A2824" t="str">
        <f>HYPERLINK("http://bombeiros.sp.gov.br/hidrantes/03individual/3532.html","3532")</f>
        <v>3532</v>
      </c>
      <c r="B2824" t="str">
        <f>HYPERLINK("http://bombeiros.sp.gov.br/hidrantes/08bsg/qrcodeBSG.html?id=3532&amp;lat=-23.47590&amp;long=-46.59468&amp;tipo=C","QRCODE")</f>
        <v>QRCODE</v>
      </c>
      <c r="C2824" t="s">
        <v>5328</v>
      </c>
      <c r="D2824" t="s">
        <v>104</v>
      </c>
      <c r="E2824" t="s">
        <v>112</v>
      </c>
      <c r="F2824" t="s">
        <v>12</v>
      </c>
      <c r="G2824" t="s">
        <v>729</v>
      </c>
      <c r="H2824">
        <v>0</v>
      </c>
      <c r="I2824">
        <v>2</v>
      </c>
      <c r="J2824">
        <v>0</v>
      </c>
      <c r="K2824">
        <v>0</v>
      </c>
      <c r="L2824">
        <v>0</v>
      </c>
    </row>
    <row r="2825" spans="1:12">
      <c r="A2825" t="str">
        <f>HYPERLINK("http://bombeiros.sp.gov.br/hidrantes/03individual/3535.html","3535")</f>
        <v>3535</v>
      </c>
      <c r="B2825" t="str">
        <f>HYPERLINK("http://bombeiros.sp.gov.br/hidrantes/08bsg/qrcodeBSG.html?id=3535&amp;lat=-23.46881&amp;long=-46.59161&amp;tipo=C","QRCODE")</f>
        <v>QRCODE</v>
      </c>
      <c r="C2825" t="s">
        <v>5328</v>
      </c>
      <c r="D2825" t="s">
        <v>104</v>
      </c>
      <c r="E2825" t="s">
        <v>112</v>
      </c>
      <c r="F2825" t="s">
        <v>12</v>
      </c>
      <c r="G2825" t="s">
        <v>730</v>
      </c>
      <c r="H2825">
        <v>0</v>
      </c>
      <c r="I2825">
        <v>3</v>
      </c>
      <c r="J2825">
        <v>0</v>
      </c>
      <c r="K2825">
        <v>0</v>
      </c>
      <c r="L2825">
        <v>0</v>
      </c>
    </row>
    <row r="2826" spans="1:12">
      <c r="A2826" t="str">
        <f>HYPERLINK("http://bombeiros.sp.gov.br/hidrantes/03individual/3554.html","3554")</f>
        <v>3554</v>
      </c>
      <c r="B2826" t="str">
        <f>HYPERLINK("http://bombeiros.sp.gov.br/hidrantes/08bsg/qrcodeBSG.html?id=3554&amp;lat=-23.48060&amp;long=-46.60561&amp;tipo=C","QRCODE")</f>
        <v>QRCODE</v>
      </c>
      <c r="C2826" t="s">
        <v>5328</v>
      </c>
      <c r="D2826" t="s">
        <v>104</v>
      </c>
      <c r="E2826" t="s">
        <v>112</v>
      </c>
      <c r="F2826" t="s">
        <v>12</v>
      </c>
      <c r="G2826" t="s">
        <v>2045</v>
      </c>
      <c r="H2826">
        <v>0</v>
      </c>
      <c r="I2826">
        <v>2</v>
      </c>
      <c r="J2826">
        <v>0</v>
      </c>
      <c r="K2826">
        <v>0</v>
      </c>
      <c r="L2826">
        <v>0</v>
      </c>
    </row>
    <row r="2827" spans="1:12">
      <c r="A2827" t="str">
        <f>HYPERLINK("http://bombeiros.sp.gov.br/hidrantes/03individual/519.html","519")</f>
        <v>519</v>
      </c>
      <c r="B2827" t="str">
        <f>HYPERLINK("http://bombeiros.sp.gov.br/hidrantes/08bsg/qrcodeBSG.html?id=519&amp;lat=-23.47998&amp;long=-46.58699&amp;tipo=S","QRCODE")</f>
        <v>QRCODE</v>
      </c>
      <c r="C2827" t="s">
        <v>5328</v>
      </c>
      <c r="D2827" t="s">
        <v>104</v>
      </c>
      <c r="E2827" t="s">
        <v>112</v>
      </c>
      <c r="F2827" t="s">
        <v>21</v>
      </c>
      <c r="G2827" t="s">
        <v>138</v>
      </c>
      <c r="H2827">
        <v>0</v>
      </c>
      <c r="I2827">
        <v>3</v>
      </c>
      <c r="J2827">
        <v>0</v>
      </c>
      <c r="K2827">
        <v>0</v>
      </c>
      <c r="L2827">
        <v>0</v>
      </c>
    </row>
    <row r="2828" spans="1:12">
      <c r="A2828" t="str">
        <f>HYPERLINK("http://bombeiros.sp.gov.br/hidrantes/03individual/520.html","520")</f>
        <v>520</v>
      </c>
      <c r="B2828" t="str">
        <f>HYPERLINK("http://bombeiros.sp.gov.br/hidrantes/08bsg/qrcodeBSG.html?id=520&amp;lat=-23.47518&amp;long=-46.59395&amp;tipo=S","QRCODE")</f>
        <v>QRCODE</v>
      </c>
      <c r="C2828" t="s">
        <v>5328</v>
      </c>
      <c r="D2828" t="s">
        <v>104</v>
      </c>
      <c r="E2828" t="s">
        <v>112</v>
      </c>
      <c r="F2828" t="s">
        <v>21</v>
      </c>
      <c r="G2828" t="s">
        <v>838</v>
      </c>
      <c r="H2828">
        <v>0</v>
      </c>
      <c r="I2828">
        <v>2</v>
      </c>
      <c r="J2828">
        <v>0</v>
      </c>
      <c r="K2828">
        <v>0</v>
      </c>
      <c r="L2828">
        <v>0</v>
      </c>
    </row>
    <row r="2829" spans="1:12">
      <c r="A2829" t="str">
        <f>HYPERLINK("http://bombeiros.sp.gov.br/hidrantes/03individual/550.html","550")</f>
        <v>550</v>
      </c>
      <c r="B2829" t="str">
        <f>HYPERLINK("http://bombeiros.sp.gov.br/hidrantes/08bsg/qrcodeBSG.html?id=550&amp;lat=-23.47695&amp;long=-46.60448&amp;tipo=S","QRCODE")</f>
        <v>QRCODE</v>
      </c>
      <c r="C2829" t="s">
        <v>5328</v>
      </c>
      <c r="D2829" t="s">
        <v>104</v>
      </c>
      <c r="E2829" t="s">
        <v>112</v>
      </c>
      <c r="F2829" t="s">
        <v>21</v>
      </c>
      <c r="G2829" t="s">
        <v>2070</v>
      </c>
      <c r="H2829">
        <v>0</v>
      </c>
      <c r="I2829">
        <v>2</v>
      </c>
      <c r="J2829">
        <v>0</v>
      </c>
      <c r="K2829">
        <v>0</v>
      </c>
      <c r="L2829">
        <v>0</v>
      </c>
    </row>
    <row r="2830" spans="1:12">
      <c r="A2830" t="str">
        <f>HYPERLINK("http://bombeiros.sp.gov.br/hidrantes/03individual/551.html","551")</f>
        <v>551</v>
      </c>
      <c r="B2830" t="str">
        <f>HYPERLINK("http://bombeiros.sp.gov.br/hidrantes/08bsg/qrcodeBSG.html?id=551&amp;lat=-23.47296&amp;long=-46.60023&amp;tipo=S","QRCODE")</f>
        <v>QRCODE</v>
      </c>
      <c r="C2830" t="s">
        <v>5328</v>
      </c>
      <c r="D2830" t="s">
        <v>104</v>
      </c>
      <c r="E2830" t="s">
        <v>112</v>
      </c>
      <c r="F2830" t="s">
        <v>21</v>
      </c>
      <c r="G2830" t="s">
        <v>4378</v>
      </c>
      <c r="H2830">
        <v>0</v>
      </c>
      <c r="I2830">
        <v>2</v>
      </c>
      <c r="J2830">
        <v>0</v>
      </c>
      <c r="K2830">
        <v>0</v>
      </c>
      <c r="L2830">
        <v>0</v>
      </c>
    </row>
    <row r="2831" spans="1:12">
      <c r="A2831" t="str">
        <f>HYPERLINK("http://bombeiros.sp.gov.br/hidrantes/03individual/578.html","578")</f>
        <v>578</v>
      </c>
      <c r="B2831" t="str">
        <f>HYPERLINK("http://bombeiros.sp.gov.br/hidrantes/08bsg/qrcodeBSG.html?id=578&amp;lat=-23.47334&amp;long=-46.60754&amp;tipo=S","QRCODE")</f>
        <v>QRCODE</v>
      </c>
      <c r="C2831" t="s">
        <v>5328</v>
      </c>
      <c r="D2831" t="s">
        <v>104</v>
      </c>
      <c r="E2831" t="s">
        <v>112</v>
      </c>
      <c r="F2831" t="s">
        <v>21</v>
      </c>
      <c r="G2831" t="s">
        <v>788</v>
      </c>
      <c r="H2831">
        <v>0</v>
      </c>
      <c r="I2831">
        <v>2</v>
      </c>
      <c r="J2831">
        <v>0</v>
      </c>
      <c r="K2831">
        <v>0</v>
      </c>
      <c r="L2831">
        <v>0</v>
      </c>
    </row>
    <row r="2832" spans="1:12">
      <c r="A2832" t="str">
        <f>HYPERLINK("http://bombeiros.sp.gov.br/hidrantes/03individual/581.html","581")</f>
        <v>581</v>
      </c>
      <c r="B2832" t="str">
        <f>HYPERLINK("http://bombeiros.sp.gov.br/hidrantes/08bsg/qrcodeBSG.html?id=581&amp;lat=-23.47018&amp;long=-46.59064&amp;tipo=S","QRCODE")</f>
        <v>QRCODE</v>
      </c>
      <c r="C2832" t="s">
        <v>5328</v>
      </c>
      <c r="D2832" t="s">
        <v>104</v>
      </c>
      <c r="E2832" t="s">
        <v>112</v>
      </c>
      <c r="F2832" t="s">
        <v>21</v>
      </c>
      <c r="G2832" t="s">
        <v>122</v>
      </c>
      <c r="H2832">
        <v>0</v>
      </c>
      <c r="I2832">
        <v>4</v>
      </c>
      <c r="J2832">
        <v>0</v>
      </c>
      <c r="K2832">
        <v>0</v>
      </c>
      <c r="L2832">
        <v>0</v>
      </c>
    </row>
    <row r="2833" spans="1:12">
      <c r="A2833" t="str">
        <f>HYPERLINK("http://bombeiros.sp.gov.br/hidrantes/03individual/620.html","620")</f>
        <v>620</v>
      </c>
      <c r="B2833" t="str">
        <f>HYPERLINK("http://bombeiros.sp.gov.br/hidrantes/08bsg/qrcodeBSG.html?id=620&amp;lat=-23.47157&amp;long=-46.60081&amp;tipo=S","QRCODE")</f>
        <v>QRCODE</v>
      </c>
      <c r="C2833" t="s">
        <v>5328</v>
      </c>
      <c r="D2833" t="s">
        <v>104</v>
      </c>
      <c r="E2833" t="s">
        <v>112</v>
      </c>
      <c r="F2833" t="s">
        <v>21</v>
      </c>
      <c r="G2833" t="s">
        <v>4375</v>
      </c>
      <c r="H2833">
        <v>0</v>
      </c>
      <c r="I2833">
        <v>3</v>
      </c>
      <c r="J2833">
        <v>0</v>
      </c>
      <c r="K2833">
        <v>0</v>
      </c>
      <c r="L2833">
        <v>0</v>
      </c>
    </row>
    <row r="2834" spans="1:12">
      <c r="A2834" t="str">
        <f>HYPERLINK("http://bombeiros.sp.gov.br/hidrantes/03individual/636.html","636")</f>
        <v>636</v>
      </c>
      <c r="B2834" t="str">
        <f>HYPERLINK("http://bombeiros.sp.gov.br/hidrantes/08bsg/qrcodeBSG.html?id=636&amp;lat=-23.47852&amp;long=-46.59247&amp;tipo=S","QRCODE")</f>
        <v>QRCODE</v>
      </c>
      <c r="C2834" t="s">
        <v>5328</v>
      </c>
      <c r="D2834" t="s">
        <v>104</v>
      </c>
      <c r="E2834" t="s">
        <v>112</v>
      </c>
      <c r="F2834" t="s">
        <v>21</v>
      </c>
      <c r="G2834" t="s">
        <v>1764</v>
      </c>
      <c r="H2834">
        <v>3</v>
      </c>
      <c r="I2834">
        <v>2</v>
      </c>
      <c r="J2834">
        <v>0</v>
      </c>
      <c r="K2834">
        <v>0</v>
      </c>
      <c r="L2834">
        <v>0</v>
      </c>
    </row>
    <row r="2835" spans="1:12">
      <c r="A2835" t="str">
        <f>HYPERLINK("http://bombeiros.sp.gov.br/hidrantes/03individual/637.html","637")</f>
        <v>637</v>
      </c>
      <c r="B2835" t="str">
        <f>HYPERLINK("http://bombeiros.sp.gov.br/hidrantes/08bsg/qrcodeBSG.html?id=637&amp;lat=-23.46710&amp;long=-46.60055&amp;tipo=S","QRCODE")</f>
        <v>QRCODE</v>
      </c>
      <c r="C2835" t="s">
        <v>5328</v>
      </c>
      <c r="D2835" t="s">
        <v>104</v>
      </c>
      <c r="E2835" t="s">
        <v>112</v>
      </c>
      <c r="F2835" t="s">
        <v>21</v>
      </c>
      <c r="G2835" t="s">
        <v>4134</v>
      </c>
      <c r="H2835">
        <v>1</v>
      </c>
      <c r="I2835">
        <v>2</v>
      </c>
      <c r="J2835">
        <v>0</v>
      </c>
      <c r="K2835">
        <v>0</v>
      </c>
      <c r="L2835">
        <v>0</v>
      </c>
    </row>
    <row r="2836" spans="1:12">
      <c r="A2836" t="str">
        <f>HYPERLINK("http://bombeiros.sp.gov.br/hidrantes/03individual/728.html","728")</f>
        <v>728</v>
      </c>
      <c r="B2836" t="str">
        <f>HYPERLINK("http://bombeiros.sp.gov.br/hidrantes/08bsg/qrcodeBSG.html?id=728&amp;lat=-23.46787&amp;long=-46.59898&amp;tipo=S","QRCODE")</f>
        <v>QRCODE</v>
      </c>
      <c r="C2836" t="s">
        <v>5328</v>
      </c>
      <c r="D2836" t="s">
        <v>104</v>
      </c>
      <c r="E2836" t="s">
        <v>112</v>
      </c>
      <c r="F2836" t="s">
        <v>21</v>
      </c>
      <c r="G2836" t="s">
        <v>809</v>
      </c>
      <c r="H2836">
        <v>1</v>
      </c>
      <c r="I2836">
        <v>3</v>
      </c>
      <c r="J2836">
        <v>0</v>
      </c>
      <c r="K2836">
        <v>0</v>
      </c>
      <c r="L2836">
        <v>0</v>
      </c>
    </row>
    <row r="2837" spans="1:12">
      <c r="A2837" t="str">
        <f>HYPERLINK("http://bombeiros.sp.gov.br/hidrantes/03individual/732.html","732")</f>
        <v>732</v>
      </c>
      <c r="B2837" t="str">
        <f>HYPERLINK("http://bombeiros.sp.gov.br/hidrantes/08bsg/qrcodeBSG.html?id=732&amp;lat=-23.47387&amp;long=-46.60595&amp;tipo=S","QRCODE")</f>
        <v>QRCODE</v>
      </c>
      <c r="C2837" t="s">
        <v>5328</v>
      </c>
      <c r="D2837" t="s">
        <v>104</v>
      </c>
      <c r="E2837" t="s">
        <v>112</v>
      </c>
      <c r="F2837" t="s">
        <v>21</v>
      </c>
      <c r="G2837" t="s">
        <v>2068</v>
      </c>
      <c r="H2837">
        <v>0</v>
      </c>
      <c r="I2837">
        <v>2</v>
      </c>
      <c r="J2837">
        <v>0</v>
      </c>
      <c r="K2837">
        <v>0</v>
      </c>
      <c r="L2837">
        <v>0</v>
      </c>
    </row>
    <row r="2838" spans="1:12">
      <c r="A2838" t="str">
        <f>HYPERLINK("http://bombeiros.sp.gov.br/hidrantes/03individual/863.html","863")</f>
        <v>863</v>
      </c>
      <c r="B2838" t="str">
        <f>HYPERLINK("http://bombeiros.sp.gov.br/hidrantes/08bsg/qrcodeBSG.html?id=863&amp;lat=-23.47711&amp;long=-46.60877&amp;tipo=S","QRCODE")</f>
        <v>QRCODE</v>
      </c>
      <c r="C2838" t="s">
        <v>5328</v>
      </c>
      <c r="D2838" t="s">
        <v>104</v>
      </c>
      <c r="E2838" t="s">
        <v>112</v>
      </c>
      <c r="F2838" t="s">
        <v>21</v>
      </c>
      <c r="G2838" t="s">
        <v>111</v>
      </c>
      <c r="H2838">
        <v>0</v>
      </c>
      <c r="I2838">
        <v>3</v>
      </c>
      <c r="J2838">
        <v>0</v>
      </c>
      <c r="K2838">
        <v>0</v>
      </c>
      <c r="L2838">
        <v>0</v>
      </c>
    </row>
    <row r="2839" spans="1:12">
      <c r="A2839" t="str">
        <f>HYPERLINK("http://bombeiros.sp.gov.br/hidrantes/03individual/866.html","866")</f>
        <v>866</v>
      </c>
      <c r="B2839" t="str">
        <f>HYPERLINK("http://bombeiros.sp.gov.br/hidrantes/08bsg/qrcodeBSG.html?id=866&amp;lat=-23.47258&amp;long=-46.59378&amp;tipo=S","QRCODE")</f>
        <v>QRCODE</v>
      </c>
      <c r="C2839" t="s">
        <v>5328</v>
      </c>
      <c r="D2839" t="s">
        <v>104</v>
      </c>
      <c r="E2839" t="s">
        <v>112</v>
      </c>
      <c r="F2839" t="s">
        <v>21</v>
      </c>
      <c r="G2839" t="s">
        <v>1592</v>
      </c>
      <c r="H2839">
        <v>1</v>
      </c>
      <c r="I2839">
        <v>2</v>
      </c>
      <c r="J2839">
        <v>0</v>
      </c>
      <c r="K2839">
        <v>0</v>
      </c>
      <c r="L2839">
        <v>0</v>
      </c>
    </row>
    <row r="2840" spans="1:12">
      <c r="A2840" t="str">
        <f>HYPERLINK("http://bombeiros.sp.gov.br/hidrantes/03individual/868.html","868")</f>
        <v>868</v>
      </c>
      <c r="B2840" t="str">
        <f>HYPERLINK("http://bombeiros.sp.gov.br/hidrantes/08bsg/qrcodeBSG.html?id=868&amp;lat=-23.47497&amp;long=-46.59667&amp;tipo=S","QRCODE")</f>
        <v>QRCODE</v>
      </c>
      <c r="C2840" t="s">
        <v>5328</v>
      </c>
      <c r="D2840" t="s">
        <v>104</v>
      </c>
      <c r="E2840" t="s">
        <v>112</v>
      </c>
      <c r="F2840" t="s">
        <v>21</v>
      </c>
      <c r="G2840" t="s">
        <v>1593</v>
      </c>
      <c r="H2840">
        <v>0</v>
      </c>
      <c r="I2840">
        <v>3</v>
      </c>
      <c r="J2840">
        <v>0</v>
      </c>
      <c r="K2840">
        <v>0</v>
      </c>
      <c r="L2840">
        <v>0</v>
      </c>
    </row>
    <row r="2841" spans="1:12">
      <c r="A2841" t="str">
        <f>HYPERLINK("http://bombeiros.sp.gov.br/hidrantes/03individual/872.html","872")</f>
        <v>872</v>
      </c>
      <c r="B2841" t="str">
        <f>HYPERLINK("http://bombeiros.sp.gov.br/hidrantes/08bsg/qrcodeBSG.html?id=872&amp;lat=-23.48103&amp;long=-46.60325&amp;tipo=S","QRCODE")</f>
        <v>QRCODE</v>
      </c>
      <c r="C2841" t="s">
        <v>5328</v>
      </c>
      <c r="D2841" t="s">
        <v>104</v>
      </c>
      <c r="E2841" t="s">
        <v>112</v>
      </c>
      <c r="F2841" t="s">
        <v>21</v>
      </c>
      <c r="G2841" t="s">
        <v>2057</v>
      </c>
      <c r="H2841">
        <v>0</v>
      </c>
      <c r="I2841">
        <v>2</v>
      </c>
      <c r="J2841">
        <v>0</v>
      </c>
      <c r="K2841">
        <v>0</v>
      </c>
      <c r="L2841">
        <v>0</v>
      </c>
    </row>
    <row r="2842" spans="1:12">
      <c r="A2842" t="str">
        <f>HYPERLINK("http://bombeiros.sp.gov.br/hidrantes/03individual/874.html","874")</f>
        <v>874</v>
      </c>
      <c r="B2842" t="str">
        <f>HYPERLINK("http://bombeiros.sp.gov.br/hidrantes/08bsg/qrcodeBSG.html?id=874&amp;lat=-23.47574&amp;long=-46.60294&amp;tipo=S","QRCODE")</f>
        <v>QRCODE</v>
      </c>
      <c r="C2842" t="s">
        <v>5328</v>
      </c>
      <c r="D2842" t="s">
        <v>104</v>
      </c>
      <c r="E2842" t="s">
        <v>112</v>
      </c>
      <c r="F2842" t="s">
        <v>21</v>
      </c>
      <c r="G2842" t="s">
        <v>2382</v>
      </c>
      <c r="H2842">
        <v>0</v>
      </c>
      <c r="I2842">
        <v>2</v>
      </c>
      <c r="J2842">
        <v>0</v>
      </c>
      <c r="K2842">
        <v>0</v>
      </c>
      <c r="L2842">
        <v>0</v>
      </c>
    </row>
    <row r="2843" spans="1:12">
      <c r="A2843" t="str">
        <f>HYPERLINK("http://bombeiros.sp.gov.br/hidrantes/03individual/879.html","879")</f>
        <v>879</v>
      </c>
      <c r="B2843" t="str">
        <f>HYPERLINK("http://bombeiros.sp.gov.br/hidrantes/08bsg/qrcodeBSG.html?id=879&amp;lat=-23.47314&amp;long=-46.58905&amp;tipo=S","QRCODE")</f>
        <v>QRCODE</v>
      </c>
      <c r="C2843" t="s">
        <v>5328</v>
      </c>
      <c r="D2843" t="s">
        <v>104</v>
      </c>
      <c r="E2843" t="s">
        <v>112</v>
      </c>
      <c r="F2843" t="s">
        <v>21</v>
      </c>
      <c r="G2843" t="s">
        <v>3870</v>
      </c>
      <c r="H2843">
        <v>0</v>
      </c>
      <c r="I2843">
        <v>1</v>
      </c>
      <c r="J2843">
        <v>0</v>
      </c>
      <c r="K2843">
        <v>0</v>
      </c>
      <c r="L2843">
        <v>0</v>
      </c>
    </row>
    <row r="2844" spans="1:12">
      <c r="A2844" t="str">
        <f>HYPERLINK("http://bombeiros.sp.gov.br/hidrantes/03individual/3525.html","3525")</f>
        <v>3525</v>
      </c>
      <c r="B2844" t="str">
        <f>HYPERLINK("http://bombeiros.sp.gov.br/hidrantes/08bsg/qrcodeBSG.html?id=3525&amp;lat=-23.48150&amp;long=-46.59936&amp;tipo=S","QRCODE")</f>
        <v>QRCODE</v>
      </c>
      <c r="C2844" t="s">
        <v>5328</v>
      </c>
      <c r="D2844" t="s">
        <v>104</v>
      </c>
      <c r="E2844" t="s">
        <v>112</v>
      </c>
      <c r="F2844" t="s">
        <v>21</v>
      </c>
      <c r="G2844" t="s">
        <v>726</v>
      </c>
      <c r="H2844">
        <v>1</v>
      </c>
      <c r="I2844">
        <v>3</v>
      </c>
      <c r="J2844">
        <v>0</v>
      </c>
      <c r="K2844">
        <v>0</v>
      </c>
      <c r="L2844">
        <v>0</v>
      </c>
    </row>
    <row r="2845" spans="1:12">
      <c r="A2845" t="str">
        <f>HYPERLINK("http://bombeiros.sp.gov.br/hidrantes/03individual/3545.html","3545")</f>
        <v>3545</v>
      </c>
      <c r="B2845" t="str">
        <f>HYPERLINK("http://bombeiros.sp.gov.br/hidrantes/08bsg/qrcodeBSG.html?id=3545&amp;lat=-23.47852&amp;long=-46.60887&amp;tipo=S","QRCODE")</f>
        <v>QRCODE</v>
      </c>
      <c r="C2845" t="s">
        <v>5328</v>
      </c>
      <c r="D2845" t="s">
        <v>104</v>
      </c>
      <c r="E2845" t="s">
        <v>112</v>
      </c>
      <c r="F2845" t="s">
        <v>21</v>
      </c>
      <c r="G2845" t="s">
        <v>723</v>
      </c>
      <c r="H2845">
        <v>0</v>
      </c>
      <c r="I2845">
        <v>2</v>
      </c>
      <c r="J2845">
        <v>0</v>
      </c>
      <c r="K2845">
        <v>0</v>
      </c>
      <c r="L2845">
        <v>0</v>
      </c>
    </row>
    <row r="2846" spans="1:12">
      <c r="A2846" t="str">
        <f>HYPERLINK("http://bombeiros.sp.gov.br/hidrantes/03individual/3778.html","3778")</f>
        <v>3778</v>
      </c>
      <c r="B2846" t="str">
        <f>HYPERLINK("http://bombeiros.sp.gov.br/hidrantes/08bsg/qrcodeBSG.html?id=3778&amp;lat=-23.47204&amp;long=-46.60676&amp;tipo=S","QRCODE")</f>
        <v>QRCODE</v>
      </c>
      <c r="C2846" t="s">
        <v>5328</v>
      </c>
      <c r="D2846" t="s">
        <v>104</v>
      </c>
      <c r="E2846" t="s">
        <v>112</v>
      </c>
      <c r="F2846" t="s">
        <v>21</v>
      </c>
      <c r="G2846" t="s">
        <v>708</v>
      </c>
      <c r="H2846">
        <v>1</v>
      </c>
      <c r="I2846">
        <v>1</v>
      </c>
      <c r="J2846">
        <v>0</v>
      </c>
      <c r="K2846">
        <v>0</v>
      </c>
      <c r="L2846">
        <v>0</v>
      </c>
    </row>
    <row r="2847" spans="1:12">
      <c r="A2847" t="str">
        <f>HYPERLINK("http://bombeiros.sp.gov.br/hidrantes/03individual/17660.html","17660")</f>
        <v>17660</v>
      </c>
      <c r="B2847" t="str">
        <f>HYPERLINK("http://bombeiros.sp.gov.br/hidrantes/08bsg/qrcodeBSG.html?id=17660&amp;lat=-23.46669&amp;long=-46.60366&amp;tipo=S","QRCODE")</f>
        <v>QRCODE</v>
      </c>
      <c r="C2847" t="s">
        <v>5328</v>
      </c>
      <c r="D2847" t="s">
        <v>104</v>
      </c>
      <c r="E2847" t="s">
        <v>112</v>
      </c>
      <c r="F2847" t="s">
        <v>21</v>
      </c>
      <c r="G2847" t="s">
        <v>242</v>
      </c>
      <c r="H2847">
        <v>1</v>
      </c>
      <c r="I2847">
        <v>3</v>
      </c>
      <c r="J2847">
        <v>0</v>
      </c>
      <c r="K2847">
        <v>0</v>
      </c>
      <c r="L2847">
        <v>0</v>
      </c>
    </row>
    <row r="2848" spans="1:12">
      <c r="A2848" t="str">
        <f>HYPERLINK("http://bombeiros.sp.gov.br/hidrantes/03individual/2865.html","2865")</f>
        <v>2865</v>
      </c>
      <c r="B2848" t="str">
        <f>HYPERLINK("http://bombeiros.sp.gov.br/hidrantes/08bsg/qrcodeBSG.html?id=2865&amp;lat=-23.51404&amp;long=-46.60860&amp;tipo=S","QRCODE")</f>
        <v>QRCODE</v>
      </c>
      <c r="C2848" t="s">
        <v>5328</v>
      </c>
      <c r="D2848" t="s">
        <v>1998</v>
      </c>
      <c r="E2848" t="s">
        <v>2000</v>
      </c>
      <c r="F2848" t="s">
        <v>21</v>
      </c>
      <c r="G2848" t="s">
        <v>1999</v>
      </c>
      <c r="H2848">
        <v>0</v>
      </c>
      <c r="I2848">
        <v>2</v>
      </c>
      <c r="J2848">
        <v>0</v>
      </c>
      <c r="K2848">
        <v>0</v>
      </c>
      <c r="L2848">
        <v>0</v>
      </c>
    </row>
    <row r="2849" spans="1:12">
      <c r="A2849" t="str">
        <f>HYPERLINK("http://bombeiros.sp.gov.br/hidrantes/03individual/25213.html","25213")</f>
        <v>25213</v>
      </c>
      <c r="B2849" t="str">
        <f>HYPERLINK("http://bombeiros.sp.gov.br/hidrantes/08bsg/qrcodeBSG.html?id=25213&amp;lat=-23.51604&amp;long=-46.61334&amp;tipo=S","QRCODE")</f>
        <v>QRCODE</v>
      </c>
      <c r="C2849" t="s">
        <v>5328</v>
      </c>
      <c r="D2849" t="s">
        <v>1998</v>
      </c>
      <c r="E2849" t="s">
        <v>2000</v>
      </c>
      <c r="F2849" t="s">
        <v>21</v>
      </c>
      <c r="G2849" t="s">
        <v>4189</v>
      </c>
      <c r="H2849">
        <v>0</v>
      </c>
      <c r="I2849">
        <v>1</v>
      </c>
      <c r="J2849">
        <v>0</v>
      </c>
      <c r="K2849">
        <v>0</v>
      </c>
      <c r="L2849">
        <v>0</v>
      </c>
    </row>
    <row r="2850" spans="1:12">
      <c r="A2850" t="str">
        <f>HYPERLINK("http://bombeiros.sp.gov.br/hidrantes/03individual/2870.html","2870")</f>
        <v>2870</v>
      </c>
      <c r="B2850" t="str">
        <f>HYPERLINK("http://bombeiros.sp.gov.br/hidrantes/08bsg/qrcodeBSG.html?id=2870&amp;lat=-23.51784&amp;long=-46.60525&amp;tipo=C","QRCODE")</f>
        <v>QRCODE</v>
      </c>
      <c r="C2850" t="s">
        <v>5328</v>
      </c>
      <c r="D2850" t="s">
        <v>1998</v>
      </c>
      <c r="E2850" t="s">
        <v>1998</v>
      </c>
      <c r="F2850" t="s">
        <v>12</v>
      </c>
      <c r="G2850" t="s">
        <v>2001</v>
      </c>
      <c r="H2850">
        <v>0</v>
      </c>
      <c r="I2850">
        <v>2</v>
      </c>
      <c r="J2850">
        <v>0</v>
      </c>
      <c r="K2850">
        <v>0</v>
      </c>
      <c r="L2850">
        <v>0</v>
      </c>
    </row>
    <row r="2851" spans="1:12">
      <c r="A2851" t="str">
        <f>HYPERLINK("http://bombeiros.sp.gov.br/hidrantes/03individual/2871.html","2871")</f>
        <v>2871</v>
      </c>
      <c r="B2851" t="str">
        <f>HYPERLINK("http://bombeiros.sp.gov.br/hidrantes/08bsg/qrcodeBSG.html?id=2871&amp;lat=-23.51212&amp;long=-46.60606&amp;tipo=C","QRCODE")</f>
        <v>QRCODE</v>
      </c>
      <c r="C2851" t="s">
        <v>5328</v>
      </c>
      <c r="D2851" t="s">
        <v>1998</v>
      </c>
      <c r="E2851" t="s">
        <v>1998</v>
      </c>
      <c r="F2851" t="s">
        <v>12</v>
      </c>
      <c r="G2851" t="s">
        <v>4825</v>
      </c>
      <c r="H2851">
        <v>1</v>
      </c>
      <c r="I2851">
        <v>1</v>
      </c>
      <c r="J2851">
        <v>0</v>
      </c>
      <c r="K2851">
        <v>0</v>
      </c>
      <c r="L2851">
        <v>0</v>
      </c>
    </row>
    <row r="2852" spans="1:12">
      <c r="A2852" t="str">
        <f>HYPERLINK("http://bombeiros.sp.gov.br/hidrantes/03individual/3051.html","3051")</f>
        <v>3051</v>
      </c>
      <c r="B2852" t="str">
        <f>HYPERLINK("http://bombeiros.sp.gov.br/hidrantes/08bsg/qrcodeBSG.html?id=3051&amp;lat=-23.51730&amp;long=-46.59666&amp;tipo=C","QRCODE")</f>
        <v>QRCODE</v>
      </c>
      <c r="C2852" t="s">
        <v>5328</v>
      </c>
      <c r="D2852" t="s">
        <v>1998</v>
      </c>
      <c r="E2852" t="s">
        <v>1998</v>
      </c>
      <c r="F2852" t="s">
        <v>12</v>
      </c>
      <c r="G2852" t="s">
        <v>4958</v>
      </c>
      <c r="H2852">
        <v>0</v>
      </c>
      <c r="I2852">
        <v>1</v>
      </c>
      <c r="J2852">
        <v>0</v>
      </c>
      <c r="K2852">
        <v>0</v>
      </c>
      <c r="L2852">
        <v>0</v>
      </c>
    </row>
    <row r="2853" spans="1:12">
      <c r="A2853" t="str">
        <f>HYPERLINK("http://bombeiros.sp.gov.br/hidrantes/03individual/2860.html","2860")</f>
        <v>2860</v>
      </c>
      <c r="B2853" t="str">
        <f>HYPERLINK("http://bombeiros.sp.gov.br/hidrantes/08bsg/qrcodeBSG.html?id=2860&amp;lat=-23.52046&amp;long=-46.60716&amp;tipo=S","QRCODE")</f>
        <v>QRCODE</v>
      </c>
      <c r="C2853" t="s">
        <v>5328</v>
      </c>
      <c r="D2853" t="s">
        <v>1998</v>
      </c>
      <c r="E2853" t="s">
        <v>1998</v>
      </c>
      <c r="F2853" t="s">
        <v>21</v>
      </c>
      <c r="G2853" t="s">
        <v>1997</v>
      </c>
      <c r="H2853">
        <v>1</v>
      </c>
      <c r="I2853">
        <v>2</v>
      </c>
      <c r="J2853">
        <v>0</v>
      </c>
      <c r="K2853">
        <v>0</v>
      </c>
      <c r="L2853">
        <v>0</v>
      </c>
    </row>
    <row r="2854" spans="1:12">
      <c r="A2854" t="str">
        <f>HYPERLINK("http://bombeiros.sp.gov.br/hidrantes/03individual/2827.html","2827")</f>
        <v>2827</v>
      </c>
      <c r="B2854" t="str">
        <f>HYPERLINK("http://bombeiros.sp.gov.br/hidrantes/08bsg/qrcodeBSG.html?id=2827&amp;lat=-23.50204&amp;long=-46.61131&amp;tipo=C","QRCODE")</f>
        <v>QRCODE</v>
      </c>
      <c r="C2854" t="s">
        <v>5328</v>
      </c>
      <c r="D2854" t="s">
        <v>1998</v>
      </c>
      <c r="E2854" t="s">
        <v>802</v>
      </c>
      <c r="F2854" t="s">
        <v>12</v>
      </c>
      <c r="G2854" t="s">
        <v>2002</v>
      </c>
      <c r="H2854">
        <v>1</v>
      </c>
      <c r="I2854">
        <v>2</v>
      </c>
      <c r="J2854">
        <v>0</v>
      </c>
      <c r="K2854">
        <v>0</v>
      </c>
      <c r="L2854">
        <v>0</v>
      </c>
    </row>
    <row r="2855" spans="1:12">
      <c r="A2855" t="str">
        <f>HYPERLINK("http://bombeiros.sp.gov.br/hidrantes/03individual/16546.html","16546")</f>
        <v>16546</v>
      </c>
      <c r="B2855" t="str">
        <f>HYPERLINK("http://bombeiros.sp.gov.br/hidrantes/08bsg/qrcodeBSG.html?id=16546&amp;lat=-23.50194&amp;long=-46.61404&amp;tipo=C","QRCODE")</f>
        <v>QRCODE</v>
      </c>
      <c r="C2855" t="s">
        <v>5328</v>
      </c>
      <c r="D2855" t="s">
        <v>1998</v>
      </c>
      <c r="E2855" t="s">
        <v>802</v>
      </c>
      <c r="F2855" t="s">
        <v>12</v>
      </c>
      <c r="G2855" t="s">
        <v>1318</v>
      </c>
      <c r="H2855">
        <v>1</v>
      </c>
      <c r="I2855">
        <v>3</v>
      </c>
      <c r="J2855">
        <v>0</v>
      </c>
      <c r="K2855">
        <v>0</v>
      </c>
      <c r="L2855">
        <v>0</v>
      </c>
    </row>
    <row r="2856" spans="1:12">
      <c r="A2856" t="str">
        <f>HYPERLINK("http://bombeiros.sp.gov.br/hidrantes/03individual/513.html","513")</f>
        <v>513</v>
      </c>
      <c r="B2856" t="str">
        <f>HYPERLINK("http://bombeiros.sp.gov.br/hidrantes/08bsg/qrcodeBSG.html?id=513&amp;lat=-23.50001&amp;long=-46.60653&amp;tipo=S","QRCODE")</f>
        <v>QRCODE</v>
      </c>
      <c r="C2856" t="s">
        <v>5328</v>
      </c>
      <c r="D2856" t="s">
        <v>1998</v>
      </c>
      <c r="E2856" t="s">
        <v>802</v>
      </c>
      <c r="F2856" t="s">
        <v>21</v>
      </c>
      <c r="G2856" t="s">
        <v>2084</v>
      </c>
      <c r="H2856">
        <v>0</v>
      </c>
      <c r="I2856">
        <v>2</v>
      </c>
      <c r="J2856">
        <v>0</v>
      </c>
      <c r="K2856">
        <v>0</v>
      </c>
      <c r="L2856">
        <v>0</v>
      </c>
    </row>
    <row r="2857" spans="1:12">
      <c r="A2857" t="str">
        <f>HYPERLINK("http://bombeiros.sp.gov.br/hidrantes/03individual/514.html","514")</f>
        <v>514</v>
      </c>
      <c r="B2857" t="str">
        <f>HYPERLINK("http://bombeiros.sp.gov.br/hidrantes/08bsg/qrcodeBSG.html?id=514&amp;lat=-23.50094&amp;long=-46.60364&amp;tipo=S","QRCODE")</f>
        <v>QRCODE</v>
      </c>
      <c r="C2857" t="s">
        <v>5328</v>
      </c>
      <c r="D2857" t="s">
        <v>1998</v>
      </c>
      <c r="E2857" t="s">
        <v>802</v>
      </c>
      <c r="F2857" t="s">
        <v>21</v>
      </c>
      <c r="G2857" t="s">
        <v>4588</v>
      </c>
      <c r="H2857">
        <v>2</v>
      </c>
      <c r="I2857">
        <v>1</v>
      </c>
      <c r="J2857">
        <v>0</v>
      </c>
      <c r="K2857">
        <v>0</v>
      </c>
      <c r="L2857">
        <v>0</v>
      </c>
    </row>
    <row r="2858" spans="1:12">
      <c r="A2858" t="str">
        <f>HYPERLINK("http://bombeiros.sp.gov.br/hidrantes/03individual/515.html","515")</f>
        <v>515</v>
      </c>
      <c r="B2858" t="str">
        <f>HYPERLINK("http://bombeiros.sp.gov.br/hidrantes/08bsg/qrcodeBSG.html?id=515&amp;lat=-23.50136&amp;long=-46.60237&amp;tipo=S","QRCODE")</f>
        <v>QRCODE</v>
      </c>
      <c r="C2858" t="s">
        <v>5328</v>
      </c>
      <c r="D2858" t="s">
        <v>1998</v>
      </c>
      <c r="E2858" t="s">
        <v>802</v>
      </c>
      <c r="F2858" t="s">
        <v>21</v>
      </c>
      <c r="G2858" t="s">
        <v>837</v>
      </c>
      <c r="H2858">
        <v>1</v>
      </c>
      <c r="I2858">
        <v>2</v>
      </c>
      <c r="J2858">
        <v>0</v>
      </c>
      <c r="K2858">
        <v>0</v>
      </c>
      <c r="L2858">
        <v>0</v>
      </c>
    </row>
    <row r="2859" spans="1:12">
      <c r="A2859" t="str">
        <f>HYPERLINK("http://bombeiros.sp.gov.br/hidrantes/03individual/516.html","516")</f>
        <v>516</v>
      </c>
      <c r="B2859" t="str">
        <f>HYPERLINK("http://bombeiros.sp.gov.br/hidrantes/08bsg/qrcodeBSG.html?id=516&amp;lat=-23.50343&amp;long=-46.60887&amp;tipo=S","QRCODE")</f>
        <v>QRCODE</v>
      </c>
      <c r="C2859" t="s">
        <v>5328</v>
      </c>
      <c r="D2859" t="s">
        <v>1998</v>
      </c>
      <c r="E2859" t="s">
        <v>802</v>
      </c>
      <c r="F2859" t="s">
        <v>21</v>
      </c>
      <c r="G2859" t="s">
        <v>4365</v>
      </c>
      <c r="H2859">
        <v>0</v>
      </c>
      <c r="I2859">
        <v>2</v>
      </c>
      <c r="J2859">
        <v>0</v>
      </c>
      <c r="K2859">
        <v>0</v>
      </c>
      <c r="L2859">
        <v>0</v>
      </c>
    </row>
    <row r="2860" spans="1:12">
      <c r="A2860" t="str">
        <f>HYPERLINK("http://bombeiros.sp.gov.br/hidrantes/03individual/531.html","531")</f>
        <v>531</v>
      </c>
      <c r="B2860" t="str">
        <f>HYPERLINK("http://bombeiros.sp.gov.br/hidrantes/08bsg/qrcodeBSG.html?id=531&amp;lat=-23.50325&amp;long=-46.60439&amp;tipo=S","QRCODE")</f>
        <v>QRCODE</v>
      </c>
      <c r="C2860" t="s">
        <v>5328</v>
      </c>
      <c r="D2860" t="s">
        <v>1998</v>
      </c>
      <c r="E2860" t="s">
        <v>802</v>
      </c>
      <c r="F2860" t="s">
        <v>21</v>
      </c>
      <c r="G2860" t="s">
        <v>4355</v>
      </c>
      <c r="H2860">
        <v>0</v>
      </c>
      <c r="I2860">
        <v>2</v>
      </c>
      <c r="J2860">
        <v>0</v>
      </c>
      <c r="K2860">
        <v>0</v>
      </c>
      <c r="L2860">
        <v>0</v>
      </c>
    </row>
    <row r="2861" spans="1:12">
      <c r="A2861" t="str">
        <f>HYPERLINK("http://bombeiros.sp.gov.br/hidrantes/03individual/543.html","543")</f>
        <v>543</v>
      </c>
      <c r="B2861" t="str">
        <f>HYPERLINK("http://bombeiros.sp.gov.br/hidrantes/08bsg/qrcodeBSG.html?id=543&amp;lat=-23.50653&amp;long=-46.60474&amp;tipo=S","QRCODE")</f>
        <v>QRCODE</v>
      </c>
      <c r="C2861" t="s">
        <v>5328</v>
      </c>
      <c r="D2861" t="s">
        <v>1998</v>
      </c>
      <c r="E2861" t="s">
        <v>802</v>
      </c>
      <c r="F2861" t="s">
        <v>21</v>
      </c>
      <c r="G2861" t="s">
        <v>4353</v>
      </c>
      <c r="H2861">
        <v>0</v>
      </c>
      <c r="I2861">
        <v>2</v>
      </c>
      <c r="J2861">
        <v>0</v>
      </c>
      <c r="K2861">
        <v>0</v>
      </c>
      <c r="L2861">
        <v>0</v>
      </c>
    </row>
    <row r="2862" spans="1:12">
      <c r="A2862" t="str">
        <f>HYPERLINK("http://bombeiros.sp.gov.br/hidrantes/03individual/547.html","547")</f>
        <v>547</v>
      </c>
      <c r="B2862" t="str">
        <f>HYPERLINK("http://bombeiros.sp.gov.br/hidrantes/08bsg/qrcodeBSG.html?id=547&amp;lat=-23.50728&amp;long=-46.60139&amp;tipo=S","QRCODE")</f>
        <v>QRCODE</v>
      </c>
      <c r="C2862" t="s">
        <v>5328</v>
      </c>
      <c r="D2862" t="s">
        <v>1998</v>
      </c>
      <c r="E2862" t="s">
        <v>802</v>
      </c>
      <c r="F2862" t="s">
        <v>21</v>
      </c>
      <c r="G2862" t="s">
        <v>4352</v>
      </c>
      <c r="H2862">
        <v>0</v>
      </c>
      <c r="I2862">
        <v>2</v>
      </c>
      <c r="J2862">
        <v>0</v>
      </c>
      <c r="K2862">
        <v>0</v>
      </c>
      <c r="L2862">
        <v>0</v>
      </c>
    </row>
    <row r="2863" spans="1:12">
      <c r="A2863" t="str">
        <f>HYPERLINK("http://bombeiros.sp.gov.br/hidrantes/03individual/634.html","634")</f>
        <v>634</v>
      </c>
      <c r="B2863" t="str">
        <f>HYPERLINK("http://bombeiros.sp.gov.br/hidrantes/08bsg/qrcodeBSG.html?id=634&amp;lat=-23.50298&amp;long=-46.59663&amp;tipo=S","QRCODE")</f>
        <v>QRCODE</v>
      </c>
      <c r="C2863" t="s">
        <v>5328</v>
      </c>
      <c r="D2863" t="s">
        <v>1998</v>
      </c>
      <c r="E2863" t="s">
        <v>802</v>
      </c>
      <c r="F2863" t="s">
        <v>21</v>
      </c>
      <c r="G2863" t="s">
        <v>4593</v>
      </c>
      <c r="H2863">
        <v>1</v>
      </c>
      <c r="I2863">
        <v>1</v>
      </c>
      <c r="J2863">
        <v>0</v>
      </c>
      <c r="K2863">
        <v>0</v>
      </c>
      <c r="L2863">
        <v>0</v>
      </c>
    </row>
    <row r="2864" spans="1:12">
      <c r="A2864" t="str">
        <f>HYPERLINK("http://bombeiros.sp.gov.br/hidrantes/03individual/635.html","635")</f>
        <v>635</v>
      </c>
      <c r="B2864" t="str">
        <f>HYPERLINK("http://bombeiros.sp.gov.br/hidrantes/08bsg/qrcodeBSG.html?id=635&amp;lat=-23.49897&amp;long=-46.59980&amp;tipo=S","QRCODE")</f>
        <v>QRCODE</v>
      </c>
      <c r="C2864" t="s">
        <v>5328</v>
      </c>
      <c r="D2864" t="s">
        <v>1998</v>
      </c>
      <c r="E2864" t="s">
        <v>802</v>
      </c>
      <c r="F2864" t="s">
        <v>21</v>
      </c>
      <c r="G2864" t="s">
        <v>4594</v>
      </c>
      <c r="H2864">
        <v>0</v>
      </c>
      <c r="I2864">
        <v>3</v>
      </c>
      <c r="J2864">
        <v>0</v>
      </c>
      <c r="K2864">
        <v>0</v>
      </c>
      <c r="L2864">
        <v>0</v>
      </c>
    </row>
    <row r="2865" spans="1:12">
      <c r="A2865" t="str">
        <f>HYPERLINK("http://bombeiros.sp.gov.br/hidrantes/03individual/643.html","643")</f>
        <v>643</v>
      </c>
      <c r="B2865" t="str">
        <f>HYPERLINK("http://bombeiros.sp.gov.br/hidrantes/08bsg/qrcodeBSG.html?id=643&amp;lat=-23.49840&amp;long=-46.60960&amp;tipo=S","QRCODE")</f>
        <v>QRCODE</v>
      </c>
      <c r="C2865" t="s">
        <v>5328</v>
      </c>
      <c r="D2865" t="s">
        <v>1998</v>
      </c>
      <c r="E2865" t="s">
        <v>802</v>
      </c>
      <c r="F2865" t="s">
        <v>21</v>
      </c>
      <c r="G2865" t="s">
        <v>4357</v>
      </c>
      <c r="H2865">
        <v>0</v>
      </c>
      <c r="I2865">
        <v>2</v>
      </c>
      <c r="J2865">
        <v>0</v>
      </c>
      <c r="K2865">
        <v>0</v>
      </c>
      <c r="L2865">
        <v>0</v>
      </c>
    </row>
    <row r="2866" spans="1:12">
      <c r="A2866" t="str">
        <f>HYPERLINK("http://bombeiros.sp.gov.br/hidrantes/03individual/644.html","644")</f>
        <v>644</v>
      </c>
      <c r="B2866" t="str">
        <f>HYPERLINK("http://bombeiros.sp.gov.br/hidrantes/08bsg/qrcodeBSG.html?id=644&amp;lat=-23.49900&amp;long=-46.60480&amp;tipo=S","QRCODE")</f>
        <v>QRCODE</v>
      </c>
      <c r="C2866" t="s">
        <v>5328</v>
      </c>
      <c r="D2866" t="s">
        <v>1998</v>
      </c>
      <c r="E2866" t="s">
        <v>802</v>
      </c>
      <c r="F2866" t="s">
        <v>21</v>
      </c>
      <c r="G2866" t="s">
        <v>1238</v>
      </c>
      <c r="H2866">
        <v>0</v>
      </c>
      <c r="I2866">
        <v>2</v>
      </c>
      <c r="J2866">
        <v>0</v>
      </c>
      <c r="K2866">
        <v>0</v>
      </c>
      <c r="L2866">
        <v>0</v>
      </c>
    </row>
    <row r="2867" spans="1:12">
      <c r="A2867" t="str">
        <f>HYPERLINK("http://bombeiros.sp.gov.br/hidrantes/03individual/667.html","667")</f>
        <v>667</v>
      </c>
      <c r="B2867" t="str">
        <f>HYPERLINK("http://bombeiros.sp.gov.br/hidrantes/08bsg/qrcodeBSG.html?id=667&amp;lat=-23.49848&amp;long=-46.60753&amp;tipo=S","QRCODE")</f>
        <v>QRCODE</v>
      </c>
      <c r="C2867" t="s">
        <v>5328</v>
      </c>
      <c r="D2867" t="s">
        <v>1998</v>
      </c>
      <c r="E2867" t="s">
        <v>802</v>
      </c>
      <c r="F2867" t="s">
        <v>21</v>
      </c>
      <c r="G2867" t="s">
        <v>808</v>
      </c>
      <c r="H2867">
        <v>0</v>
      </c>
      <c r="I2867">
        <v>2</v>
      </c>
      <c r="J2867">
        <v>0</v>
      </c>
      <c r="K2867">
        <v>0</v>
      </c>
      <c r="L2867">
        <v>0</v>
      </c>
    </row>
    <row r="2868" spans="1:12">
      <c r="A2868" t="str">
        <f>HYPERLINK("http://bombeiros.sp.gov.br/hidrantes/03individual/668.html","668")</f>
        <v>668</v>
      </c>
      <c r="B2868" t="str">
        <f>HYPERLINK("http://bombeiros.sp.gov.br/hidrantes/08bsg/qrcodeBSG.html?id=668&amp;lat=-23.50393&amp;long=-46.61078&amp;tipo=S","QRCODE")</f>
        <v>QRCODE</v>
      </c>
      <c r="C2868" t="s">
        <v>5328</v>
      </c>
      <c r="D2868" t="s">
        <v>1998</v>
      </c>
      <c r="E2868" t="s">
        <v>802</v>
      </c>
      <c r="F2868" t="s">
        <v>21</v>
      </c>
      <c r="G2868" t="s">
        <v>1961</v>
      </c>
      <c r="H2868">
        <v>0</v>
      </c>
      <c r="I2868">
        <v>2</v>
      </c>
      <c r="J2868">
        <v>0</v>
      </c>
      <c r="K2868">
        <v>0</v>
      </c>
      <c r="L2868">
        <v>0</v>
      </c>
    </row>
    <row r="2869" spans="1:12">
      <c r="A2869" t="str">
        <f>HYPERLINK("http://bombeiros.sp.gov.br/hidrantes/03individual/746.html","746")</f>
        <v>746</v>
      </c>
      <c r="B2869" t="str">
        <f>HYPERLINK("http://bombeiros.sp.gov.br/hidrantes/08bsg/qrcodeBSG.html?id=746&amp;lat=-23.49756&amp;long=-46.60219&amp;tipo=S","QRCODE")</f>
        <v>QRCODE</v>
      </c>
      <c r="C2869" t="s">
        <v>5328</v>
      </c>
      <c r="D2869" t="s">
        <v>1998</v>
      </c>
      <c r="E2869" t="s">
        <v>802</v>
      </c>
      <c r="F2869" t="s">
        <v>21</v>
      </c>
      <c r="G2869" t="s">
        <v>2062</v>
      </c>
      <c r="H2869">
        <v>0</v>
      </c>
      <c r="I2869">
        <v>2</v>
      </c>
      <c r="J2869">
        <v>0</v>
      </c>
      <c r="K2869">
        <v>0</v>
      </c>
      <c r="L2869">
        <v>0</v>
      </c>
    </row>
    <row r="2870" spans="1:12">
      <c r="A2870" t="str">
        <f>HYPERLINK("http://bombeiros.sp.gov.br/hidrantes/03individual/819.html","819")</f>
        <v>819</v>
      </c>
      <c r="B2870" t="str">
        <f>HYPERLINK("http://bombeiros.sp.gov.br/hidrantes/08bsg/qrcodeBSG.html?id=819&amp;lat=-23.50687&amp;long=-46.60653&amp;tipo=S","QRCODE")</f>
        <v>QRCODE</v>
      </c>
      <c r="C2870" t="s">
        <v>5328</v>
      </c>
      <c r="D2870" t="s">
        <v>1998</v>
      </c>
      <c r="E2870" t="s">
        <v>802</v>
      </c>
      <c r="F2870" t="s">
        <v>21</v>
      </c>
      <c r="G2870" t="s">
        <v>4360</v>
      </c>
      <c r="H2870">
        <v>0</v>
      </c>
      <c r="I2870">
        <v>2</v>
      </c>
      <c r="J2870">
        <v>0</v>
      </c>
      <c r="K2870">
        <v>0</v>
      </c>
      <c r="L2870">
        <v>0</v>
      </c>
    </row>
    <row r="2871" spans="1:12">
      <c r="A2871" t="str">
        <f>HYPERLINK("http://bombeiros.sp.gov.br/hidrantes/03individual/825.html","825")</f>
        <v>825</v>
      </c>
      <c r="B2871" t="str">
        <f>HYPERLINK("http://bombeiros.sp.gov.br/hidrantes/08bsg/qrcodeBSG.html?id=825&amp;lat=-23.49662&amp;long=-46.61039&amp;tipo=S","QRCODE")</f>
        <v>QRCODE</v>
      </c>
      <c r="C2871" t="s">
        <v>5328</v>
      </c>
      <c r="D2871" t="s">
        <v>1998</v>
      </c>
      <c r="E2871" t="s">
        <v>802</v>
      </c>
      <c r="F2871" t="s">
        <v>21</v>
      </c>
      <c r="G2871" t="s">
        <v>801</v>
      </c>
      <c r="H2871">
        <v>1</v>
      </c>
      <c r="I2871">
        <v>2</v>
      </c>
      <c r="J2871">
        <v>0</v>
      </c>
      <c r="K2871">
        <v>0</v>
      </c>
      <c r="L2871">
        <v>0</v>
      </c>
    </row>
    <row r="2872" spans="1:12">
      <c r="A2872" t="str">
        <f>HYPERLINK("http://bombeiros.sp.gov.br/hidrantes/03individual/894.html","894")</f>
        <v>894</v>
      </c>
      <c r="B2872" t="str">
        <f>HYPERLINK("http://bombeiros.sp.gov.br/hidrantes/08bsg/qrcodeBSG.html?id=894&amp;lat=-23.50116&amp;long=-46.60953&amp;tipo=S","QRCODE")</f>
        <v>QRCODE</v>
      </c>
      <c r="C2872" t="s">
        <v>5328</v>
      </c>
      <c r="D2872" t="s">
        <v>1998</v>
      </c>
      <c r="E2872" t="s">
        <v>802</v>
      </c>
      <c r="F2872" t="s">
        <v>21</v>
      </c>
      <c r="G2872" t="s">
        <v>4363</v>
      </c>
      <c r="H2872">
        <v>0</v>
      </c>
      <c r="I2872">
        <v>2</v>
      </c>
      <c r="J2872">
        <v>0</v>
      </c>
      <c r="K2872">
        <v>0</v>
      </c>
      <c r="L2872">
        <v>0</v>
      </c>
    </row>
    <row r="2873" spans="1:12">
      <c r="A2873" t="str">
        <f>HYPERLINK("http://bombeiros.sp.gov.br/hidrantes/03individual/912.html","912")</f>
        <v>912</v>
      </c>
      <c r="B2873" t="str">
        <f>HYPERLINK("http://bombeiros.sp.gov.br/hidrantes/08bsg/qrcodeBSG.html?id=912&amp;lat=-23.51026&amp;long=-46.60607&amp;tipo=S","QRCODE")</f>
        <v>QRCODE</v>
      </c>
      <c r="C2873" t="s">
        <v>5328</v>
      </c>
      <c r="D2873" t="s">
        <v>1998</v>
      </c>
      <c r="E2873" t="s">
        <v>802</v>
      </c>
      <c r="F2873" t="s">
        <v>21</v>
      </c>
      <c r="G2873" t="s">
        <v>4362</v>
      </c>
      <c r="H2873">
        <v>0</v>
      </c>
      <c r="I2873">
        <v>2</v>
      </c>
      <c r="J2873">
        <v>0</v>
      </c>
      <c r="K2873">
        <v>0</v>
      </c>
      <c r="L2873">
        <v>0</v>
      </c>
    </row>
    <row r="2874" spans="1:12">
      <c r="A2874" t="str">
        <f>HYPERLINK("http://bombeiros.sp.gov.br/hidrantes/03individual/914.html","914")</f>
        <v>914</v>
      </c>
      <c r="B2874" t="str">
        <f>HYPERLINK("http://bombeiros.sp.gov.br/hidrantes/08bsg/qrcodeBSG.html?id=914&amp;lat=-23.49455&amp;long=-46.61032&amp;tipo=S","QRCODE")</f>
        <v>QRCODE</v>
      </c>
      <c r="C2874" t="s">
        <v>5328</v>
      </c>
      <c r="D2874" t="s">
        <v>1998</v>
      </c>
      <c r="E2874" t="s">
        <v>802</v>
      </c>
      <c r="F2874" t="s">
        <v>21</v>
      </c>
      <c r="G2874" t="s">
        <v>4372</v>
      </c>
      <c r="H2874">
        <v>0</v>
      </c>
      <c r="I2874">
        <v>2</v>
      </c>
      <c r="J2874">
        <v>0</v>
      </c>
      <c r="K2874">
        <v>0</v>
      </c>
      <c r="L2874">
        <v>0</v>
      </c>
    </row>
    <row r="2875" spans="1:12">
      <c r="A2875" t="str">
        <f>HYPERLINK("http://bombeiros.sp.gov.br/hidrantes/03individual/2845.html","2845")</f>
        <v>2845</v>
      </c>
      <c r="B2875" t="str">
        <f>HYPERLINK("http://bombeiros.sp.gov.br/hidrantes/08bsg/qrcodeBSG.html?id=2845&amp;lat=-23.50098&amp;long=-46.61008&amp;tipo=S","QRCODE")</f>
        <v>QRCODE</v>
      </c>
      <c r="C2875" t="s">
        <v>5328</v>
      </c>
      <c r="D2875" t="s">
        <v>1998</v>
      </c>
      <c r="E2875" t="s">
        <v>802</v>
      </c>
      <c r="F2875" t="s">
        <v>21</v>
      </c>
      <c r="G2875" t="s">
        <v>2023</v>
      </c>
      <c r="H2875">
        <v>0</v>
      </c>
      <c r="I2875">
        <v>2</v>
      </c>
      <c r="J2875">
        <v>0</v>
      </c>
      <c r="K2875">
        <v>0</v>
      </c>
      <c r="L2875">
        <v>0</v>
      </c>
    </row>
    <row r="2876" spans="1:12">
      <c r="A2876" t="str">
        <f>HYPERLINK("http://bombeiros.sp.gov.br/hidrantes/03individual/2855.html","2855")</f>
        <v>2855</v>
      </c>
      <c r="B2876" t="str">
        <f>HYPERLINK("http://bombeiros.sp.gov.br/hidrantes/08bsg/qrcodeBSG.html?id=2855&amp;lat=-23.50257&amp;long=-46.60690&amp;tipo=S","QRCODE")</f>
        <v>QRCODE</v>
      </c>
      <c r="C2876" t="s">
        <v>5328</v>
      </c>
      <c r="D2876" t="s">
        <v>1998</v>
      </c>
      <c r="E2876" t="s">
        <v>802</v>
      </c>
      <c r="F2876" t="s">
        <v>21</v>
      </c>
      <c r="G2876" t="s">
        <v>2891</v>
      </c>
      <c r="H2876">
        <v>0</v>
      </c>
      <c r="I2876">
        <v>2</v>
      </c>
      <c r="J2876">
        <v>0</v>
      </c>
      <c r="K2876">
        <v>0</v>
      </c>
      <c r="L2876">
        <v>0</v>
      </c>
    </row>
    <row r="2877" spans="1:12">
      <c r="A2877" t="str">
        <f>HYPERLINK("http://bombeiros.sp.gov.br/hidrantes/03individual/2875.html","2875")</f>
        <v>2875</v>
      </c>
      <c r="B2877" t="str">
        <f>HYPERLINK("http://bombeiros.sp.gov.br/hidrantes/08bsg/qrcodeBSG.html?id=2875&amp;lat=-23.50145&amp;long=-46.60027&amp;tipo=S","QRCODE")</f>
        <v>QRCODE</v>
      </c>
      <c r="C2877" t="s">
        <v>5328</v>
      </c>
      <c r="D2877" t="s">
        <v>1998</v>
      </c>
      <c r="E2877" t="s">
        <v>802</v>
      </c>
      <c r="F2877" t="s">
        <v>21</v>
      </c>
      <c r="G2877" t="s">
        <v>2785</v>
      </c>
      <c r="H2877">
        <v>0</v>
      </c>
      <c r="I2877">
        <v>2</v>
      </c>
      <c r="J2877">
        <v>0</v>
      </c>
      <c r="K2877">
        <v>0</v>
      </c>
      <c r="L2877">
        <v>0</v>
      </c>
    </row>
    <row r="2878" spans="1:12">
      <c r="A2878" t="str">
        <f>HYPERLINK("http://bombeiros.sp.gov.br/hidrantes/03individual/2877.html","2877")</f>
        <v>2877</v>
      </c>
      <c r="B2878" t="str">
        <f>HYPERLINK("http://bombeiros.sp.gov.br/hidrantes/08bsg/qrcodeBSG.html?id=2877&amp;lat=-23.50366&amp;long=-46.60113&amp;tipo=S","QRCODE")</f>
        <v>QRCODE</v>
      </c>
      <c r="C2878" t="s">
        <v>5328</v>
      </c>
      <c r="D2878" t="s">
        <v>1998</v>
      </c>
      <c r="E2878" t="s">
        <v>802</v>
      </c>
      <c r="F2878" t="s">
        <v>21</v>
      </c>
      <c r="G2878" t="s">
        <v>2878</v>
      </c>
      <c r="H2878">
        <v>0</v>
      </c>
      <c r="I2878">
        <v>2</v>
      </c>
      <c r="J2878">
        <v>0</v>
      </c>
      <c r="K2878">
        <v>0</v>
      </c>
      <c r="L2878">
        <v>0</v>
      </c>
    </row>
    <row r="2879" spans="1:12">
      <c r="A2879" t="str">
        <f>HYPERLINK("http://bombeiros.sp.gov.br/hidrantes/03individual/2879.html","2879")</f>
        <v>2879</v>
      </c>
      <c r="B2879" t="str">
        <f>HYPERLINK("http://bombeiros.sp.gov.br/hidrantes/08bsg/qrcodeBSG.html?id=2879&amp;lat=-23.50447&amp;long=-46.60276&amp;tipo=S","QRCODE")</f>
        <v>QRCODE</v>
      </c>
      <c r="C2879" t="s">
        <v>5328</v>
      </c>
      <c r="D2879" t="s">
        <v>1998</v>
      </c>
      <c r="E2879" t="s">
        <v>802</v>
      </c>
      <c r="F2879" t="s">
        <v>21</v>
      </c>
      <c r="G2879" t="s">
        <v>2880</v>
      </c>
      <c r="H2879">
        <v>0</v>
      </c>
      <c r="I2879">
        <v>2</v>
      </c>
      <c r="J2879">
        <v>0</v>
      </c>
      <c r="K2879">
        <v>0</v>
      </c>
      <c r="L2879">
        <v>0</v>
      </c>
    </row>
    <row r="2880" spans="1:12">
      <c r="A2880" t="str">
        <f>HYPERLINK("http://bombeiros.sp.gov.br/hidrantes/03individual/2880.html","2880")</f>
        <v>2880</v>
      </c>
      <c r="B2880" t="str">
        <f>HYPERLINK("http://bombeiros.sp.gov.br/hidrantes/08bsg/qrcodeBSG.html?id=2880&amp;lat=-23.50573&amp;long=-46.60440&amp;tipo=S","QRCODE")</f>
        <v>QRCODE</v>
      </c>
      <c r="C2880" t="s">
        <v>5328</v>
      </c>
      <c r="D2880" t="s">
        <v>1998</v>
      </c>
      <c r="E2880" t="s">
        <v>802</v>
      </c>
      <c r="F2880" t="s">
        <v>21</v>
      </c>
      <c r="G2880" t="s">
        <v>3497</v>
      </c>
      <c r="H2880">
        <v>0</v>
      </c>
      <c r="I2880">
        <v>1</v>
      </c>
      <c r="J2880">
        <v>0</v>
      </c>
      <c r="K2880">
        <v>0</v>
      </c>
      <c r="L2880">
        <v>0</v>
      </c>
    </row>
    <row r="2881" spans="1:12">
      <c r="A2881" t="str">
        <f>HYPERLINK("http://bombeiros.sp.gov.br/hidrantes/03individual/2884.html","2884")</f>
        <v>2884</v>
      </c>
      <c r="B2881" t="str">
        <f>HYPERLINK("http://bombeiros.sp.gov.br/hidrantes/08bsg/qrcodeBSG.html?id=2884&amp;lat=-23.50720&amp;long=-46.60043&amp;tipo=S","QRCODE")</f>
        <v>QRCODE</v>
      </c>
      <c r="C2881" t="s">
        <v>5328</v>
      </c>
      <c r="D2881" t="s">
        <v>1998</v>
      </c>
      <c r="E2881" t="s">
        <v>802</v>
      </c>
      <c r="F2881" t="s">
        <v>21</v>
      </c>
      <c r="G2881" t="s">
        <v>3169</v>
      </c>
      <c r="H2881">
        <v>1</v>
      </c>
      <c r="I2881">
        <v>1</v>
      </c>
      <c r="J2881">
        <v>0</v>
      </c>
      <c r="K2881">
        <v>0</v>
      </c>
      <c r="L2881">
        <v>0</v>
      </c>
    </row>
    <row r="2882" spans="1:12">
      <c r="A2882" t="str">
        <f>HYPERLINK("http://bombeiros.sp.gov.br/hidrantes/03individual/2887.html","2887")</f>
        <v>2887</v>
      </c>
      <c r="B2882" t="str">
        <f>HYPERLINK("http://bombeiros.sp.gov.br/hidrantes/08bsg/qrcodeBSG.html?id=2887&amp;lat=-23.50543&amp;long=-46.60078&amp;tipo=S","QRCODE")</f>
        <v>QRCODE</v>
      </c>
      <c r="C2882" t="s">
        <v>5328</v>
      </c>
      <c r="D2882" t="s">
        <v>1998</v>
      </c>
      <c r="E2882" t="s">
        <v>802</v>
      </c>
      <c r="F2882" t="s">
        <v>21</v>
      </c>
      <c r="G2882" t="s">
        <v>2882</v>
      </c>
      <c r="H2882">
        <v>0</v>
      </c>
      <c r="I2882">
        <v>2</v>
      </c>
      <c r="J2882">
        <v>0</v>
      </c>
      <c r="K2882">
        <v>0</v>
      </c>
      <c r="L2882">
        <v>0</v>
      </c>
    </row>
    <row r="2883" spans="1:12">
      <c r="A2883" t="str">
        <f>HYPERLINK("http://bombeiros.sp.gov.br/hidrantes/03individual/2960.html","2960")</f>
        <v>2960</v>
      </c>
      <c r="B2883" t="str">
        <f>HYPERLINK("http://bombeiros.sp.gov.br/hidrantes/08bsg/qrcodeBSG.html?id=2960&amp;lat=-23.50241&amp;long=-46.59382&amp;tipo=S","QRCODE")</f>
        <v>QRCODE</v>
      </c>
      <c r="C2883" t="s">
        <v>5328</v>
      </c>
      <c r="D2883" t="s">
        <v>1998</v>
      </c>
      <c r="E2883" t="s">
        <v>802</v>
      </c>
      <c r="F2883" t="s">
        <v>21</v>
      </c>
      <c r="G2883" t="s">
        <v>2782</v>
      </c>
      <c r="H2883">
        <v>0</v>
      </c>
      <c r="I2883">
        <v>2</v>
      </c>
      <c r="J2883">
        <v>0</v>
      </c>
      <c r="K2883">
        <v>0</v>
      </c>
      <c r="L2883">
        <v>0</v>
      </c>
    </row>
    <row r="2884" spans="1:12">
      <c r="A2884" t="str">
        <f>HYPERLINK("http://bombeiros.sp.gov.br/hidrantes/03individual/2989.html","2989")</f>
        <v>2989</v>
      </c>
      <c r="B2884" t="str">
        <f>HYPERLINK("http://bombeiros.sp.gov.br/hidrantes/08bsg/qrcodeBSG.html?id=2989&amp;lat=-23.50865&amp;long=-46.59991&amp;tipo=S","QRCODE")</f>
        <v>QRCODE</v>
      </c>
      <c r="C2884" t="s">
        <v>5328</v>
      </c>
      <c r="D2884" t="s">
        <v>1998</v>
      </c>
      <c r="E2884" t="s">
        <v>802</v>
      </c>
      <c r="F2884" t="s">
        <v>21</v>
      </c>
      <c r="G2884" t="s">
        <v>2885</v>
      </c>
      <c r="H2884">
        <v>0</v>
      </c>
      <c r="I2884">
        <v>2</v>
      </c>
      <c r="J2884">
        <v>0</v>
      </c>
      <c r="K2884">
        <v>0</v>
      </c>
      <c r="L2884">
        <v>0</v>
      </c>
    </row>
    <row r="2885" spans="1:12">
      <c r="A2885" t="str">
        <f>HYPERLINK("http://bombeiros.sp.gov.br/hidrantes/03individual/3894.html","3894")</f>
        <v>3894</v>
      </c>
      <c r="B2885" t="str">
        <f>HYPERLINK("http://bombeiros.sp.gov.br/hidrantes/08bsg/qrcodeBSG.html?id=3894&amp;lat=-23.49292&amp;long=-46.60420&amp;tipo=S","QRCODE")</f>
        <v>QRCODE</v>
      </c>
      <c r="C2885" t="s">
        <v>5328</v>
      </c>
      <c r="D2885" t="s">
        <v>1998</v>
      </c>
      <c r="E2885" t="s">
        <v>802</v>
      </c>
      <c r="F2885" t="s">
        <v>21</v>
      </c>
      <c r="G2885" t="s">
        <v>2029</v>
      </c>
      <c r="H2885">
        <v>0</v>
      </c>
      <c r="I2885">
        <v>2</v>
      </c>
      <c r="J2885">
        <v>0</v>
      </c>
      <c r="K2885">
        <v>0</v>
      </c>
      <c r="L2885">
        <v>0</v>
      </c>
    </row>
    <row r="2886" spans="1:12">
      <c r="A2886" t="str">
        <f>HYPERLINK("http://bombeiros.sp.gov.br/hidrantes/03individual/5246.html","5246")</f>
        <v>5246</v>
      </c>
      <c r="B2886" t="str">
        <f>HYPERLINK("http://bombeiros.sp.gov.br/hidrantes/08bsg/qrcodeBSG.html?id=5246&amp;lat=-23.49811&amp;long=-46.60585&amp;tipo=S","QRCODE")</f>
        <v>QRCODE</v>
      </c>
      <c r="C2886" t="s">
        <v>5328</v>
      </c>
      <c r="D2886" t="s">
        <v>1998</v>
      </c>
      <c r="E2886" t="s">
        <v>802</v>
      </c>
      <c r="F2886" t="s">
        <v>21</v>
      </c>
      <c r="G2886" t="s">
        <v>3163</v>
      </c>
      <c r="H2886">
        <v>1</v>
      </c>
      <c r="I2886">
        <v>1</v>
      </c>
      <c r="J2886">
        <v>0</v>
      </c>
      <c r="K2886">
        <v>0</v>
      </c>
      <c r="L2886">
        <v>0</v>
      </c>
    </row>
    <row r="2887" spans="1:12">
      <c r="A2887" t="str">
        <f>HYPERLINK("http://bombeiros.sp.gov.br/hidrantes/03individual/5247.html","5247")</f>
        <v>5247</v>
      </c>
      <c r="B2887" t="str">
        <f>HYPERLINK("http://bombeiros.sp.gov.br/hidrantes/08bsg/qrcodeBSG.html?id=5247&amp;lat=-23.49869&amp;long=-46.60350&amp;tipo=S","QRCODE")</f>
        <v>QRCODE</v>
      </c>
      <c r="C2887" t="s">
        <v>5328</v>
      </c>
      <c r="D2887" t="s">
        <v>1998</v>
      </c>
      <c r="E2887" t="s">
        <v>802</v>
      </c>
      <c r="F2887" t="s">
        <v>21</v>
      </c>
      <c r="G2887" t="s">
        <v>2790</v>
      </c>
      <c r="H2887">
        <v>0</v>
      </c>
      <c r="I2887">
        <v>2</v>
      </c>
      <c r="J2887">
        <v>0</v>
      </c>
      <c r="K2887">
        <v>0</v>
      </c>
      <c r="L2887">
        <v>0</v>
      </c>
    </row>
    <row r="2888" spans="1:12">
      <c r="A2888" t="str">
        <f>HYPERLINK("http://bombeiros.sp.gov.br/hidrantes/03individual/5248.html","5248")</f>
        <v>5248</v>
      </c>
      <c r="B2888" t="str">
        <f>HYPERLINK("http://bombeiros.sp.gov.br/hidrantes/08bsg/qrcodeBSG.html?id=5248&amp;lat=-23.49449&amp;long=-46.60697&amp;tipo=S","QRCODE")</f>
        <v>QRCODE</v>
      </c>
      <c r="C2888" t="s">
        <v>5328</v>
      </c>
      <c r="D2888" t="s">
        <v>1998</v>
      </c>
      <c r="E2888" t="s">
        <v>802</v>
      </c>
      <c r="F2888" t="s">
        <v>21</v>
      </c>
      <c r="G2888" t="s">
        <v>4613</v>
      </c>
      <c r="H2888">
        <v>0</v>
      </c>
      <c r="I2888">
        <v>2</v>
      </c>
      <c r="J2888">
        <v>0</v>
      </c>
      <c r="K2888">
        <v>0</v>
      </c>
      <c r="L2888">
        <v>0</v>
      </c>
    </row>
    <row r="2889" spans="1:12">
      <c r="A2889" t="str">
        <f>HYPERLINK("http://bombeiros.sp.gov.br/hidrantes/03individual/5251.html","5251")</f>
        <v>5251</v>
      </c>
      <c r="B2889" t="str">
        <f>HYPERLINK("http://bombeiros.sp.gov.br/hidrantes/08bsg/qrcodeBSG.html?id=5251&amp;lat=-23.49984&amp;long=-46.61249&amp;tipo=S","QRCODE")</f>
        <v>QRCODE</v>
      </c>
      <c r="C2889" t="s">
        <v>5328</v>
      </c>
      <c r="D2889" t="s">
        <v>1998</v>
      </c>
      <c r="E2889" t="s">
        <v>802</v>
      </c>
      <c r="F2889" t="s">
        <v>21</v>
      </c>
      <c r="G2889" t="s">
        <v>1990</v>
      </c>
      <c r="H2889">
        <v>0</v>
      </c>
      <c r="I2889">
        <v>2</v>
      </c>
      <c r="J2889">
        <v>0</v>
      </c>
      <c r="K2889">
        <v>0</v>
      </c>
      <c r="L2889">
        <v>0</v>
      </c>
    </row>
    <row r="2890" spans="1:12">
      <c r="A2890" t="str">
        <f>HYPERLINK("http://bombeiros.sp.gov.br/hidrantes/03individual/17880.html","17880")</f>
        <v>17880</v>
      </c>
      <c r="B2890" t="str">
        <f>HYPERLINK("http://bombeiros.sp.gov.br/hidrantes/08bsg/qrcodeBSG.html?id=17880&amp;lat=-23.49729&amp;long=-46.60721&amp;tipo=S","QRCODE")</f>
        <v>QRCODE</v>
      </c>
      <c r="C2890" t="s">
        <v>5328</v>
      </c>
      <c r="D2890" t="s">
        <v>1998</v>
      </c>
      <c r="E2890" t="s">
        <v>802</v>
      </c>
      <c r="F2890" t="s">
        <v>21</v>
      </c>
      <c r="G2890" t="s">
        <v>1311</v>
      </c>
      <c r="H2890">
        <v>1</v>
      </c>
      <c r="I2890">
        <v>2</v>
      </c>
      <c r="J2890">
        <v>0</v>
      </c>
      <c r="K2890">
        <v>0</v>
      </c>
      <c r="L2890">
        <v>0</v>
      </c>
    </row>
    <row r="2891" spans="1:12">
      <c r="A2891" t="str">
        <f>HYPERLINK("http://bombeiros.sp.gov.br/hidrantes/03individual/26825.html","26825")</f>
        <v>26825</v>
      </c>
      <c r="B2891" t="str">
        <f>HYPERLINK("http://bombeiros.sp.gov.br/hidrantes/08bsg/qrcodeBSG.html?id=26825&amp;lat=-23.50746&amp;long=-46.60814&amp;tipo=S","QRCODE")</f>
        <v>QRCODE</v>
      </c>
      <c r="C2891" t="s">
        <v>5328</v>
      </c>
      <c r="D2891" t="s">
        <v>1998</v>
      </c>
      <c r="E2891" t="s">
        <v>802</v>
      </c>
      <c r="F2891" t="s">
        <v>21</v>
      </c>
      <c r="G2891" t="s">
        <v>3779</v>
      </c>
      <c r="H2891">
        <v>0</v>
      </c>
      <c r="I2891">
        <v>1</v>
      </c>
      <c r="J2891">
        <v>0</v>
      </c>
      <c r="K2891">
        <v>0</v>
      </c>
      <c r="L2891">
        <v>0</v>
      </c>
    </row>
    <row r="2892" spans="1:12">
      <c r="A2892" t="str">
        <f>HYPERLINK("http://bombeiros.sp.gov.br/hidrantes/03individual/26942.html","26942")</f>
        <v>26942</v>
      </c>
      <c r="B2892" t="str">
        <f>HYPERLINK("http://bombeiros.sp.gov.br/hidrantes/08bsg/qrcodeBSG.html?id=26942&amp;lat=-23.49549&amp;long=-46.60433&amp;tipo=S","QRCODE")</f>
        <v>QRCODE</v>
      </c>
      <c r="C2892" t="s">
        <v>5328</v>
      </c>
      <c r="D2892" t="s">
        <v>1998</v>
      </c>
      <c r="E2892" t="s">
        <v>802</v>
      </c>
      <c r="F2892" t="s">
        <v>21</v>
      </c>
      <c r="G2892" t="s">
        <v>3787</v>
      </c>
      <c r="H2892">
        <v>0</v>
      </c>
      <c r="I2892">
        <v>1</v>
      </c>
      <c r="J2892">
        <v>0</v>
      </c>
      <c r="K2892">
        <v>0</v>
      </c>
      <c r="L2892">
        <v>0</v>
      </c>
    </row>
    <row r="2893" spans="1:12">
      <c r="A2893" t="str">
        <f>HYPERLINK("http://bombeiros.sp.gov.br/hidrantes/03individual/26742.html","26742")</f>
        <v>26742</v>
      </c>
      <c r="B2893" t="str">
        <f>HYPERLINK("http://bombeiros.sp.gov.br/hidrantes/08bsg/qrcodeBSG.html?id=26742&amp;lat=-23.50938&amp;long=-46.58522&amp;tipo=B","QRCODE")</f>
        <v>QRCODE</v>
      </c>
      <c r="C2893" t="s">
        <v>5328</v>
      </c>
      <c r="D2893" t="s">
        <v>115</v>
      </c>
      <c r="E2893" t="s">
        <v>289</v>
      </c>
      <c r="F2893" t="s">
        <v>1719</v>
      </c>
      <c r="G2893" t="s">
        <v>5348</v>
      </c>
      <c r="H2893">
        <v>0</v>
      </c>
      <c r="I2893">
        <v>0</v>
      </c>
      <c r="J2893">
        <v>0</v>
      </c>
      <c r="K2893">
        <v>0</v>
      </c>
      <c r="L2893">
        <v>0</v>
      </c>
    </row>
    <row r="2894" spans="1:12">
      <c r="A2894" t="str">
        <f>HYPERLINK("http://bombeiros.sp.gov.br/hidrantes/03individual/3229.html","3229")</f>
        <v>3229</v>
      </c>
      <c r="B2894" t="str">
        <f>HYPERLINK("http://bombeiros.sp.gov.br/hidrantes/08bsg/qrcodeBSG.html?id=3229&amp;lat=-23.50898&amp;long=-46.57887&amp;tipo=C","QRCODE")</f>
        <v>QRCODE</v>
      </c>
      <c r="C2894" t="s">
        <v>5328</v>
      </c>
      <c r="D2894" t="s">
        <v>115</v>
      </c>
      <c r="E2894" t="s">
        <v>289</v>
      </c>
      <c r="F2894" t="s">
        <v>12</v>
      </c>
      <c r="G2894" t="s">
        <v>2928</v>
      </c>
      <c r="H2894">
        <v>0</v>
      </c>
      <c r="I2894">
        <v>2</v>
      </c>
      <c r="J2894">
        <v>0</v>
      </c>
      <c r="K2894">
        <v>0</v>
      </c>
      <c r="L2894">
        <v>0</v>
      </c>
    </row>
    <row r="2895" spans="1:12">
      <c r="A2895" t="str">
        <f>HYPERLINK("http://bombeiros.sp.gov.br/hidrantes/03individual/3234.html","3234")</f>
        <v>3234</v>
      </c>
      <c r="B2895" t="str">
        <f>HYPERLINK("http://bombeiros.sp.gov.br/hidrantes/08bsg/qrcodeBSG.html?id=3234&amp;lat=-23.50447&amp;long=-46.57063&amp;tipo=C","QRCODE")</f>
        <v>QRCODE</v>
      </c>
      <c r="C2895" t="s">
        <v>5328</v>
      </c>
      <c r="D2895" t="s">
        <v>115</v>
      </c>
      <c r="E2895" t="s">
        <v>289</v>
      </c>
      <c r="F2895" t="s">
        <v>12</v>
      </c>
      <c r="G2895" t="s">
        <v>2927</v>
      </c>
      <c r="H2895">
        <v>0</v>
      </c>
      <c r="I2895">
        <v>2</v>
      </c>
      <c r="J2895">
        <v>0</v>
      </c>
      <c r="K2895">
        <v>0</v>
      </c>
      <c r="L2895">
        <v>0</v>
      </c>
    </row>
    <row r="2896" spans="1:12">
      <c r="A2896" t="str">
        <f>HYPERLINK("http://bombeiros.sp.gov.br/hidrantes/03individual/9998.html","9998")</f>
        <v>9998</v>
      </c>
      <c r="B2896" t="str">
        <f>HYPERLINK("http://bombeiros.sp.gov.br/hidrantes/08bsg/qrcodeBSG.html?id=9998&amp;lat=-23.50115&amp;long=-46.58447&amp;tipo=C","QRCODE")</f>
        <v>QRCODE</v>
      </c>
      <c r="C2896" t="s">
        <v>5328</v>
      </c>
      <c r="D2896" t="s">
        <v>115</v>
      </c>
      <c r="E2896" t="s">
        <v>289</v>
      </c>
      <c r="F2896" t="s">
        <v>12</v>
      </c>
      <c r="G2896" t="s">
        <v>320</v>
      </c>
      <c r="H2896">
        <v>0</v>
      </c>
      <c r="I2896">
        <v>3</v>
      </c>
      <c r="J2896">
        <v>0</v>
      </c>
      <c r="K2896">
        <v>0</v>
      </c>
      <c r="L2896">
        <v>0</v>
      </c>
    </row>
    <row r="2897" spans="1:12">
      <c r="A2897" t="str">
        <f>HYPERLINK("http://bombeiros.sp.gov.br/hidrantes/03individual/536.html","536")</f>
        <v>536</v>
      </c>
      <c r="B2897" t="str">
        <f>HYPERLINK("http://bombeiros.sp.gov.br/hidrantes/08bsg/qrcodeBSG.html?id=536&amp;lat=-23.51132&amp;long=-46.57562&amp;tipo=S","QRCODE")</f>
        <v>QRCODE</v>
      </c>
      <c r="C2897" t="s">
        <v>5328</v>
      </c>
      <c r="D2897" t="s">
        <v>115</v>
      </c>
      <c r="E2897" t="s">
        <v>289</v>
      </c>
      <c r="F2897" t="s">
        <v>21</v>
      </c>
      <c r="G2897" t="s">
        <v>1058</v>
      </c>
      <c r="H2897">
        <v>1</v>
      </c>
      <c r="I2897">
        <v>2</v>
      </c>
      <c r="J2897">
        <v>0</v>
      </c>
      <c r="K2897">
        <v>0</v>
      </c>
      <c r="L2897">
        <v>0</v>
      </c>
    </row>
    <row r="2898" spans="1:12">
      <c r="A2898" t="str">
        <f>HYPERLINK("http://bombeiros.sp.gov.br/hidrantes/03individual/537.html","537")</f>
        <v>537</v>
      </c>
      <c r="B2898" t="str">
        <f>HYPERLINK("http://bombeiros.sp.gov.br/hidrantes/08bsg/qrcodeBSG.html?id=537&amp;lat=-23.50143&amp;long=-46.57115&amp;tipo=S","QRCODE")</f>
        <v>QRCODE</v>
      </c>
      <c r="C2898" t="s">
        <v>5328</v>
      </c>
      <c r="D2898" t="s">
        <v>115</v>
      </c>
      <c r="E2898" t="s">
        <v>289</v>
      </c>
      <c r="F2898" t="s">
        <v>21</v>
      </c>
      <c r="G2898" t="s">
        <v>3702</v>
      </c>
      <c r="H2898">
        <v>1</v>
      </c>
      <c r="I2898">
        <v>1</v>
      </c>
      <c r="J2898">
        <v>0</v>
      </c>
      <c r="K2898">
        <v>0</v>
      </c>
      <c r="L2898">
        <v>0</v>
      </c>
    </row>
    <row r="2899" spans="1:12">
      <c r="A2899" t="str">
        <f>HYPERLINK("http://bombeiros.sp.gov.br/hidrantes/03individual/548.html","548")</f>
        <v>548</v>
      </c>
      <c r="B2899" t="str">
        <f>HYPERLINK("http://bombeiros.sp.gov.br/hidrantes/08bsg/qrcodeBSG.html?id=548&amp;lat=-23.50330&amp;long=-46.59082&amp;tipo=S","QRCODE")</f>
        <v>QRCODE</v>
      </c>
      <c r="C2899" t="s">
        <v>5328</v>
      </c>
      <c r="D2899" t="s">
        <v>115</v>
      </c>
      <c r="E2899" t="s">
        <v>289</v>
      </c>
      <c r="F2899" t="s">
        <v>21</v>
      </c>
      <c r="G2899" t="s">
        <v>373</v>
      </c>
      <c r="H2899">
        <v>0</v>
      </c>
      <c r="I2899">
        <v>3</v>
      </c>
      <c r="J2899">
        <v>0</v>
      </c>
      <c r="K2899">
        <v>0</v>
      </c>
      <c r="L2899">
        <v>0</v>
      </c>
    </row>
    <row r="2900" spans="1:12">
      <c r="A2900" t="str">
        <f>HYPERLINK("http://bombeiros.sp.gov.br/hidrantes/03individual/566.html","566")</f>
        <v>566</v>
      </c>
      <c r="B2900" t="str">
        <f>HYPERLINK("http://bombeiros.sp.gov.br/hidrantes/08bsg/qrcodeBSG.html?id=566&amp;lat=-23.50198&amp;long=-46.58684&amp;tipo=S","QRCODE")</f>
        <v>QRCODE</v>
      </c>
      <c r="C2900" t="s">
        <v>5328</v>
      </c>
      <c r="D2900" t="s">
        <v>115</v>
      </c>
      <c r="E2900" t="s">
        <v>289</v>
      </c>
      <c r="F2900" t="s">
        <v>21</v>
      </c>
      <c r="G2900" t="s">
        <v>372</v>
      </c>
      <c r="H2900">
        <v>0</v>
      </c>
      <c r="I2900">
        <v>3</v>
      </c>
      <c r="J2900">
        <v>0</v>
      </c>
      <c r="K2900">
        <v>0</v>
      </c>
      <c r="L2900">
        <v>0</v>
      </c>
    </row>
    <row r="2901" spans="1:12">
      <c r="A2901" t="str">
        <f>HYPERLINK("http://bombeiros.sp.gov.br/hidrantes/03individual/567.html","567")</f>
        <v>567</v>
      </c>
      <c r="B2901" t="str">
        <f>HYPERLINK("http://bombeiros.sp.gov.br/hidrantes/08bsg/qrcodeBSG.html?id=567&amp;lat=-23.50227&amp;long=-46.58282&amp;tipo=S","QRCODE")</f>
        <v>QRCODE</v>
      </c>
      <c r="C2901" t="s">
        <v>5328</v>
      </c>
      <c r="D2901" t="s">
        <v>115</v>
      </c>
      <c r="E2901" t="s">
        <v>289</v>
      </c>
      <c r="F2901" t="s">
        <v>21</v>
      </c>
      <c r="G2901" t="s">
        <v>4350</v>
      </c>
      <c r="H2901">
        <v>0</v>
      </c>
      <c r="I2901">
        <v>2</v>
      </c>
      <c r="J2901">
        <v>0</v>
      </c>
      <c r="K2901">
        <v>0</v>
      </c>
      <c r="L2901">
        <v>0</v>
      </c>
    </row>
    <row r="2902" spans="1:12">
      <c r="A2902" t="str">
        <f>HYPERLINK("http://bombeiros.sp.gov.br/hidrantes/03individual/614.html","614")</f>
        <v>614</v>
      </c>
      <c r="B2902" t="str">
        <f>HYPERLINK("http://bombeiros.sp.gov.br/hidrantes/08bsg/qrcodeBSG.html?id=614&amp;lat=-23.51117&amp;long=-46.58016&amp;tipo=S","QRCODE")</f>
        <v>QRCODE</v>
      </c>
      <c r="C2902" t="s">
        <v>5328</v>
      </c>
      <c r="D2902" t="s">
        <v>115</v>
      </c>
      <c r="E2902" t="s">
        <v>289</v>
      </c>
      <c r="F2902" t="s">
        <v>21</v>
      </c>
      <c r="G2902" t="s">
        <v>3258</v>
      </c>
      <c r="H2902">
        <v>1</v>
      </c>
      <c r="I2902">
        <v>1</v>
      </c>
      <c r="J2902">
        <v>0</v>
      </c>
      <c r="K2902">
        <v>0</v>
      </c>
      <c r="L2902">
        <v>0</v>
      </c>
    </row>
    <row r="2903" spans="1:12">
      <c r="A2903" t="str">
        <f>HYPERLINK("http://bombeiros.sp.gov.br/hidrantes/03individual/670.html","670")</f>
        <v>670</v>
      </c>
      <c r="B2903" t="str">
        <f>HYPERLINK("http://bombeiros.sp.gov.br/hidrantes/08bsg/qrcodeBSG.html?id=670&amp;lat=-23.50540&amp;long=-46.58027&amp;tipo=S","QRCODE")</f>
        <v>QRCODE</v>
      </c>
      <c r="C2903" t="s">
        <v>5328</v>
      </c>
      <c r="D2903" t="s">
        <v>115</v>
      </c>
      <c r="E2903" t="s">
        <v>289</v>
      </c>
      <c r="F2903" t="s">
        <v>21</v>
      </c>
      <c r="G2903" t="s">
        <v>3569</v>
      </c>
      <c r="H2903">
        <v>1</v>
      </c>
      <c r="I2903">
        <v>1</v>
      </c>
      <c r="J2903">
        <v>0</v>
      </c>
      <c r="K2903">
        <v>0</v>
      </c>
      <c r="L2903">
        <v>0</v>
      </c>
    </row>
    <row r="2904" spans="1:12">
      <c r="A2904" t="str">
        <f>HYPERLINK("http://bombeiros.sp.gov.br/hidrantes/03individual/679.html","679")</f>
        <v>679</v>
      </c>
      <c r="B2904" t="str">
        <f>HYPERLINK("http://bombeiros.sp.gov.br/hidrantes/08bsg/qrcodeBSG.html?id=679&amp;lat=-23.51206&amp;long=-46.57785&amp;tipo=S","QRCODE")</f>
        <v>QRCODE</v>
      </c>
      <c r="C2904" t="s">
        <v>5328</v>
      </c>
      <c r="D2904" t="s">
        <v>115</v>
      </c>
      <c r="E2904" t="s">
        <v>289</v>
      </c>
      <c r="F2904" t="s">
        <v>21</v>
      </c>
      <c r="G2904" t="s">
        <v>4344</v>
      </c>
      <c r="H2904">
        <v>0</v>
      </c>
      <c r="I2904">
        <v>2</v>
      </c>
      <c r="J2904">
        <v>0</v>
      </c>
      <c r="K2904">
        <v>0</v>
      </c>
      <c r="L2904">
        <v>0</v>
      </c>
    </row>
    <row r="2905" spans="1:12">
      <c r="A2905" t="str">
        <f>HYPERLINK("http://bombeiros.sp.gov.br/hidrantes/03individual/713.html","713")</f>
        <v>713</v>
      </c>
      <c r="B2905" t="str">
        <f>HYPERLINK("http://bombeiros.sp.gov.br/hidrantes/08bsg/qrcodeBSG.html?id=713&amp;lat=-23.50572&amp;long=-46.58606&amp;tipo=S","QRCODE")</f>
        <v>QRCODE</v>
      </c>
      <c r="C2905" t="s">
        <v>5328</v>
      </c>
      <c r="D2905" t="s">
        <v>115</v>
      </c>
      <c r="E2905" t="s">
        <v>289</v>
      </c>
      <c r="F2905" t="s">
        <v>21</v>
      </c>
      <c r="G2905" t="s">
        <v>357</v>
      </c>
      <c r="H2905">
        <v>0</v>
      </c>
      <c r="I2905">
        <v>3</v>
      </c>
      <c r="J2905">
        <v>0</v>
      </c>
      <c r="K2905">
        <v>0</v>
      </c>
      <c r="L2905">
        <v>0</v>
      </c>
    </row>
    <row r="2906" spans="1:12">
      <c r="A2906" t="str">
        <f>HYPERLINK("http://bombeiros.sp.gov.br/hidrantes/03individual/717.html","717")</f>
        <v>717</v>
      </c>
      <c r="B2906" t="str">
        <f>HYPERLINK("http://bombeiros.sp.gov.br/hidrantes/08bsg/qrcodeBSG.html?id=717&amp;lat=-23.50064&amp;long=-46.58669&amp;tipo=S","QRCODE")</f>
        <v>QRCODE</v>
      </c>
      <c r="C2906" t="s">
        <v>5328</v>
      </c>
      <c r="D2906" t="s">
        <v>115</v>
      </c>
      <c r="E2906" t="s">
        <v>289</v>
      </c>
      <c r="F2906" t="s">
        <v>21</v>
      </c>
      <c r="G2906" t="s">
        <v>358</v>
      </c>
      <c r="H2906">
        <v>0</v>
      </c>
      <c r="I2906">
        <v>3</v>
      </c>
      <c r="J2906">
        <v>0</v>
      </c>
      <c r="K2906">
        <v>0</v>
      </c>
      <c r="L2906">
        <v>0</v>
      </c>
    </row>
    <row r="2907" spans="1:12">
      <c r="A2907" t="str">
        <f>HYPERLINK("http://bombeiros.sp.gov.br/hidrantes/03individual/752.html","752")</f>
        <v>752</v>
      </c>
      <c r="B2907" t="str">
        <f>HYPERLINK("http://bombeiros.sp.gov.br/hidrantes/08bsg/qrcodeBSG.html?id=752&amp;lat=-23.50036&amp;long=-46.59198&amp;tipo=S","QRCODE")</f>
        <v>QRCODE</v>
      </c>
      <c r="C2907" t="s">
        <v>5328</v>
      </c>
      <c r="D2907" t="s">
        <v>115</v>
      </c>
      <c r="E2907" t="s">
        <v>289</v>
      </c>
      <c r="F2907" t="s">
        <v>21</v>
      </c>
      <c r="G2907" t="s">
        <v>356</v>
      </c>
      <c r="H2907">
        <v>0</v>
      </c>
      <c r="I2907">
        <v>3</v>
      </c>
      <c r="J2907">
        <v>0</v>
      </c>
      <c r="K2907">
        <v>0</v>
      </c>
      <c r="L2907">
        <v>0</v>
      </c>
    </row>
    <row r="2908" spans="1:12">
      <c r="A2908" t="str">
        <f>HYPERLINK("http://bombeiros.sp.gov.br/hidrantes/03individual/755.html","755")</f>
        <v>755</v>
      </c>
      <c r="B2908" t="str">
        <f>HYPERLINK("http://bombeiros.sp.gov.br/hidrantes/08bsg/qrcodeBSG.html?id=755&amp;lat=-23.49852&amp;long=-46.57483&amp;tipo=S","QRCODE")</f>
        <v>QRCODE</v>
      </c>
      <c r="C2908" t="s">
        <v>5328</v>
      </c>
      <c r="D2908" t="s">
        <v>115</v>
      </c>
      <c r="E2908" t="s">
        <v>289</v>
      </c>
      <c r="F2908" t="s">
        <v>21</v>
      </c>
      <c r="G2908" t="s">
        <v>1604</v>
      </c>
      <c r="H2908">
        <v>1</v>
      </c>
      <c r="I2908">
        <v>2</v>
      </c>
      <c r="J2908">
        <v>0</v>
      </c>
      <c r="K2908">
        <v>0</v>
      </c>
      <c r="L2908">
        <v>0</v>
      </c>
    </row>
    <row r="2909" spans="1:12">
      <c r="A2909" t="str">
        <f>HYPERLINK("http://bombeiros.sp.gov.br/hidrantes/03individual/757.html","757")</f>
        <v>757</v>
      </c>
      <c r="B2909" t="str">
        <f>HYPERLINK("http://bombeiros.sp.gov.br/hidrantes/08bsg/qrcodeBSG.html?id=757&amp;lat=-23.51131&amp;long=-46.58275&amp;tipo=S","QRCODE")</f>
        <v>QRCODE</v>
      </c>
      <c r="C2909" t="s">
        <v>5328</v>
      </c>
      <c r="D2909" t="s">
        <v>115</v>
      </c>
      <c r="E2909" t="s">
        <v>289</v>
      </c>
      <c r="F2909" t="s">
        <v>21</v>
      </c>
      <c r="G2909" t="s">
        <v>353</v>
      </c>
      <c r="H2909">
        <v>0</v>
      </c>
      <c r="I2909">
        <v>3</v>
      </c>
      <c r="J2909">
        <v>0</v>
      </c>
      <c r="K2909">
        <v>0</v>
      </c>
      <c r="L2909">
        <v>0</v>
      </c>
    </row>
    <row r="2910" spans="1:12">
      <c r="A2910" t="str">
        <f>HYPERLINK("http://bombeiros.sp.gov.br/hidrantes/03individual/761.html","761")</f>
        <v>761</v>
      </c>
      <c r="B2910" t="str">
        <f>HYPERLINK("http://bombeiros.sp.gov.br/hidrantes/08bsg/qrcodeBSG.html?id=761&amp;lat=-23.50525&amp;long=-46.57444&amp;tipo=S","QRCODE")</f>
        <v>QRCODE</v>
      </c>
      <c r="C2910" t="s">
        <v>5328</v>
      </c>
      <c r="D2910" t="s">
        <v>115</v>
      </c>
      <c r="E2910" t="s">
        <v>289</v>
      </c>
      <c r="F2910" t="s">
        <v>21</v>
      </c>
      <c r="G2910" t="s">
        <v>4348</v>
      </c>
      <c r="H2910">
        <v>0</v>
      </c>
      <c r="I2910">
        <v>2</v>
      </c>
      <c r="J2910">
        <v>0</v>
      </c>
      <c r="K2910">
        <v>0</v>
      </c>
      <c r="L2910">
        <v>0</v>
      </c>
    </row>
    <row r="2911" spans="1:12">
      <c r="A2911" t="str">
        <f>HYPERLINK("http://bombeiros.sp.gov.br/hidrantes/03individual/763.html","763")</f>
        <v>763</v>
      </c>
      <c r="B2911" t="str">
        <f>HYPERLINK("http://bombeiros.sp.gov.br/hidrantes/08bsg/qrcodeBSG.html?id=763&amp;lat=-23.49597&amp;long=-46.58228&amp;tipo=S","QRCODE")</f>
        <v>QRCODE</v>
      </c>
      <c r="C2911" t="s">
        <v>5328</v>
      </c>
      <c r="D2911" t="s">
        <v>115</v>
      </c>
      <c r="E2911" t="s">
        <v>289</v>
      </c>
      <c r="F2911" t="s">
        <v>21</v>
      </c>
      <c r="G2911" t="s">
        <v>4349</v>
      </c>
      <c r="H2911">
        <v>0</v>
      </c>
      <c r="I2911">
        <v>2</v>
      </c>
      <c r="J2911">
        <v>0</v>
      </c>
      <c r="K2911">
        <v>0</v>
      </c>
      <c r="L2911">
        <v>0</v>
      </c>
    </row>
    <row r="2912" spans="1:12">
      <c r="A2912" t="str">
        <f>HYPERLINK("http://bombeiros.sp.gov.br/hidrantes/03individual/764.html","764")</f>
        <v>764</v>
      </c>
      <c r="B2912" t="str">
        <f>HYPERLINK("http://bombeiros.sp.gov.br/hidrantes/08bsg/qrcodeBSG.html?id=764&amp;lat=-23.49874&amp;long=-46.57706&amp;tipo=S","QRCODE")</f>
        <v>QRCODE</v>
      </c>
      <c r="C2912" t="s">
        <v>5328</v>
      </c>
      <c r="D2912" t="s">
        <v>115</v>
      </c>
      <c r="E2912" t="s">
        <v>289</v>
      </c>
      <c r="F2912" t="s">
        <v>21</v>
      </c>
      <c r="G2912" t="s">
        <v>4347</v>
      </c>
      <c r="H2912">
        <v>0</v>
      </c>
      <c r="I2912">
        <v>2</v>
      </c>
      <c r="J2912">
        <v>0</v>
      </c>
      <c r="K2912">
        <v>0</v>
      </c>
      <c r="L2912">
        <v>0</v>
      </c>
    </row>
    <row r="2913" spans="1:12">
      <c r="A2913" t="str">
        <f>HYPERLINK("http://bombeiros.sp.gov.br/hidrantes/03individual/765.html","765")</f>
        <v>765</v>
      </c>
      <c r="B2913" t="str">
        <f>HYPERLINK("http://bombeiros.sp.gov.br/hidrantes/08bsg/qrcodeBSG.html?id=765&amp;lat=-23.50507&amp;long=-46.59043&amp;tipo=S","QRCODE")</f>
        <v>QRCODE</v>
      </c>
      <c r="C2913" t="s">
        <v>5328</v>
      </c>
      <c r="D2913" t="s">
        <v>115</v>
      </c>
      <c r="E2913" t="s">
        <v>289</v>
      </c>
      <c r="F2913" t="s">
        <v>21</v>
      </c>
      <c r="G2913" t="s">
        <v>2840</v>
      </c>
      <c r="H2913">
        <v>0</v>
      </c>
      <c r="I2913">
        <v>2</v>
      </c>
      <c r="J2913">
        <v>0</v>
      </c>
      <c r="K2913">
        <v>0</v>
      </c>
      <c r="L2913">
        <v>0</v>
      </c>
    </row>
    <row r="2914" spans="1:12">
      <c r="A2914" t="str">
        <f>HYPERLINK("http://bombeiros.sp.gov.br/hidrantes/03individual/843.html","843")</f>
        <v>843</v>
      </c>
      <c r="B2914" t="str">
        <f>HYPERLINK("http://bombeiros.sp.gov.br/hidrantes/08bsg/qrcodeBSG.html?id=843&amp;lat=-23.50348&amp;long=-46.58568&amp;tipo=S","QRCODE")</f>
        <v>QRCODE</v>
      </c>
      <c r="C2914" t="s">
        <v>5328</v>
      </c>
      <c r="D2914" t="s">
        <v>115</v>
      </c>
      <c r="E2914" t="s">
        <v>289</v>
      </c>
      <c r="F2914" t="s">
        <v>21</v>
      </c>
      <c r="G2914" t="s">
        <v>374</v>
      </c>
      <c r="H2914">
        <v>0</v>
      </c>
      <c r="I2914">
        <v>3</v>
      </c>
      <c r="J2914">
        <v>0</v>
      </c>
      <c r="K2914">
        <v>0</v>
      </c>
      <c r="L2914">
        <v>0</v>
      </c>
    </row>
    <row r="2915" spans="1:12">
      <c r="A2915" t="str">
        <f>HYPERLINK("http://bombeiros.sp.gov.br/hidrantes/03individual/848.html","848")</f>
        <v>848</v>
      </c>
      <c r="B2915" t="str">
        <f>HYPERLINK("http://bombeiros.sp.gov.br/hidrantes/08bsg/qrcodeBSG.html?id=848&amp;lat=-23.49699&amp;long=-46.58656&amp;tipo=S","QRCODE")</f>
        <v>QRCODE</v>
      </c>
      <c r="C2915" t="s">
        <v>5328</v>
      </c>
      <c r="D2915" t="s">
        <v>115</v>
      </c>
      <c r="E2915" t="s">
        <v>289</v>
      </c>
      <c r="F2915" t="s">
        <v>21</v>
      </c>
      <c r="G2915" t="s">
        <v>4359</v>
      </c>
      <c r="H2915">
        <v>0</v>
      </c>
      <c r="I2915">
        <v>2</v>
      </c>
      <c r="J2915">
        <v>0</v>
      </c>
      <c r="K2915">
        <v>0</v>
      </c>
      <c r="L2915">
        <v>0</v>
      </c>
    </row>
    <row r="2916" spans="1:12">
      <c r="A2916" t="str">
        <f>HYPERLINK("http://bombeiros.sp.gov.br/hidrantes/03individual/851.html","851")</f>
        <v>851</v>
      </c>
      <c r="B2916" t="str">
        <f>HYPERLINK("http://bombeiros.sp.gov.br/hidrantes/08bsg/qrcodeBSG.html?id=851&amp;lat=-23.50395&amp;long=-46.58241&amp;tipo=S","QRCODE")</f>
        <v>QRCODE</v>
      </c>
      <c r="C2916" t="s">
        <v>5328</v>
      </c>
      <c r="D2916" t="s">
        <v>115</v>
      </c>
      <c r="E2916" t="s">
        <v>289</v>
      </c>
      <c r="F2916" t="s">
        <v>21</v>
      </c>
      <c r="G2916" t="s">
        <v>4361</v>
      </c>
      <c r="H2916">
        <v>0</v>
      </c>
      <c r="I2916">
        <v>2</v>
      </c>
      <c r="J2916">
        <v>0</v>
      </c>
      <c r="K2916">
        <v>0</v>
      </c>
      <c r="L2916">
        <v>0</v>
      </c>
    </row>
    <row r="2917" spans="1:12">
      <c r="A2917" t="str">
        <f>HYPERLINK("http://bombeiros.sp.gov.br/hidrantes/03individual/854.html","854")</f>
        <v>854</v>
      </c>
      <c r="B2917" t="str">
        <f>HYPERLINK("http://bombeiros.sp.gov.br/hidrantes/08bsg/qrcodeBSG.html?id=854&amp;lat=-23.50315&amp;long=-46.58793&amp;tipo=S","QRCODE")</f>
        <v>QRCODE</v>
      </c>
      <c r="C2917" t="s">
        <v>5328</v>
      </c>
      <c r="D2917" t="s">
        <v>115</v>
      </c>
      <c r="E2917" t="s">
        <v>289</v>
      </c>
      <c r="F2917" t="s">
        <v>21</v>
      </c>
      <c r="G2917" t="s">
        <v>376</v>
      </c>
      <c r="H2917">
        <v>0</v>
      </c>
      <c r="I2917">
        <v>3</v>
      </c>
      <c r="J2917">
        <v>0</v>
      </c>
      <c r="K2917">
        <v>0</v>
      </c>
      <c r="L2917">
        <v>0</v>
      </c>
    </row>
    <row r="2918" spans="1:12">
      <c r="A2918" t="str">
        <f>HYPERLINK("http://bombeiros.sp.gov.br/hidrantes/03individual/928.html","928")</f>
        <v>928</v>
      </c>
      <c r="B2918" t="str">
        <f>HYPERLINK("http://bombeiros.sp.gov.br/hidrantes/08bsg/qrcodeBSG.html?id=928&amp;lat=-23.50729&amp;long=-46.59494&amp;tipo=S","QRCODE")</f>
        <v>QRCODE</v>
      </c>
      <c r="C2918" t="s">
        <v>5328</v>
      </c>
      <c r="D2918" t="s">
        <v>115</v>
      </c>
      <c r="E2918" t="s">
        <v>289</v>
      </c>
      <c r="F2918" t="s">
        <v>21</v>
      </c>
      <c r="G2918" t="s">
        <v>799</v>
      </c>
      <c r="H2918">
        <v>0</v>
      </c>
      <c r="I2918">
        <v>2</v>
      </c>
      <c r="J2918">
        <v>0</v>
      </c>
      <c r="K2918">
        <v>0</v>
      </c>
      <c r="L2918">
        <v>0</v>
      </c>
    </row>
    <row r="2919" spans="1:12">
      <c r="A2919" t="str">
        <f>HYPERLINK("http://bombeiros.sp.gov.br/hidrantes/03individual/932.html","932")</f>
        <v>932</v>
      </c>
      <c r="B2919" t="str">
        <f>HYPERLINK("http://bombeiros.sp.gov.br/hidrantes/08bsg/qrcodeBSG.html?id=932&amp;lat=-23.49885&amp;long=-46.58336&amp;tipo=S","QRCODE")</f>
        <v>QRCODE</v>
      </c>
      <c r="C2919" t="s">
        <v>5328</v>
      </c>
      <c r="D2919" t="s">
        <v>115</v>
      </c>
      <c r="E2919" t="s">
        <v>289</v>
      </c>
      <c r="F2919" t="s">
        <v>21</v>
      </c>
      <c r="G2919" t="s">
        <v>1595</v>
      </c>
      <c r="H2919">
        <v>1</v>
      </c>
      <c r="I2919">
        <v>2</v>
      </c>
      <c r="J2919">
        <v>0</v>
      </c>
      <c r="K2919">
        <v>0</v>
      </c>
      <c r="L2919">
        <v>0</v>
      </c>
    </row>
    <row r="2920" spans="1:12">
      <c r="A2920" t="str">
        <f>HYPERLINK("http://bombeiros.sp.gov.br/hidrantes/03individual/2966.html","2966")</f>
        <v>2966</v>
      </c>
      <c r="B2920" t="str">
        <f>HYPERLINK("http://bombeiros.sp.gov.br/hidrantes/08bsg/qrcodeBSG.html?id=2966&amp;lat=-23.50400&amp;long=-46.59224&amp;tipo=S","QRCODE")</f>
        <v>QRCODE</v>
      </c>
      <c r="C2920" t="s">
        <v>5328</v>
      </c>
      <c r="D2920" t="s">
        <v>115</v>
      </c>
      <c r="E2920" t="s">
        <v>289</v>
      </c>
      <c r="F2920" t="s">
        <v>21</v>
      </c>
      <c r="G2920" t="s">
        <v>3167</v>
      </c>
      <c r="H2920">
        <v>1</v>
      </c>
      <c r="I2920">
        <v>1</v>
      </c>
      <c r="J2920">
        <v>0</v>
      </c>
      <c r="K2920">
        <v>0</v>
      </c>
      <c r="L2920">
        <v>0</v>
      </c>
    </row>
    <row r="2921" spans="1:12">
      <c r="A2921" t="str">
        <f>HYPERLINK("http://bombeiros.sp.gov.br/hidrantes/03individual/2973.html","2973")</f>
        <v>2973</v>
      </c>
      <c r="B2921" t="str">
        <f>HYPERLINK("http://bombeiros.sp.gov.br/hidrantes/08bsg/qrcodeBSG.html?id=2973&amp;lat=-23.50629&amp;long=-46.59293&amp;tipo=S","QRCODE")</f>
        <v>QRCODE</v>
      </c>
      <c r="C2921" t="s">
        <v>5328</v>
      </c>
      <c r="D2921" t="s">
        <v>115</v>
      </c>
      <c r="E2921" t="s">
        <v>289</v>
      </c>
      <c r="F2921" t="s">
        <v>21</v>
      </c>
      <c r="G2921" t="s">
        <v>2783</v>
      </c>
      <c r="H2921">
        <v>0</v>
      </c>
      <c r="I2921">
        <v>2</v>
      </c>
      <c r="J2921">
        <v>0</v>
      </c>
      <c r="K2921">
        <v>0</v>
      </c>
      <c r="L2921">
        <v>0</v>
      </c>
    </row>
    <row r="2922" spans="1:12">
      <c r="A2922" t="str">
        <f>HYPERLINK("http://bombeiros.sp.gov.br/hidrantes/03individual/2978.html","2978")</f>
        <v>2978</v>
      </c>
      <c r="B2922" t="str">
        <f>HYPERLINK("http://bombeiros.sp.gov.br/hidrantes/08bsg/qrcodeBSG.html?id=2978&amp;lat=-23.50661&amp;long=-46.59203&amp;tipo=S","QRCODE")</f>
        <v>QRCODE</v>
      </c>
      <c r="C2922" t="s">
        <v>5328</v>
      </c>
      <c r="D2922" t="s">
        <v>115</v>
      </c>
      <c r="E2922" t="s">
        <v>289</v>
      </c>
      <c r="F2922" t="s">
        <v>21</v>
      </c>
      <c r="G2922" t="s">
        <v>884</v>
      </c>
      <c r="H2922">
        <v>0</v>
      </c>
      <c r="I2922">
        <v>2</v>
      </c>
      <c r="J2922">
        <v>0</v>
      </c>
      <c r="K2922">
        <v>0</v>
      </c>
      <c r="L2922">
        <v>0</v>
      </c>
    </row>
    <row r="2923" spans="1:12">
      <c r="A2923" t="str">
        <f>HYPERLINK("http://bombeiros.sp.gov.br/hidrantes/03individual/3009.html","3009")</f>
        <v>3009</v>
      </c>
      <c r="B2923" t="str">
        <f>HYPERLINK("http://bombeiros.sp.gov.br/hidrantes/08bsg/qrcodeBSG.html?id=3009&amp;lat=-23.50042&amp;long=-46.58624&amp;tipo=S","QRCODE")</f>
        <v>QRCODE</v>
      </c>
      <c r="C2923" t="s">
        <v>5328</v>
      </c>
      <c r="D2923" t="s">
        <v>115</v>
      </c>
      <c r="E2923" t="s">
        <v>289</v>
      </c>
      <c r="F2923" t="s">
        <v>21</v>
      </c>
      <c r="G2923" t="s">
        <v>1666</v>
      </c>
      <c r="H2923">
        <v>0</v>
      </c>
      <c r="I2923">
        <v>2</v>
      </c>
      <c r="J2923">
        <v>0</v>
      </c>
      <c r="K2923">
        <v>0</v>
      </c>
      <c r="L2923">
        <v>0</v>
      </c>
    </row>
    <row r="2924" spans="1:12">
      <c r="A2924" t="str">
        <f>HYPERLINK("http://bombeiros.sp.gov.br/hidrantes/03individual/3101.html","3101")</f>
        <v>3101</v>
      </c>
      <c r="B2924" t="str">
        <f>HYPERLINK("http://bombeiros.sp.gov.br/hidrantes/08bsg/qrcodeBSG.html?id=3101&amp;lat=-23.50968&amp;long=-46.58750&amp;tipo=S","QRCODE")</f>
        <v>QRCODE</v>
      </c>
      <c r="C2924" t="s">
        <v>5328</v>
      </c>
      <c r="D2924" t="s">
        <v>115</v>
      </c>
      <c r="E2924" t="s">
        <v>289</v>
      </c>
      <c r="F2924" t="s">
        <v>21</v>
      </c>
      <c r="G2924" t="s">
        <v>301</v>
      </c>
      <c r="H2924">
        <v>0</v>
      </c>
      <c r="I2924">
        <v>3</v>
      </c>
      <c r="J2924">
        <v>0</v>
      </c>
      <c r="K2924">
        <v>0</v>
      </c>
      <c r="L2924">
        <v>0</v>
      </c>
    </row>
    <row r="2925" spans="1:12">
      <c r="A2925" t="str">
        <f>HYPERLINK("http://bombeiros.sp.gov.br/hidrantes/03individual/3184.html","3184")</f>
        <v>3184</v>
      </c>
      <c r="B2925" t="str">
        <f>HYPERLINK("http://bombeiros.sp.gov.br/hidrantes/08bsg/qrcodeBSG.html?id=3184&amp;lat=-23.51028&amp;long=-46.58525&amp;tipo=S","QRCODE")</f>
        <v>QRCODE</v>
      </c>
      <c r="C2925" t="s">
        <v>5328</v>
      </c>
      <c r="D2925" t="s">
        <v>115</v>
      </c>
      <c r="E2925" t="s">
        <v>289</v>
      </c>
      <c r="F2925" t="s">
        <v>21</v>
      </c>
      <c r="G2925" t="s">
        <v>288</v>
      </c>
      <c r="H2925">
        <v>0</v>
      </c>
      <c r="I2925">
        <v>3</v>
      </c>
      <c r="J2925">
        <v>0</v>
      </c>
      <c r="K2925">
        <v>0</v>
      </c>
      <c r="L2925">
        <v>0</v>
      </c>
    </row>
    <row r="2926" spans="1:12">
      <c r="A2926" t="str">
        <f>HYPERLINK("http://bombeiros.sp.gov.br/hidrantes/03individual/3186.html","3186")</f>
        <v>3186</v>
      </c>
      <c r="B2926" t="str">
        <f>HYPERLINK("http://bombeiros.sp.gov.br/hidrantes/08bsg/qrcodeBSG.html?id=3186&amp;lat=-23.51018&amp;long=-46.58376&amp;tipo=S","QRCODE")</f>
        <v>QRCODE</v>
      </c>
      <c r="C2926" t="s">
        <v>5328</v>
      </c>
      <c r="D2926" t="s">
        <v>115</v>
      </c>
      <c r="E2926" t="s">
        <v>289</v>
      </c>
      <c r="F2926" t="s">
        <v>21</v>
      </c>
      <c r="G2926" t="s">
        <v>292</v>
      </c>
      <c r="H2926">
        <v>0</v>
      </c>
      <c r="I2926">
        <v>3</v>
      </c>
      <c r="J2926">
        <v>0</v>
      </c>
      <c r="K2926">
        <v>0</v>
      </c>
      <c r="L2926">
        <v>0</v>
      </c>
    </row>
    <row r="2927" spans="1:12">
      <c r="A2927" t="str">
        <f>HYPERLINK("http://bombeiros.sp.gov.br/hidrantes/03individual/3198.html","3198")</f>
        <v>3198</v>
      </c>
      <c r="B2927" t="str">
        <f>HYPERLINK("http://bombeiros.sp.gov.br/hidrantes/08bsg/qrcodeBSG.html?id=3198&amp;lat=-23.50862&amp;long=-46.58233&amp;tipo=S","QRCODE")</f>
        <v>QRCODE</v>
      </c>
      <c r="C2927" t="s">
        <v>5328</v>
      </c>
      <c r="D2927" t="s">
        <v>115</v>
      </c>
      <c r="E2927" t="s">
        <v>289</v>
      </c>
      <c r="F2927" t="s">
        <v>21</v>
      </c>
      <c r="G2927" t="s">
        <v>294</v>
      </c>
      <c r="H2927">
        <v>0</v>
      </c>
      <c r="I2927">
        <v>3</v>
      </c>
      <c r="J2927">
        <v>0</v>
      </c>
      <c r="K2927">
        <v>0</v>
      </c>
      <c r="L2927">
        <v>0</v>
      </c>
    </row>
    <row r="2928" spans="1:12">
      <c r="A2928" t="str">
        <f>HYPERLINK("http://bombeiros.sp.gov.br/hidrantes/03individual/3232.html","3232")</f>
        <v>3232</v>
      </c>
      <c r="B2928" t="str">
        <f>HYPERLINK("http://bombeiros.sp.gov.br/hidrantes/08bsg/qrcodeBSG.html?id=3232&amp;lat=-23.50242&amp;long=-46.57299&amp;tipo=S","QRCODE")</f>
        <v>QRCODE</v>
      </c>
      <c r="C2928" t="s">
        <v>5328</v>
      </c>
      <c r="D2928" t="s">
        <v>115</v>
      </c>
      <c r="E2928" t="s">
        <v>289</v>
      </c>
      <c r="F2928" t="s">
        <v>21</v>
      </c>
      <c r="G2928" t="s">
        <v>3199</v>
      </c>
      <c r="H2928">
        <v>0</v>
      </c>
      <c r="I2928">
        <v>2</v>
      </c>
      <c r="J2928">
        <v>0</v>
      </c>
      <c r="K2928">
        <v>0</v>
      </c>
      <c r="L2928">
        <v>0</v>
      </c>
    </row>
    <row r="2929" spans="1:12">
      <c r="A2929" t="str">
        <f>HYPERLINK("http://bombeiros.sp.gov.br/hidrantes/03individual/3235.html","3235")</f>
        <v>3235</v>
      </c>
      <c r="B2929" t="str">
        <f>HYPERLINK("http://bombeiros.sp.gov.br/hidrantes/08bsg/qrcodeBSG.html?id=3235&amp;lat=-23.50625&amp;long=-46.57575&amp;tipo=S","QRCODE")</f>
        <v>QRCODE</v>
      </c>
      <c r="C2929" t="s">
        <v>5328</v>
      </c>
      <c r="D2929" t="s">
        <v>115</v>
      </c>
      <c r="E2929" t="s">
        <v>289</v>
      </c>
      <c r="F2929" t="s">
        <v>21</v>
      </c>
      <c r="G2929" t="s">
        <v>3198</v>
      </c>
      <c r="H2929">
        <v>1</v>
      </c>
      <c r="I2929">
        <v>2</v>
      </c>
      <c r="J2929">
        <v>0</v>
      </c>
      <c r="K2929">
        <v>0</v>
      </c>
      <c r="L2929">
        <v>0</v>
      </c>
    </row>
    <row r="2930" spans="1:12">
      <c r="A2930" t="str">
        <f>HYPERLINK("http://bombeiros.sp.gov.br/hidrantes/03individual/3236.html","3236")</f>
        <v>3236</v>
      </c>
      <c r="B2930" t="str">
        <f>HYPERLINK("http://bombeiros.sp.gov.br/hidrantes/08bsg/qrcodeBSG.html?id=3236&amp;lat=-23.50442&amp;long=-46.58006&amp;tipo=S","QRCODE")</f>
        <v>QRCODE</v>
      </c>
      <c r="C2930" t="s">
        <v>5328</v>
      </c>
      <c r="D2930" t="s">
        <v>115</v>
      </c>
      <c r="E2930" t="s">
        <v>289</v>
      </c>
      <c r="F2930" t="s">
        <v>21</v>
      </c>
      <c r="G2930" t="s">
        <v>5125</v>
      </c>
      <c r="H2930">
        <v>0</v>
      </c>
      <c r="I2930">
        <v>1</v>
      </c>
      <c r="J2930">
        <v>0</v>
      </c>
      <c r="K2930">
        <v>0</v>
      </c>
      <c r="L2930">
        <v>0</v>
      </c>
    </row>
    <row r="2931" spans="1:12">
      <c r="A2931" t="str">
        <f>HYPERLINK("http://bombeiros.sp.gov.br/hidrantes/03individual/3238.html","3238")</f>
        <v>3238</v>
      </c>
      <c r="B2931" t="str">
        <f>HYPERLINK("http://bombeiros.sp.gov.br/hidrantes/08bsg/qrcodeBSG.html?id=3238&amp;lat=-23.50268&amp;long=-46.58018&amp;tipo=S","QRCODE")</f>
        <v>QRCODE</v>
      </c>
      <c r="C2931" t="s">
        <v>5328</v>
      </c>
      <c r="D2931" t="s">
        <v>115</v>
      </c>
      <c r="E2931" t="s">
        <v>289</v>
      </c>
      <c r="F2931" t="s">
        <v>21</v>
      </c>
      <c r="G2931" t="s">
        <v>5126</v>
      </c>
      <c r="H2931">
        <v>0</v>
      </c>
      <c r="I2931">
        <v>1</v>
      </c>
      <c r="J2931">
        <v>0</v>
      </c>
      <c r="K2931">
        <v>0</v>
      </c>
      <c r="L2931">
        <v>0</v>
      </c>
    </row>
    <row r="2932" spans="1:12">
      <c r="A2932" t="str">
        <f>HYPERLINK("http://bombeiros.sp.gov.br/hidrantes/03individual/3476.html","3476")</f>
        <v>3476</v>
      </c>
      <c r="B2932" t="str">
        <f>HYPERLINK("http://bombeiros.sp.gov.br/hidrantes/08bsg/qrcodeBSG.html?id=3476&amp;lat=-23.49918&amp;long=-46.58162&amp;tipo=S","QRCODE")</f>
        <v>QRCODE</v>
      </c>
      <c r="C2932" t="s">
        <v>5328</v>
      </c>
      <c r="D2932" t="s">
        <v>115</v>
      </c>
      <c r="E2932" t="s">
        <v>289</v>
      </c>
      <c r="F2932" t="s">
        <v>21</v>
      </c>
      <c r="G2932" t="s">
        <v>3606</v>
      </c>
      <c r="H2932">
        <v>1</v>
      </c>
      <c r="I2932">
        <v>1</v>
      </c>
      <c r="J2932">
        <v>0</v>
      </c>
      <c r="K2932">
        <v>0</v>
      </c>
      <c r="L2932">
        <v>0</v>
      </c>
    </row>
    <row r="2933" spans="1:12">
      <c r="A2933" t="str">
        <f>HYPERLINK("http://bombeiros.sp.gov.br/hidrantes/03individual/3483.html","3483")</f>
        <v>3483</v>
      </c>
      <c r="B2933" t="str">
        <f>HYPERLINK("http://bombeiros.sp.gov.br/hidrantes/08bsg/qrcodeBSG.html?id=3483&amp;lat=-23.49777&amp;long=-46.58317&amp;tipo=S","QRCODE")</f>
        <v>QRCODE</v>
      </c>
      <c r="C2933" t="s">
        <v>5328</v>
      </c>
      <c r="D2933" t="s">
        <v>115</v>
      </c>
      <c r="E2933" t="s">
        <v>289</v>
      </c>
      <c r="F2933" t="s">
        <v>21</v>
      </c>
      <c r="G2933" t="s">
        <v>5117</v>
      </c>
      <c r="H2933">
        <v>0</v>
      </c>
      <c r="I2933">
        <v>1</v>
      </c>
      <c r="J2933">
        <v>0</v>
      </c>
      <c r="K2933">
        <v>0</v>
      </c>
      <c r="L2933">
        <v>0</v>
      </c>
    </row>
    <row r="2934" spans="1:12">
      <c r="A2934" t="str">
        <f>HYPERLINK("http://bombeiros.sp.gov.br/hidrantes/03individual/3487.html","3487")</f>
        <v>3487</v>
      </c>
      <c r="B2934" t="str">
        <f>HYPERLINK("http://bombeiros.sp.gov.br/hidrantes/08bsg/qrcodeBSG.html?id=3487&amp;lat=-23.49767&amp;long=-46.57482&amp;tipo=S","QRCODE")</f>
        <v>QRCODE</v>
      </c>
      <c r="C2934" t="s">
        <v>5328</v>
      </c>
      <c r="D2934" t="s">
        <v>115</v>
      </c>
      <c r="E2934" t="s">
        <v>289</v>
      </c>
      <c r="F2934" t="s">
        <v>21</v>
      </c>
      <c r="G2934" t="s">
        <v>5009</v>
      </c>
      <c r="H2934">
        <v>0</v>
      </c>
      <c r="I2934">
        <v>1</v>
      </c>
      <c r="J2934">
        <v>0</v>
      </c>
      <c r="K2934">
        <v>0</v>
      </c>
      <c r="L2934">
        <v>0</v>
      </c>
    </row>
    <row r="2935" spans="1:12">
      <c r="A2935" t="str">
        <f>HYPERLINK("http://bombeiros.sp.gov.br/hidrantes/03individual/17714.html","17714")</f>
        <v>17714</v>
      </c>
      <c r="B2935" t="str">
        <f>HYPERLINK("http://bombeiros.sp.gov.br/hidrantes/08bsg/qrcodeBSG.html?id=17714&amp;lat=-23.50776&amp;long=-46.59176&amp;tipo=S","QRCODE")</f>
        <v>QRCODE</v>
      </c>
      <c r="C2935" t="s">
        <v>5328</v>
      </c>
      <c r="D2935" t="s">
        <v>115</v>
      </c>
      <c r="E2935" t="s">
        <v>289</v>
      </c>
      <c r="F2935" t="s">
        <v>21</v>
      </c>
      <c r="G2935" t="s">
        <v>665</v>
      </c>
      <c r="H2935">
        <v>1</v>
      </c>
      <c r="I2935">
        <v>3</v>
      </c>
      <c r="J2935">
        <v>0</v>
      </c>
      <c r="K2935">
        <v>0</v>
      </c>
      <c r="L2935">
        <v>0</v>
      </c>
    </row>
    <row r="2936" spans="1:12">
      <c r="A2936" t="str">
        <f>HYPERLINK("http://bombeiros.sp.gov.br/hidrantes/03individual/17835.html","17835")</f>
        <v>17835</v>
      </c>
      <c r="B2936" t="str">
        <f>HYPERLINK("http://bombeiros.sp.gov.br/hidrantes/08bsg/qrcodeBSG.html?id=17835&amp;lat=-23.50256&amp;long=-46.58355&amp;tipo=S","QRCODE")</f>
        <v>QRCODE</v>
      </c>
      <c r="C2936" t="s">
        <v>5328</v>
      </c>
      <c r="D2936" t="s">
        <v>115</v>
      </c>
      <c r="E2936" t="s">
        <v>289</v>
      </c>
      <c r="F2936" t="s">
        <v>21</v>
      </c>
      <c r="G2936" t="s">
        <v>4817</v>
      </c>
      <c r="H2936">
        <v>1</v>
      </c>
      <c r="I2936">
        <v>2</v>
      </c>
      <c r="J2936">
        <v>0</v>
      </c>
      <c r="K2936">
        <v>0</v>
      </c>
      <c r="L2936">
        <v>0</v>
      </c>
    </row>
    <row r="2937" spans="1:12">
      <c r="A2937" t="str">
        <f>HYPERLINK("http://bombeiros.sp.gov.br/hidrantes/03individual/17836.html","17836")</f>
        <v>17836</v>
      </c>
      <c r="B2937" t="str">
        <f>HYPERLINK("http://bombeiros.sp.gov.br/hidrantes/08bsg/qrcodeBSG.html?id=17836&amp;lat=-23.50639&amp;long=-46.58743&amp;tipo=S","QRCODE")</f>
        <v>QRCODE</v>
      </c>
      <c r="C2937" t="s">
        <v>5328</v>
      </c>
      <c r="D2937" t="s">
        <v>115</v>
      </c>
      <c r="E2937" t="s">
        <v>289</v>
      </c>
      <c r="F2937" t="s">
        <v>21</v>
      </c>
      <c r="G2937" t="s">
        <v>3182</v>
      </c>
      <c r="H2937">
        <v>1</v>
      </c>
      <c r="I2937">
        <v>1</v>
      </c>
      <c r="J2937">
        <v>0</v>
      </c>
      <c r="K2937">
        <v>0</v>
      </c>
      <c r="L2937">
        <v>0</v>
      </c>
    </row>
    <row r="2938" spans="1:12">
      <c r="A2938" t="str">
        <f>HYPERLINK("http://bombeiros.sp.gov.br/hidrantes/03individual/26793.html","26793")</f>
        <v>26793</v>
      </c>
      <c r="B2938" t="str">
        <f>HYPERLINK("http://bombeiros.sp.gov.br/hidrantes/08bsg/qrcodeBSG.html?id=26793&amp;lat=-23.50812&amp;long=-46.58462&amp;tipo=S","QRCODE")</f>
        <v>QRCODE</v>
      </c>
      <c r="C2938" t="s">
        <v>5328</v>
      </c>
      <c r="D2938" t="s">
        <v>115</v>
      </c>
      <c r="E2938" t="s">
        <v>289</v>
      </c>
      <c r="F2938" t="s">
        <v>21</v>
      </c>
      <c r="G2938" t="s">
        <v>3506</v>
      </c>
      <c r="H2938">
        <v>0</v>
      </c>
      <c r="I2938">
        <v>1</v>
      </c>
      <c r="J2938">
        <v>0</v>
      </c>
      <c r="K2938">
        <v>0</v>
      </c>
      <c r="L2938">
        <v>0</v>
      </c>
    </row>
    <row r="2939" spans="1:12">
      <c r="A2939" t="str">
        <f>HYPERLINK("http://bombeiros.sp.gov.br/hidrantes/03individual/26892.html","26892")</f>
        <v>26892</v>
      </c>
      <c r="B2939" t="str">
        <f>HYPERLINK("http://bombeiros.sp.gov.br/hidrantes/08bsg/qrcodeBSG.html?id=26892&amp;lat=-23.50192&amp;long=-46.57615&amp;tipo=S","QRCODE")</f>
        <v>QRCODE</v>
      </c>
      <c r="C2939" t="s">
        <v>5328</v>
      </c>
      <c r="D2939" t="s">
        <v>115</v>
      </c>
      <c r="E2939" t="s">
        <v>289</v>
      </c>
      <c r="F2939" t="s">
        <v>21</v>
      </c>
      <c r="G2939" t="s">
        <v>3841</v>
      </c>
      <c r="H2939">
        <v>0</v>
      </c>
      <c r="I2939">
        <v>1</v>
      </c>
      <c r="J2939">
        <v>0</v>
      </c>
      <c r="K2939">
        <v>0</v>
      </c>
      <c r="L2939">
        <v>0</v>
      </c>
    </row>
    <row r="2940" spans="1:12">
      <c r="A2940" t="str">
        <f>HYPERLINK("http://bombeiros.sp.gov.br/hidrantes/03individual/803.html","803")</f>
        <v>803</v>
      </c>
      <c r="B2940" t="str">
        <f>HYPERLINK("http://bombeiros.sp.gov.br/hidrantes/08bsg/qrcodeBSG.html?id=803&amp;lat=-23.52284&amp;long=-46.58197&amp;tipo=C","QRCODE")</f>
        <v>QRCODE</v>
      </c>
      <c r="C2940" t="s">
        <v>5328</v>
      </c>
      <c r="D2940" t="s">
        <v>115</v>
      </c>
      <c r="E2940" t="s">
        <v>355</v>
      </c>
      <c r="F2940" t="s">
        <v>12</v>
      </c>
      <c r="G2940" t="s">
        <v>4309</v>
      </c>
      <c r="H2940">
        <v>0</v>
      </c>
      <c r="I2940">
        <v>1</v>
      </c>
      <c r="J2940">
        <v>0</v>
      </c>
      <c r="K2940">
        <v>0</v>
      </c>
      <c r="L2940">
        <v>0</v>
      </c>
    </row>
    <row r="2941" spans="1:12">
      <c r="A2941" t="str">
        <f>HYPERLINK("http://bombeiros.sp.gov.br/hidrantes/03individual/828.html","828")</f>
        <v>828</v>
      </c>
      <c r="B2941" t="str">
        <f>HYPERLINK("http://bombeiros.sp.gov.br/hidrantes/08bsg/qrcodeBSG.html?id=828&amp;lat=-23.52307&amp;long=-46.58387&amp;tipo=C","QRCODE")</f>
        <v>QRCODE</v>
      </c>
      <c r="C2941" t="s">
        <v>5328</v>
      </c>
      <c r="D2941" t="s">
        <v>115</v>
      </c>
      <c r="E2941" t="s">
        <v>355</v>
      </c>
      <c r="F2941" t="s">
        <v>12</v>
      </c>
      <c r="G2941" t="s">
        <v>3139</v>
      </c>
      <c r="H2941">
        <v>1</v>
      </c>
      <c r="I2941">
        <v>1</v>
      </c>
      <c r="J2941">
        <v>0</v>
      </c>
      <c r="K2941">
        <v>0</v>
      </c>
      <c r="L2941">
        <v>0</v>
      </c>
    </row>
    <row r="2942" spans="1:12">
      <c r="A2942" t="str">
        <f>HYPERLINK("http://bombeiros.sp.gov.br/hidrantes/03individual/830.html","830")</f>
        <v>830</v>
      </c>
      <c r="B2942" t="str">
        <f>HYPERLINK("http://bombeiros.sp.gov.br/hidrantes/08bsg/qrcodeBSG.html?id=830&amp;lat=-23.52118&amp;long=-46.58154&amp;tipo=C","QRCODE")</f>
        <v>QRCODE</v>
      </c>
      <c r="C2942" t="s">
        <v>5328</v>
      </c>
      <c r="D2942" t="s">
        <v>115</v>
      </c>
      <c r="E2942" t="s">
        <v>355</v>
      </c>
      <c r="F2942" t="s">
        <v>12</v>
      </c>
      <c r="G2942" t="s">
        <v>3140</v>
      </c>
      <c r="H2942">
        <v>1</v>
      </c>
      <c r="I2942">
        <v>1</v>
      </c>
      <c r="J2942">
        <v>0</v>
      </c>
      <c r="K2942">
        <v>0</v>
      </c>
      <c r="L2942">
        <v>0</v>
      </c>
    </row>
    <row r="2943" spans="1:12">
      <c r="A2943" t="str">
        <f>HYPERLINK("http://bombeiros.sp.gov.br/hidrantes/03individual/3241.html","3241")</f>
        <v>3241</v>
      </c>
      <c r="B2943" t="str">
        <f>HYPERLINK("http://bombeiros.sp.gov.br/hidrantes/08bsg/qrcodeBSG.html?id=3241&amp;lat=-23.50826&amp;long=-46.56637&amp;tipo=C","QRCODE")</f>
        <v>QRCODE</v>
      </c>
      <c r="C2943" t="s">
        <v>5328</v>
      </c>
      <c r="D2943" t="s">
        <v>115</v>
      </c>
      <c r="E2943" t="s">
        <v>355</v>
      </c>
      <c r="F2943" t="s">
        <v>12</v>
      </c>
      <c r="G2943" t="s">
        <v>2929</v>
      </c>
      <c r="H2943">
        <v>0</v>
      </c>
      <c r="I2943">
        <v>2</v>
      </c>
      <c r="J2943">
        <v>0</v>
      </c>
      <c r="K2943">
        <v>0</v>
      </c>
      <c r="L2943">
        <v>0</v>
      </c>
    </row>
    <row r="2944" spans="1:12">
      <c r="A2944" t="str">
        <f>HYPERLINK("http://bombeiros.sp.gov.br/hidrantes/03individual/3283.html","3283")</f>
        <v>3283</v>
      </c>
      <c r="B2944" t="str">
        <f>HYPERLINK("http://bombeiros.sp.gov.br/hidrantes/08bsg/qrcodeBSG.html?id=3283&amp;lat=-23.51740&amp;long=-46.56704&amp;tipo=C","QRCODE")</f>
        <v>QRCODE</v>
      </c>
      <c r="C2944" t="s">
        <v>5328</v>
      </c>
      <c r="D2944" t="s">
        <v>115</v>
      </c>
      <c r="E2944" t="s">
        <v>355</v>
      </c>
      <c r="F2944" t="s">
        <v>12</v>
      </c>
      <c r="G2944" t="s">
        <v>2926</v>
      </c>
      <c r="H2944">
        <v>0</v>
      </c>
      <c r="I2944">
        <v>2</v>
      </c>
      <c r="J2944">
        <v>0</v>
      </c>
      <c r="K2944">
        <v>0</v>
      </c>
      <c r="L2944">
        <v>0</v>
      </c>
    </row>
    <row r="2945" spans="1:12">
      <c r="A2945" t="str">
        <f>HYPERLINK("http://bombeiros.sp.gov.br/hidrantes/03individual/27181.html","27181")</f>
        <v>27181</v>
      </c>
      <c r="B2945" t="str">
        <f>HYPERLINK("http://bombeiros.sp.gov.br/hidrantes/08bsg/qrcodeBSG.html?id=27181&amp;lat=-23.52448&amp;long=-46.58126&amp;tipo=C","QRCODE")</f>
        <v>QRCODE</v>
      </c>
      <c r="C2945" t="s">
        <v>5328</v>
      </c>
      <c r="D2945" t="s">
        <v>115</v>
      </c>
      <c r="E2945" t="s">
        <v>355</v>
      </c>
      <c r="F2945" t="s">
        <v>12</v>
      </c>
      <c r="G2945" t="s">
        <v>3503</v>
      </c>
      <c r="H2945">
        <v>0</v>
      </c>
      <c r="I2945">
        <v>1</v>
      </c>
      <c r="J2945">
        <v>0</v>
      </c>
      <c r="K2945">
        <v>0</v>
      </c>
      <c r="L2945">
        <v>0</v>
      </c>
    </row>
    <row r="2946" spans="1:12">
      <c r="A2946" t="str">
        <f>HYPERLINK("http://bombeiros.sp.gov.br/hidrantes/03individual/535.html","535")</f>
        <v>535</v>
      </c>
      <c r="B2946" t="str">
        <f>HYPERLINK("http://bombeiros.sp.gov.br/hidrantes/08bsg/qrcodeBSG.html?id=535&amp;lat=-23.51977&amp;long=-46.56576&amp;tipo=S","QRCODE")</f>
        <v>QRCODE</v>
      </c>
      <c r="C2946" t="s">
        <v>5328</v>
      </c>
      <c r="D2946" t="s">
        <v>115</v>
      </c>
      <c r="E2946" t="s">
        <v>355</v>
      </c>
      <c r="F2946" t="s">
        <v>21</v>
      </c>
      <c r="G2946" t="s">
        <v>1057</v>
      </c>
      <c r="H2946">
        <v>0</v>
      </c>
      <c r="I2946">
        <v>2</v>
      </c>
      <c r="J2946">
        <v>0</v>
      </c>
      <c r="K2946">
        <v>0</v>
      </c>
      <c r="L2946">
        <v>0</v>
      </c>
    </row>
    <row r="2947" spans="1:12">
      <c r="A2947" t="str">
        <f>HYPERLINK("http://bombeiros.sp.gov.br/hidrantes/03individual/544.html","544")</f>
        <v>544</v>
      </c>
      <c r="B2947" t="str">
        <f>HYPERLINK("http://bombeiros.sp.gov.br/hidrantes/08bsg/qrcodeBSG.html?id=544&amp;lat=-23.51910&amp;long=-46.56835&amp;tipo=S","QRCODE")</f>
        <v>QRCODE</v>
      </c>
      <c r="C2947" t="s">
        <v>5328</v>
      </c>
      <c r="D2947" t="s">
        <v>115</v>
      </c>
      <c r="E2947" t="s">
        <v>355</v>
      </c>
      <c r="F2947" t="s">
        <v>21</v>
      </c>
      <c r="G2947" t="s">
        <v>1059</v>
      </c>
      <c r="H2947">
        <v>0</v>
      </c>
      <c r="I2947">
        <v>2</v>
      </c>
      <c r="J2947">
        <v>0</v>
      </c>
      <c r="K2947">
        <v>0</v>
      </c>
      <c r="L2947">
        <v>0</v>
      </c>
    </row>
    <row r="2948" spans="1:12">
      <c r="A2948" t="str">
        <f>HYPERLINK("http://bombeiros.sp.gov.br/hidrantes/03individual/652.html","652")</f>
        <v>652</v>
      </c>
      <c r="B2948" t="str">
        <f>HYPERLINK("http://bombeiros.sp.gov.br/hidrantes/08bsg/qrcodeBSG.html?id=652&amp;lat=-23.51779&amp;long=-46.56306&amp;tipo=S","QRCODE")</f>
        <v>QRCODE</v>
      </c>
      <c r="C2948" t="s">
        <v>5328</v>
      </c>
      <c r="D2948" t="s">
        <v>115</v>
      </c>
      <c r="E2948" t="s">
        <v>355</v>
      </c>
      <c r="F2948" t="s">
        <v>21</v>
      </c>
      <c r="G2948" t="s">
        <v>1055</v>
      </c>
      <c r="H2948">
        <v>0</v>
      </c>
      <c r="I2948">
        <v>2</v>
      </c>
      <c r="J2948">
        <v>0</v>
      </c>
      <c r="K2948">
        <v>0</v>
      </c>
      <c r="L2948">
        <v>0</v>
      </c>
    </row>
    <row r="2949" spans="1:12">
      <c r="A2949" t="str">
        <f>HYPERLINK("http://bombeiros.sp.gov.br/hidrantes/03individual/714.html","714")</f>
        <v>714</v>
      </c>
      <c r="B2949" t="str">
        <f>HYPERLINK("http://bombeiros.sp.gov.br/hidrantes/08bsg/qrcodeBSG.html?id=714&amp;lat=-23.52007&amp;long=-46.57679&amp;tipo=S","QRCODE")</f>
        <v>QRCODE</v>
      </c>
      <c r="C2949" t="s">
        <v>5328</v>
      </c>
      <c r="D2949" t="s">
        <v>115</v>
      </c>
      <c r="E2949" t="s">
        <v>355</v>
      </c>
      <c r="F2949" t="s">
        <v>21</v>
      </c>
      <c r="G2949" t="s">
        <v>4345</v>
      </c>
      <c r="H2949">
        <v>0</v>
      </c>
      <c r="I2949">
        <v>2</v>
      </c>
      <c r="J2949">
        <v>0</v>
      </c>
      <c r="K2949">
        <v>0</v>
      </c>
      <c r="L2949">
        <v>0</v>
      </c>
    </row>
    <row r="2950" spans="1:12">
      <c r="A2950" t="str">
        <f>HYPERLINK("http://bombeiros.sp.gov.br/hidrantes/03individual/760.html","760")</f>
        <v>760</v>
      </c>
      <c r="B2950" t="str">
        <f>HYPERLINK("http://bombeiros.sp.gov.br/hidrantes/08bsg/qrcodeBSG.html?id=760&amp;lat=-23.51630&amp;long=-46.57822&amp;tipo=S","QRCODE")</f>
        <v>QRCODE</v>
      </c>
      <c r="C2950" t="s">
        <v>5328</v>
      </c>
      <c r="D2950" t="s">
        <v>115</v>
      </c>
      <c r="E2950" t="s">
        <v>355</v>
      </c>
      <c r="F2950" t="s">
        <v>21</v>
      </c>
      <c r="G2950" t="s">
        <v>354</v>
      </c>
      <c r="H2950">
        <v>0</v>
      </c>
      <c r="I2950">
        <v>3</v>
      </c>
      <c r="J2950">
        <v>0</v>
      </c>
      <c r="K2950">
        <v>0</v>
      </c>
      <c r="L2950">
        <v>0</v>
      </c>
    </row>
    <row r="2951" spans="1:12">
      <c r="A2951" t="str">
        <f>HYPERLINK("http://bombeiros.sp.gov.br/hidrantes/03individual/920.html","920")</f>
        <v>920</v>
      </c>
      <c r="B2951" t="str">
        <f>HYPERLINK("http://bombeiros.sp.gov.br/hidrantes/08bsg/qrcodeBSG.html?id=920&amp;lat=-23.51346&amp;long=-46.57326&amp;tipo=S","QRCODE")</f>
        <v>QRCODE</v>
      </c>
      <c r="C2951" t="s">
        <v>5328</v>
      </c>
      <c r="D2951" t="s">
        <v>115</v>
      </c>
      <c r="E2951" t="s">
        <v>355</v>
      </c>
      <c r="F2951" t="s">
        <v>21</v>
      </c>
      <c r="G2951" t="s">
        <v>4358</v>
      </c>
      <c r="H2951">
        <v>0</v>
      </c>
      <c r="I2951">
        <v>2</v>
      </c>
      <c r="J2951">
        <v>0</v>
      </c>
      <c r="K2951">
        <v>0</v>
      </c>
      <c r="L2951">
        <v>0</v>
      </c>
    </row>
    <row r="2952" spans="1:12">
      <c r="A2952" t="str">
        <f>HYPERLINK("http://bombeiros.sp.gov.br/hidrantes/03individual/922.html","922")</f>
        <v>922</v>
      </c>
      <c r="B2952" t="str">
        <f>HYPERLINK("http://bombeiros.sp.gov.br/hidrantes/08bsg/qrcodeBSG.html?id=922&amp;lat=-23.52253&amp;long=-46.56892&amp;tipo=S","QRCODE")</f>
        <v>QRCODE</v>
      </c>
      <c r="C2952" t="s">
        <v>5328</v>
      </c>
      <c r="D2952" t="s">
        <v>115</v>
      </c>
      <c r="E2952" t="s">
        <v>355</v>
      </c>
      <c r="F2952" t="s">
        <v>21</v>
      </c>
      <c r="G2952" t="s">
        <v>3699</v>
      </c>
      <c r="H2952">
        <v>0</v>
      </c>
      <c r="I2952">
        <v>1</v>
      </c>
      <c r="J2952">
        <v>0</v>
      </c>
      <c r="K2952">
        <v>0</v>
      </c>
      <c r="L2952">
        <v>0</v>
      </c>
    </row>
    <row r="2953" spans="1:12">
      <c r="A2953" t="str">
        <f>HYPERLINK("http://bombeiros.sp.gov.br/hidrantes/03individual/3177.html","3177")</f>
        <v>3177</v>
      </c>
      <c r="B2953" t="str">
        <f>HYPERLINK("http://bombeiros.sp.gov.br/hidrantes/08bsg/qrcodeBSG.html?id=3177&amp;lat=-23.52572&amp;long=-46.58539&amp;tipo=S","QRCODE")</f>
        <v>QRCODE</v>
      </c>
      <c r="C2953" t="s">
        <v>5328</v>
      </c>
      <c r="D2953" t="s">
        <v>115</v>
      </c>
      <c r="E2953" t="s">
        <v>355</v>
      </c>
      <c r="F2953" t="s">
        <v>21</v>
      </c>
      <c r="G2953" t="s">
        <v>2341</v>
      </c>
      <c r="H2953">
        <v>0</v>
      </c>
      <c r="I2953">
        <v>2</v>
      </c>
      <c r="J2953">
        <v>0</v>
      </c>
      <c r="K2953">
        <v>0</v>
      </c>
      <c r="L2953">
        <v>0</v>
      </c>
    </row>
    <row r="2954" spans="1:12">
      <c r="A2954" t="str">
        <f>HYPERLINK("http://bombeiros.sp.gov.br/hidrantes/03individual/3224.html","3224")</f>
        <v>3224</v>
      </c>
      <c r="B2954" t="str">
        <f>HYPERLINK("http://bombeiros.sp.gov.br/hidrantes/08bsg/qrcodeBSG.html?id=3224&amp;lat=-23.50789&amp;long=-46.56851&amp;tipo=S","QRCODE")</f>
        <v>QRCODE</v>
      </c>
      <c r="C2954" t="s">
        <v>5328</v>
      </c>
      <c r="D2954" t="s">
        <v>115</v>
      </c>
      <c r="E2954" t="s">
        <v>355</v>
      </c>
      <c r="F2954" t="s">
        <v>21</v>
      </c>
      <c r="G2954" t="s">
        <v>4326</v>
      </c>
      <c r="H2954">
        <v>0</v>
      </c>
      <c r="I2954">
        <v>2</v>
      </c>
      <c r="J2954">
        <v>0</v>
      </c>
      <c r="K2954">
        <v>0</v>
      </c>
      <c r="L2954">
        <v>0</v>
      </c>
    </row>
    <row r="2955" spans="1:12">
      <c r="A2955" t="str">
        <f>HYPERLINK("http://bombeiros.sp.gov.br/hidrantes/03individual/3226.html","3226")</f>
        <v>3226</v>
      </c>
      <c r="B2955" t="str">
        <f>HYPERLINK("http://bombeiros.sp.gov.br/hidrantes/08bsg/qrcodeBSG.html?id=3226&amp;lat=-23.50918&amp;long=-46.57054&amp;tipo=S","QRCODE")</f>
        <v>QRCODE</v>
      </c>
      <c r="C2955" t="s">
        <v>5328</v>
      </c>
      <c r="D2955" t="s">
        <v>115</v>
      </c>
      <c r="E2955" t="s">
        <v>355</v>
      </c>
      <c r="F2955" t="s">
        <v>21</v>
      </c>
      <c r="G2955" t="s">
        <v>1110</v>
      </c>
      <c r="H2955">
        <v>0</v>
      </c>
      <c r="I2955">
        <v>2</v>
      </c>
      <c r="J2955">
        <v>0</v>
      </c>
      <c r="K2955">
        <v>0</v>
      </c>
      <c r="L2955">
        <v>0</v>
      </c>
    </row>
    <row r="2956" spans="1:12">
      <c r="A2956" t="str">
        <f>HYPERLINK("http://bombeiros.sp.gov.br/hidrantes/03individual/3243.html","3243")</f>
        <v>3243</v>
      </c>
      <c r="B2956" t="str">
        <f>HYPERLINK("http://bombeiros.sp.gov.br/hidrantes/08bsg/qrcodeBSG.html?id=3243&amp;lat=-23.51086&amp;long=-46.56774&amp;tipo=S","QRCODE")</f>
        <v>QRCODE</v>
      </c>
      <c r="C2956" t="s">
        <v>5328</v>
      </c>
      <c r="D2956" t="s">
        <v>115</v>
      </c>
      <c r="E2956" t="s">
        <v>355</v>
      </c>
      <c r="F2956" t="s">
        <v>21</v>
      </c>
      <c r="G2956" t="s">
        <v>3666</v>
      </c>
      <c r="H2956">
        <v>1</v>
      </c>
      <c r="I2956">
        <v>1</v>
      </c>
      <c r="J2956">
        <v>0</v>
      </c>
      <c r="K2956">
        <v>0</v>
      </c>
      <c r="L2956">
        <v>0</v>
      </c>
    </row>
    <row r="2957" spans="1:12">
      <c r="A2957" t="str">
        <f>HYPERLINK("http://bombeiros.sp.gov.br/hidrantes/03individual/3245.html","3245")</f>
        <v>3245</v>
      </c>
      <c r="B2957" t="str">
        <f>HYPERLINK("http://bombeiros.sp.gov.br/hidrantes/08bsg/qrcodeBSG.html?id=3245&amp;lat=-23.51311&amp;long=-46.56817&amp;tipo=S","QRCODE")</f>
        <v>QRCODE</v>
      </c>
      <c r="C2957" t="s">
        <v>5328</v>
      </c>
      <c r="D2957" t="s">
        <v>115</v>
      </c>
      <c r="E2957" t="s">
        <v>355</v>
      </c>
      <c r="F2957" t="s">
        <v>21</v>
      </c>
      <c r="G2957" t="s">
        <v>3667</v>
      </c>
      <c r="H2957">
        <v>1</v>
      </c>
      <c r="I2957">
        <v>1</v>
      </c>
      <c r="J2957">
        <v>0</v>
      </c>
      <c r="K2957">
        <v>0</v>
      </c>
      <c r="L2957">
        <v>0</v>
      </c>
    </row>
    <row r="2958" spans="1:12">
      <c r="A2958" t="str">
        <f>HYPERLINK("http://bombeiros.sp.gov.br/hidrantes/03individual/3253.html","3253")</f>
        <v>3253</v>
      </c>
      <c r="B2958" t="str">
        <f>HYPERLINK("http://bombeiros.sp.gov.br/hidrantes/08bsg/qrcodeBSG.html?id=3253&amp;lat=-23.51520&amp;long=-46.56636&amp;tipo=S","QRCODE")</f>
        <v>QRCODE</v>
      </c>
      <c r="C2958" t="s">
        <v>5328</v>
      </c>
      <c r="D2958" t="s">
        <v>115</v>
      </c>
      <c r="E2958" t="s">
        <v>355</v>
      </c>
      <c r="F2958" t="s">
        <v>21</v>
      </c>
      <c r="G2958" t="s">
        <v>3665</v>
      </c>
      <c r="H2958">
        <v>0</v>
      </c>
      <c r="I2958">
        <v>1</v>
      </c>
      <c r="J2958">
        <v>0</v>
      </c>
      <c r="K2958">
        <v>0</v>
      </c>
      <c r="L2958">
        <v>0</v>
      </c>
    </row>
    <row r="2959" spans="1:12">
      <c r="A2959" t="str">
        <f>HYPERLINK("http://bombeiros.sp.gov.br/hidrantes/03individual/3254.html","3254")</f>
        <v>3254</v>
      </c>
      <c r="B2959" t="str">
        <f>HYPERLINK("http://bombeiros.sp.gov.br/hidrantes/08bsg/qrcodeBSG.html?id=3254&amp;lat=-23.51563&amp;long=-46.56777&amp;tipo=S","QRCODE")</f>
        <v>QRCODE</v>
      </c>
      <c r="C2959" t="s">
        <v>5328</v>
      </c>
      <c r="D2959" t="s">
        <v>115</v>
      </c>
      <c r="E2959" t="s">
        <v>355</v>
      </c>
      <c r="F2959" t="s">
        <v>21</v>
      </c>
      <c r="G2959" t="s">
        <v>5186</v>
      </c>
      <c r="H2959">
        <v>0</v>
      </c>
      <c r="I2959">
        <v>1</v>
      </c>
      <c r="J2959">
        <v>0</v>
      </c>
      <c r="K2959">
        <v>0</v>
      </c>
      <c r="L2959">
        <v>0</v>
      </c>
    </row>
    <row r="2960" spans="1:12">
      <c r="A2960" t="str">
        <f>HYPERLINK("http://bombeiros.sp.gov.br/hidrantes/03individual/3256.html","3256")</f>
        <v>3256</v>
      </c>
      <c r="B2960" t="str">
        <f>HYPERLINK("http://bombeiros.sp.gov.br/hidrantes/08bsg/qrcodeBSG.html?id=3256&amp;lat=-23.51478&amp;long=-46.57005&amp;tipo=S","QRCODE")</f>
        <v>QRCODE</v>
      </c>
      <c r="C2960" t="s">
        <v>5328</v>
      </c>
      <c r="D2960" t="s">
        <v>115</v>
      </c>
      <c r="E2960" t="s">
        <v>355</v>
      </c>
      <c r="F2960" t="s">
        <v>21</v>
      </c>
      <c r="G2960" t="s">
        <v>2924</v>
      </c>
      <c r="H2960">
        <v>0</v>
      </c>
      <c r="I2960">
        <v>2</v>
      </c>
      <c r="J2960">
        <v>0</v>
      </c>
      <c r="K2960">
        <v>0</v>
      </c>
      <c r="L2960">
        <v>0</v>
      </c>
    </row>
    <row r="2961" spans="1:12">
      <c r="A2961" t="str">
        <f>HYPERLINK("http://bombeiros.sp.gov.br/hidrantes/03individual/3259.html","3259")</f>
        <v>3259</v>
      </c>
      <c r="B2961" t="str">
        <f>HYPERLINK("http://bombeiros.sp.gov.br/hidrantes/08bsg/qrcodeBSG.html?id=3259&amp;lat=-23.51282&amp;long=-46.57144&amp;tipo=S","QRCODE")</f>
        <v>QRCODE</v>
      </c>
      <c r="C2961" t="s">
        <v>5328</v>
      </c>
      <c r="D2961" t="s">
        <v>115</v>
      </c>
      <c r="E2961" t="s">
        <v>355</v>
      </c>
      <c r="F2961" t="s">
        <v>21</v>
      </c>
      <c r="G2961" t="s">
        <v>3200</v>
      </c>
      <c r="H2961">
        <v>0</v>
      </c>
      <c r="I2961">
        <v>2</v>
      </c>
      <c r="J2961">
        <v>0</v>
      </c>
      <c r="K2961">
        <v>0</v>
      </c>
      <c r="L2961">
        <v>0</v>
      </c>
    </row>
    <row r="2962" spans="1:12">
      <c r="A2962" t="str">
        <f>HYPERLINK("http://bombeiros.sp.gov.br/hidrantes/03individual/3261.html","3261")</f>
        <v>3261</v>
      </c>
      <c r="B2962" t="str">
        <f>HYPERLINK("http://bombeiros.sp.gov.br/hidrantes/08bsg/qrcodeBSG.html?id=3261&amp;lat=-23.51217&amp;long=-46.56343&amp;tipo=S","QRCODE")</f>
        <v>QRCODE</v>
      </c>
      <c r="C2962" t="s">
        <v>5328</v>
      </c>
      <c r="D2962" t="s">
        <v>115</v>
      </c>
      <c r="E2962" t="s">
        <v>355</v>
      </c>
      <c r="F2962" t="s">
        <v>21</v>
      </c>
      <c r="G2962" t="s">
        <v>2925</v>
      </c>
      <c r="H2962">
        <v>0</v>
      </c>
      <c r="I2962">
        <v>2</v>
      </c>
      <c r="J2962">
        <v>0</v>
      </c>
      <c r="K2962">
        <v>0</v>
      </c>
      <c r="L2962">
        <v>0</v>
      </c>
    </row>
    <row r="2963" spans="1:12">
      <c r="A2963" t="str">
        <f>HYPERLINK("http://bombeiros.sp.gov.br/hidrantes/03individual/3262.html","3262")</f>
        <v>3262</v>
      </c>
      <c r="B2963" t="str">
        <f>HYPERLINK("http://bombeiros.sp.gov.br/hidrantes/08bsg/qrcodeBSG.html?id=3262&amp;lat=-23.51368&amp;long=-46.56376&amp;tipo=S","QRCODE")</f>
        <v>QRCODE</v>
      </c>
      <c r="C2963" t="s">
        <v>5328</v>
      </c>
      <c r="D2963" t="s">
        <v>115</v>
      </c>
      <c r="E2963" t="s">
        <v>355</v>
      </c>
      <c r="F2963" t="s">
        <v>21</v>
      </c>
      <c r="G2963" t="s">
        <v>1108</v>
      </c>
      <c r="H2963">
        <v>0</v>
      </c>
      <c r="I2963">
        <v>2</v>
      </c>
      <c r="J2963">
        <v>0</v>
      </c>
      <c r="K2963">
        <v>0</v>
      </c>
      <c r="L2963">
        <v>0</v>
      </c>
    </row>
    <row r="2964" spans="1:12">
      <c r="A2964" t="str">
        <f>HYPERLINK("http://bombeiros.sp.gov.br/hidrantes/03individual/3263.html","3263")</f>
        <v>3263</v>
      </c>
      <c r="B2964" t="str">
        <f>HYPERLINK("http://bombeiros.sp.gov.br/hidrantes/08bsg/qrcodeBSG.html?id=3263&amp;lat=-23.51631&amp;long=-46.56434&amp;tipo=S","QRCODE")</f>
        <v>QRCODE</v>
      </c>
      <c r="C2964" t="s">
        <v>5328</v>
      </c>
      <c r="D2964" t="s">
        <v>115</v>
      </c>
      <c r="E2964" t="s">
        <v>355</v>
      </c>
      <c r="F2964" t="s">
        <v>21</v>
      </c>
      <c r="G2964" t="s">
        <v>1109</v>
      </c>
      <c r="H2964">
        <v>0</v>
      </c>
      <c r="I2964">
        <v>2</v>
      </c>
      <c r="J2964">
        <v>0</v>
      </c>
      <c r="K2964">
        <v>0</v>
      </c>
      <c r="L2964">
        <v>0</v>
      </c>
    </row>
    <row r="2965" spans="1:12">
      <c r="A2965" t="str">
        <f>HYPERLINK("http://bombeiros.sp.gov.br/hidrantes/03individual/3276.html","3276")</f>
        <v>3276</v>
      </c>
      <c r="B2965" t="str">
        <f>HYPERLINK("http://bombeiros.sp.gov.br/hidrantes/08bsg/qrcodeBSG.html?id=3276&amp;lat=-23.52088&amp;long=-46.56650&amp;tipo=S","QRCODE")</f>
        <v>QRCODE</v>
      </c>
      <c r="C2965" t="s">
        <v>5328</v>
      </c>
      <c r="D2965" t="s">
        <v>115</v>
      </c>
      <c r="E2965" t="s">
        <v>355</v>
      </c>
      <c r="F2965" t="s">
        <v>21</v>
      </c>
      <c r="G2965" t="s">
        <v>5095</v>
      </c>
      <c r="H2965">
        <v>0</v>
      </c>
      <c r="I2965">
        <v>1</v>
      </c>
      <c r="J2965">
        <v>0</v>
      </c>
      <c r="K2965">
        <v>0</v>
      </c>
      <c r="L2965">
        <v>0</v>
      </c>
    </row>
    <row r="2966" spans="1:12">
      <c r="A2966" t="str">
        <f>HYPERLINK("http://bombeiros.sp.gov.br/hidrantes/03individual/17737.html","17737")</f>
        <v>17737</v>
      </c>
      <c r="B2966" t="str">
        <f>HYPERLINK("http://bombeiros.sp.gov.br/hidrantes/08bsg/qrcodeBSG.html?id=17737&amp;lat=-23.52710&amp;long=-46.58373&amp;tipo=S","QRCODE")</f>
        <v>QRCODE</v>
      </c>
      <c r="C2966" t="s">
        <v>5328</v>
      </c>
      <c r="D2966" t="s">
        <v>115</v>
      </c>
      <c r="E2966" t="s">
        <v>355</v>
      </c>
      <c r="F2966" t="s">
        <v>21</v>
      </c>
      <c r="G2966" t="s">
        <v>4871</v>
      </c>
      <c r="H2966">
        <v>1</v>
      </c>
      <c r="I2966">
        <v>2</v>
      </c>
      <c r="J2966">
        <v>0</v>
      </c>
      <c r="K2966">
        <v>0</v>
      </c>
      <c r="L2966">
        <v>0</v>
      </c>
    </row>
    <row r="2967" spans="1:12">
      <c r="A2967" t="str">
        <f>HYPERLINK("http://bombeiros.sp.gov.br/hidrantes/03individual/724.html","724")</f>
        <v>724</v>
      </c>
      <c r="B2967" t="str">
        <f>HYPERLINK("http://bombeiros.sp.gov.br/hidrantes/08bsg/qrcodeBSG.html?id=724&amp;lat=-23.51853&amp;long=-46.59016&amp;tipo=C","QRCODE")</f>
        <v>QRCODE</v>
      </c>
      <c r="C2967" t="s">
        <v>5328</v>
      </c>
      <c r="D2967" t="s">
        <v>115</v>
      </c>
      <c r="E2967" t="s">
        <v>115</v>
      </c>
      <c r="F2967" t="s">
        <v>12</v>
      </c>
      <c r="G2967" t="s">
        <v>3570</v>
      </c>
      <c r="H2967">
        <v>1</v>
      </c>
      <c r="I2967">
        <v>1</v>
      </c>
      <c r="J2967">
        <v>0</v>
      </c>
      <c r="K2967">
        <v>0</v>
      </c>
      <c r="L2967">
        <v>0</v>
      </c>
    </row>
    <row r="2968" spans="1:12">
      <c r="A2968" t="str">
        <f>HYPERLINK("http://bombeiros.sp.gov.br/hidrantes/03individual/1037.html","1037")</f>
        <v>1037</v>
      </c>
      <c r="B2968" t="str">
        <f>HYPERLINK("http://bombeiros.sp.gov.br/hidrantes/08bsg/qrcodeBSG.html?id=1037&amp;lat=-23.52189&amp;long=-46.59410&amp;tipo=C","QRCODE")</f>
        <v>QRCODE</v>
      </c>
      <c r="C2968" t="s">
        <v>5328</v>
      </c>
      <c r="D2968" t="s">
        <v>115</v>
      </c>
      <c r="E2968" t="s">
        <v>115</v>
      </c>
      <c r="F2968" t="s">
        <v>12</v>
      </c>
      <c r="G2968" t="s">
        <v>3155</v>
      </c>
      <c r="H2968">
        <v>3</v>
      </c>
      <c r="I2968">
        <v>1</v>
      </c>
      <c r="J2968">
        <v>0</v>
      </c>
      <c r="K2968">
        <v>0</v>
      </c>
      <c r="L2968">
        <v>0</v>
      </c>
    </row>
    <row r="2969" spans="1:12">
      <c r="A2969" t="str">
        <f>HYPERLINK("http://bombeiros.sp.gov.br/hidrantes/03individual/1039.html","1039")</f>
        <v>1039</v>
      </c>
      <c r="B2969" t="str">
        <f>HYPERLINK("http://bombeiros.sp.gov.br/hidrantes/08bsg/qrcodeBSG.html?id=1039&amp;lat=-23.52134&amp;long=-46.59493&amp;tipo=C","QRCODE")</f>
        <v>QRCODE</v>
      </c>
      <c r="C2969" t="s">
        <v>5328</v>
      </c>
      <c r="D2969" t="s">
        <v>115</v>
      </c>
      <c r="E2969" t="s">
        <v>115</v>
      </c>
      <c r="F2969" t="s">
        <v>12</v>
      </c>
      <c r="G2969" t="s">
        <v>2387</v>
      </c>
      <c r="H2969">
        <v>2</v>
      </c>
      <c r="I2969">
        <v>2</v>
      </c>
      <c r="J2969">
        <v>0</v>
      </c>
      <c r="K2969">
        <v>0</v>
      </c>
      <c r="L2969">
        <v>0</v>
      </c>
    </row>
    <row r="2970" spans="1:12">
      <c r="A2970" t="str">
        <f>HYPERLINK("http://bombeiros.sp.gov.br/hidrantes/03individual/1040.html","1040")</f>
        <v>1040</v>
      </c>
      <c r="B2970" t="str">
        <f>HYPERLINK("http://bombeiros.sp.gov.br/hidrantes/08bsg/qrcodeBSG.html?id=1040&amp;lat=-23.52097&amp;long=-46.59525&amp;tipo=C","QRCODE")</f>
        <v>QRCODE</v>
      </c>
      <c r="C2970" t="s">
        <v>5328</v>
      </c>
      <c r="D2970" t="s">
        <v>115</v>
      </c>
      <c r="E2970" t="s">
        <v>115</v>
      </c>
      <c r="F2970" t="s">
        <v>12</v>
      </c>
      <c r="G2970" t="s">
        <v>2388</v>
      </c>
      <c r="H2970">
        <v>0</v>
      </c>
      <c r="I2970">
        <v>2</v>
      </c>
      <c r="J2970">
        <v>0</v>
      </c>
      <c r="K2970">
        <v>0</v>
      </c>
      <c r="L2970">
        <v>0</v>
      </c>
    </row>
    <row r="2971" spans="1:12">
      <c r="A2971" t="str">
        <f>HYPERLINK("http://bombeiros.sp.gov.br/hidrantes/03individual/1042.html","1042")</f>
        <v>1042</v>
      </c>
      <c r="B2971" t="str">
        <f>HYPERLINK("http://bombeiros.sp.gov.br/hidrantes/08bsg/qrcodeBSG.html?id=1042&amp;lat=-23.52424&amp;long=-46.58991&amp;tipo=C","QRCODE")</f>
        <v>QRCODE</v>
      </c>
      <c r="C2971" t="s">
        <v>5328</v>
      </c>
      <c r="D2971" t="s">
        <v>115</v>
      </c>
      <c r="E2971" t="s">
        <v>115</v>
      </c>
      <c r="F2971" t="s">
        <v>12</v>
      </c>
      <c r="G2971" t="s">
        <v>2386</v>
      </c>
      <c r="H2971">
        <v>0</v>
      </c>
      <c r="I2971">
        <v>2</v>
      </c>
      <c r="J2971">
        <v>0</v>
      </c>
      <c r="K2971">
        <v>0</v>
      </c>
      <c r="L2971">
        <v>0</v>
      </c>
    </row>
    <row r="2972" spans="1:12">
      <c r="A2972" t="str">
        <f>HYPERLINK("http://bombeiros.sp.gov.br/hidrantes/03individual/1043.html","1043")</f>
        <v>1043</v>
      </c>
      <c r="B2972" t="str">
        <f>HYPERLINK("http://bombeiros.sp.gov.br/hidrantes/08bsg/qrcodeBSG.html?id=1043&amp;lat=-23.52145&amp;long=-46.58630&amp;tipo=C","QRCODE")</f>
        <v>QRCODE</v>
      </c>
      <c r="C2972" t="s">
        <v>5328</v>
      </c>
      <c r="D2972" t="s">
        <v>115</v>
      </c>
      <c r="E2972" t="s">
        <v>115</v>
      </c>
      <c r="F2972" t="s">
        <v>12</v>
      </c>
      <c r="G2972" t="s">
        <v>2389</v>
      </c>
      <c r="H2972">
        <v>0</v>
      </c>
      <c r="I2972">
        <v>2</v>
      </c>
      <c r="J2972">
        <v>0</v>
      </c>
      <c r="K2972">
        <v>0</v>
      </c>
      <c r="L2972">
        <v>0</v>
      </c>
    </row>
    <row r="2973" spans="1:12">
      <c r="A2973" t="str">
        <f>HYPERLINK("http://bombeiros.sp.gov.br/hidrantes/03individual/3091.html","3091")</f>
        <v>3091</v>
      </c>
      <c r="B2973" t="str">
        <f>HYPERLINK("http://bombeiros.sp.gov.br/hidrantes/08bsg/qrcodeBSG.html?id=3091&amp;lat=-23.51611&amp;long=-46.59376&amp;tipo=C","QRCODE")</f>
        <v>QRCODE</v>
      </c>
      <c r="C2973" t="s">
        <v>5328</v>
      </c>
      <c r="D2973" t="s">
        <v>115</v>
      </c>
      <c r="E2973" t="s">
        <v>115</v>
      </c>
      <c r="F2973" t="s">
        <v>12</v>
      </c>
      <c r="G2973" t="s">
        <v>3107</v>
      </c>
      <c r="H2973">
        <v>1</v>
      </c>
      <c r="I2973">
        <v>1</v>
      </c>
      <c r="J2973">
        <v>0</v>
      </c>
      <c r="K2973">
        <v>0</v>
      </c>
      <c r="L2973">
        <v>0</v>
      </c>
    </row>
    <row r="2974" spans="1:12">
      <c r="A2974" t="str">
        <f>HYPERLINK("http://bombeiros.sp.gov.br/hidrantes/03individual/3165.html","3165")</f>
        <v>3165</v>
      </c>
      <c r="B2974" t="str">
        <f>HYPERLINK("http://bombeiros.sp.gov.br/hidrantes/08bsg/qrcodeBSG.html?id=3165&amp;lat=-23.51574&amp;long=-46.58735&amp;tipo=C","QRCODE")</f>
        <v>QRCODE</v>
      </c>
      <c r="C2974" t="s">
        <v>5328</v>
      </c>
      <c r="D2974" t="s">
        <v>115</v>
      </c>
      <c r="E2974" t="s">
        <v>115</v>
      </c>
      <c r="F2974" t="s">
        <v>12</v>
      </c>
      <c r="G2974" t="s">
        <v>2338</v>
      </c>
      <c r="H2974">
        <v>0</v>
      </c>
      <c r="I2974">
        <v>2</v>
      </c>
      <c r="J2974">
        <v>0</v>
      </c>
      <c r="K2974">
        <v>0</v>
      </c>
      <c r="L2974">
        <v>0</v>
      </c>
    </row>
    <row r="2975" spans="1:12">
      <c r="A2975" t="str">
        <f>HYPERLINK("http://bombeiros.sp.gov.br/hidrantes/03individual/26298.html","26298")</f>
        <v>26298</v>
      </c>
      <c r="B2975" t="str">
        <f>HYPERLINK("http://bombeiros.sp.gov.br/hidrantes/08bsg/qrcodeBSG.html?id=26298&amp;lat=-23.52666&amp;long=-46.59456&amp;tipo=C","QRCODE")</f>
        <v>QRCODE</v>
      </c>
      <c r="C2975" t="s">
        <v>5328</v>
      </c>
      <c r="D2975" t="s">
        <v>115</v>
      </c>
      <c r="E2975" t="s">
        <v>115</v>
      </c>
      <c r="F2975" t="s">
        <v>12</v>
      </c>
      <c r="G2975" t="s">
        <v>2324</v>
      </c>
      <c r="H2975">
        <v>0</v>
      </c>
      <c r="I2975">
        <v>2</v>
      </c>
      <c r="J2975">
        <v>0</v>
      </c>
      <c r="K2975">
        <v>0</v>
      </c>
      <c r="L2975">
        <v>0</v>
      </c>
    </row>
    <row r="2976" spans="1:12">
      <c r="A2976" t="str">
        <f>HYPERLINK("http://bombeiros.sp.gov.br/hidrantes/03individual/26439.html","26439")</f>
        <v>26439</v>
      </c>
      <c r="B2976" t="str">
        <f>HYPERLINK("http://bombeiros.sp.gov.br/hidrantes/08bsg/qrcodeBSG.html?id=26439&amp;lat=-23.52693&amp;long=-46.59354&amp;tipo=C","QRCODE")</f>
        <v>QRCODE</v>
      </c>
      <c r="C2976" t="s">
        <v>5328</v>
      </c>
      <c r="D2976" t="s">
        <v>115</v>
      </c>
      <c r="E2976" t="s">
        <v>115</v>
      </c>
      <c r="F2976" t="s">
        <v>12</v>
      </c>
      <c r="G2976" t="s">
        <v>4317</v>
      </c>
      <c r="H2976">
        <v>0</v>
      </c>
      <c r="I2976">
        <v>1</v>
      </c>
      <c r="J2976">
        <v>0</v>
      </c>
      <c r="K2976">
        <v>0</v>
      </c>
      <c r="L2976">
        <v>0</v>
      </c>
    </row>
    <row r="2977" spans="1:12">
      <c r="A2977" t="str">
        <f>HYPERLINK("http://bombeiros.sp.gov.br/hidrantes/03individual/27315.html","27315")</f>
        <v>27315</v>
      </c>
      <c r="B2977" t="str">
        <f>HYPERLINK("http://bombeiros.sp.gov.br/hidrantes/08bsg/qrcodeBSG.html?id=27315&amp;lat=-23.52266&amp;long=-46.59588&amp;tipo=C","QRCODE")</f>
        <v>QRCODE</v>
      </c>
      <c r="C2977" t="s">
        <v>5328</v>
      </c>
      <c r="D2977" t="s">
        <v>115</v>
      </c>
      <c r="E2977" t="s">
        <v>115</v>
      </c>
      <c r="F2977" t="s">
        <v>12</v>
      </c>
      <c r="G2977" t="s">
        <v>5349</v>
      </c>
      <c r="H2977">
        <v>0</v>
      </c>
      <c r="I2977">
        <v>0</v>
      </c>
      <c r="J2977">
        <v>0</v>
      </c>
      <c r="K2977">
        <v>0</v>
      </c>
      <c r="L2977">
        <v>0</v>
      </c>
    </row>
    <row r="2978" spans="1:12">
      <c r="A2978" t="str">
        <f>HYPERLINK("http://bombeiros.sp.gov.br/hidrantes/03individual/569.html","569")</f>
        <v>569</v>
      </c>
      <c r="B2978" t="str">
        <f>HYPERLINK("http://bombeiros.sp.gov.br/hidrantes/08bsg/qrcodeBSG.html?id=569&amp;lat=-23.51472&amp;long=-46.58244&amp;tipo=S","QRCODE")</f>
        <v>QRCODE</v>
      </c>
      <c r="C2978" t="s">
        <v>5328</v>
      </c>
      <c r="D2978" t="s">
        <v>115</v>
      </c>
      <c r="E2978" t="s">
        <v>115</v>
      </c>
      <c r="F2978" t="s">
        <v>21</v>
      </c>
      <c r="G2978" t="s">
        <v>4351</v>
      </c>
      <c r="H2978">
        <v>0</v>
      </c>
      <c r="I2978">
        <v>2</v>
      </c>
      <c r="J2978">
        <v>0</v>
      </c>
      <c r="K2978">
        <v>0</v>
      </c>
      <c r="L2978">
        <v>0</v>
      </c>
    </row>
    <row r="2979" spans="1:12">
      <c r="A2979" t="str">
        <f>HYPERLINK("http://bombeiros.sp.gov.br/hidrantes/03individual/616.html","616")</f>
        <v>616</v>
      </c>
      <c r="B2979" t="str">
        <f>HYPERLINK("http://bombeiros.sp.gov.br/hidrantes/08bsg/qrcodeBSG.html?id=616&amp;lat=-23.51270&amp;long=-46.59110&amp;tipo=S","QRCODE")</f>
        <v>QRCODE</v>
      </c>
      <c r="C2979" t="s">
        <v>5328</v>
      </c>
      <c r="D2979" t="s">
        <v>115</v>
      </c>
      <c r="E2979" t="s">
        <v>115</v>
      </c>
      <c r="F2979" t="s">
        <v>21</v>
      </c>
      <c r="G2979" t="s">
        <v>369</v>
      </c>
      <c r="H2979">
        <v>1</v>
      </c>
      <c r="I2979">
        <v>2</v>
      </c>
      <c r="J2979">
        <v>0</v>
      </c>
      <c r="K2979">
        <v>0</v>
      </c>
      <c r="L2979">
        <v>0</v>
      </c>
    </row>
    <row r="2980" spans="1:12">
      <c r="A2980" t="str">
        <f>HYPERLINK("http://bombeiros.sp.gov.br/hidrantes/03individual/617.html","617")</f>
        <v>617</v>
      </c>
      <c r="B2980" t="str">
        <f>HYPERLINK("http://bombeiros.sp.gov.br/hidrantes/08bsg/qrcodeBSG.html?id=617&amp;lat=-23.51381&amp;long=-46.59441&amp;tipo=S","QRCODE")</f>
        <v>QRCODE</v>
      </c>
      <c r="C2980" t="s">
        <v>5328</v>
      </c>
      <c r="D2980" t="s">
        <v>115</v>
      </c>
      <c r="E2980" t="s">
        <v>115</v>
      </c>
      <c r="F2980" t="s">
        <v>21</v>
      </c>
      <c r="G2980" t="s">
        <v>370</v>
      </c>
      <c r="H2980">
        <v>0</v>
      </c>
      <c r="I2980">
        <v>3</v>
      </c>
      <c r="J2980">
        <v>0</v>
      </c>
      <c r="K2980">
        <v>0</v>
      </c>
      <c r="L2980">
        <v>0</v>
      </c>
    </row>
    <row r="2981" spans="1:12">
      <c r="A2981" t="str">
        <f>HYPERLINK("http://bombeiros.sp.gov.br/hidrantes/03individual/618.html","618")</f>
        <v>618</v>
      </c>
      <c r="B2981" t="str">
        <f>HYPERLINK("http://bombeiros.sp.gov.br/hidrantes/08bsg/qrcodeBSG.html?id=618&amp;lat=-23.51898&amp;long=-46.58721&amp;tipo=S","QRCODE")</f>
        <v>QRCODE</v>
      </c>
      <c r="C2981" t="s">
        <v>5328</v>
      </c>
      <c r="D2981" t="s">
        <v>115</v>
      </c>
      <c r="E2981" t="s">
        <v>115</v>
      </c>
      <c r="F2981" t="s">
        <v>21</v>
      </c>
      <c r="G2981" t="s">
        <v>371</v>
      </c>
      <c r="H2981">
        <v>2</v>
      </c>
      <c r="I2981">
        <v>2</v>
      </c>
      <c r="J2981">
        <v>0</v>
      </c>
      <c r="K2981">
        <v>0</v>
      </c>
      <c r="L2981">
        <v>0</v>
      </c>
    </row>
    <row r="2982" spans="1:12">
      <c r="A2982" t="str">
        <f>HYPERLINK("http://bombeiros.sp.gov.br/hidrantes/03individual/632.html","632")</f>
        <v>632</v>
      </c>
      <c r="B2982" t="str">
        <f>HYPERLINK("http://bombeiros.sp.gov.br/hidrantes/08bsg/qrcodeBSG.html?id=632&amp;lat=-23.51473&amp;long=-46.58521&amp;tipo=S","QRCODE")</f>
        <v>QRCODE</v>
      </c>
      <c r="C2982" t="s">
        <v>5328</v>
      </c>
      <c r="D2982" t="s">
        <v>115</v>
      </c>
      <c r="E2982" t="s">
        <v>115</v>
      </c>
      <c r="F2982" t="s">
        <v>21</v>
      </c>
      <c r="G2982" t="s">
        <v>368</v>
      </c>
      <c r="H2982">
        <v>1</v>
      </c>
      <c r="I2982">
        <v>2</v>
      </c>
      <c r="J2982">
        <v>0</v>
      </c>
      <c r="K2982">
        <v>0</v>
      </c>
      <c r="L2982">
        <v>0</v>
      </c>
    </row>
    <row r="2983" spans="1:12">
      <c r="A2983" t="str">
        <f>HYPERLINK("http://bombeiros.sp.gov.br/hidrantes/03individual/633.html","633")</f>
        <v>633</v>
      </c>
      <c r="B2983" t="str">
        <f>HYPERLINK("http://bombeiros.sp.gov.br/hidrantes/08bsg/qrcodeBSG.html?id=633&amp;lat=-23.51682&amp;long=-46.58207&amp;tipo=S","QRCODE")</f>
        <v>QRCODE</v>
      </c>
      <c r="C2983" t="s">
        <v>5328</v>
      </c>
      <c r="D2983" t="s">
        <v>115</v>
      </c>
      <c r="E2983" t="s">
        <v>115</v>
      </c>
      <c r="F2983" t="s">
        <v>21</v>
      </c>
      <c r="G2983" t="s">
        <v>4356</v>
      </c>
      <c r="H2983">
        <v>0</v>
      </c>
      <c r="I2983">
        <v>2</v>
      </c>
      <c r="J2983">
        <v>0</v>
      </c>
      <c r="K2983">
        <v>0</v>
      </c>
      <c r="L2983">
        <v>0</v>
      </c>
    </row>
    <row r="2984" spans="1:12">
      <c r="A2984" t="str">
        <f>HYPERLINK("http://bombeiros.sp.gov.br/hidrantes/03individual/645.html","645")</f>
        <v>645</v>
      </c>
      <c r="B2984" t="str">
        <f>HYPERLINK("http://bombeiros.sp.gov.br/hidrantes/08bsg/qrcodeBSG.html?id=645&amp;lat=-23.51744&amp;long=-46.58913&amp;tipo=S","QRCODE")</f>
        <v>QRCODE</v>
      </c>
      <c r="C2984" t="s">
        <v>5328</v>
      </c>
      <c r="D2984" t="s">
        <v>115</v>
      </c>
      <c r="E2984" t="s">
        <v>115</v>
      </c>
      <c r="F2984" t="s">
        <v>21</v>
      </c>
      <c r="G2984" t="s">
        <v>367</v>
      </c>
      <c r="H2984">
        <v>1</v>
      </c>
      <c r="I2984">
        <v>3</v>
      </c>
      <c r="J2984">
        <v>0</v>
      </c>
      <c r="K2984">
        <v>0</v>
      </c>
      <c r="L2984">
        <v>0</v>
      </c>
    </row>
    <row r="2985" spans="1:12">
      <c r="A2985" t="str">
        <f>HYPERLINK("http://bombeiros.sp.gov.br/hidrantes/03individual/649.html","649")</f>
        <v>649</v>
      </c>
      <c r="B2985" t="str">
        <f>HYPERLINK("http://bombeiros.sp.gov.br/hidrantes/08bsg/qrcodeBSG.html?id=649&amp;lat=-23.51077&amp;long=-46.59060&amp;tipo=S","QRCODE")</f>
        <v>QRCODE</v>
      </c>
      <c r="C2985" t="s">
        <v>5328</v>
      </c>
      <c r="D2985" t="s">
        <v>115</v>
      </c>
      <c r="E2985" t="s">
        <v>115</v>
      </c>
      <c r="F2985" t="s">
        <v>21</v>
      </c>
      <c r="G2985" t="s">
        <v>362</v>
      </c>
      <c r="H2985">
        <v>0</v>
      </c>
      <c r="I2985">
        <v>3</v>
      </c>
      <c r="J2985">
        <v>0</v>
      </c>
      <c r="K2985">
        <v>0</v>
      </c>
      <c r="L2985">
        <v>0</v>
      </c>
    </row>
    <row r="2986" spans="1:12">
      <c r="A2986" t="str">
        <f>HYPERLINK("http://bombeiros.sp.gov.br/hidrantes/03individual/650.html","650")</f>
        <v>650</v>
      </c>
      <c r="B2986" t="str">
        <f>HYPERLINK("http://bombeiros.sp.gov.br/hidrantes/08bsg/qrcodeBSG.html?id=650&amp;lat=-23.51388&amp;long=-46.58592&amp;tipo=S","QRCODE")</f>
        <v>QRCODE</v>
      </c>
      <c r="C2986" t="s">
        <v>5328</v>
      </c>
      <c r="D2986" t="s">
        <v>115</v>
      </c>
      <c r="E2986" t="s">
        <v>115</v>
      </c>
      <c r="F2986" t="s">
        <v>21</v>
      </c>
      <c r="G2986" t="s">
        <v>4591</v>
      </c>
      <c r="H2986">
        <v>2</v>
      </c>
      <c r="I2986">
        <v>1</v>
      </c>
      <c r="J2986">
        <v>0</v>
      </c>
      <c r="K2986">
        <v>0</v>
      </c>
      <c r="L2986">
        <v>0</v>
      </c>
    </row>
    <row r="2987" spans="1:12">
      <c r="A2987" t="str">
        <f>HYPERLINK("http://bombeiros.sp.gov.br/hidrantes/03individual/651.html","651")</f>
        <v>651</v>
      </c>
      <c r="B2987" t="str">
        <f>HYPERLINK("http://bombeiros.sp.gov.br/hidrantes/08bsg/qrcodeBSG.html?id=651&amp;lat=-23.51975&amp;long=-46.59112&amp;tipo=S","QRCODE")</f>
        <v>QRCODE</v>
      </c>
      <c r="C2987" t="s">
        <v>5328</v>
      </c>
      <c r="D2987" t="s">
        <v>115</v>
      </c>
      <c r="E2987" t="s">
        <v>115</v>
      </c>
      <c r="F2987" t="s">
        <v>21</v>
      </c>
      <c r="G2987" t="s">
        <v>363</v>
      </c>
      <c r="H2987">
        <v>0</v>
      </c>
      <c r="I2987">
        <v>3</v>
      </c>
      <c r="J2987">
        <v>0</v>
      </c>
      <c r="K2987">
        <v>0</v>
      </c>
      <c r="L2987">
        <v>0</v>
      </c>
    </row>
    <row r="2988" spans="1:12">
      <c r="A2988" t="str">
        <f>HYPERLINK("http://bombeiros.sp.gov.br/hidrantes/03individual/662.html","662")</f>
        <v>662</v>
      </c>
      <c r="B2988" t="str">
        <f>HYPERLINK("http://bombeiros.sp.gov.br/hidrantes/08bsg/qrcodeBSG.html?id=662&amp;lat=-23.51038&amp;long=-46.58895&amp;tipo=S","QRCODE")</f>
        <v>QRCODE</v>
      </c>
      <c r="C2988" t="s">
        <v>5328</v>
      </c>
      <c r="D2988" t="s">
        <v>115</v>
      </c>
      <c r="E2988" t="s">
        <v>115</v>
      </c>
      <c r="F2988" t="s">
        <v>21</v>
      </c>
      <c r="G2988" t="s">
        <v>361</v>
      </c>
      <c r="H2988">
        <v>0</v>
      </c>
      <c r="I2988">
        <v>3</v>
      </c>
      <c r="J2988">
        <v>0</v>
      </c>
      <c r="K2988">
        <v>0</v>
      </c>
      <c r="L2988">
        <v>0</v>
      </c>
    </row>
    <row r="2989" spans="1:12">
      <c r="A2989" t="str">
        <f>HYPERLINK("http://bombeiros.sp.gov.br/hidrantes/03individual/672.html","672")</f>
        <v>672</v>
      </c>
      <c r="B2989" t="str">
        <f>HYPERLINK("http://bombeiros.sp.gov.br/hidrantes/08bsg/qrcodeBSG.html?id=672&amp;lat=-23.52002&amp;long=-46.58517&amp;tipo=S","QRCODE")</f>
        <v>QRCODE</v>
      </c>
      <c r="C2989" t="s">
        <v>5328</v>
      </c>
      <c r="D2989" t="s">
        <v>115</v>
      </c>
      <c r="E2989" t="s">
        <v>115</v>
      </c>
      <c r="F2989" t="s">
        <v>21</v>
      </c>
      <c r="G2989" t="s">
        <v>360</v>
      </c>
      <c r="H2989">
        <v>1</v>
      </c>
      <c r="I2989">
        <v>2</v>
      </c>
      <c r="J2989">
        <v>0</v>
      </c>
      <c r="K2989">
        <v>0</v>
      </c>
      <c r="L2989">
        <v>0</v>
      </c>
    </row>
    <row r="2990" spans="1:12">
      <c r="A2990" t="str">
        <f>HYPERLINK("http://bombeiros.sp.gov.br/hidrantes/03individual/720.html","720")</f>
        <v>720</v>
      </c>
      <c r="B2990" t="str">
        <f>HYPERLINK("http://bombeiros.sp.gov.br/hidrantes/08bsg/qrcodeBSG.html?id=720&amp;lat=-23.51452&amp;long=-46.59115&amp;tipo=S","QRCODE")</f>
        <v>QRCODE</v>
      </c>
      <c r="C2990" t="s">
        <v>5328</v>
      </c>
      <c r="D2990" t="s">
        <v>115</v>
      </c>
      <c r="E2990" t="s">
        <v>115</v>
      </c>
      <c r="F2990" t="s">
        <v>21</v>
      </c>
      <c r="G2990" t="s">
        <v>1603</v>
      </c>
      <c r="H2990">
        <v>0</v>
      </c>
      <c r="I2990">
        <v>3</v>
      </c>
      <c r="J2990">
        <v>0</v>
      </c>
      <c r="K2990">
        <v>0</v>
      </c>
      <c r="L2990">
        <v>0</v>
      </c>
    </row>
    <row r="2991" spans="1:12">
      <c r="A2991" t="str">
        <f>HYPERLINK("http://bombeiros.sp.gov.br/hidrantes/03individual/721.html","721")</f>
        <v>721</v>
      </c>
      <c r="B2991" t="str">
        <f>HYPERLINK("http://bombeiros.sp.gov.br/hidrantes/08bsg/qrcodeBSG.html?id=721&amp;lat=-23.51550&amp;long=-46.58914&amp;tipo=S","QRCODE")</f>
        <v>QRCODE</v>
      </c>
      <c r="C2991" t="s">
        <v>5328</v>
      </c>
      <c r="D2991" t="s">
        <v>115</v>
      </c>
      <c r="E2991" t="s">
        <v>115</v>
      </c>
      <c r="F2991" t="s">
        <v>21</v>
      </c>
      <c r="G2991" t="s">
        <v>359</v>
      </c>
      <c r="H2991">
        <v>1</v>
      </c>
      <c r="I2991">
        <v>2</v>
      </c>
      <c r="J2991">
        <v>0</v>
      </c>
      <c r="K2991">
        <v>0</v>
      </c>
      <c r="L2991">
        <v>0</v>
      </c>
    </row>
    <row r="2992" spans="1:12">
      <c r="A2992" t="str">
        <f>HYPERLINK("http://bombeiros.sp.gov.br/hidrantes/03individual/723.html","723")</f>
        <v>723</v>
      </c>
      <c r="B2992" t="str">
        <f>HYPERLINK("http://bombeiros.sp.gov.br/hidrantes/08bsg/qrcodeBSG.html?id=723&amp;lat=-23.51814&amp;long=-46.59120&amp;tipo=S","QRCODE")</f>
        <v>QRCODE</v>
      </c>
      <c r="C2992" t="s">
        <v>5328</v>
      </c>
      <c r="D2992" t="s">
        <v>115</v>
      </c>
      <c r="E2992" t="s">
        <v>115</v>
      </c>
      <c r="F2992" t="s">
        <v>21</v>
      </c>
      <c r="G2992" t="s">
        <v>1602</v>
      </c>
      <c r="H2992">
        <v>0</v>
      </c>
      <c r="I2992">
        <v>2</v>
      </c>
      <c r="J2992">
        <v>0</v>
      </c>
      <c r="K2992">
        <v>0</v>
      </c>
      <c r="L2992">
        <v>0</v>
      </c>
    </row>
    <row r="2993" spans="1:12">
      <c r="A2993" t="str">
        <f>HYPERLINK("http://bombeiros.sp.gov.br/hidrantes/03individual/753.html","753")</f>
        <v>753</v>
      </c>
      <c r="B2993" t="str">
        <f>HYPERLINK("http://bombeiros.sp.gov.br/hidrantes/08bsg/qrcodeBSG.html?id=753&amp;lat=-23.51628&amp;long=-46.59086&amp;tipo=S","QRCODE")</f>
        <v>QRCODE</v>
      </c>
      <c r="C2993" t="s">
        <v>5328</v>
      </c>
      <c r="D2993" t="s">
        <v>115</v>
      </c>
      <c r="E2993" t="s">
        <v>115</v>
      </c>
      <c r="F2993" t="s">
        <v>21</v>
      </c>
      <c r="G2993" t="s">
        <v>3571</v>
      </c>
      <c r="H2993">
        <v>1</v>
      </c>
      <c r="I2993">
        <v>1</v>
      </c>
      <c r="J2993">
        <v>0</v>
      </c>
      <c r="K2993">
        <v>0</v>
      </c>
      <c r="L2993">
        <v>0</v>
      </c>
    </row>
    <row r="2994" spans="1:12">
      <c r="A2994" t="str">
        <f>HYPERLINK("http://bombeiros.sp.gov.br/hidrantes/03individual/766.html","766")</f>
        <v>766</v>
      </c>
      <c r="B2994" t="str">
        <f>HYPERLINK("http://bombeiros.sp.gov.br/hidrantes/08bsg/qrcodeBSG.html?id=766&amp;lat=-23.51305&amp;long=-46.59276&amp;tipo=S","QRCODE")</f>
        <v>QRCODE</v>
      </c>
      <c r="C2994" t="s">
        <v>5328</v>
      </c>
      <c r="D2994" t="s">
        <v>115</v>
      </c>
      <c r="E2994" t="s">
        <v>115</v>
      </c>
      <c r="F2994" t="s">
        <v>21</v>
      </c>
      <c r="G2994" t="s">
        <v>351</v>
      </c>
      <c r="H2994">
        <v>0</v>
      </c>
      <c r="I2994">
        <v>3</v>
      </c>
      <c r="J2994">
        <v>0</v>
      </c>
      <c r="K2994">
        <v>0</v>
      </c>
      <c r="L2994">
        <v>0</v>
      </c>
    </row>
    <row r="2995" spans="1:12">
      <c r="A2995" t="str">
        <f>HYPERLINK("http://bombeiros.sp.gov.br/hidrantes/03individual/767.html","767")</f>
        <v>767</v>
      </c>
      <c r="B2995" t="str">
        <f>HYPERLINK("http://bombeiros.sp.gov.br/hidrantes/08bsg/qrcodeBSG.html?id=767&amp;lat=-23.52061&amp;long=-46.58705&amp;tipo=S","QRCODE")</f>
        <v>QRCODE</v>
      </c>
      <c r="C2995" t="s">
        <v>5328</v>
      </c>
      <c r="D2995" t="s">
        <v>115</v>
      </c>
      <c r="E2995" t="s">
        <v>115</v>
      </c>
      <c r="F2995" t="s">
        <v>21</v>
      </c>
      <c r="G2995" t="s">
        <v>352</v>
      </c>
      <c r="H2995">
        <v>1</v>
      </c>
      <c r="I2995">
        <v>2</v>
      </c>
      <c r="J2995">
        <v>0</v>
      </c>
      <c r="K2995">
        <v>0</v>
      </c>
      <c r="L2995">
        <v>0</v>
      </c>
    </row>
    <row r="2996" spans="1:12">
      <c r="A2996" t="str">
        <f>HYPERLINK("http://bombeiros.sp.gov.br/hidrantes/03individual/924.html","924")</f>
        <v>924</v>
      </c>
      <c r="B2996" t="str">
        <f>HYPERLINK("http://bombeiros.sp.gov.br/hidrantes/08bsg/qrcodeBSG.html?id=924&amp;lat=-23.51222&amp;long=-46.58894&amp;tipo=S","QRCODE")</f>
        <v>QRCODE</v>
      </c>
      <c r="C2996" t="s">
        <v>5328</v>
      </c>
      <c r="D2996" t="s">
        <v>115</v>
      </c>
      <c r="E2996" t="s">
        <v>115</v>
      </c>
      <c r="F2996" t="s">
        <v>21</v>
      </c>
      <c r="G2996" t="s">
        <v>379</v>
      </c>
      <c r="H2996">
        <v>0</v>
      </c>
      <c r="I2996">
        <v>3</v>
      </c>
      <c r="J2996">
        <v>0</v>
      </c>
      <c r="K2996">
        <v>0</v>
      </c>
      <c r="L2996">
        <v>0</v>
      </c>
    </row>
    <row r="2997" spans="1:12">
      <c r="A2997" t="str">
        <f>HYPERLINK("http://bombeiros.sp.gov.br/hidrantes/03individual/1041.html","1041")</f>
        <v>1041</v>
      </c>
      <c r="B2997" t="str">
        <f>HYPERLINK("http://bombeiros.sp.gov.br/hidrantes/08bsg/qrcodeBSG.html?id=1041&amp;lat=-23.52245&amp;long=-46.59264&amp;tipo=S","QRCODE")</f>
        <v>QRCODE</v>
      </c>
      <c r="C2997" t="s">
        <v>5328</v>
      </c>
      <c r="D2997" t="s">
        <v>115</v>
      </c>
      <c r="E2997" t="s">
        <v>115</v>
      </c>
      <c r="F2997" t="s">
        <v>21</v>
      </c>
      <c r="G2997" t="s">
        <v>4311</v>
      </c>
      <c r="H2997">
        <v>0</v>
      </c>
      <c r="I2997">
        <v>1</v>
      </c>
      <c r="J2997">
        <v>0</v>
      </c>
      <c r="K2997">
        <v>0</v>
      </c>
      <c r="L2997">
        <v>0</v>
      </c>
    </row>
    <row r="2998" spans="1:12">
      <c r="A2998" t="str">
        <f>HYPERLINK("http://bombeiros.sp.gov.br/hidrantes/03individual/2994.html","2994")</f>
        <v>2994</v>
      </c>
      <c r="B2998" t="str">
        <f>HYPERLINK("http://bombeiros.sp.gov.br/hidrantes/08bsg/qrcodeBSG.html?id=2994&amp;lat=-23.51132&amp;long=-46.59250&amp;tipo=S","QRCODE")</f>
        <v>QRCODE</v>
      </c>
      <c r="C2998" t="s">
        <v>5328</v>
      </c>
      <c r="D2998" t="s">
        <v>115</v>
      </c>
      <c r="E2998" t="s">
        <v>115</v>
      </c>
      <c r="F2998" t="s">
        <v>21</v>
      </c>
      <c r="G2998" t="s">
        <v>887</v>
      </c>
      <c r="H2998">
        <v>0</v>
      </c>
      <c r="I2998">
        <v>2</v>
      </c>
      <c r="J2998">
        <v>0</v>
      </c>
      <c r="K2998">
        <v>0</v>
      </c>
      <c r="L2998">
        <v>0</v>
      </c>
    </row>
    <row r="2999" spans="1:12">
      <c r="A2999" t="str">
        <f>HYPERLINK("http://bombeiros.sp.gov.br/hidrantes/03individual/3053.html","3053")</f>
        <v>3053</v>
      </c>
      <c r="B2999" t="str">
        <f>HYPERLINK("http://bombeiros.sp.gov.br/hidrantes/08bsg/qrcodeBSG.html?id=3053&amp;lat=-23.52486&amp;long=-46.59179&amp;tipo=S","QRCODE")</f>
        <v>QRCODE</v>
      </c>
      <c r="C2999" t="s">
        <v>5328</v>
      </c>
      <c r="D2999" t="s">
        <v>115</v>
      </c>
      <c r="E2999" t="s">
        <v>115</v>
      </c>
      <c r="F2999" t="s">
        <v>21</v>
      </c>
      <c r="G2999" t="s">
        <v>1663</v>
      </c>
      <c r="H2999">
        <v>0</v>
      </c>
      <c r="I2999">
        <v>2</v>
      </c>
      <c r="J2999">
        <v>0</v>
      </c>
      <c r="K2999">
        <v>0</v>
      </c>
      <c r="L2999">
        <v>0</v>
      </c>
    </row>
    <row r="3000" spans="1:12">
      <c r="A3000" t="str">
        <f>HYPERLINK("http://bombeiros.sp.gov.br/hidrantes/03individual/3058.html","3058")</f>
        <v>3058</v>
      </c>
      <c r="B3000" t="str">
        <f>HYPERLINK("http://bombeiros.sp.gov.br/hidrantes/08bsg/qrcodeBSG.html?id=3058&amp;lat=-23.52244&amp;long=-46.58988&amp;tipo=S","QRCODE")</f>
        <v>QRCODE</v>
      </c>
      <c r="C3000" t="s">
        <v>5328</v>
      </c>
      <c r="D3000" t="s">
        <v>115</v>
      </c>
      <c r="E3000" t="s">
        <v>115</v>
      </c>
      <c r="F3000" t="s">
        <v>21</v>
      </c>
      <c r="G3000" t="s">
        <v>300</v>
      </c>
      <c r="H3000">
        <v>0</v>
      </c>
      <c r="I3000">
        <v>2</v>
      </c>
      <c r="J3000">
        <v>0</v>
      </c>
      <c r="K3000">
        <v>0</v>
      </c>
      <c r="L3000">
        <v>0</v>
      </c>
    </row>
    <row r="3001" spans="1:12">
      <c r="A3001" t="str">
        <f>HYPERLINK("http://bombeiros.sp.gov.br/hidrantes/03individual/3066.html","3066")</f>
        <v>3066</v>
      </c>
      <c r="B3001" t="str">
        <f>HYPERLINK("http://bombeiros.sp.gov.br/hidrantes/08bsg/qrcodeBSG.html?id=3066&amp;lat=-23.51264&amp;long=-46.59475&amp;tipo=S","QRCODE")</f>
        <v>QRCODE</v>
      </c>
      <c r="C3001" t="s">
        <v>5328</v>
      </c>
      <c r="D3001" t="s">
        <v>115</v>
      </c>
      <c r="E3001" t="s">
        <v>115</v>
      </c>
      <c r="F3001" t="s">
        <v>21</v>
      </c>
      <c r="G3001" t="s">
        <v>3166</v>
      </c>
      <c r="H3001">
        <v>1</v>
      </c>
      <c r="I3001">
        <v>1</v>
      </c>
      <c r="J3001">
        <v>0</v>
      </c>
      <c r="K3001">
        <v>0</v>
      </c>
      <c r="L3001">
        <v>0</v>
      </c>
    </row>
    <row r="3002" spans="1:12">
      <c r="A3002" t="str">
        <f>HYPERLINK("http://bombeiros.sp.gov.br/hidrantes/03individual/3083.html","3083")</f>
        <v>3083</v>
      </c>
      <c r="B3002" t="str">
        <f>HYPERLINK("http://bombeiros.sp.gov.br/hidrantes/08bsg/qrcodeBSG.html?id=3083&amp;lat=-23.51896&amp;long=-46.58992&amp;tipo=S","QRCODE")</f>
        <v>QRCODE</v>
      </c>
      <c r="C3002" t="s">
        <v>5328</v>
      </c>
      <c r="D3002" t="s">
        <v>115</v>
      </c>
      <c r="E3002" t="s">
        <v>115</v>
      </c>
      <c r="F3002" t="s">
        <v>21</v>
      </c>
      <c r="G3002" t="s">
        <v>3635</v>
      </c>
      <c r="H3002">
        <v>1</v>
      </c>
      <c r="I3002">
        <v>1</v>
      </c>
      <c r="J3002">
        <v>0</v>
      </c>
      <c r="K3002">
        <v>0</v>
      </c>
      <c r="L3002">
        <v>0</v>
      </c>
    </row>
    <row r="3003" spans="1:12">
      <c r="A3003" t="str">
        <f>HYPERLINK("http://bombeiros.sp.gov.br/hidrantes/03individual/3139.html","3139")</f>
        <v>3139</v>
      </c>
      <c r="B3003" t="str">
        <f>HYPERLINK("http://bombeiros.sp.gov.br/hidrantes/08bsg/qrcodeBSG.html?id=3139&amp;lat=-23.51363&amp;long=-46.58898&amp;tipo=S","QRCODE")</f>
        <v>QRCODE</v>
      </c>
      <c r="C3003" t="s">
        <v>5328</v>
      </c>
      <c r="D3003" t="s">
        <v>115</v>
      </c>
      <c r="E3003" t="s">
        <v>115</v>
      </c>
      <c r="F3003" t="s">
        <v>21</v>
      </c>
      <c r="G3003" t="s">
        <v>3634</v>
      </c>
      <c r="H3003">
        <v>1</v>
      </c>
      <c r="I3003">
        <v>1</v>
      </c>
      <c r="J3003">
        <v>0</v>
      </c>
      <c r="K3003">
        <v>0</v>
      </c>
      <c r="L3003">
        <v>0</v>
      </c>
    </row>
    <row r="3004" spans="1:12">
      <c r="A3004" t="str">
        <f>HYPERLINK("http://bombeiros.sp.gov.br/hidrantes/03individual/3164.html","3164")</f>
        <v>3164</v>
      </c>
      <c r="B3004" t="str">
        <f>HYPERLINK("http://bombeiros.sp.gov.br/hidrantes/08bsg/qrcodeBSG.html?id=3164&amp;lat=-23.51473&amp;long=-46.58739&amp;tipo=S","QRCODE")</f>
        <v>QRCODE</v>
      </c>
      <c r="C3004" t="s">
        <v>5328</v>
      </c>
      <c r="D3004" t="s">
        <v>115</v>
      </c>
      <c r="E3004" t="s">
        <v>115</v>
      </c>
      <c r="F3004" t="s">
        <v>21</v>
      </c>
      <c r="G3004" t="s">
        <v>1667</v>
      </c>
      <c r="H3004">
        <v>0</v>
      </c>
      <c r="I3004">
        <v>3</v>
      </c>
      <c r="J3004">
        <v>0</v>
      </c>
      <c r="K3004">
        <v>0</v>
      </c>
      <c r="L3004">
        <v>0</v>
      </c>
    </row>
    <row r="3005" spans="1:12">
      <c r="A3005" t="str">
        <f>HYPERLINK("http://bombeiros.sp.gov.br/hidrantes/03individual/3169.html","3169")</f>
        <v>3169</v>
      </c>
      <c r="B3005" t="str">
        <f>HYPERLINK("http://bombeiros.sp.gov.br/hidrantes/08bsg/qrcodeBSG.html?id=3169&amp;lat=-23.52163&amp;long=-46.58826&amp;tipo=S","QRCODE")</f>
        <v>QRCODE</v>
      </c>
      <c r="C3005" t="s">
        <v>5328</v>
      </c>
      <c r="D3005" t="s">
        <v>115</v>
      </c>
      <c r="E3005" t="s">
        <v>115</v>
      </c>
      <c r="F3005" t="s">
        <v>21</v>
      </c>
      <c r="G3005" t="s">
        <v>1668</v>
      </c>
      <c r="H3005">
        <v>2</v>
      </c>
      <c r="I3005">
        <v>2</v>
      </c>
      <c r="J3005">
        <v>0</v>
      </c>
      <c r="K3005">
        <v>0</v>
      </c>
      <c r="L3005">
        <v>0</v>
      </c>
    </row>
    <row r="3006" spans="1:12">
      <c r="A3006" t="str">
        <f>HYPERLINK("http://bombeiros.sp.gov.br/hidrantes/03individual/3171.html","3171")</f>
        <v>3171</v>
      </c>
      <c r="B3006" t="str">
        <f>HYPERLINK("http://bombeiros.sp.gov.br/hidrantes/08bsg/qrcodeBSG.html?id=3171&amp;lat=-23.52183&amp;long=-46.58575&amp;tipo=S","QRCODE")</f>
        <v>QRCODE</v>
      </c>
      <c r="C3006" t="s">
        <v>5328</v>
      </c>
      <c r="D3006" t="s">
        <v>115</v>
      </c>
      <c r="E3006" t="s">
        <v>115</v>
      </c>
      <c r="F3006" t="s">
        <v>21</v>
      </c>
      <c r="G3006" t="s">
        <v>2342</v>
      </c>
      <c r="H3006">
        <v>0</v>
      </c>
      <c r="I3006">
        <v>2</v>
      </c>
      <c r="J3006">
        <v>0</v>
      </c>
      <c r="K3006">
        <v>0</v>
      </c>
      <c r="L3006">
        <v>0</v>
      </c>
    </row>
    <row r="3007" spans="1:12">
      <c r="A3007" t="str">
        <f>HYPERLINK("http://bombeiros.sp.gov.br/hidrantes/03individual/3173.html","3173")</f>
        <v>3173</v>
      </c>
      <c r="B3007" t="str">
        <f>HYPERLINK("http://bombeiros.sp.gov.br/hidrantes/08bsg/qrcodeBSG.html?id=3173&amp;lat=-23.51809&amp;long=-46.58508&amp;tipo=S","QRCODE")</f>
        <v>QRCODE</v>
      </c>
      <c r="C3007" t="s">
        <v>5328</v>
      </c>
      <c r="D3007" t="s">
        <v>115</v>
      </c>
      <c r="E3007" t="s">
        <v>115</v>
      </c>
      <c r="F3007" t="s">
        <v>21</v>
      </c>
      <c r="G3007" t="s">
        <v>3636</v>
      </c>
      <c r="H3007">
        <v>1</v>
      </c>
      <c r="I3007">
        <v>1</v>
      </c>
      <c r="J3007">
        <v>0</v>
      </c>
      <c r="K3007">
        <v>0</v>
      </c>
      <c r="L3007">
        <v>0</v>
      </c>
    </row>
    <row r="3008" spans="1:12">
      <c r="A3008" t="str">
        <f>HYPERLINK("http://bombeiros.sp.gov.br/hidrantes/03individual/16648.html","16648")</f>
        <v>16648</v>
      </c>
      <c r="B3008" t="str">
        <f>HYPERLINK("http://bombeiros.sp.gov.br/hidrantes/08bsg/qrcodeBSG.html?id=16648&amp;lat=-23.51289&amp;long=-46.58518&amp;tipo=S","QRCODE")</f>
        <v>QRCODE</v>
      </c>
      <c r="C3008" t="s">
        <v>5328</v>
      </c>
      <c r="D3008" t="s">
        <v>115</v>
      </c>
      <c r="E3008" t="s">
        <v>115</v>
      </c>
      <c r="F3008" t="s">
        <v>21</v>
      </c>
      <c r="G3008" t="s">
        <v>3646</v>
      </c>
      <c r="H3008">
        <v>1</v>
      </c>
      <c r="I3008">
        <v>1</v>
      </c>
      <c r="J3008">
        <v>0</v>
      </c>
      <c r="K3008">
        <v>0</v>
      </c>
      <c r="L3008">
        <v>0</v>
      </c>
    </row>
    <row r="3009" spans="1:12">
      <c r="A3009" t="str">
        <f>HYPERLINK("http://bombeiros.sp.gov.br/hidrantes/03individual/540.html","540")</f>
        <v>540</v>
      </c>
      <c r="B3009" t="str">
        <f>HYPERLINK("http://bombeiros.sp.gov.br/hidrantes/08bsg/qrcodeBSG.html?id=540&amp;lat=-23.48238&amp;long=-46.58026&amp;tipo=S","QRCODE")</f>
        <v>QRCODE</v>
      </c>
      <c r="C3009" t="s">
        <v>5328</v>
      </c>
      <c r="D3009" t="s">
        <v>121</v>
      </c>
      <c r="E3009" t="s">
        <v>117</v>
      </c>
      <c r="F3009" t="s">
        <v>21</v>
      </c>
      <c r="G3009" t="s">
        <v>2978</v>
      </c>
      <c r="H3009">
        <v>0</v>
      </c>
      <c r="I3009">
        <v>3</v>
      </c>
      <c r="J3009">
        <v>0</v>
      </c>
      <c r="K3009">
        <v>0</v>
      </c>
      <c r="L3009">
        <v>0</v>
      </c>
    </row>
    <row r="3010" spans="1:12">
      <c r="A3010" t="str">
        <f>HYPERLINK("http://bombeiros.sp.gov.br/hidrantes/03individual/541.html","541")</f>
        <v>541</v>
      </c>
      <c r="B3010" t="str">
        <f>HYPERLINK("http://bombeiros.sp.gov.br/hidrantes/08bsg/qrcodeBSG.html?id=541&amp;lat=-23.48640&amp;long=-46.57799&amp;tipo=S","QRCODE")</f>
        <v>QRCODE</v>
      </c>
      <c r="C3010" t="s">
        <v>5328</v>
      </c>
      <c r="D3010" t="s">
        <v>121</v>
      </c>
      <c r="E3010" t="s">
        <v>117</v>
      </c>
      <c r="F3010" t="s">
        <v>21</v>
      </c>
      <c r="G3010" t="s">
        <v>3811</v>
      </c>
      <c r="H3010">
        <v>1</v>
      </c>
      <c r="I3010">
        <v>2</v>
      </c>
      <c r="J3010">
        <v>0</v>
      </c>
      <c r="K3010">
        <v>0</v>
      </c>
      <c r="L3010">
        <v>0</v>
      </c>
    </row>
    <row r="3011" spans="1:12">
      <c r="A3011" t="str">
        <f>HYPERLINK("http://bombeiros.sp.gov.br/hidrantes/03individual/542.html","542")</f>
        <v>542</v>
      </c>
      <c r="B3011" t="str">
        <f>HYPERLINK("http://bombeiros.sp.gov.br/hidrantes/08bsg/qrcodeBSG.html?id=542&amp;lat=-23.48789&amp;long=-46.57670&amp;tipo=S","QRCODE")</f>
        <v>QRCODE</v>
      </c>
      <c r="C3011" t="s">
        <v>5328</v>
      </c>
      <c r="D3011" t="s">
        <v>121</v>
      </c>
      <c r="E3011" t="s">
        <v>117</v>
      </c>
      <c r="F3011" t="s">
        <v>21</v>
      </c>
      <c r="G3011" t="s">
        <v>2073</v>
      </c>
      <c r="H3011">
        <v>0</v>
      </c>
      <c r="I3011">
        <v>2</v>
      </c>
      <c r="J3011">
        <v>0</v>
      </c>
      <c r="K3011">
        <v>0</v>
      </c>
      <c r="L3011">
        <v>0</v>
      </c>
    </row>
    <row r="3012" spans="1:12">
      <c r="A3012" t="str">
        <f>HYPERLINK("http://bombeiros.sp.gov.br/hidrantes/03individual/545.html","545")</f>
        <v>545</v>
      </c>
      <c r="B3012" t="str">
        <f>HYPERLINK("http://bombeiros.sp.gov.br/hidrantes/08bsg/qrcodeBSG.html?id=545&amp;lat=-23.48388&amp;long=-46.57300&amp;tipo=S","QRCODE")</f>
        <v>QRCODE</v>
      </c>
      <c r="C3012" t="s">
        <v>5328</v>
      </c>
      <c r="D3012" t="s">
        <v>121</v>
      </c>
      <c r="E3012" t="s">
        <v>117</v>
      </c>
      <c r="F3012" t="s">
        <v>21</v>
      </c>
      <c r="G3012" t="s">
        <v>2072</v>
      </c>
      <c r="H3012">
        <v>0</v>
      </c>
      <c r="I3012">
        <v>2</v>
      </c>
      <c r="J3012">
        <v>0</v>
      </c>
      <c r="K3012">
        <v>0</v>
      </c>
      <c r="L3012">
        <v>0</v>
      </c>
    </row>
    <row r="3013" spans="1:12">
      <c r="A3013" t="str">
        <f>HYPERLINK("http://bombeiros.sp.gov.br/hidrantes/03individual/571.html","571")</f>
        <v>571</v>
      </c>
      <c r="B3013" t="str">
        <f>HYPERLINK("http://bombeiros.sp.gov.br/hidrantes/08bsg/qrcodeBSG.html?id=571&amp;lat=-23.48346&amp;long=-46.57968&amp;tipo=S","QRCODE")</f>
        <v>QRCODE</v>
      </c>
      <c r="C3013" t="s">
        <v>5328</v>
      </c>
      <c r="D3013" t="s">
        <v>121</v>
      </c>
      <c r="E3013" t="s">
        <v>117</v>
      </c>
      <c r="F3013" t="s">
        <v>21</v>
      </c>
      <c r="G3013" t="s">
        <v>2981</v>
      </c>
      <c r="H3013">
        <v>0</v>
      </c>
      <c r="I3013">
        <v>2</v>
      </c>
      <c r="J3013">
        <v>0</v>
      </c>
      <c r="K3013">
        <v>0</v>
      </c>
      <c r="L3013">
        <v>0</v>
      </c>
    </row>
    <row r="3014" spans="1:12">
      <c r="A3014" t="str">
        <f>HYPERLINK("http://bombeiros.sp.gov.br/hidrantes/03individual/573.html","573")</f>
        <v>573</v>
      </c>
      <c r="B3014" t="str">
        <f>HYPERLINK("http://bombeiros.sp.gov.br/hidrantes/08bsg/qrcodeBSG.html?id=573&amp;lat=-23.48524&amp;long=-46.56943&amp;tipo=S","QRCODE")</f>
        <v>QRCODE</v>
      </c>
      <c r="C3014" t="s">
        <v>5328</v>
      </c>
      <c r="D3014" t="s">
        <v>121</v>
      </c>
      <c r="E3014" t="s">
        <v>117</v>
      </c>
      <c r="F3014" t="s">
        <v>21</v>
      </c>
      <c r="G3014" t="s">
        <v>3813</v>
      </c>
      <c r="H3014">
        <v>0</v>
      </c>
      <c r="I3014">
        <v>2</v>
      </c>
      <c r="J3014">
        <v>0</v>
      </c>
      <c r="K3014">
        <v>0</v>
      </c>
      <c r="L3014">
        <v>0</v>
      </c>
    </row>
    <row r="3015" spans="1:12">
      <c r="A3015" t="str">
        <f>HYPERLINK("http://bombeiros.sp.gov.br/hidrantes/03individual/671.html","671")</f>
        <v>671</v>
      </c>
      <c r="B3015" t="str">
        <f>HYPERLINK("http://bombeiros.sp.gov.br/hidrantes/08bsg/qrcodeBSG.html?id=671&amp;lat=-23.48125&amp;long=-46.57628&amp;tipo=S","QRCODE")</f>
        <v>QRCODE</v>
      </c>
      <c r="C3015" t="s">
        <v>5328</v>
      </c>
      <c r="D3015" t="s">
        <v>121</v>
      </c>
      <c r="E3015" t="s">
        <v>117</v>
      </c>
      <c r="F3015" t="s">
        <v>21</v>
      </c>
      <c r="G3015" t="s">
        <v>2993</v>
      </c>
      <c r="H3015">
        <v>0</v>
      </c>
      <c r="I3015">
        <v>2</v>
      </c>
      <c r="J3015">
        <v>0</v>
      </c>
      <c r="K3015">
        <v>0</v>
      </c>
      <c r="L3015">
        <v>0</v>
      </c>
    </row>
    <row r="3016" spans="1:12">
      <c r="A3016" t="str">
        <f>HYPERLINK("http://bombeiros.sp.gov.br/hidrantes/03individual/680.html","680")</f>
        <v>680</v>
      </c>
      <c r="B3016" t="str">
        <f>HYPERLINK("http://bombeiros.sp.gov.br/hidrantes/08bsg/qrcodeBSG.html?id=680&amp;lat=-23.48130&amp;long=-46.56921&amp;tipo=S","QRCODE")</f>
        <v>QRCODE</v>
      </c>
      <c r="C3016" t="s">
        <v>5328</v>
      </c>
      <c r="D3016" t="s">
        <v>121</v>
      </c>
      <c r="E3016" t="s">
        <v>117</v>
      </c>
      <c r="F3016" t="s">
        <v>21</v>
      </c>
      <c r="G3016" t="s">
        <v>3815</v>
      </c>
      <c r="H3016">
        <v>0</v>
      </c>
      <c r="I3016">
        <v>2</v>
      </c>
      <c r="J3016">
        <v>0</v>
      </c>
      <c r="K3016">
        <v>0</v>
      </c>
      <c r="L3016">
        <v>0</v>
      </c>
    </row>
    <row r="3017" spans="1:12">
      <c r="A3017" t="str">
        <f>HYPERLINK("http://bombeiros.sp.gov.br/hidrantes/03individual/718.html","718")</f>
        <v>718</v>
      </c>
      <c r="B3017" t="str">
        <f>HYPERLINK("http://bombeiros.sp.gov.br/hidrantes/08bsg/qrcodeBSG.html?id=718&amp;lat=-23.48636&amp;long=-46.57091&amp;tipo=S","QRCODE")</f>
        <v>QRCODE</v>
      </c>
      <c r="C3017" t="s">
        <v>5328</v>
      </c>
      <c r="D3017" t="s">
        <v>121</v>
      </c>
      <c r="E3017" t="s">
        <v>117</v>
      </c>
      <c r="F3017" t="s">
        <v>21</v>
      </c>
      <c r="G3017" t="s">
        <v>2069</v>
      </c>
      <c r="H3017">
        <v>0</v>
      </c>
      <c r="I3017">
        <v>2</v>
      </c>
      <c r="J3017">
        <v>0</v>
      </c>
      <c r="K3017">
        <v>0</v>
      </c>
      <c r="L3017">
        <v>0</v>
      </c>
    </row>
    <row r="3018" spans="1:12">
      <c r="A3018" t="str">
        <f>HYPERLINK("http://bombeiros.sp.gov.br/hidrantes/03individual/758.html","758")</f>
        <v>758</v>
      </c>
      <c r="B3018" t="str">
        <f>HYPERLINK("http://bombeiros.sp.gov.br/hidrantes/08bsg/qrcodeBSG.html?id=758&amp;lat=-23.49534&amp;long=-46.57681&amp;tipo=S","QRCODE")</f>
        <v>QRCODE</v>
      </c>
      <c r="C3018" t="s">
        <v>5328</v>
      </c>
      <c r="D3018" t="s">
        <v>121</v>
      </c>
      <c r="E3018" t="s">
        <v>117</v>
      </c>
      <c r="F3018" t="s">
        <v>21</v>
      </c>
      <c r="G3018" t="s">
        <v>2393</v>
      </c>
      <c r="H3018">
        <v>0</v>
      </c>
      <c r="I3018">
        <v>2</v>
      </c>
      <c r="J3018">
        <v>0</v>
      </c>
      <c r="K3018">
        <v>0</v>
      </c>
      <c r="L3018">
        <v>0</v>
      </c>
    </row>
    <row r="3019" spans="1:12">
      <c r="A3019" t="str">
        <f>HYPERLINK("http://bombeiros.sp.gov.br/hidrantes/03individual/845.html","845")</f>
        <v>845</v>
      </c>
      <c r="B3019" t="str">
        <f>HYPERLINK("http://bombeiros.sp.gov.br/hidrantes/08bsg/qrcodeBSG.html?id=845&amp;lat=-23.47785&amp;long=-46.57580&amp;tipo=S","QRCODE")</f>
        <v>QRCODE</v>
      </c>
      <c r="C3019" t="s">
        <v>5328</v>
      </c>
      <c r="D3019" t="s">
        <v>121</v>
      </c>
      <c r="E3019" t="s">
        <v>117</v>
      </c>
      <c r="F3019" t="s">
        <v>21</v>
      </c>
      <c r="G3019" t="s">
        <v>116</v>
      </c>
      <c r="H3019">
        <v>1</v>
      </c>
      <c r="I3019">
        <v>3</v>
      </c>
      <c r="J3019">
        <v>0</v>
      </c>
      <c r="K3019">
        <v>0</v>
      </c>
      <c r="L3019">
        <v>0</v>
      </c>
    </row>
    <row r="3020" spans="1:12">
      <c r="A3020" t="str">
        <f>HYPERLINK("http://bombeiros.sp.gov.br/hidrantes/03individual/3488.html","3488")</f>
        <v>3488</v>
      </c>
      <c r="B3020" t="str">
        <f>HYPERLINK("http://bombeiros.sp.gov.br/hidrantes/08bsg/qrcodeBSG.html?id=3488&amp;lat=-23.49662&amp;long=-46.57459&amp;tipo=S","QRCODE")</f>
        <v>QRCODE</v>
      </c>
      <c r="C3020" t="s">
        <v>5328</v>
      </c>
      <c r="D3020" t="s">
        <v>121</v>
      </c>
      <c r="E3020" t="s">
        <v>117</v>
      </c>
      <c r="F3020" t="s">
        <v>21</v>
      </c>
      <c r="G3020" t="s">
        <v>3220</v>
      </c>
      <c r="H3020">
        <v>0</v>
      </c>
      <c r="I3020">
        <v>2</v>
      </c>
      <c r="J3020">
        <v>0</v>
      </c>
      <c r="K3020">
        <v>0</v>
      </c>
      <c r="L3020">
        <v>0</v>
      </c>
    </row>
    <row r="3021" spans="1:12">
      <c r="A3021" t="str">
        <f>HYPERLINK("http://bombeiros.sp.gov.br/hidrantes/03individual/3503.html","3503")</f>
        <v>3503</v>
      </c>
      <c r="B3021" t="str">
        <f>HYPERLINK("http://bombeiros.sp.gov.br/hidrantes/08bsg/qrcodeBSG.html?id=3503&amp;lat=-23.48908&amp;long=-46.56934&amp;tipo=S","QRCODE")</f>
        <v>QRCODE</v>
      </c>
      <c r="C3021" t="s">
        <v>5328</v>
      </c>
      <c r="D3021" t="s">
        <v>121</v>
      </c>
      <c r="E3021" t="s">
        <v>117</v>
      </c>
      <c r="F3021" t="s">
        <v>21</v>
      </c>
      <c r="G3021" t="s">
        <v>2044</v>
      </c>
      <c r="H3021">
        <v>0</v>
      </c>
      <c r="I3021">
        <v>2</v>
      </c>
      <c r="J3021">
        <v>0</v>
      </c>
      <c r="K3021">
        <v>0</v>
      </c>
      <c r="L3021">
        <v>0</v>
      </c>
    </row>
    <row r="3022" spans="1:12">
      <c r="A3022" t="str">
        <f>HYPERLINK("http://bombeiros.sp.gov.br/hidrantes/03individual/3505.html","3505")</f>
        <v>3505</v>
      </c>
      <c r="B3022" t="str">
        <f>HYPERLINK("http://bombeiros.sp.gov.br/hidrantes/08bsg/qrcodeBSG.html?id=3505&amp;lat=-23.48450&amp;long=-46.56677&amp;tipo=S","QRCODE")</f>
        <v>QRCODE</v>
      </c>
      <c r="C3022" t="s">
        <v>5328</v>
      </c>
      <c r="D3022" t="s">
        <v>121</v>
      </c>
      <c r="E3022" t="s">
        <v>117</v>
      </c>
      <c r="F3022" t="s">
        <v>21</v>
      </c>
      <c r="G3022" t="s">
        <v>203</v>
      </c>
      <c r="H3022">
        <v>0</v>
      </c>
      <c r="I3022">
        <v>2</v>
      </c>
      <c r="J3022">
        <v>0</v>
      </c>
      <c r="K3022">
        <v>0</v>
      </c>
      <c r="L3022">
        <v>0</v>
      </c>
    </row>
    <row r="3023" spans="1:12">
      <c r="A3023" t="str">
        <f>HYPERLINK("http://bombeiros.sp.gov.br/hidrantes/03individual/3514.html","3514")</f>
        <v>3514</v>
      </c>
      <c r="B3023" t="str">
        <f>HYPERLINK("http://bombeiros.sp.gov.br/hidrantes/08bsg/qrcodeBSG.html?id=3514&amp;lat=-23.48014&amp;long=-46.56954&amp;tipo=S","QRCODE")</f>
        <v>QRCODE</v>
      </c>
      <c r="C3023" t="s">
        <v>5328</v>
      </c>
      <c r="D3023" t="s">
        <v>121</v>
      </c>
      <c r="E3023" t="s">
        <v>117</v>
      </c>
      <c r="F3023" t="s">
        <v>21</v>
      </c>
      <c r="G3023" t="s">
        <v>2366</v>
      </c>
      <c r="H3023">
        <v>0</v>
      </c>
      <c r="I3023">
        <v>2</v>
      </c>
      <c r="J3023">
        <v>0</v>
      </c>
      <c r="K3023">
        <v>0</v>
      </c>
      <c r="L3023">
        <v>0</v>
      </c>
    </row>
    <row r="3024" spans="1:12">
      <c r="A3024" t="str">
        <f>HYPERLINK("http://bombeiros.sp.gov.br/hidrantes/03individual/17838.html","17838")</f>
        <v>17838</v>
      </c>
      <c r="B3024" t="str">
        <f>HYPERLINK("http://bombeiros.sp.gov.br/hidrantes/08bsg/qrcodeBSG.html?id=17838&amp;lat=-23.47917&amp;long=-46.56922&amp;tipo=S","QRCODE")</f>
        <v>QRCODE</v>
      </c>
      <c r="C3024" t="s">
        <v>5328</v>
      </c>
      <c r="D3024" t="s">
        <v>121</v>
      </c>
      <c r="E3024" t="s">
        <v>117</v>
      </c>
      <c r="F3024" t="s">
        <v>21</v>
      </c>
      <c r="G3024" t="s">
        <v>233</v>
      </c>
      <c r="H3024">
        <v>1</v>
      </c>
      <c r="I3024">
        <v>1</v>
      </c>
      <c r="J3024">
        <v>0</v>
      </c>
      <c r="K3024">
        <v>0</v>
      </c>
      <c r="L3024">
        <v>0</v>
      </c>
    </row>
    <row r="3025" spans="1:12">
      <c r="A3025" t="str">
        <f>HYPERLINK("http://bombeiros.sp.gov.br/hidrantes/03individual/26791.html","26791")</f>
        <v>26791</v>
      </c>
      <c r="B3025" t="str">
        <f>HYPERLINK("http://bombeiros.sp.gov.br/hidrantes/08bsg/qrcodeBSG.html?id=26791&amp;lat=-23.48772&amp;long=-46.57687&amp;tipo=S","QRCODE")</f>
        <v>QRCODE</v>
      </c>
      <c r="C3025" t="s">
        <v>5328</v>
      </c>
      <c r="D3025" t="s">
        <v>121</v>
      </c>
      <c r="E3025" t="s">
        <v>117</v>
      </c>
      <c r="F3025" t="s">
        <v>21</v>
      </c>
      <c r="G3025" t="s">
        <v>223</v>
      </c>
      <c r="H3025">
        <v>0</v>
      </c>
      <c r="I3025">
        <v>2</v>
      </c>
      <c r="J3025">
        <v>0</v>
      </c>
      <c r="K3025">
        <v>0</v>
      </c>
      <c r="L3025">
        <v>0</v>
      </c>
    </row>
    <row r="3026" spans="1:12">
      <c r="A3026" t="str">
        <f>HYPERLINK("http://bombeiros.sp.gov.br/hidrantes/03individual/10051.html","10051")</f>
        <v>10051</v>
      </c>
      <c r="B3026" t="str">
        <f>HYPERLINK("http://bombeiros.sp.gov.br/hidrantes/08bsg/qrcodeBSG.html?id=10051&amp;lat=-23.49720&amp;long=-46.58774&amp;tipo=B","QRCODE")</f>
        <v>QRCODE</v>
      </c>
      <c r="C3026" t="s">
        <v>5328</v>
      </c>
      <c r="D3026" t="s">
        <v>121</v>
      </c>
      <c r="E3026" t="s">
        <v>121</v>
      </c>
      <c r="F3026" t="s">
        <v>1719</v>
      </c>
      <c r="G3026" t="s">
        <v>5350</v>
      </c>
      <c r="H3026">
        <v>0</v>
      </c>
      <c r="I3026">
        <v>0</v>
      </c>
      <c r="J3026">
        <v>0</v>
      </c>
      <c r="K3026">
        <v>0</v>
      </c>
      <c r="L3026">
        <v>0</v>
      </c>
    </row>
    <row r="3027" spans="1:12">
      <c r="A3027" t="str">
        <f>HYPERLINK("http://bombeiros.sp.gov.br/hidrantes/03individual/3405.html","3405")</f>
        <v>3405</v>
      </c>
      <c r="B3027" t="str">
        <f>HYPERLINK("http://bombeiros.sp.gov.br/hidrantes/08bsg/qrcodeBSG.html?id=3405&amp;lat=-23.49796&amp;long=-46.59480&amp;tipo=C","QRCODE")</f>
        <v>QRCODE</v>
      </c>
      <c r="C3027" t="s">
        <v>5328</v>
      </c>
      <c r="D3027" t="s">
        <v>121</v>
      </c>
      <c r="E3027" t="s">
        <v>121</v>
      </c>
      <c r="F3027" t="s">
        <v>12</v>
      </c>
      <c r="G3027" t="s">
        <v>4928</v>
      </c>
      <c r="H3027">
        <v>0</v>
      </c>
      <c r="I3027">
        <v>1</v>
      </c>
      <c r="J3027">
        <v>0</v>
      </c>
      <c r="K3027">
        <v>0</v>
      </c>
      <c r="L3027">
        <v>0</v>
      </c>
    </row>
    <row r="3028" spans="1:12">
      <c r="A3028" t="str">
        <f>HYPERLINK("http://bombeiros.sp.gov.br/hidrantes/03individual/3474.html","3474")</f>
        <v>3474</v>
      </c>
      <c r="B3028" t="str">
        <f>HYPERLINK("http://bombeiros.sp.gov.br/hidrantes/08bsg/qrcodeBSG.html?id=3474&amp;lat=-23.49888&amp;long=-46.58983&amp;tipo=C","QRCODE")</f>
        <v>QRCODE</v>
      </c>
      <c r="C3028" t="s">
        <v>5328</v>
      </c>
      <c r="D3028" t="s">
        <v>121</v>
      </c>
      <c r="E3028" t="s">
        <v>121</v>
      </c>
      <c r="F3028" t="s">
        <v>12</v>
      </c>
      <c r="G3028" t="s">
        <v>3802</v>
      </c>
      <c r="H3028">
        <v>1</v>
      </c>
      <c r="I3028">
        <v>2</v>
      </c>
      <c r="J3028">
        <v>0</v>
      </c>
      <c r="K3028">
        <v>0</v>
      </c>
      <c r="L3028">
        <v>0</v>
      </c>
    </row>
    <row r="3029" spans="1:12">
      <c r="A3029" t="str">
        <f>HYPERLINK("http://bombeiros.sp.gov.br/hidrantes/03individual/3481.html","3481")</f>
        <v>3481</v>
      </c>
      <c r="B3029" t="str">
        <f>HYPERLINK("http://bombeiros.sp.gov.br/hidrantes/08bsg/qrcodeBSG.html?id=3481&amp;lat=-23.49273&amp;long=-46.59073&amp;tipo=C","QRCODE")</f>
        <v>QRCODE</v>
      </c>
      <c r="C3029" t="s">
        <v>5328</v>
      </c>
      <c r="D3029" t="s">
        <v>121</v>
      </c>
      <c r="E3029" t="s">
        <v>121</v>
      </c>
      <c r="F3029" t="s">
        <v>12</v>
      </c>
      <c r="G3029" t="s">
        <v>2363</v>
      </c>
      <c r="H3029">
        <v>0</v>
      </c>
      <c r="I3029">
        <v>2</v>
      </c>
      <c r="J3029">
        <v>0</v>
      </c>
      <c r="K3029">
        <v>0</v>
      </c>
      <c r="L3029">
        <v>0</v>
      </c>
    </row>
    <row r="3030" spans="1:12">
      <c r="A3030" t="str">
        <f>HYPERLINK("http://bombeiros.sp.gov.br/hidrantes/03individual/3482.html","3482")</f>
        <v>3482</v>
      </c>
      <c r="B3030" t="str">
        <f>HYPERLINK("http://bombeiros.sp.gov.br/hidrantes/08bsg/qrcodeBSG.html?id=3482&amp;lat=-23.48514&amp;long=-46.58029&amp;tipo=C","QRCODE")</f>
        <v>QRCODE</v>
      </c>
      <c r="C3030" t="s">
        <v>5328</v>
      </c>
      <c r="D3030" t="s">
        <v>121</v>
      </c>
      <c r="E3030" t="s">
        <v>121</v>
      </c>
      <c r="F3030" t="s">
        <v>12</v>
      </c>
      <c r="G3030" t="s">
        <v>3219</v>
      </c>
      <c r="H3030">
        <v>0</v>
      </c>
      <c r="I3030">
        <v>2</v>
      </c>
      <c r="J3030">
        <v>0</v>
      </c>
      <c r="K3030">
        <v>0</v>
      </c>
      <c r="L3030">
        <v>0</v>
      </c>
    </row>
    <row r="3031" spans="1:12">
      <c r="A3031" t="str">
        <f>HYPERLINK("http://bombeiros.sp.gov.br/hidrantes/03individual/539.html","539")</f>
        <v>539</v>
      </c>
      <c r="B3031" t="str">
        <f>HYPERLINK("http://bombeiros.sp.gov.br/hidrantes/08bsg/qrcodeBSG.html?id=539&amp;lat=-23.49071&amp;long=-46.57709&amp;tipo=S","QRCODE")</f>
        <v>QRCODE</v>
      </c>
      <c r="C3031" t="s">
        <v>5328</v>
      </c>
      <c r="D3031" t="s">
        <v>121</v>
      </c>
      <c r="E3031" t="s">
        <v>121</v>
      </c>
      <c r="F3031" t="s">
        <v>21</v>
      </c>
      <c r="G3031" t="s">
        <v>2071</v>
      </c>
      <c r="H3031">
        <v>0</v>
      </c>
      <c r="I3031">
        <v>2</v>
      </c>
      <c r="J3031">
        <v>0</v>
      </c>
      <c r="K3031">
        <v>0</v>
      </c>
      <c r="L3031">
        <v>0</v>
      </c>
    </row>
    <row r="3032" spans="1:12">
      <c r="A3032" t="str">
        <f>HYPERLINK("http://bombeiros.sp.gov.br/hidrantes/03individual/568.html","568")</f>
        <v>568</v>
      </c>
      <c r="B3032" t="str">
        <f>HYPERLINK("http://bombeiros.sp.gov.br/hidrantes/08bsg/qrcodeBSG.html?id=568&amp;lat=-23.48409&amp;long=-46.58897&amp;tipo=S","QRCODE")</f>
        <v>QRCODE</v>
      </c>
      <c r="C3032" t="s">
        <v>5328</v>
      </c>
      <c r="D3032" t="s">
        <v>121</v>
      </c>
      <c r="E3032" t="s">
        <v>121</v>
      </c>
      <c r="F3032" t="s">
        <v>21</v>
      </c>
      <c r="G3032" t="s">
        <v>120</v>
      </c>
      <c r="H3032">
        <v>1</v>
      </c>
      <c r="I3032">
        <v>4</v>
      </c>
      <c r="J3032">
        <v>0</v>
      </c>
      <c r="K3032">
        <v>0</v>
      </c>
      <c r="L3032">
        <v>0</v>
      </c>
    </row>
    <row r="3033" spans="1:12">
      <c r="A3033" t="str">
        <f>HYPERLINK("http://bombeiros.sp.gov.br/hidrantes/03individual/574.html","574")</f>
        <v>574</v>
      </c>
      <c r="B3033" t="str">
        <f>HYPERLINK("http://bombeiros.sp.gov.br/hidrantes/08bsg/qrcodeBSG.html?id=574&amp;lat=-23.48671&amp;long=-46.58161&amp;tipo=S","QRCODE")</f>
        <v>QRCODE</v>
      </c>
      <c r="C3033" t="s">
        <v>5328</v>
      </c>
      <c r="D3033" t="s">
        <v>121</v>
      </c>
      <c r="E3033" t="s">
        <v>121</v>
      </c>
      <c r="F3033" t="s">
        <v>21</v>
      </c>
      <c r="G3033" t="s">
        <v>2074</v>
      </c>
      <c r="H3033">
        <v>0</v>
      </c>
      <c r="I3033">
        <v>2</v>
      </c>
      <c r="J3033">
        <v>0</v>
      </c>
      <c r="K3033">
        <v>0</v>
      </c>
      <c r="L3033">
        <v>0</v>
      </c>
    </row>
    <row r="3034" spans="1:12">
      <c r="A3034" t="str">
        <f>HYPERLINK("http://bombeiros.sp.gov.br/hidrantes/03individual/575.html","575")</f>
        <v>575</v>
      </c>
      <c r="B3034" t="str">
        <f>HYPERLINK("http://bombeiros.sp.gov.br/hidrantes/08bsg/qrcodeBSG.html?id=575&amp;lat=-23.49165&amp;long=-46.58726&amp;tipo=S","QRCODE")</f>
        <v>QRCODE</v>
      </c>
      <c r="C3034" t="s">
        <v>5328</v>
      </c>
      <c r="D3034" t="s">
        <v>121</v>
      </c>
      <c r="E3034" t="s">
        <v>121</v>
      </c>
      <c r="F3034" t="s">
        <v>21</v>
      </c>
      <c r="G3034" t="s">
        <v>4592</v>
      </c>
      <c r="H3034">
        <v>1</v>
      </c>
      <c r="I3034">
        <v>2</v>
      </c>
      <c r="J3034">
        <v>0</v>
      </c>
      <c r="K3034">
        <v>0</v>
      </c>
      <c r="L3034">
        <v>0</v>
      </c>
    </row>
    <row r="3035" spans="1:12">
      <c r="A3035" t="str">
        <f>HYPERLINK("http://bombeiros.sp.gov.br/hidrantes/03individual/596.html","596")</f>
        <v>596</v>
      </c>
      <c r="B3035" t="str">
        <f>HYPERLINK("http://bombeiros.sp.gov.br/hidrantes/08bsg/qrcodeBSG.html?id=596&amp;lat=-23.48546&amp;long=-46.59194&amp;tipo=S","QRCODE")</f>
        <v>QRCODE</v>
      </c>
      <c r="C3035" t="s">
        <v>5328</v>
      </c>
      <c r="D3035" t="s">
        <v>121</v>
      </c>
      <c r="E3035" t="s">
        <v>121</v>
      </c>
      <c r="F3035" t="s">
        <v>21</v>
      </c>
      <c r="G3035" t="s">
        <v>123</v>
      </c>
      <c r="H3035">
        <v>0</v>
      </c>
      <c r="I3035">
        <v>3</v>
      </c>
      <c r="J3035">
        <v>0</v>
      </c>
      <c r="K3035">
        <v>0</v>
      </c>
      <c r="L3035">
        <v>0</v>
      </c>
    </row>
    <row r="3036" spans="1:12">
      <c r="A3036" t="str">
        <f>HYPERLINK("http://bombeiros.sp.gov.br/hidrantes/03individual/615.html","615")</f>
        <v>615</v>
      </c>
      <c r="B3036" t="str">
        <f>HYPERLINK("http://bombeiros.sp.gov.br/hidrantes/08bsg/qrcodeBSG.html?id=615&amp;lat=-23.49384&amp;long=-46.58570&amp;tipo=S","QRCODE")</f>
        <v>QRCODE</v>
      </c>
      <c r="C3036" t="s">
        <v>5328</v>
      </c>
      <c r="D3036" t="s">
        <v>121</v>
      </c>
      <c r="E3036" t="s">
        <v>121</v>
      </c>
      <c r="F3036" t="s">
        <v>21</v>
      </c>
      <c r="G3036" t="s">
        <v>5153</v>
      </c>
      <c r="H3036">
        <v>0</v>
      </c>
      <c r="I3036">
        <v>1</v>
      </c>
      <c r="J3036">
        <v>0</v>
      </c>
      <c r="K3036">
        <v>0</v>
      </c>
      <c r="L3036">
        <v>0</v>
      </c>
    </row>
    <row r="3037" spans="1:12">
      <c r="A3037" t="str">
        <f>HYPERLINK("http://bombeiros.sp.gov.br/hidrantes/03individual/619.html","619")</f>
        <v>619</v>
      </c>
      <c r="B3037" t="str">
        <f>HYPERLINK("http://bombeiros.sp.gov.br/hidrantes/08bsg/qrcodeBSG.html?id=619&amp;lat=-23.48526&amp;long=-46.58653&amp;tipo=S","QRCODE")</f>
        <v>QRCODE</v>
      </c>
      <c r="C3037" t="s">
        <v>5328</v>
      </c>
      <c r="D3037" t="s">
        <v>121</v>
      </c>
      <c r="E3037" t="s">
        <v>121</v>
      </c>
      <c r="F3037" t="s">
        <v>21</v>
      </c>
      <c r="G3037" t="s">
        <v>3259</v>
      </c>
      <c r="H3037">
        <v>0</v>
      </c>
      <c r="I3037">
        <v>2</v>
      </c>
      <c r="J3037">
        <v>0</v>
      </c>
      <c r="K3037">
        <v>0</v>
      </c>
      <c r="L3037">
        <v>0</v>
      </c>
    </row>
    <row r="3038" spans="1:12">
      <c r="A3038" t="str">
        <f>HYPERLINK("http://bombeiros.sp.gov.br/hidrantes/03individual/663.html","663")</f>
        <v>663</v>
      </c>
      <c r="B3038" t="str">
        <f>HYPERLINK("http://bombeiros.sp.gov.br/hidrantes/08bsg/qrcodeBSG.html?id=663&amp;lat=-23.48949&amp;long=-46.58455&amp;tipo=S","QRCODE")</f>
        <v>QRCODE</v>
      </c>
      <c r="C3038" t="s">
        <v>5328</v>
      </c>
      <c r="D3038" t="s">
        <v>121</v>
      </c>
      <c r="E3038" t="s">
        <v>121</v>
      </c>
      <c r="F3038" t="s">
        <v>21</v>
      </c>
      <c r="G3038" t="s">
        <v>2059</v>
      </c>
      <c r="H3038">
        <v>0</v>
      </c>
      <c r="I3038">
        <v>2</v>
      </c>
      <c r="J3038">
        <v>0</v>
      </c>
      <c r="K3038">
        <v>0</v>
      </c>
      <c r="L3038">
        <v>0</v>
      </c>
    </row>
    <row r="3039" spans="1:12">
      <c r="A3039" t="str">
        <f>HYPERLINK("http://bombeiros.sp.gov.br/hidrantes/03individual/715.html","715")</f>
        <v>715</v>
      </c>
      <c r="B3039" t="str">
        <f>HYPERLINK("http://bombeiros.sp.gov.br/hidrantes/08bsg/qrcodeBSG.html?id=715&amp;lat=-23.48168&amp;long=-46.58597&amp;tipo=S","QRCODE")</f>
        <v>QRCODE</v>
      </c>
      <c r="C3039" t="s">
        <v>5328</v>
      </c>
      <c r="D3039" t="s">
        <v>121</v>
      </c>
      <c r="E3039" t="s">
        <v>121</v>
      </c>
      <c r="F3039" t="s">
        <v>21</v>
      </c>
      <c r="G3039" t="s">
        <v>1589</v>
      </c>
      <c r="H3039">
        <v>0</v>
      </c>
      <c r="I3039">
        <v>2</v>
      </c>
      <c r="J3039">
        <v>0</v>
      </c>
      <c r="K3039">
        <v>0</v>
      </c>
      <c r="L3039">
        <v>0</v>
      </c>
    </row>
    <row r="3040" spans="1:12">
      <c r="A3040" t="str">
        <f>HYPERLINK("http://bombeiros.sp.gov.br/hidrantes/03individual/722.html","722")</f>
        <v>722</v>
      </c>
      <c r="B3040" t="str">
        <f>HYPERLINK("http://bombeiros.sp.gov.br/hidrantes/08bsg/qrcodeBSG.html?id=722&amp;lat=-23.49791&amp;long=-46.59224&amp;tipo=S","QRCODE")</f>
        <v>QRCODE</v>
      </c>
      <c r="C3040" t="s">
        <v>5328</v>
      </c>
      <c r="D3040" t="s">
        <v>121</v>
      </c>
      <c r="E3040" t="s">
        <v>121</v>
      </c>
      <c r="F3040" t="s">
        <v>21</v>
      </c>
      <c r="G3040" t="s">
        <v>4346</v>
      </c>
      <c r="H3040">
        <v>0</v>
      </c>
      <c r="I3040">
        <v>2</v>
      </c>
      <c r="J3040">
        <v>0</v>
      </c>
      <c r="K3040">
        <v>0</v>
      </c>
      <c r="L3040">
        <v>0</v>
      </c>
    </row>
    <row r="3041" spans="1:12">
      <c r="A3041" t="str">
        <f>HYPERLINK("http://bombeiros.sp.gov.br/hidrantes/03individual/736.html","736")</f>
        <v>736</v>
      </c>
      <c r="B3041" t="str">
        <f>HYPERLINK("http://bombeiros.sp.gov.br/hidrantes/08bsg/qrcodeBSG.html?id=736&amp;lat=-23.49242&amp;long=-46.58420&amp;tipo=S","QRCODE")</f>
        <v>QRCODE</v>
      </c>
      <c r="C3041" t="s">
        <v>5328</v>
      </c>
      <c r="D3041" t="s">
        <v>121</v>
      </c>
      <c r="E3041" t="s">
        <v>121</v>
      </c>
      <c r="F3041" t="s">
        <v>21</v>
      </c>
      <c r="G3041" t="s">
        <v>3255</v>
      </c>
      <c r="H3041">
        <v>0</v>
      </c>
      <c r="I3041">
        <v>2</v>
      </c>
      <c r="J3041">
        <v>0</v>
      </c>
      <c r="K3041">
        <v>0</v>
      </c>
      <c r="L3041">
        <v>0</v>
      </c>
    </row>
    <row r="3042" spans="1:12">
      <c r="A3042" t="str">
        <f>HYPERLINK("http://bombeiros.sp.gov.br/hidrantes/03individual/754.html","754")</f>
        <v>754</v>
      </c>
      <c r="B3042" t="str">
        <f>HYPERLINK("http://bombeiros.sp.gov.br/hidrantes/08bsg/qrcodeBSG.html?id=754&amp;lat=-23.48913&amp;long=-46.58756&amp;tipo=S","QRCODE")</f>
        <v>QRCODE</v>
      </c>
      <c r="C3042" t="s">
        <v>5328</v>
      </c>
      <c r="D3042" t="s">
        <v>121</v>
      </c>
      <c r="E3042" t="s">
        <v>121</v>
      </c>
      <c r="F3042" t="s">
        <v>21</v>
      </c>
      <c r="G3042" t="s">
        <v>2063</v>
      </c>
      <c r="H3042">
        <v>0</v>
      </c>
      <c r="I3042">
        <v>2</v>
      </c>
      <c r="J3042">
        <v>0</v>
      </c>
      <c r="K3042">
        <v>0</v>
      </c>
      <c r="L3042">
        <v>0</v>
      </c>
    </row>
    <row r="3043" spans="1:12">
      <c r="A3043" t="str">
        <f>HYPERLINK("http://bombeiros.sp.gov.br/hidrantes/03individual/926.html","926")</f>
        <v>926</v>
      </c>
      <c r="B3043" t="str">
        <f>HYPERLINK("http://bombeiros.sp.gov.br/hidrantes/08bsg/qrcodeBSG.html?id=926&amp;lat=-23.49287&amp;long=-46.59349&amp;tipo=S","QRCODE")</f>
        <v>QRCODE</v>
      </c>
      <c r="C3043" t="s">
        <v>5328</v>
      </c>
      <c r="D3043" t="s">
        <v>121</v>
      </c>
      <c r="E3043" t="s">
        <v>121</v>
      </c>
      <c r="F3043" t="s">
        <v>21</v>
      </c>
      <c r="G3043" t="s">
        <v>2385</v>
      </c>
      <c r="H3043">
        <v>0</v>
      </c>
      <c r="I3043">
        <v>2</v>
      </c>
      <c r="J3043">
        <v>0</v>
      </c>
      <c r="K3043">
        <v>0</v>
      </c>
      <c r="L3043">
        <v>0</v>
      </c>
    </row>
    <row r="3044" spans="1:12">
      <c r="A3044" t="str">
        <f>HYPERLINK("http://bombeiros.sp.gov.br/hidrantes/03individual/930.html","930")</f>
        <v>930</v>
      </c>
      <c r="B3044" t="str">
        <f>HYPERLINK("http://bombeiros.sp.gov.br/hidrantes/08bsg/qrcodeBSG.html?id=930&amp;lat=-23.47937&amp;long=-46.58223&amp;tipo=S","QRCODE")</f>
        <v>QRCODE</v>
      </c>
      <c r="C3044" t="s">
        <v>5328</v>
      </c>
      <c r="D3044" t="s">
        <v>121</v>
      </c>
      <c r="E3044" t="s">
        <v>121</v>
      </c>
      <c r="F3044" t="s">
        <v>21</v>
      </c>
      <c r="G3044" t="s">
        <v>4823</v>
      </c>
      <c r="H3044">
        <v>0</v>
      </c>
      <c r="I3044">
        <v>2</v>
      </c>
      <c r="J3044">
        <v>0</v>
      </c>
      <c r="K3044">
        <v>0</v>
      </c>
      <c r="L3044">
        <v>0</v>
      </c>
    </row>
    <row r="3045" spans="1:12">
      <c r="A3045" t="str">
        <f>HYPERLINK("http://bombeiros.sp.gov.br/hidrantes/03individual/3480.html","3480")</f>
        <v>3480</v>
      </c>
      <c r="B3045" t="str">
        <f>HYPERLINK("http://bombeiros.sp.gov.br/hidrantes/08bsg/qrcodeBSG.html?id=3480&amp;lat=-23.49472&amp;long=-46.59222&amp;tipo=S","QRCODE")</f>
        <v>QRCODE</v>
      </c>
      <c r="C3045" t="s">
        <v>5328</v>
      </c>
      <c r="D3045" t="s">
        <v>121</v>
      </c>
      <c r="E3045" t="s">
        <v>121</v>
      </c>
      <c r="F3045" t="s">
        <v>21</v>
      </c>
      <c r="G3045" t="s">
        <v>2362</v>
      </c>
      <c r="H3045">
        <v>0</v>
      </c>
      <c r="I3045">
        <v>2</v>
      </c>
      <c r="J3045">
        <v>0</v>
      </c>
      <c r="K3045">
        <v>0</v>
      </c>
      <c r="L3045">
        <v>0</v>
      </c>
    </row>
    <row r="3046" spans="1:12">
      <c r="A3046" t="str">
        <f>HYPERLINK("http://bombeiros.sp.gov.br/hidrantes/03individual/3491.html","3491")</f>
        <v>3491</v>
      </c>
      <c r="B3046" t="str">
        <f>HYPERLINK("http://bombeiros.sp.gov.br/hidrantes/08bsg/qrcodeBSG.html?id=3491&amp;lat=-23.48792&amp;long=-46.58589&amp;tipo=S","QRCODE")</f>
        <v>QRCODE</v>
      </c>
      <c r="C3046" t="s">
        <v>5328</v>
      </c>
      <c r="D3046" t="s">
        <v>121</v>
      </c>
      <c r="E3046" t="s">
        <v>121</v>
      </c>
      <c r="F3046" t="s">
        <v>21</v>
      </c>
      <c r="G3046" t="s">
        <v>3218</v>
      </c>
      <c r="H3046">
        <v>0</v>
      </c>
      <c r="I3046">
        <v>2</v>
      </c>
      <c r="J3046">
        <v>0</v>
      </c>
      <c r="K3046">
        <v>0</v>
      </c>
      <c r="L3046">
        <v>0</v>
      </c>
    </row>
    <row r="3047" spans="1:12">
      <c r="A3047" t="str">
        <f>HYPERLINK("http://bombeiros.sp.gov.br/hidrantes/03individual/3492.html","3492")</f>
        <v>3492</v>
      </c>
      <c r="B3047" t="str">
        <f>HYPERLINK("http://bombeiros.sp.gov.br/hidrantes/08bsg/qrcodeBSG.html?id=3492&amp;lat=-23.49024&amp;long=-46.59216&amp;tipo=S","QRCODE")</f>
        <v>QRCODE</v>
      </c>
      <c r="C3047" t="s">
        <v>5328</v>
      </c>
      <c r="D3047" t="s">
        <v>121</v>
      </c>
      <c r="E3047" t="s">
        <v>121</v>
      </c>
      <c r="F3047" t="s">
        <v>21</v>
      </c>
      <c r="G3047" t="s">
        <v>2040</v>
      </c>
      <c r="H3047">
        <v>0</v>
      </c>
      <c r="I3047">
        <v>2</v>
      </c>
      <c r="J3047">
        <v>0</v>
      </c>
      <c r="K3047">
        <v>0</v>
      </c>
      <c r="L3047">
        <v>0</v>
      </c>
    </row>
    <row r="3048" spans="1:12">
      <c r="A3048" t="str">
        <f>HYPERLINK("http://bombeiros.sp.gov.br/hidrantes/03individual/3494.html","3494")</f>
        <v>3494</v>
      </c>
      <c r="B3048" t="str">
        <f>HYPERLINK("http://bombeiros.sp.gov.br/hidrantes/08bsg/qrcodeBSG.html?id=3494&amp;lat=-23.48991&amp;long=-46.57914&amp;tipo=S","QRCODE")</f>
        <v>QRCODE</v>
      </c>
      <c r="C3048" t="s">
        <v>5328</v>
      </c>
      <c r="D3048" t="s">
        <v>121</v>
      </c>
      <c r="E3048" t="s">
        <v>121</v>
      </c>
      <c r="F3048" t="s">
        <v>21</v>
      </c>
      <c r="G3048" t="s">
        <v>2043</v>
      </c>
      <c r="H3048">
        <v>1</v>
      </c>
      <c r="I3048">
        <v>2</v>
      </c>
      <c r="J3048">
        <v>0</v>
      </c>
      <c r="K3048">
        <v>0</v>
      </c>
      <c r="L3048">
        <v>0</v>
      </c>
    </row>
    <row r="3049" spans="1:12">
      <c r="A3049" t="str">
        <f>HYPERLINK("http://bombeiros.sp.gov.br/hidrantes/03individual/3496.html","3496")</f>
        <v>3496</v>
      </c>
      <c r="B3049" t="str">
        <f>HYPERLINK("http://bombeiros.sp.gov.br/hidrantes/08bsg/qrcodeBSG.html?id=3496&amp;lat=-23.48653&amp;long=-46.57845&amp;tipo=S","QRCODE")</f>
        <v>QRCODE</v>
      </c>
      <c r="C3049" t="s">
        <v>5328</v>
      </c>
      <c r="D3049" t="s">
        <v>121</v>
      </c>
      <c r="E3049" t="s">
        <v>121</v>
      </c>
      <c r="F3049" t="s">
        <v>21</v>
      </c>
      <c r="G3049" t="s">
        <v>2960</v>
      </c>
      <c r="H3049">
        <v>0</v>
      </c>
      <c r="I3049">
        <v>2</v>
      </c>
      <c r="J3049">
        <v>0</v>
      </c>
      <c r="K3049">
        <v>0</v>
      </c>
      <c r="L3049">
        <v>0</v>
      </c>
    </row>
    <row r="3050" spans="1:12">
      <c r="A3050" t="str">
        <f>HYPERLINK("http://bombeiros.sp.gov.br/hidrantes/03individual/3497.html","3497")</f>
        <v>3497</v>
      </c>
      <c r="B3050" t="str">
        <f>HYPERLINK("http://bombeiros.sp.gov.br/hidrantes/08bsg/qrcodeBSG.html?id=3497&amp;lat=-23.48701&amp;long=-46.58426&amp;tipo=S","QRCODE")</f>
        <v>QRCODE</v>
      </c>
      <c r="C3050" t="s">
        <v>5328</v>
      </c>
      <c r="D3050" t="s">
        <v>121</v>
      </c>
      <c r="E3050" t="s">
        <v>121</v>
      </c>
      <c r="F3050" t="s">
        <v>21</v>
      </c>
      <c r="G3050" t="s">
        <v>2041</v>
      </c>
      <c r="H3050">
        <v>0</v>
      </c>
      <c r="I3050">
        <v>2</v>
      </c>
      <c r="J3050">
        <v>0</v>
      </c>
      <c r="K3050">
        <v>0</v>
      </c>
      <c r="L3050">
        <v>0</v>
      </c>
    </row>
    <row r="3051" spans="1:12">
      <c r="A3051" t="str">
        <f>HYPERLINK("http://bombeiros.sp.gov.br/hidrantes/03individual/3498.html","3498")</f>
        <v>3498</v>
      </c>
      <c r="B3051" t="str">
        <f>HYPERLINK("http://bombeiros.sp.gov.br/hidrantes/08bsg/qrcodeBSG.html?id=3498&amp;lat=-23.48651&amp;long=-46.58438&amp;tipo=S","QRCODE")</f>
        <v>QRCODE</v>
      </c>
      <c r="C3051" t="s">
        <v>5328</v>
      </c>
      <c r="D3051" t="s">
        <v>121</v>
      </c>
      <c r="E3051" t="s">
        <v>121</v>
      </c>
      <c r="F3051" t="s">
        <v>21</v>
      </c>
      <c r="G3051" t="s">
        <v>2042</v>
      </c>
      <c r="H3051">
        <v>0</v>
      </c>
      <c r="I3051">
        <v>2</v>
      </c>
      <c r="J3051">
        <v>0</v>
      </c>
      <c r="K3051">
        <v>0</v>
      </c>
      <c r="L3051">
        <v>0</v>
      </c>
    </row>
    <row r="3052" spans="1:12">
      <c r="A3052" t="str">
        <f>HYPERLINK("http://bombeiros.sp.gov.br/hidrantes/03individual/3509.html","3509")</f>
        <v>3509</v>
      </c>
      <c r="B3052" t="str">
        <f>HYPERLINK("http://bombeiros.sp.gov.br/hidrantes/08bsg/qrcodeBSG.html?id=3509&amp;lat=-23.48146&amp;long=-46.58220&amp;tipo=S","QRCODE")</f>
        <v>QRCODE</v>
      </c>
      <c r="C3052" t="s">
        <v>5328</v>
      </c>
      <c r="D3052" t="s">
        <v>121</v>
      </c>
      <c r="E3052" t="s">
        <v>121</v>
      </c>
      <c r="F3052" t="s">
        <v>21</v>
      </c>
      <c r="G3052" t="s">
        <v>201</v>
      </c>
      <c r="H3052">
        <v>0</v>
      </c>
      <c r="I3052">
        <v>2</v>
      </c>
      <c r="J3052">
        <v>0</v>
      </c>
      <c r="K3052">
        <v>0</v>
      </c>
      <c r="L3052">
        <v>0</v>
      </c>
    </row>
    <row r="3053" spans="1:12">
      <c r="A3053" t="str">
        <f>HYPERLINK("http://bombeiros.sp.gov.br/hidrantes/03individual/17752.html","17752")</f>
        <v>17752</v>
      </c>
      <c r="B3053" t="str">
        <f>HYPERLINK("http://bombeiros.sp.gov.br/hidrantes/08bsg/qrcodeBSG.html?id=17752&amp;lat=-23.48822&amp;long=-46.58643&amp;tipo=S","QRCODE")</f>
        <v>QRCODE</v>
      </c>
      <c r="C3053" t="s">
        <v>5328</v>
      </c>
      <c r="D3053" t="s">
        <v>121</v>
      </c>
      <c r="E3053" t="s">
        <v>121</v>
      </c>
      <c r="F3053" t="s">
        <v>21</v>
      </c>
      <c r="G3053" t="s">
        <v>1517</v>
      </c>
      <c r="H3053">
        <v>1</v>
      </c>
      <c r="I3053">
        <v>3</v>
      </c>
      <c r="J3053">
        <v>0</v>
      </c>
      <c r="K3053">
        <v>0</v>
      </c>
      <c r="L3053">
        <v>0</v>
      </c>
    </row>
    <row r="3054" spans="1:12">
      <c r="A3054" t="str">
        <f>HYPERLINK("http://bombeiros.sp.gov.br/hidrantes/03individual/902.html","902")</f>
        <v>902</v>
      </c>
      <c r="B3054" t="str">
        <f>HYPERLINK("http://bombeiros.sp.gov.br/hidrantes/08bsg/qrcodeBSG.html?id=902&amp;lat=-23.55518&amp;long=-46.70494&amp;tipo=C","QRCODE")</f>
        <v>QRCODE</v>
      </c>
      <c r="C3054" t="s">
        <v>5351</v>
      </c>
      <c r="D3054" t="s">
        <v>1314</v>
      </c>
      <c r="E3054" t="s">
        <v>1314</v>
      </c>
      <c r="F3054" t="s">
        <v>12</v>
      </c>
      <c r="G3054" t="s">
        <v>3808</v>
      </c>
      <c r="H3054">
        <v>0</v>
      </c>
      <c r="I3054">
        <v>2</v>
      </c>
      <c r="J3054">
        <v>0</v>
      </c>
      <c r="K3054">
        <v>0</v>
      </c>
      <c r="L3054">
        <v>0</v>
      </c>
    </row>
    <row r="3055" spans="1:12">
      <c r="A3055" t="str">
        <f>HYPERLINK("http://bombeiros.sp.gov.br/hidrantes/03individual/1392.html","1392")</f>
        <v>1392</v>
      </c>
      <c r="B3055" t="str">
        <f>HYPERLINK("http://bombeiros.sp.gov.br/hidrantes/08bsg/qrcodeBSG.html?id=1392&amp;lat=-23.55396&amp;long=-46.70997&amp;tipo=C","QRCODE")</f>
        <v>QRCODE</v>
      </c>
      <c r="C3055" t="s">
        <v>5351</v>
      </c>
      <c r="D3055" t="s">
        <v>1314</v>
      </c>
      <c r="E3055" t="s">
        <v>1314</v>
      </c>
      <c r="F3055" t="s">
        <v>12</v>
      </c>
      <c r="G3055" t="s">
        <v>3306</v>
      </c>
      <c r="H3055">
        <v>0</v>
      </c>
      <c r="I3055">
        <v>2</v>
      </c>
      <c r="J3055">
        <v>0</v>
      </c>
      <c r="K3055">
        <v>0</v>
      </c>
      <c r="L3055">
        <v>0</v>
      </c>
    </row>
    <row r="3056" spans="1:12">
      <c r="A3056" t="str">
        <f>HYPERLINK("http://bombeiros.sp.gov.br/hidrantes/03individual/27168.html","27168")</f>
        <v>27168</v>
      </c>
      <c r="B3056" t="str">
        <f>HYPERLINK("http://bombeiros.sp.gov.br/hidrantes/08bsg/qrcodeBSG.html?id=27168&amp;lat=-23.55344&amp;long=-46.70793&amp;tipo=C","QRCODE")</f>
        <v>QRCODE</v>
      </c>
      <c r="C3056" t="s">
        <v>5351</v>
      </c>
      <c r="D3056" t="s">
        <v>1314</v>
      </c>
      <c r="E3056" t="s">
        <v>1314</v>
      </c>
      <c r="F3056" t="s">
        <v>12</v>
      </c>
      <c r="G3056" t="s">
        <v>3407</v>
      </c>
      <c r="H3056">
        <v>0</v>
      </c>
      <c r="I3056">
        <v>1</v>
      </c>
      <c r="J3056">
        <v>0</v>
      </c>
      <c r="K3056">
        <v>0</v>
      </c>
      <c r="L3056">
        <v>0</v>
      </c>
    </row>
    <row r="3057" spans="1:12">
      <c r="A3057" t="str">
        <f>HYPERLINK("http://bombeiros.sp.gov.br/hidrantes/03individual/1382.html","1382")</f>
        <v>1382</v>
      </c>
      <c r="B3057" t="str">
        <f>HYPERLINK("http://bombeiros.sp.gov.br/hidrantes/08bsg/qrcodeBSG.html?id=1382&amp;lat=-23.55100&amp;long=-46.70714&amp;tipo=S","QRCODE")</f>
        <v>QRCODE</v>
      </c>
      <c r="C3057" t="s">
        <v>5351</v>
      </c>
      <c r="D3057" t="s">
        <v>1314</v>
      </c>
      <c r="E3057" t="s">
        <v>1314</v>
      </c>
      <c r="F3057" t="s">
        <v>21</v>
      </c>
      <c r="G3057" t="s">
        <v>3470</v>
      </c>
      <c r="H3057">
        <v>1</v>
      </c>
      <c r="I3057">
        <v>1</v>
      </c>
      <c r="J3057">
        <v>0</v>
      </c>
      <c r="K3057">
        <v>0</v>
      </c>
      <c r="L3057">
        <v>0</v>
      </c>
    </row>
    <row r="3058" spans="1:12">
      <c r="A3058" t="str">
        <f>HYPERLINK("http://bombeiros.sp.gov.br/hidrantes/03individual/1393.html","1393")</f>
        <v>1393</v>
      </c>
      <c r="B3058" t="str">
        <f>HYPERLINK("http://bombeiros.sp.gov.br/hidrantes/08bsg/qrcodeBSG.html?id=1393&amp;lat=-23.55654&amp;long=-46.70370&amp;tipo=S","QRCODE")</f>
        <v>QRCODE</v>
      </c>
      <c r="C3058" t="s">
        <v>5351</v>
      </c>
      <c r="D3058" t="s">
        <v>1314</v>
      </c>
      <c r="E3058" t="s">
        <v>1314</v>
      </c>
      <c r="F3058" t="s">
        <v>21</v>
      </c>
      <c r="G3058" t="s">
        <v>3307</v>
      </c>
      <c r="H3058">
        <v>0</v>
      </c>
      <c r="I3058">
        <v>2</v>
      </c>
      <c r="J3058">
        <v>0</v>
      </c>
      <c r="K3058">
        <v>0</v>
      </c>
      <c r="L3058">
        <v>0</v>
      </c>
    </row>
    <row r="3059" spans="1:12">
      <c r="A3059" t="str">
        <f>HYPERLINK("http://bombeiros.sp.gov.br/hidrantes/03individual/4258.html","4258")</f>
        <v>4258</v>
      </c>
      <c r="B3059" t="str">
        <f>HYPERLINK("http://bombeiros.sp.gov.br/hidrantes/08bsg/qrcodeBSG.html?id=4258&amp;lat=-23.55468&amp;long=-46.70058&amp;tipo=S","QRCODE")</f>
        <v>QRCODE</v>
      </c>
      <c r="C3059" t="s">
        <v>5351</v>
      </c>
      <c r="D3059" t="s">
        <v>1314</v>
      </c>
      <c r="E3059" t="s">
        <v>1314</v>
      </c>
      <c r="F3059" t="s">
        <v>21</v>
      </c>
      <c r="G3059" t="s">
        <v>2305</v>
      </c>
      <c r="H3059">
        <v>0</v>
      </c>
      <c r="I3059">
        <v>2</v>
      </c>
      <c r="J3059">
        <v>0</v>
      </c>
      <c r="K3059">
        <v>0</v>
      </c>
      <c r="L3059">
        <v>0</v>
      </c>
    </row>
    <row r="3060" spans="1:12">
      <c r="A3060" t="str">
        <f>HYPERLINK("http://bombeiros.sp.gov.br/hidrantes/03individual/16579.html","16579")</f>
        <v>16579</v>
      </c>
      <c r="B3060" t="str">
        <f>HYPERLINK("http://bombeiros.sp.gov.br/hidrantes/08bsg/qrcodeBSG.html?id=16579&amp;lat=-23.55575&amp;long=-46.70822&amp;tipo=S","QRCODE")</f>
        <v>QRCODE</v>
      </c>
      <c r="C3060" t="s">
        <v>5351</v>
      </c>
      <c r="D3060" t="s">
        <v>1314</v>
      </c>
      <c r="E3060" t="s">
        <v>1314</v>
      </c>
      <c r="F3060" t="s">
        <v>21</v>
      </c>
      <c r="G3060" t="s">
        <v>1313</v>
      </c>
      <c r="H3060">
        <v>1</v>
      </c>
      <c r="I3060">
        <v>2</v>
      </c>
      <c r="J3060">
        <v>0</v>
      </c>
      <c r="K3060">
        <v>0</v>
      </c>
      <c r="L3060">
        <v>0</v>
      </c>
    </row>
    <row r="3061" spans="1:12">
      <c r="A3061" t="str">
        <f>HYPERLINK("http://bombeiros.sp.gov.br/hidrantes/03individual/17705.html","17705")</f>
        <v>17705</v>
      </c>
      <c r="B3061" t="str">
        <f>HYPERLINK("http://bombeiros.sp.gov.br/hidrantes/08bsg/qrcodeBSG.html?id=17705&amp;lat=-23.54345&amp;long=-46.70809&amp;tipo=S","QRCODE")</f>
        <v>QRCODE</v>
      </c>
      <c r="C3061" t="s">
        <v>5351</v>
      </c>
      <c r="D3061" t="s">
        <v>1314</v>
      </c>
      <c r="E3061" t="s">
        <v>1314</v>
      </c>
      <c r="F3061" t="s">
        <v>21</v>
      </c>
      <c r="G3061" t="s">
        <v>2173</v>
      </c>
      <c r="H3061">
        <v>1</v>
      </c>
      <c r="I3061">
        <v>2</v>
      </c>
      <c r="J3061">
        <v>0</v>
      </c>
      <c r="K3061">
        <v>0</v>
      </c>
      <c r="L3061">
        <v>0</v>
      </c>
    </row>
    <row r="3062" spans="1:12">
      <c r="A3062" t="str">
        <f>HYPERLINK("http://bombeiros.sp.gov.br/hidrantes/03individual/839.html","839")</f>
        <v>839</v>
      </c>
      <c r="B3062" t="str">
        <f>HYPERLINK("http://bombeiros.sp.gov.br/hidrantes/08bsg/qrcodeBSG.html?id=839&amp;lat=-23.55250&amp;long=-46.71922&amp;tipo=C","QRCODE")</f>
        <v>QRCODE</v>
      </c>
      <c r="C3062" t="s">
        <v>5351</v>
      </c>
      <c r="D3062" t="s">
        <v>1314</v>
      </c>
      <c r="E3062" t="s">
        <v>1266</v>
      </c>
      <c r="F3062" t="s">
        <v>12</v>
      </c>
      <c r="G3062" t="s">
        <v>5064</v>
      </c>
      <c r="H3062">
        <v>0</v>
      </c>
      <c r="I3062">
        <v>1</v>
      </c>
      <c r="J3062">
        <v>0</v>
      </c>
      <c r="K3062">
        <v>0</v>
      </c>
      <c r="L3062">
        <v>0</v>
      </c>
    </row>
    <row r="3063" spans="1:12">
      <c r="A3063" t="str">
        <f>HYPERLINK("http://bombeiros.sp.gov.br/hidrantes/03individual/1377.html","1377")</f>
        <v>1377</v>
      </c>
      <c r="B3063" t="str">
        <f>HYPERLINK("http://bombeiros.sp.gov.br/hidrantes/08bsg/qrcodeBSG.html?id=1377&amp;lat=-23.53859&amp;long=-46.71942&amp;tipo=C","QRCODE")</f>
        <v>QRCODE</v>
      </c>
      <c r="C3063" t="s">
        <v>5351</v>
      </c>
      <c r="D3063" t="s">
        <v>1314</v>
      </c>
      <c r="E3063" t="s">
        <v>1266</v>
      </c>
      <c r="F3063" t="s">
        <v>12</v>
      </c>
      <c r="G3063" t="s">
        <v>4237</v>
      </c>
      <c r="H3063">
        <v>0</v>
      </c>
      <c r="I3063">
        <v>1</v>
      </c>
      <c r="J3063">
        <v>0</v>
      </c>
      <c r="K3063">
        <v>0</v>
      </c>
      <c r="L3063">
        <v>0</v>
      </c>
    </row>
    <row r="3064" spans="1:12">
      <c r="A3064" t="str">
        <f>HYPERLINK("http://bombeiros.sp.gov.br/hidrantes/03individual/6654.html","6654")</f>
        <v>6654</v>
      </c>
      <c r="B3064" t="str">
        <f>HYPERLINK("http://bombeiros.sp.gov.br/hidrantes/08bsg/qrcodeBSG.html?id=6654&amp;lat=-23.55050&amp;long=-46.71950&amp;tipo=C","QRCODE")</f>
        <v>QRCODE</v>
      </c>
      <c r="C3064" t="s">
        <v>5351</v>
      </c>
      <c r="D3064" t="s">
        <v>1314</v>
      </c>
      <c r="E3064" t="s">
        <v>1266</v>
      </c>
      <c r="F3064" t="s">
        <v>12</v>
      </c>
      <c r="G3064" t="s">
        <v>4250</v>
      </c>
      <c r="H3064">
        <v>0</v>
      </c>
      <c r="I3064">
        <v>2</v>
      </c>
      <c r="J3064">
        <v>0</v>
      </c>
      <c r="K3064">
        <v>0</v>
      </c>
      <c r="L3064">
        <v>0</v>
      </c>
    </row>
    <row r="3065" spans="1:12">
      <c r="A3065" t="str">
        <f>HYPERLINK("http://bombeiros.sp.gov.br/hidrantes/03individual/6655.html","6655")</f>
        <v>6655</v>
      </c>
      <c r="B3065" t="str">
        <f>HYPERLINK("http://bombeiros.sp.gov.br/hidrantes/08bsg/qrcodeBSG.html?id=6655&amp;lat=-23.54979&amp;long=-46.71909&amp;tipo=C","QRCODE")</f>
        <v>QRCODE</v>
      </c>
      <c r="C3065" t="s">
        <v>5351</v>
      </c>
      <c r="D3065" t="s">
        <v>1314</v>
      </c>
      <c r="E3065" t="s">
        <v>1266</v>
      </c>
      <c r="F3065" t="s">
        <v>12</v>
      </c>
      <c r="G3065" t="s">
        <v>5352</v>
      </c>
      <c r="H3065">
        <v>0</v>
      </c>
      <c r="I3065">
        <v>0</v>
      </c>
      <c r="J3065">
        <v>0</v>
      </c>
      <c r="K3065">
        <v>0</v>
      </c>
      <c r="L3065">
        <v>0</v>
      </c>
    </row>
    <row r="3066" spans="1:12">
      <c r="A3066" t="str">
        <f>HYPERLINK("http://bombeiros.sp.gov.br/hidrantes/03individual/6662.html","6662")</f>
        <v>6662</v>
      </c>
      <c r="B3066" t="str">
        <f>HYPERLINK("http://bombeiros.sp.gov.br/hidrantes/08bsg/qrcodeBSG.html?id=6662&amp;lat=-23.54887&amp;long=-46.72052&amp;tipo=C","QRCODE")</f>
        <v>QRCODE</v>
      </c>
      <c r="C3066" t="s">
        <v>5351</v>
      </c>
      <c r="D3066" t="s">
        <v>1314</v>
      </c>
      <c r="E3066" t="s">
        <v>1266</v>
      </c>
      <c r="F3066" t="s">
        <v>12</v>
      </c>
      <c r="G3066" t="s">
        <v>5353</v>
      </c>
      <c r="H3066">
        <v>0</v>
      </c>
      <c r="I3066">
        <v>0</v>
      </c>
      <c r="J3066">
        <v>0</v>
      </c>
      <c r="K3066">
        <v>0</v>
      </c>
      <c r="L3066">
        <v>0</v>
      </c>
    </row>
    <row r="3067" spans="1:12">
      <c r="A3067" t="str">
        <f>HYPERLINK("http://bombeiros.sp.gov.br/hidrantes/03individual/1269.html","1269")</f>
        <v>1269</v>
      </c>
      <c r="B3067" t="str">
        <f>HYPERLINK("http://bombeiros.sp.gov.br/hidrantes/08bsg/qrcodeBSG.html?id=1269&amp;lat=-23.53590&amp;long=-46.71749&amp;tipo=S","QRCODE")</f>
        <v>QRCODE</v>
      </c>
      <c r="C3067" t="s">
        <v>5351</v>
      </c>
      <c r="D3067" t="s">
        <v>1314</v>
      </c>
      <c r="E3067" t="s">
        <v>1266</v>
      </c>
      <c r="F3067" t="s">
        <v>21</v>
      </c>
      <c r="G3067" t="s">
        <v>4045</v>
      </c>
      <c r="H3067">
        <v>0</v>
      </c>
      <c r="I3067">
        <v>2</v>
      </c>
      <c r="J3067">
        <v>0</v>
      </c>
      <c r="K3067">
        <v>0</v>
      </c>
      <c r="L3067">
        <v>0</v>
      </c>
    </row>
    <row r="3068" spans="1:12">
      <c r="A3068" t="str">
        <f>HYPERLINK("http://bombeiros.sp.gov.br/hidrantes/03individual/1280.html","1280")</f>
        <v>1280</v>
      </c>
      <c r="B3068" t="str">
        <f>HYPERLINK("http://bombeiros.sp.gov.br/hidrantes/08bsg/qrcodeBSG.html?id=1280&amp;lat=-23.54159&amp;long=-46.71320&amp;tipo=S","QRCODE")</f>
        <v>QRCODE</v>
      </c>
      <c r="C3068" t="s">
        <v>5351</v>
      </c>
      <c r="D3068" t="s">
        <v>1314</v>
      </c>
      <c r="E3068" t="s">
        <v>1266</v>
      </c>
      <c r="F3068" t="s">
        <v>21</v>
      </c>
      <c r="G3068" t="s">
        <v>2125</v>
      </c>
      <c r="H3068">
        <v>0</v>
      </c>
      <c r="I3068">
        <v>2</v>
      </c>
      <c r="J3068">
        <v>0</v>
      </c>
      <c r="K3068">
        <v>0</v>
      </c>
      <c r="L3068">
        <v>0</v>
      </c>
    </row>
    <row r="3069" spans="1:12">
      <c r="A3069" t="str">
        <f>HYPERLINK("http://bombeiros.sp.gov.br/hidrantes/03individual/1282.html","1282")</f>
        <v>1282</v>
      </c>
      <c r="B3069" t="str">
        <f>HYPERLINK("http://bombeiros.sp.gov.br/hidrantes/08bsg/qrcodeBSG.html?id=1282&amp;lat=-23.54033&amp;long=-46.71397&amp;tipo=S","QRCODE")</f>
        <v>QRCODE</v>
      </c>
      <c r="C3069" t="s">
        <v>5351</v>
      </c>
      <c r="D3069" t="s">
        <v>1314</v>
      </c>
      <c r="E3069" t="s">
        <v>1266</v>
      </c>
      <c r="F3069" t="s">
        <v>21</v>
      </c>
      <c r="G3069" t="s">
        <v>1265</v>
      </c>
      <c r="H3069">
        <v>2</v>
      </c>
      <c r="I3069">
        <v>2</v>
      </c>
      <c r="J3069">
        <v>0</v>
      </c>
      <c r="K3069">
        <v>0</v>
      </c>
      <c r="L3069">
        <v>0</v>
      </c>
    </row>
    <row r="3070" spans="1:12">
      <c r="A3070" t="str">
        <f>HYPERLINK("http://bombeiros.sp.gov.br/hidrantes/03individual/1376.html","1376")</f>
        <v>1376</v>
      </c>
      <c r="B3070" t="str">
        <f>HYPERLINK("http://bombeiros.sp.gov.br/hidrantes/08bsg/qrcodeBSG.html?id=1376&amp;lat=-23.53839&amp;long=-46.71617&amp;tipo=S","QRCODE")</f>
        <v>QRCODE</v>
      </c>
      <c r="C3070" t="s">
        <v>5351</v>
      </c>
      <c r="D3070" t="s">
        <v>1314</v>
      </c>
      <c r="E3070" t="s">
        <v>1266</v>
      </c>
      <c r="F3070" t="s">
        <v>21</v>
      </c>
      <c r="G3070" t="s">
        <v>3236</v>
      </c>
      <c r="H3070">
        <v>0</v>
      </c>
      <c r="I3070">
        <v>2</v>
      </c>
      <c r="J3070">
        <v>0</v>
      </c>
      <c r="K3070">
        <v>0</v>
      </c>
      <c r="L3070">
        <v>0</v>
      </c>
    </row>
    <row r="3071" spans="1:12">
      <c r="A3071" t="str">
        <f>HYPERLINK("http://bombeiros.sp.gov.br/hidrantes/03individual/4717.html","4717")</f>
        <v>4717</v>
      </c>
      <c r="B3071" t="str">
        <f>HYPERLINK("http://bombeiros.sp.gov.br/hidrantes/08bsg/qrcodeBSG.html?id=4717&amp;lat=-23.54405&amp;long=-46.71688&amp;tipo=S","QRCODE")</f>
        <v>QRCODE</v>
      </c>
      <c r="C3071" t="s">
        <v>5351</v>
      </c>
      <c r="D3071" t="s">
        <v>1314</v>
      </c>
      <c r="E3071" t="s">
        <v>1266</v>
      </c>
      <c r="F3071" t="s">
        <v>21</v>
      </c>
      <c r="G3071" t="s">
        <v>1274</v>
      </c>
      <c r="H3071">
        <v>0</v>
      </c>
      <c r="I3071">
        <v>3</v>
      </c>
      <c r="J3071">
        <v>0</v>
      </c>
      <c r="K3071">
        <v>0</v>
      </c>
      <c r="L3071">
        <v>0</v>
      </c>
    </row>
    <row r="3072" spans="1:12">
      <c r="A3072" t="str">
        <f>HYPERLINK("http://bombeiros.sp.gov.br/hidrantes/03individual/17706.html","17706")</f>
        <v>17706</v>
      </c>
      <c r="B3072" t="str">
        <f>HYPERLINK("http://bombeiros.sp.gov.br/hidrantes/08bsg/qrcodeBSG.html?id=17706&amp;lat=-23.53868&amp;long=-46.71703&amp;tipo=S","QRCODE")</f>
        <v>QRCODE</v>
      </c>
      <c r="C3072" t="s">
        <v>5351</v>
      </c>
      <c r="D3072" t="s">
        <v>1314</v>
      </c>
      <c r="E3072" t="s">
        <v>1266</v>
      </c>
      <c r="F3072" t="s">
        <v>21</v>
      </c>
      <c r="G3072" t="s">
        <v>3994</v>
      </c>
      <c r="H3072">
        <v>1</v>
      </c>
      <c r="I3072">
        <v>1</v>
      </c>
      <c r="J3072">
        <v>0</v>
      </c>
      <c r="K3072">
        <v>0</v>
      </c>
      <c r="L3072">
        <v>0</v>
      </c>
    </row>
    <row r="3073" spans="1:12">
      <c r="A3073" t="str">
        <f>HYPERLINK("http://bombeiros.sp.gov.br/hidrantes/03individual/17777.html","17777")</f>
        <v>17777</v>
      </c>
      <c r="B3073" t="str">
        <f>HYPERLINK("http://bombeiros.sp.gov.br/hidrantes/08bsg/qrcodeBSG.html?id=17777&amp;lat=-23.54158&amp;long=-46.71653&amp;tipo=S","QRCODE")</f>
        <v>QRCODE</v>
      </c>
      <c r="C3073" t="s">
        <v>5351</v>
      </c>
      <c r="D3073" t="s">
        <v>1314</v>
      </c>
      <c r="E3073" t="s">
        <v>1266</v>
      </c>
      <c r="F3073" t="s">
        <v>21</v>
      </c>
      <c r="G3073" t="s">
        <v>3996</v>
      </c>
      <c r="H3073">
        <v>1</v>
      </c>
      <c r="I3073">
        <v>1</v>
      </c>
      <c r="J3073">
        <v>0</v>
      </c>
      <c r="K3073">
        <v>0</v>
      </c>
      <c r="L3073">
        <v>0</v>
      </c>
    </row>
    <row r="3074" spans="1:12">
      <c r="A3074" t="str">
        <f>HYPERLINK("http://bombeiros.sp.gov.br/hidrantes/03individual/1276.html","1276")</f>
        <v>1276</v>
      </c>
      <c r="B3074" t="str">
        <f>HYPERLINK("http://bombeiros.sp.gov.br/hidrantes/08bsg/qrcodeBSG.html?id=1276&amp;lat=-23.54209&amp;long=-46.70343&amp;tipo=S","QRCODE")</f>
        <v>QRCODE</v>
      </c>
      <c r="C3074" t="s">
        <v>5351</v>
      </c>
      <c r="D3074" t="s">
        <v>1314</v>
      </c>
      <c r="E3074" t="s">
        <v>1255</v>
      </c>
      <c r="F3074" t="s">
        <v>21</v>
      </c>
      <c r="G3074" t="s">
        <v>4046</v>
      </c>
      <c r="H3074">
        <v>0</v>
      </c>
      <c r="I3074">
        <v>2</v>
      </c>
      <c r="J3074">
        <v>0</v>
      </c>
      <c r="K3074">
        <v>0</v>
      </c>
      <c r="L3074">
        <v>0</v>
      </c>
    </row>
    <row r="3075" spans="1:12">
      <c r="A3075" t="str">
        <f>HYPERLINK("http://bombeiros.sp.gov.br/hidrantes/03individual/1386.html","1386")</f>
        <v>1386</v>
      </c>
      <c r="B3075" t="str">
        <f>HYPERLINK("http://bombeiros.sp.gov.br/hidrantes/08bsg/qrcodeBSG.html?id=1386&amp;lat=-23.54703&amp;long=-46.70007&amp;tipo=S","QRCODE")</f>
        <v>QRCODE</v>
      </c>
      <c r="C3075" t="s">
        <v>5351</v>
      </c>
      <c r="D3075" t="s">
        <v>1314</v>
      </c>
      <c r="E3075" t="s">
        <v>1255</v>
      </c>
      <c r="F3075" t="s">
        <v>21</v>
      </c>
      <c r="G3075" t="s">
        <v>5169</v>
      </c>
      <c r="H3075">
        <v>2</v>
      </c>
      <c r="I3075">
        <v>1</v>
      </c>
      <c r="J3075">
        <v>0</v>
      </c>
      <c r="K3075">
        <v>0</v>
      </c>
      <c r="L3075">
        <v>0</v>
      </c>
    </row>
    <row r="3076" spans="1:12">
      <c r="A3076" t="str">
        <f>HYPERLINK("http://bombeiros.sp.gov.br/hidrantes/03individual/2116.html","2116")</f>
        <v>2116</v>
      </c>
      <c r="B3076" t="str">
        <f>HYPERLINK("http://bombeiros.sp.gov.br/hidrantes/08bsg/qrcodeBSG.html?id=2116&amp;lat=-23.55078&amp;long=-46.69822&amp;tipo=S","QRCODE")</f>
        <v>QRCODE</v>
      </c>
      <c r="C3076" t="s">
        <v>5351</v>
      </c>
      <c r="D3076" t="s">
        <v>1314</v>
      </c>
      <c r="E3076" t="s">
        <v>1255</v>
      </c>
      <c r="F3076" t="s">
        <v>21</v>
      </c>
      <c r="G3076" t="s">
        <v>2106</v>
      </c>
      <c r="H3076">
        <v>0</v>
      </c>
      <c r="I3076">
        <v>2</v>
      </c>
      <c r="J3076">
        <v>0</v>
      </c>
      <c r="K3076">
        <v>0</v>
      </c>
      <c r="L3076">
        <v>0</v>
      </c>
    </row>
    <row r="3077" spans="1:12">
      <c r="A3077" t="str">
        <f>HYPERLINK("http://bombeiros.sp.gov.br/hidrantes/03individual/2144.html","2144")</f>
        <v>2144</v>
      </c>
      <c r="B3077" t="str">
        <f>HYPERLINK("http://bombeiros.sp.gov.br/hidrantes/08bsg/qrcodeBSG.html?id=2144&amp;lat=-23.54196&amp;long=-46.69663&amp;tipo=S","QRCODE")</f>
        <v>QRCODE</v>
      </c>
      <c r="C3077" t="s">
        <v>5351</v>
      </c>
      <c r="D3077" t="s">
        <v>1314</v>
      </c>
      <c r="E3077" t="s">
        <v>1255</v>
      </c>
      <c r="F3077" t="s">
        <v>21</v>
      </c>
      <c r="G3077" t="s">
        <v>2808</v>
      </c>
      <c r="H3077">
        <v>0</v>
      </c>
      <c r="I3077">
        <v>2</v>
      </c>
      <c r="J3077">
        <v>0</v>
      </c>
      <c r="K3077">
        <v>0</v>
      </c>
      <c r="L3077">
        <v>0</v>
      </c>
    </row>
    <row r="3078" spans="1:12">
      <c r="A3078" t="str">
        <f>HYPERLINK("http://bombeiros.sp.gov.br/hidrantes/03individual/2171.html","2171")</f>
        <v>2171</v>
      </c>
      <c r="B3078" t="str">
        <f>HYPERLINK("http://bombeiros.sp.gov.br/hidrantes/08bsg/qrcodeBSG.html?id=2171&amp;lat=-23.54203&amp;long=-46.69937&amp;tipo=S","QRCODE")</f>
        <v>QRCODE</v>
      </c>
      <c r="C3078" t="s">
        <v>5351</v>
      </c>
      <c r="D3078" t="s">
        <v>1314</v>
      </c>
      <c r="E3078" t="s">
        <v>1255</v>
      </c>
      <c r="F3078" t="s">
        <v>21</v>
      </c>
      <c r="G3078" t="s">
        <v>1254</v>
      </c>
      <c r="H3078">
        <v>1</v>
      </c>
      <c r="I3078">
        <v>2</v>
      </c>
      <c r="J3078">
        <v>0</v>
      </c>
      <c r="K3078">
        <v>0</v>
      </c>
      <c r="L3078">
        <v>0</v>
      </c>
    </row>
    <row r="3079" spans="1:12">
      <c r="A3079" t="str">
        <f>HYPERLINK("http://bombeiros.sp.gov.br/hidrantes/03individual/2194.html","2194")</f>
        <v>2194</v>
      </c>
      <c r="B3079" t="str">
        <f>HYPERLINK("http://bombeiros.sp.gov.br/hidrantes/08bsg/qrcodeBSG.html?id=2194&amp;lat=-23.54535&amp;long=-46.69432&amp;tipo=S","QRCODE")</f>
        <v>QRCODE</v>
      </c>
      <c r="C3079" t="s">
        <v>5351</v>
      </c>
      <c r="D3079" t="s">
        <v>1314</v>
      </c>
      <c r="E3079" t="s">
        <v>1255</v>
      </c>
      <c r="F3079" t="s">
        <v>21</v>
      </c>
      <c r="G3079" t="s">
        <v>1301</v>
      </c>
      <c r="H3079">
        <v>0</v>
      </c>
      <c r="I3079">
        <v>3</v>
      </c>
      <c r="J3079">
        <v>0</v>
      </c>
      <c r="K3079">
        <v>0</v>
      </c>
      <c r="L3079">
        <v>0</v>
      </c>
    </row>
    <row r="3080" spans="1:12">
      <c r="A3080" t="str">
        <f>HYPERLINK("http://bombeiros.sp.gov.br/hidrantes/03individual/2671.html","2671")</f>
        <v>2671</v>
      </c>
      <c r="B3080" t="str">
        <f>HYPERLINK("http://bombeiros.sp.gov.br/hidrantes/08bsg/qrcodeBSG.html?id=2671&amp;lat=-23.55285&amp;long=-46.69827&amp;tipo=S","QRCODE")</f>
        <v>QRCODE</v>
      </c>
      <c r="C3080" t="s">
        <v>5351</v>
      </c>
      <c r="D3080" t="s">
        <v>1314</v>
      </c>
      <c r="E3080" t="s">
        <v>1255</v>
      </c>
      <c r="F3080" t="s">
        <v>21</v>
      </c>
      <c r="G3080" t="s">
        <v>3196</v>
      </c>
      <c r="H3080">
        <v>0</v>
      </c>
      <c r="I3080">
        <v>2</v>
      </c>
      <c r="J3080">
        <v>0</v>
      </c>
      <c r="K3080">
        <v>0</v>
      </c>
      <c r="L3080">
        <v>0</v>
      </c>
    </row>
    <row r="3081" spans="1:12">
      <c r="A3081" t="str">
        <f>HYPERLINK("http://bombeiros.sp.gov.br/hidrantes/03individual/4257.html","4257")</f>
        <v>4257</v>
      </c>
      <c r="B3081" t="str">
        <f>HYPERLINK("http://bombeiros.sp.gov.br/hidrantes/08bsg/qrcodeBSG.html?id=4257&amp;lat=-23.54835&amp;long=-46.70357&amp;tipo=S","QRCODE")</f>
        <v>QRCODE</v>
      </c>
      <c r="C3081" t="s">
        <v>5351</v>
      </c>
      <c r="D3081" t="s">
        <v>1314</v>
      </c>
      <c r="E3081" t="s">
        <v>1255</v>
      </c>
      <c r="F3081" t="s">
        <v>21</v>
      </c>
      <c r="G3081" t="s">
        <v>2153</v>
      </c>
      <c r="H3081">
        <v>0</v>
      </c>
      <c r="I3081">
        <v>2</v>
      </c>
      <c r="J3081">
        <v>0</v>
      </c>
      <c r="K3081">
        <v>0</v>
      </c>
      <c r="L3081">
        <v>0</v>
      </c>
    </row>
    <row r="3082" spans="1:12">
      <c r="A3082" t="str">
        <f>HYPERLINK("http://bombeiros.sp.gov.br/hidrantes/03individual/4275.html","4275")</f>
        <v>4275</v>
      </c>
      <c r="B3082" t="str">
        <f>HYPERLINK("http://bombeiros.sp.gov.br/hidrantes/08bsg/qrcodeBSG.html?id=4275&amp;lat=-23.54733&amp;long=-46.69419&amp;tipo=S","QRCODE")</f>
        <v>QRCODE</v>
      </c>
      <c r="C3082" t="s">
        <v>5351</v>
      </c>
      <c r="D3082" t="s">
        <v>1314</v>
      </c>
      <c r="E3082" t="s">
        <v>1255</v>
      </c>
      <c r="F3082" t="s">
        <v>21</v>
      </c>
      <c r="G3082" t="s">
        <v>1269</v>
      </c>
      <c r="H3082">
        <v>1</v>
      </c>
      <c r="I3082">
        <v>2</v>
      </c>
      <c r="J3082">
        <v>0</v>
      </c>
      <c r="K3082">
        <v>0</v>
      </c>
      <c r="L3082">
        <v>0</v>
      </c>
    </row>
    <row r="3083" spans="1:12">
      <c r="A3083" t="str">
        <f>HYPERLINK("http://bombeiros.sp.gov.br/hidrantes/03individual/6676.html","6676")</f>
        <v>6676</v>
      </c>
      <c r="B3083" t="str">
        <f>HYPERLINK("http://bombeiros.sp.gov.br/hidrantes/08bsg/qrcodeBSG.html?id=6676&amp;lat=-23.54394&amp;long=-46.69733&amp;tipo=S","QRCODE")</f>
        <v>QRCODE</v>
      </c>
      <c r="C3083" t="s">
        <v>5351</v>
      </c>
      <c r="D3083" t="s">
        <v>1314</v>
      </c>
      <c r="E3083" t="s">
        <v>1255</v>
      </c>
      <c r="F3083" t="s">
        <v>21</v>
      </c>
      <c r="G3083" t="s">
        <v>1273</v>
      </c>
      <c r="H3083">
        <v>1</v>
      </c>
      <c r="I3083">
        <v>2</v>
      </c>
      <c r="J3083">
        <v>0</v>
      </c>
      <c r="K3083">
        <v>0</v>
      </c>
      <c r="L3083">
        <v>0</v>
      </c>
    </row>
    <row r="3084" spans="1:12">
      <c r="A3084" t="str">
        <f>HYPERLINK("http://bombeiros.sp.gov.br/hidrantes/03individual/6679.html","6679")</f>
        <v>6679</v>
      </c>
      <c r="B3084" t="str">
        <f>HYPERLINK("http://bombeiros.sp.gov.br/hidrantes/08bsg/qrcodeBSG.html?id=6679&amp;lat=-23.55473&amp;long=-46.69842&amp;tipo=S","QRCODE")</f>
        <v>QRCODE</v>
      </c>
      <c r="C3084" t="s">
        <v>5351</v>
      </c>
      <c r="D3084" t="s">
        <v>1314</v>
      </c>
      <c r="E3084" t="s">
        <v>1255</v>
      </c>
      <c r="F3084" t="s">
        <v>21</v>
      </c>
      <c r="G3084" t="s">
        <v>4985</v>
      </c>
      <c r="H3084">
        <v>0</v>
      </c>
      <c r="I3084">
        <v>1</v>
      </c>
      <c r="J3084">
        <v>0</v>
      </c>
      <c r="K3084">
        <v>0</v>
      </c>
      <c r="L3084">
        <v>0</v>
      </c>
    </row>
    <row r="3085" spans="1:12">
      <c r="A3085" t="str">
        <f>HYPERLINK("http://bombeiros.sp.gov.br/hidrantes/03individual/16578.html","16578")</f>
        <v>16578</v>
      </c>
      <c r="B3085" t="str">
        <f>HYPERLINK("http://bombeiros.sp.gov.br/hidrantes/08bsg/qrcodeBSG.html?id=16578&amp;lat=-23.55048&amp;long=-46.70041&amp;tipo=S","QRCODE")</f>
        <v>QRCODE</v>
      </c>
      <c r="C3085" t="s">
        <v>5351</v>
      </c>
      <c r="D3085" t="s">
        <v>1314</v>
      </c>
      <c r="E3085" t="s">
        <v>1255</v>
      </c>
      <c r="F3085" t="s">
        <v>21</v>
      </c>
      <c r="G3085" t="s">
        <v>3512</v>
      </c>
      <c r="H3085">
        <v>1</v>
      </c>
      <c r="I3085">
        <v>1</v>
      </c>
      <c r="J3085">
        <v>0</v>
      </c>
      <c r="K3085">
        <v>0</v>
      </c>
      <c r="L3085">
        <v>0</v>
      </c>
    </row>
    <row r="3086" spans="1:12">
      <c r="A3086" t="str">
        <f>HYPERLINK("http://bombeiros.sp.gov.br/hidrantes/03individual/17865.html","17865")</f>
        <v>17865</v>
      </c>
      <c r="B3086" t="str">
        <f>HYPERLINK("http://bombeiros.sp.gov.br/hidrantes/08bsg/qrcodeBSG.html?id=17865&amp;lat=-23.54375&amp;long=-46.69630&amp;tipo=S","QRCODE")</f>
        <v>QRCODE</v>
      </c>
      <c r="C3086" t="s">
        <v>5351</v>
      </c>
      <c r="D3086" t="s">
        <v>1314</v>
      </c>
      <c r="E3086" t="s">
        <v>1255</v>
      </c>
      <c r="F3086" t="s">
        <v>21</v>
      </c>
      <c r="G3086" t="s">
        <v>3893</v>
      </c>
      <c r="H3086">
        <v>1</v>
      </c>
      <c r="I3086">
        <v>1</v>
      </c>
      <c r="J3086">
        <v>0</v>
      </c>
      <c r="K3086">
        <v>0</v>
      </c>
      <c r="L3086">
        <v>0</v>
      </c>
    </row>
    <row r="3087" spans="1:12">
      <c r="A3087" t="str">
        <f>HYPERLINK("http://bombeiros.sp.gov.br/hidrantes/03individual/23036.html","23036")</f>
        <v>23036</v>
      </c>
      <c r="B3087" t="str">
        <f>HYPERLINK("http://bombeiros.sp.gov.br/hidrantes/08bsg/qrcodeBSG.html?id=23036&amp;lat=-23.54107&amp;long=-46.69881&amp;tipo=S","QRCODE")</f>
        <v>QRCODE</v>
      </c>
      <c r="C3087" t="s">
        <v>5351</v>
      </c>
      <c r="D3087" t="s">
        <v>1314</v>
      </c>
      <c r="E3087" t="s">
        <v>1255</v>
      </c>
      <c r="F3087" t="s">
        <v>21</v>
      </c>
      <c r="G3087" t="s">
        <v>3895</v>
      </c>
      <c r="H3087">
        <v>1</v>
      </c>
      <c r="I3087">
        <v>1</v>
      </c>
      <c r="J3087">
        <v>0</v>
      </c>
      <c r="K3087">
        <v>0</v>
      </c>
      <c r="L3087">
        <v>0</v>
      </c>
    </row>
    <row r="3088" spans="1:12">
      <c r="A3088" t="str">
        <f>HYPERLINK("http://bombeiros.sp.gov.br/hidrantes/03individual/25216.html","25216")</f>
        <v>25216</v>
      </c>
      <c r="B3088" t="str">
        <f>HYPERLINK("http://bombeiros.sp.gov.br/hidrantes/08bsg/qrcodeBSG.html?id=25216&amp;lat=-23.54322&amp;long=-46.70188&amp;tipo=S","QRCODE")</f>
        <v>QRCODE</v>
      </c>
      <c r="C3088" t="s">
        <v>5351</v>
      </c>
      <c r="D3088" t="s">
        <v>1314</v>
      </c>
      <c r="E3088" t="s">
        <v>1255</v>
      </c>
      <c r="F3088" t="s">
        <v>21</v>
      </c>
      <c r="G3088" t="s">
        <v>4008</v>
      </c>
      <c r="H3088">
        <v>1</v>
      </c>
      <c r="I3088">
        <v>1</v>
      </c>
      <c r="J3088">
        <v>0</v>
      </c>
      <c r="K3088">
        <v>0</v>
      </c>
      <c r="L3088">
        <v>0</v>
      </c>
    </row>
    <row r="3089" spans="1:12">
      <c r="A3089" t="str">
        <f>HYPERLINK("http://bombeiros.sp.gov.br/hidrantes/03individual/25217.html","25217")</f>
        <v>25217</v>
      </c>
      <c r="B3089" t="str">
        <f>HYPERLINK("http://bombeiros.sp.gov.br/hidrantes/08bsg/qrcodeBSG.html?id=25217&amp;lat=-23.54294&amp;long=-46.70038&amp;tipo=S","QRCODE")</f>
        <v>QRCODE</v>
      </c>
      <c r="C3089" t="s">
        <v>5351</v>
      </c>
      <c r="D3089" t="s">
        <v>1314</v>
      </c>
      <c r="E3089" t="s">
        <v>1255</v>
      </c>
      <c r="F3089" t="s">
        <v>21</v>
      </c>
      <c r="G3089" t="s">
        <v>2171</v>
      </c>
      <c r="H3089">
        <v>0</v>
      </c>
      <c r="I3089">
        <v>2</v>
      </c>
      <c r="J3089">
        <v>0</v>
      </c>
      <c r="K3089">
        <v>0</v>
      </c>
      <c r="L3089">
        <v>0</v>
      </c>
    </row>
    <row r="3090" spans="1:12">
      <c r="A3090" t="str">
        <f>HYPERLINK("http://bombeiros.sp.gov.br/hidrantes/03individual/25218.html","25218")</f>
        <v>25218</v>
      </c>
      <c r="B3090" t="str">
        <f>HYPERLINK("http://bombeiros.sp.gov.br/hidrantes/08bsg/qrcodeBSG.html?id=25218&amp;lat=-23.54326&amp;long=-46.69989&amp;tipo=S","QRCODE")</f>
        <v>QRCODE</v>
      </c>
      <c r="C3090" t="s">
        <v>5351</v>
      </c>
      <c r="D3090" t="s">
        <v>1314</v>
      </c>
      <c r="E3090" t="s">
        <v>1255</v>
      </c>
      <c r="F3090" t="s">
        <v>21</v>
      </c>
      <c r="G3090" t="s">
        <v>3909</v>
      </c>
      <c r="H3090">
        <v>0</v>
      </c>
      <c r="I3090">
        <v>2</v>
      </c>
      <c r="J3090">
        <v>0</v>
      </c>
      <c r="K3090">
        <v>0</v>
      </c>
      <c r="L3090">
        <v>0</v>
      </c>
    </row>
    <row r="3091" spans="1:12">
      <c r="A3091" t="str">
        <f>HYPERLINK("http://bombeiros.sp.gov.br/hidrantes/03individual/956.html","956")</f>
        <v>956</v>
      </c>
      <c r="B3091" t="str">
        <f>HYPERLINK("http://bombeiros.sp.gov.br/hidrantes/08bsg/qrcodeBSG.html?id=956&amp;lat=-23.52534&amp;long=-46.68112&amp;tipo=C","QRCODE")</f>
        <v>QRCODE</v>
      </c>
      <c r="C3091" t="s">
        <v>5351</v>
      </c>
      <c r="D3091" t="s">
        <v>703</v>
      </c>
      <c r="E3091" t="s">
        <v>1197</v>
      </c>
      <c r="F3091" t="s">
        <v>12</v>
      </c>
      <c r="G3091" t="s">
        <v>1412</v>
      </c>
      <c r="H3091">
        <v>0</v>
      </c>
      <c r="I3091">
        <v>4</v>
      </c>
      <c r="J3091">
        <v>0</v>
      </c>
      <c r="K3091">
        <v>0</v>
      </c>
      <c r="L3091">
        <v>0</v>
      </c>
    </row>
    <row r="3092" spans="1:12">
      <c r="A3092" t="str">
        <f>HYPERLINK("http://bombeiros.sp.gov.br/hidrantes/03individual/1682.html","1682")</f>
        <v>1682</v>
      </c>
      <c r="B3092" t="str">
        <f>HYPERLINK("http://bombeiros.sp.gov.br/hidrantes/08bsg/qrcodeBSG.html?id=1682&amp;lat=-23.52905&amp;long=-46.67602&amp;tipo=C","QRCODE")</f>
        <v>QRCODE</v>
      </c>
      <c r="C3092" t="s">
        <v>5351</v>
      </c>
      <c r="D3092" t="s">
        <v>703</v>
      </c>
      <c r="E3092" t="s">
        <v>1197</v>
      </c>
      <c r="F3092" t="s">
        <v>12</v>
      </c>
      <c r="G3092" t="s">
        <v>1196</v>
      </c>
      <c r="H3092">
        <v>2</v>
      </c>
      <c r="I3092">
        <v>2</v>
      </c>
      <c r="J3092">
        <v>0</v>
      </c>
      <c r="K3092">
        <v>0</v>
      </c>
      <c r="L3092">
        <v>0</v>
      </c>
    </row>
    <row r="3093" spans="1:12">
      <c r="A3093" t="str">
        <f>HYPERLINK("http://bombeiros.sp.gov.br/hidrantes/03individual/2334.html","2334")</f>
        <v>2334</v>
      </c>
      <c r="B3093" t="str">
        <f>HYPERLINK("http://bombeiros.sp.gov.br/hidrantes/08bsg/qrcodeBSG.html?id=2334&amp;lat=-23.52393&amp;long=-46.68411&amp;tipo=C","QRCODE")</f>
        <v>QRCODE</v>
      </c>
      <c r="C3093" t="s">
        <v>5351</v>
      </c>
      <c r="D3093" t="s">
        <v>703</v>
      </c>
      <c r="E3093" t="s">
        <v>1197</v>
      </c>
      <c r="F3093" t="s">
        <v>12</v>
      </c>
      <c r="G3093" t="s">
        <v>1482</v>
      </c>
      <c r="H3093">
        <v>1</v>
      </c>
      <c r="I3093">
        <v>3</v>
      </c>
      <c r="J3093">
        <v>0</v>
      </c>
      <c r="K3093">
        <v>0</v>
      </c>
      <c r="L3093">
        <v>0</v>
      </c>
    </row>
    <row r="3094" spans="1:12">
      <c r="A3094" t="str">
        <f>HYPERLINK("http://bombeiros.sp.gov.br/hidrantes/03individual/958.html","958")</f>
        <v>958</v>
      </c>
      <c r="B3094" t="str">
        <f>HYPERLINK("http://bombeiros.sp.gov.br/hidrantes/08bsg/qrcodeBSG.html?id=958&amp;lat=-23.52806&amp;long=-46.67364&amp;tipo=S","QRCODE")</f>
        <v>QRCODE</v>
      </c>
      <c r="C3094" t="s">
        <v>5351</v>
      </c>
      <c r="D3094" t="s">
        <v>703</v>
      </c>
      <c r="E3094" t="s">
        <v>1197</v>
      </c>
      <c r="F3094" t="s">
        <v>21</v>
      </c>
      <c r="G3094" t="s">
        <v>1225</v>
      </c>
      <c r="H3094">
        <v>0</v>
      </c>
      <c r="I3094">
        <v>2</v>
      </c>
      <c r="J3094">
        <v>0</v>
      </c>
      <c r="K3094">
        <v>0</v>
      </c>
      <c r="L3094">
        <v>0</v>
      </c>
    </row>
    <row r="3095" spans="1:12">
      <c r="A3095" t="str">
        <f>HYPERLINK("http://bombeiros.sp.gov.br/hidrantes/03individual/1066.html","1066")</f>
        <v>1066</v>
      </c>
      <c r="B3095" t="str">
        <f>HYPERLINK("http://bombeiros.sp.gov.br/hidrantes/08bsg/qrcodeBSG.html?id=1066&amp;lat=-23.52623&amp;long=-46.67648&amp;tipo=S","QRCODE")</f>
        <v>QRCODE</v>
      </c>
      <c r="C3095" t="s">
        <v>5351</v>
      </c>
      <c r="D3095" t="s">
        <v>703</v>
      </c>
      <c r="E3095" t="s">
        <v>1197</v>
      </c>
      <c r="F3095" t="s">
        <v>21</v>
      </c>
      <c r="G3095" t="s">
        <v>5049</v>
      </c>
      <c r="H3095">
        <v>1</v>
      </c>
      <c r="I3095">
        <v>1</v>
      </c>
      <c r="J3095">
        <v>0</v>
      </c>
      <c r="K3095">
        <v>0</v>
      </c>
      <c r="L3095">
        <v>0</v>
      </c>
    </row>
    <row r="3096" spans="1:12">
      <c r="A3096" t="str">
        <f>HYPERLINK("http://bombeiros.sp.gov.br/hidrantes/03individual/1647.html","1647")</f>
        <v>1647</v>
      </c>
      <c r="B3096" t="str">
        <f>HYPERLINK("http://bombeiros.sp.gov.br/hidrantes/08bsg/qrcodeBSG.html?id=1647&amp;lat=-23.52826&amp;long=-46.67963&amp;tipo=S","QRCODE")</f>
        <v>QRCODE</v>
      </c>
      <c r="C3096" t="s">
        <v>5351</v>
      </c>
      <c r="D3096" t="s">
        <v>703</v>
      </c>
      <c r="E3096" t="s">
        <v>1197</v>
      </c>
      <c r="F3096" t="s">
        <v>21</v>
      </c>
      <c r="G3096" t="s">
        <v>1436</v>
      </c>
      <c r="H3096">
        <v>1</v>
      </c>
      <c r="I3096">
        <v>2</v>
      </c>
      <c r="J3096">
        <v>0</v>
      </c>
      <c r="K3096">
        <v>0</v>
      </c>
      <c r="L3096">
        <v>0</v>
      </c>
    </row>
    <row r="3097" spans="1:12">
      <c r="A3097" t="str">
        <f>HYPERLINK("http://bombeiros.sp.gov.br/hidrantes/03individual/1671.html","1671")</f>
        <v>1671</v>
      </c>
      <c r="B3097" t="str">
        <f>HYPERLINK("http://bombeiros.sp.gov.br/hidrantes/08bsg/qrcodeBSG.html?id=1671&amp;lat=-23.52718&amp;long=-46.67604&amp;tipo=S","QRCODE")</f>
        <v>QRCODE</v>
      </c>
      <c r="C3097" t="s">
        <v>5351</v>
      </c>
      <c r="D3097" t="s">
        <v>703</v>
      </c>
      <c r="E3097" t="s">
        <v>1197</v>
      </c>
      <c r="F3097" t="s">
        <v>21</v>
      </c>
      <c r="G3097" t="s">
        <v>1204</v>
      </c>
      <c r="H3097">
        <v>1</v>
      </c>
      <c r="I3097">
        <v>3</v>
      </c>
      <c r="J3097">
        <v>0</v>
      </c>
      <c r="K3097">
        <v>0</v>
      </c>
      <c r="L3097">
        <v>0</v>
      </c>
    </row>
    <row r="3098" spans="1:12">
      <c r="A3098" t="str">
        <f>HYPERLINK("http://bombeiros.sp.gov.br/hidrantes/03individual/1677.html","1677")</f>
        <v>1677</v>
      </c>
      <c r="B3098" t="str">
        <f>HYPERLINK("http://bombeiros.sp.gov.br/hidrantes/08bsg/qrcodeBSG.html?id=1677&amp;lat=-23.52816&amp;long=-46.67674&amp;tipo=S","QRCODE")</f>
        <v>QRCODE</v>
      </c>
      <c r="C3098" t="s">
        <v>5351</v>
      </c>
      <c r="D3098" t="s">
        <v>703</v>
      </c>
      <c r="E3098" t="s">
        <v>1197</v>
      </c>
      <c r="F3098" t="s">
        <v>21</v>
      </c>
      <c r="G3098" t="s">
        <v>1206</v>
      </c>
      <c r="H3098">
        <v>1</v>
      </c>
      <c r="I3098">
        <v>3</v>
      </c>
      <c r="J3098">
        <v>0</v>
      </c>
      <c r="K3098">
        <v>0</v>
      </c>
      <c r="L3098">
        <v>0</v>
      </c>
    </row>
    <row r="3099" spans="1:12">
      <c r="A3099" t="str">
        <f>HYPERLINK("http://bombeiros.sp.gov.br/hidrantes/03individual/1684.html","1684")</f>
        <v>1684</v>
      </c>
      <c r="B3099" t="str">
        <f>HYPERLINK("http://bombeiros.sp.gov.br/hidrantes/08bsg/qrcodeBSG.html?id=1684&amp;lat=-23.52975&amp;long=-46.67682&amp;tipo=S","QRCODE")</f>
        <v>QRCODE</v>
      </c>
      <c r="C3099" t="s">
        <v>5351</v>
      </c>
      <c r="D3099" t="s">
        <v>703</v>
      </c>
      <c r="E3099" t="s">
        <v>1197</v>
      </c>
      <c r="F3099" t="s">
        <v>21</v>
      </c>
      <c r="G3099" t="s">
        <v>1199</v>
      </c>
      <c r="H3099">
        <v>1</v>
      </c>
      <c r="I3099">
        <v>2</v>
      </c>
      <c r="J3099">
        <v>0</v>
      </c>
      <c r="K3099">
        <v>0</v>
      </c>
      <c r="L3099">
        <v>0</v>
      </c>
    </row>
    <row r="3100" spans="1:12">
      <c r="A3100" t="str">
        <f>HYPERLINK("http://bombeiros.sp.gov.br/hidrantes/03individual/17685.html","17685")</f>
        <v>17685</v>
      </c>
      <c r="B3100" t="str">
        <f>HYPERLINK("http://bombeiros.sp.gov.br/hidrantes/08bsg/qrcodeBSG.html?id=17685&amp;lat=-23.52245&amp;long=-46.68658&amp;tipo=S","QRCODE")</f>
        <v>QRCODE</v>
      </c>
      <c r="C3100" t="s">
        <v>5351</v>
      </c>
      <c r="D3100" t="s">
        <v>703</v>
      </c>
      <c r="E3100" t="s">
        <v>1197</v>
      </c>
      <c r="F3100" t="s">
        <v>21</v>
      </c>
      <c r="G3100" t="s">
        <v>1516</v>
      </c>
      <c r="H3100">
        <v>1</v>
      </c>
      <c r="I3100">
        <v>2</v>
      </c>
      <c r="J3100">
        <v>0</v>
      </c>
      <c r="K3100">
        <v>0</v>
      </c>
      <c r="L3100">
        <v>0</v>
      </c>
    </row>
    <row r="3101" spans="1:12">
      <c r="A3101" t="str">
        <f>HYPERLINK("http://bombeiros.sp.gov.br/hidrantes/03individual/2872.html","2872")</f>
        <v>2872</v>
      </c>
      <c r="B3101" t="str">
        <f>HYPERLINK("http://bombeiros.sp.gov.br/hidrantes/08bsg/qrcodeBSG.html?id=2872&amp;lat=-23.52277&amp;long=-46.66018&amp;tipo=C","QRCODE")</f>
        <v>QRCODE</v>
      </c>
      <c r="C3101" t="s">
        <v>5351</v>
      </c>
      <c r="D3101" t="s">
        <v>703</v>
      </c>
      <c r="E3101" t="s">
        <v>703</v>
      </c>
      <c r="F3101" t="s">
        <v>12</v>
      </c>
      <c r="G3101" t="s">
        <v>2186</v>
      </c>
      <c r="H3101">
        <v>1</v>
      </c>
      <c r="I3101">
        <v>2</v>
      </c>
      <c r="J3101">
        <v>0</v>
      </c>
      <c r="K3101">
        <v>0</v>
      </c>
      <c r="L3101">
        <v>0</v>
      </c>
    </row>
    <row r="3102" spans="1:12">
      <c r="A3102" t="str">
        <f>HYPERLINK("http://bombeiros.sp.gov.br/hidrantes/03individual/2873.html","2873")</f>
        <v>2873</v>
      </c>
      <c r="B3102" t="str">
        <f>HYPERLINK("http://bombeiros.sp.gov.br/hidrantes/08bsg/qrcodeBSG.html?id=2873&amp;lat=-23.52133&amp;long=-46.66612&amp;tipo=C","QRCODE")</f>
        <v>QRCODE</v>
      </c>
      <c r="C3102" t="s">
        <v>5351</v>
      </c>
      <c r="D3102" t="s">
        <v>703</v>
      </c>
      <c r="E3102" t="s">
        <v>703</v>
      </c>
      <c r="F3102" t="s">
        <v>12</v>
      </c>
      <c r="G3102" t="s">
        <v>702</v>
      </c>
      <c r="H3102">
        <v>1</v>
      </c>
      <c r="I3102">
        <v>2</v>
      </c>
      <c r="J3102">
        <v>0</v>
      </c>
      <c r="K3102">
        <v>0</v>
      </c>
      <c r="L3102">
        <v>0</v>
      </c>
    </row>
    <row r="3103" spans="1:12">
      <c r="A3103" t="str">
        <f>HYPERLINK("http://bombeiros.sp.gov.br/hidrantes/03individual/2915.html","2915")</f>
        <v>2915</v>
      </c>
      <c r="B3103" t="str">
        <f>HYPERLINK("http://bombeiros.sp.gov.br/hidrantes/08bsg/qrcodeBSG.html?id=2915&amp;lat=-23.52121&amp;long=-46.66123&amp;tipo=C","QRCODE")</f>
        <v>QRCODE</v>
      </c>
      <c r="C3103" t="s">
        <v>5351</v>
      </c>
      <c r="D3103" t="s">
        <v>703</v>
      </c>
      <c r="E3103" t="s">
        <v>703</v>
      </c>
      <c r="F3103" t="s">
        <v>12</v>
      </c>
      <c r="G3103" t="s">
        <v>2600</v>
      </c>
      <c r="H3103">
        <v>0</v>
      </c>
      <c r="I3103">
        <v>2</v>
      </c>
      <c r="J3103">
        <v>0</v>
      </c>
      <c r="K3103">
        <v>0</v>
      </c>
      <c r="L3103">
        <v>0</v>
      </c>
    </row>
    <row r="3104" spans="1:12">
      <c r="A3104" t="str">
        <f>HYPERLINK("http://bombeiros.sp.gov.br/hidrantes/03individual/16566.html","16566")</f>
        <v>16566</v>
      </c>
      <c r="B3104" t="str">
        <f>HYPERLINK("http://bombeiros.sp.gov.br/hidrantes/08bsg/qrcodeBSG.html?id=16566&amp;lat=-23.52403&amp;long=-46.66588&amp;tipo=C","QRCODE")</f>
        <v>QRCODE</v>
      </c>
      <c r="C3104" t="s">
        <v>5351</v>
      </c>
      <c r="D3104" t="s">
        <v>703</v>
      </c>
      <c r="E3104" t="s">
        <v>703</v>
      </c>
      <c r="F3104" t="s">
        <v>12</v>
      </c>
      <c r="G3104" t="s">
        <v>4874</v>
      </c>
      <c r="H3104">
        <v>0</v>
      </c>
      <c r="I3104">
        <v>2</v>
      </c>
      <c r="J3104">
        <v>0</v>
      </c>
      <c r="K3104">
        <v>0</v>
      </c>
      <c r="L3104">
        <v>0</v>
      </c>
    </row>
    <row r="3105" spans="1:12">
      <c r="A3105" t="str">
        <f>HYPERLINK("http://bombeiros.sp.gov.br/hidrantes/03individual/1146.html","1146")</f>
        <v>1146</v>
      </c>
      <c r="B3105" t="str">
        <f>HYPERLINK("http://bombeiros.sp.gov.br/hidrantes/08bsg/qrcodeBSG.html?id=1146&amp;lat=-23.52324&amp;long=-46.66653&amp;tipo=S","QRCODE")</f>
        <v>QRCODE</v>
      </c>
      <c r="C3105" t="s">
        <v>5351</v>
      </c>
      <c r="D3105" t="s">
        <v>703</v>
      </c>
      <c r="E3105" t="s">
        <v>703</v>
      </c>
      <c r="F3105" t="s">
        <v>21</v>
      </c>
      <c r="G3105" t="s">
        <v>1445</v>
      </c>
      <c r="H3105">
        <v>2</v>
      </c>
      <c r="I3105">
        <v>2</v>
      </c>
      <c r="J3105">
        <v>0</v>
      </c>
      <c r="K3105">
        <v>0</v>
      </c>
      <c r="L3105">
        <v>0</v>
      </c>
    </row>
    <row r="3106" spans="1:12">
      <c r="A3106" t="str">
        <f>HYPERLINK("http://bombeiros.sp.gov.br/hidrantes/03individual/1198.html","1198")</f>
        <v>1198</v>
      </c>
      <c r="B3106" t="str">
        <f>HYPERLINK("http://bombeiros.sp.gov.br/hidrantes/08bsg/qrcodeBSG.html?id=1198&amp;lat=-23.53087&amp;long=-46.66317&amp;tipo=C","QRCODE")</f>
        <v>QRCODE</v>
      </c>
      <c r="C3106" t="s">
        <v>5351</v>
      </c>
      <c r="D3106" t="s">
        <v>703</v>
      </c>
      <c r="E3106" t="s">
        <v>673</v>
      </c>
      <c r="F3106" t="s">
        <v>12</v>
      </c>
      <c r="G3106" t="s">
        <v>2232</v>
      </c>
      <c r="H3106">
        <v>0</v>
      </c>
      <c r="I3106">
        <v>2</v>
      </c>
      <c r="J3106">
        <v>0</v>
      </c>
      <c r="K3106">
        <v>0</v>
      </c>
      <c r="L3106">
        <v>0</v>
      </c>
    </row>
    <row r="3107" spans="1:12">
      <c r="A3107" t="str">
        <f>HYPERLINK("http://bombeiros.sp.gov.br/hidrantes/03individual/2193.html","2193")</f>
        <v>2193</v>
      </c>
      <c r="B3107" t="str">
        <f>HYPERLINK("http://bombeiros.sp.gov.br/hidrantes/08bsg/qrcodeBSG.html?id=2193&amp;lat=-23.52677&amp;long=-46.66674&amp;tipo=C","QRCODE")</f>
        <v>QRCODE</v>
      </c>
      <c r="C3107" t="s">
        <v>5351</v>
      </c>
      <c r="D3107" t="s">
        <v>703</v>
      </c>
      <c r="E3107" t="s">
        <v>673</v>
      </c>
      <c r="F3107" t="s">
        <v>12</v>
      </c>
      <c r="G3107" t="s">
        <v>3179</v>
      </c>
      <c r="H3107">
        <v>0</v>
      </c>
      <c r="I3107">
        <v>2</v>
      </c>
      <c r="J3107">
        <v>0</v>
      </c>
      <c r="K3107">
        <v>0</v>
      </c>
      <c r="L3107">
        <v>0</v>
      </c>
    </row>
    <row r="3108" spans="1:12">
      <c r="A3108" t="str">
        <f>HYPERLINK("http://bombeiros.sp.gov.br/hidrantes/03individual/2220.html","2220")</f>
        <v>2220</v>
      </c>
      <c r="B3108" t="str">
        <f>HYPERLINK("http://bombeiros.sp.gov.br/hidrantes/08bsg/qrcodeBSG.html?id=2220&amp;lat=-23.53022&amp;long=-46.66727&amp;tipo=C","QRCODE")</f>
        <v>QRCODE</v>
      </c>
      <c r="C3108" t="s">
        <v>5351</v>
      </c>
      <c r="D3108" t="s">
        <v>703</v>
      </c>
      <c r="E3108" t="s">
        <v>673</v>
      </c>
      <c r="F3108" t="s">
        <v>12</v>
      </c>
      <c r="G3108" t="s">
        <v>3178</v>
      </c>
      <c r="H3108">
        <v>0</v>
      </c>
      <c r="I3108">
        <v>2</v>
      </c>
      <c r="J3108">
        <v>0</v>
      </c>
      <c r="K3108">
        <v>0</v>
      </c>
      <c r="L3108">
        <v>0</v>
      </c>
    </row>
    <row r="3109" spans="1:12">
      <c r="A3109" t="str">
        <f>HYPERLINK("http://bombeiros.sp.gov.br/hidrantes/03individual/2795.html","2795")</f>
        <v>2795</v>
      </c>
      <c r="B3109" t="str">
        <f>HYPERLINK("http://bombeiros.sp.gov.br/hidrantes/08bsg/qrcodeBSG.html?id=2795&amp;lat=-23.52645&amp;long=-46.66881&amp;tipo=C","QRCODE")</f>
        <v>QRCODE</v>
      </c>
      <c r="C3109" t="s">
        <v>5351</v>
      </c>
      <c r="D3109" t="s">
        <v>703</v>
      </c>
      <c r="E3109" t="s">
        <v>673</v>
      </c>
      <c r="F3109" t="s">
        <v>12</v>
      </c>
      <c r="G3109" t="s">
        <v>3173</v>
      </c>
      <c r="H3109">
        <v>1</v>
      </c>
      <c r="I3109">
        <v>2</v>
      </c>
      <c r="J3109">
        <v>0</v>
      </c>
      <c r="K3109">
        <v>0</v>
      </c>
      <c r="L3109">
        <v>0</v>
      </c>
    </row>
    <row r="3110" spans="1:12">
      <c r="A3110" t="str">
        <f>HYPERLINK("http://bombeiros.sp.gov.br/hidrantes/03individual/16586.html","16586")</f>
        <v>16586</v>
      </c>
      <c r="B3110" t="str">
        <f>HYPERLINK("http://bombeiros.sp.gov.br/hidrantes/08bsg/qrcodeBSG.html?id=16586&amp;lat=-23.52952&amp;long=-46.66184&amp;tipo=C","QRCODE")</f>
        <v>QRCODE</v>
      </c>
      <c r="C3110" t="s">
        <v>5351</v>
      </c>
      <c r="D3110" t="s">
        <v>703</v>
      </c>
      <c r="E3110" t="s">
        <v>673</v>
      </c>
      <c r="F3110" t="s">
        <v>12</v>
      </c>
      <c r="G3110" t="s">
        <v>4893</v>
      </c>
      <c r="H3110">
        <v>1</v>
      </c>
      <c r="I3110">
        <v>1</v>
      </c>
      <c r="J3110">
        <v>0</v>
      </c>
      <c r="K3110">
        <v>0</v>
      </c>
      <c r="L3110">
        <v>0</v>
      </c>
    </row>
    <row r="3111" spans="1:12">
      <c r="A3111" t="str">
        <f>HYPERLINK("http://bombeiros.sp.gov.br/hidrantes/03individual/698.html","698")</f>
        <v>698</v>
      </c>
      <c r="B3111" t="str">
        <f>HYPERLINK("http://bombeiros.sp.gov.br/hidrantes/08bsg/qrcodeBSG.html?id=698&amp;lat=-23.53217&amp;long=-46.66135&amp;tipo=S","QRCODE")</f>
        <v>QRCODE</v>
      </c>
      <c r="C3111" t="s">
        <v>5351</v>
      </c>
      <c r="D3111" t="s">
        <v>703</v>
      </c>
      <c r="E3111" t="s">
        <v>673</v>
      </c>
      <c r="F3111" t="s">
        <v>21</v>
      </c>
      <c r="G3111" t="s">
        <v>2244</v>
      </c>
      <c r="H3111">
        <v>0</v>
      </c>
      <c r="I3111">
        <v>2</v>
      </c>
      <c r="J3111">
        <v>0</v>
      </c>
      <c r="K3111">
        <v>0</v>
      </c>
      <c r="L3111">
        <v>0</v>
      </c>
    </row>
    <row r="3112" spans="1:12">
      <c r="A3112" t="str">
        <f>HYPERLINK("http://bombeiros.sp.gov.br/hidrantes/03individual/1129.html","1129")</f>
        <v>1129</v>
      </c>
      <c r="B3112" t="str">
        <f>HYPERLINK("http://bombeiros.sp.gov.br/hidrantes/08bsg/qrcodeBSG.html?id=1129&amp;lat=-23.53043&amp;long=-46.66243&amp;tipo=S","QRCODE")</f>
        <v>QRCODE</v>
      </c>
      <c r="C3112" t="s">
        <v>5351</v>
      </c>
      <c r="D3112" t="s">
        <v>703</v>
      </c>
      <c r="E3112" t="s">
        <v>673</v>
      </c>
      <c r="F3112" t="s">
        <v>21</v>
      </c>
      <c r="G3112" t="s">
        <v>741</v>
      </c>
      <c r="H3112">
        <v>0</v>
      </c>
      <c r="I3112">
        <v>2</v>
      </c>
      <c r="J3112">
        <v>0</v>
      </c>
      <c r="K3112">
        <v>0</v>
      </c>
      <c r="L3112">
        <v>0</v>
      </c>
    </row>
    <row r="3113" spans="1:12">
      <c r="A3113" t="str">
        <f>HYPERLINK("http://bombeiros.sp.gov.br/hidrantes/03individual/2200.html","2200")</f>
        <v>2200</v>
      </c>
      <c r="B3113" t="str">
        <f>HYPERLINK("http://bombeiros.sp.gov.br/hidrantes/08bsg/qrcodeBSG.html?id=2200&amp;lat=-23.53019&amp;long=-46.66642&amp;tipo=S","QRCODE")</f>
        <v>QRCODE</v>
      </c>
      <c r="C3113" t="s">
        <v>5351</v>
      </c>
      <c r="D3113" t="s">
        <v>703</v>
      </c>
      <c r="E3113" t="s">
        <v>673</v>
      </c>
      <c r="F3113" t="s">
        <v>21</v>
      </c>
      <c r="G3113" t="s">
        <v>672</v>
      </c>
      <c r="H3113">
        <v>1</v>
      </c>
      <c r="I3113">
        <v>1</v>
      </c>
      <c r="J3113">
        <v>0</v>
      </c>
      <c r="K3113">
        <v>0</v>
      </c>
      <c r="L3113">
        <v>0</v>
      </c>
    </row>
    <row r="3114" spans="1:12">
      <c r="A3114" t="str">
        <f>HYPERLINK("http://bombeiros.sp.gov.br/hidrantes/03individual/2750.html","2750")</f>
        <v>2750</v>
      </c>
      <c r="B3114" t="str">
        <f>HYPERLINK("http://bombeiros.sp.gov.br/hidrantes/08bsg/qrcodeBSG.html?id=2750&amp;lat=-23.53671&amp;long=-46.66356&amp;tipo=S","QRCODE")</f>
        <v>QRCODE</v>
      </c>
      <c r="C3114" t="s">
        <v>5351</v>
      </c>
      <c r="D3114" t="s">
        <v>703</v>
      </c>
      <c r="E3114" t="s">
        <v>673</v>
      </c>
      <c r="F3114" t="s">
        <v>21</v>
      </c>
      <c r="G3114" t="s">
        <v>1472</v>
      </c>
      <c r="H3114">
        <v>1</v>
      </c>
      <c r="I3114">
        <v>2</v>
      </c>
      <c r="J3114">
        <v>0</v>
      </c>
      <c r="K3114">
        <v>0</v>
      </c>
      <c r="L3114">
        <v>0</v>
      </c>
    </row>
    <row r="3115" spans="1:12">
      <c r="A3115" t="str">
        <f>HYPERLINK("http://bombeiros.sp.gov.br/hidrantes/03individual/4183.html","4183")</f>
        <v>4183</v>
      </c>
      <c r="B3115" t="str">
        <f>HYPERLINK("http://bombeiros.sp.gov.br/hidrantes/08bsg/qrcodeBSG.html?id=4183&amp;lat=-23.53139&amp;long=-46.66525&amp;tipo=S","QRCODE")</f>
        <v>QRCODE</v>
      </c>
      <c r="C3115" t="s">
        <v>5351</v>
      </c>
      <c r="D3115" t="s">
        <v>703</v>
      </c>
      <c r="E3115" t="s">
        <v>673</v>
      </c>
      <c r="F3115" t="s">
        <v>21</v>
      </c>
      <c r="G3115" t="s">
        <v>1002</v>
      </c>
      <c r="H3115">
        <v>0</v>
      </c>
      <c r="I3115">
        <v>3</v>
      </c>
      <c r="J3115">
        <v>0</v>
      </c>
      <c r="K3115">
        <v>0</v>
      </c>
      <c r="L3115">
        <v>0</v>
      </c>
    </row>
    <row r="3116" spans="1:12">
      <c r="A3116" t="str">
        <f>HYPERLINK("http://bombeiros.sp.gov.br/hidrantes/03individual/2349.html","2349")</f>
        <v>2349</v>
      </c>
      <c r="B3116" t="str">
        <f>HYPERLINK("http://bombeiros.sp.gov.br/hidrantes/08bsg/qrcodeBSG.html?id=2349&amp;lat=-23.51710&amp;long=-46.68343&amp;tipo=C","QRCODE")</f>
        <v>QRCODE</v>
      </c>
      <c r="C3116" t="s">
        <v>5351</v>
      </c>
      <c r="D3116" t="s">
        <v>703</v>
      </c>
      <c r="E3116" t="s">
        <v>2313</v>
      </c>
      <c r="F3116" t="s">
        <v>12</v>
      </c>
      <c r="G3116" t="s">
        <v>2312</v>
      </c>
      <c r="H3116">
        <v>0</v>
      </c>
      <c r="I3116">
        <v>3</v>
      </c>
      <c r="J3116">
        <v>0</v>
      </c>
      <c r="K3116">
        <v>0</v>
      </c>
      <c r="L3116">
        <v>0</v>
      </c>
    </row>
    <row r="3117" spans="1:12">
      <c r="A3117" t="str">
        <f>HYPERLINK("http://bombeiros.sp.gov.br/hidrantes/03individual/2358.html","2358")</f>
        <v>2358</v>
      </c>
      <c r="B3117" t="str">
        <f>HYPERLINK("http://bombeiros.sp.gov.br/hidrantes/08bsg/qrcodeBSG.html?id=2358&amp;lat=-23.51779&amp;long=-46.67014&amp;tipo=C","QRCODE")</f>
        <v>QRCODE</v>
      </c>
      <c r="C3117" t="s">
        <v>5351</v>
      </c>
      <c r="D3117" t="s">
        <v>703</v>
      </c>
      <c r="E3117" t="s">
        <v>2313</v>
      </c>
      <c r="F3117" t="s">
        <v>12</v>
      </c>
      <c r="G3117" t="s">
        <v>3175</v>
      </c>
      <c r="H3117">
        <v>1</v>
      </c>
      <c r="I3117">
        <v>2</v>
      </c>
      <c r="J3117">
        <v>0</v>
      </c>
      <c r="K3117">
        <v>0</v>
      </c>
      <c r="L3117">
        <v>0</v>
      </c>
    </row>
    <row r="3118" spans="1:12">
      <c r="A3118" t="str">
        <f>HYPERLINK("http://bombeiros.sp.gov.br/hidrantes/03individual/27050.html","27050")</f>
        <v>27050</v>
      </c>
      <c r="B3118" t="str">
        <f>HYPERLINK("http://bombeiros.sp.gov.br/hidrantes/08bsg/qrcodeBSG.html?id=27050&amp;lat=-23.51568&amp;long=-46.68665&amp;tipo=C","QRCODE")</f>
        <v>QRCODE</v>
      </c>
      <c r="C3118" t="s">
        <v>5351</v>
      </c>
      <c r="D3118" t="s">
        <v>703</v>
      </c>
      <c r="E3118" t="s">
        <v>2313</v>
      </c>
      <c r="F3118" t="s">
        <v>12</v>
      </c>
      <c r="G3118" t="s">
        <v>3414</v>
      </c>
      <c r="H3118">
        <v>0</v>
      </c>
      <c r="I3118">
        <v>2</v>
      </c>
      <c r="J3118">
        <v>0</v>
      </c>
      <c r="K3118">
        <v>0</v>
      </c>
      <c r="L3118">
        <v>0</v>
      </c>
    </row>
    <row r="3119" spans="1:12">
      <c r="A3119" t="str">
        <f>HYPERLINK("http://bombeiros.sp.gov.br/hidrantes/03individual/2291.html","2291")</f>
        <v>2291</v>
      </c>
      <c r="B3119" t="str">
        <f>HYPERLINK("http://bombeiros.sp.gov.br/hidrantes/08bsg/qrcodeBSG.html?id=2291&amp;lat=-23.51883&amp;long=-46.68892&amp;tipo=S","QRCODE")</f>
        <v>QRCODE</v>
      </c>
      <c r="C3119" t="s">
        <v>5351</v>
      </c>
      <c r="D3119" t="s">
        <v>703</v>
      </c>
      <c r="E3119" t="s">
        <v>2313</v>
      </c>
      <c r="F3119" t="s">
        <v>21</v>
      </c>
      <c r="G3119" t="s">
        <v>3527</v>
      </c>
      <c r="H3119">
        <v>1</v>
      </c>
      <c r="I3119">
        <v>1</v>
      </c>
      <c r="J3119">
        <v>0</v>
      </c>
      <c r="K3119">
        <v>0</v>
      </c>
      <c r="L3119">
        <v>0</v>
      </c>
    </row>
    <row r="3120" spans="1:12">
      <c r="A3120" t="str">
        <f>HYPERLINK("http://bombeiros.sp.gov.br/hidrantes/03individual/17686.html","17686")</f>
        <v>17686</v>
      </c>
      <c r="B3120" t="str">
        <f>HYPERLINK("http://bombeiros.sp.gov.br/hidrantes/08bsg/qrcodeBSG.html?id=17686&amp;lat=-23.52118&amp;long=-46.68788&amp;tipo=S","QRCODE")</f>
        <v>QRCODE</v>
      </c>
      <c r="C3120" t="s">
        <v>5351</v>
      </c>
      <c r="D3120" t="s">
        <v>703</v>
      </c>
      <c r="E3120" t="s">
        <v>2313</v>
      </c>
      <c r="F3120" t="s">
        <v>21</v>
      </c>
      <c r="G3120" t="s">
        <v>4913</v>
      </c>
      <c r="H3120">
        <v>2</v>
      </c>
      <c r="I3120">
        <v>1</v>
      </c>
      <c r="J3120">
        <v>0</v>
      </c>
      <c r="K3120">
        <v>0</v>
      </c>
      <c r="L3120">
        <v>0</v>
      </c>
    </row>
    <row r="3121" spans="1:12">
      <c r="A3121" t="str">
        <f>HYPERLINK("http://bombeiros.sp.gov.br/hidrantes/03individual/27035.html","27035")</f>
        <v>27035</v>
      </c>
      <c r="B3121" t="str">
        <f>HYPERLINK("http://bombeiros.sp.gov.br/hidrantes/08bsg/qrcodeBSG.html?id=27035&amp;lat=-23.56704&amp;long=-46.70786&amp;tipo=C","QRCODE")</f>
        <v>QRCODE</v>
      </c>
      <c r="C3121" t="s">
        <v>5351</v>
      </c>
      <c r="D3121" t="s">
        <v>1454</v>
      </c>
      <c r="E3121" t="s">
        <v>1454</v>
      </c>
      <c r="F3121" t="s">
        <v>12</v>
      </c>
      <c r="G3121" t="s">
        <v>4079</v>
      </c>
      <c r="H3121">
        <v>0</v>
      </c>
      <c r="I3121">
        <v>1</v>
      </c>
      <c r="J3121">
        <v>0</v>
      </c>
      <c r="K3121">
        <v>0</v>
      </c>
      <c r="L3121">
        <v>0</v>
      </c>
    </row>
    <row r="3122" spans="1:12">
      <c r="A3122" t="str">
        <f>HYPERLINK("http://bombeiros.sp.gov.br/hidrantes/03individual/27068.html","27068")</f>
        <v>27068</v>
      </c>
      <c r="B3122" t="str">
        <f>HYPERLINK("http://bombeiros.sp.gov.br/hidrantes/08bsg/qrcodeBSG.html?id=27068&amp;lat=-23.56587&amp;long=-46.70512&amp;tipo=C","QRCODE")</f>
        <v>QRCODE</v>
      </c>
      <c r="C3122" t="s">
        <v>5351</v>
      </c>
      <c r="D3122" t="s">
        <v>1454</v>
      </c>
      <c r="E3122" t="s">
        <v>1454</v>
      </c>
      <c r="F3122" t="s">
        <v>12</v>
      </c>
      <c r="G3122" t="s">
        <v>4092</v>
      </c>
      <c r="H3122">
        <v>0</v>
      </c>
      <c r="I3122">
        <v>1</v>
      </c>
      <c r="J3122">
        <v>0</v>
      </c>
      <c r="K3122">
        <v>0</v>
      </c>
      <c r="L3122">
        <v>0</v>
      </c>
    </row>
    <row r="3123" spans="1:12">
      <c r="A3123" t="str">
        <f>HYPERLINK("http://bombeiros.sp.gov.br/hidrantes/03individual/27418.html","27418")</f>
        <v>27418</v>
      </c>
      <c r="B3123" t="str">
        <f>HYPERLINK("http://bombeiros.sp.gov.br/hidrantes/08bsg/qrcodeBSG.html?id=27418&amp;lat=-23.56988&amp;long=-46.70491&amp;tipo=C","QRCODE")</f>
        <v>QRCODE</v>
      </c>
      <c r="C3123" t="s">
        <v>5351</v>
      </c>
      <c r="D3123" t="s">
        <v>1454</v>
      </c>
      <c r="E3123" t="s">
        <v>1454</v>
      </c>
      <c r="F3123" t="s">
        <v>12</v>
      </c>
      <c r="G3123" t="s">
        <v>5354</v>
      </c>
      <c r="H3123">
        <v>0</v>
      </c>
      <c r="I3123">
        <v>0</v>
      </c>
      <c r="J3123">
        <v>0</v>
      </c>
      <c r="K3123">
        <v>0</v>
      </c>
      <c r="L3123">
        <v>0</v>
      </c>
    </row>
    <row r="3124" spans="1:12">
      <c r="A3124" t="str">
        <f>HYPERLINK("http://bombeiros.sp.gov.br/hidrantes/03individual/1284.html","1284")</f>
        <v>1284</v>
      </c>
      <c r="B3124" t="str">
        <f>HYPERLINK("http://bombeiros.sp.gov.br/hidrantes/08bsg/qrcodeBSG.html?id=1284&amp;lat=-23.57036&amp;long=-46.71758&amp;tipo=S","QRCODE")</f>
        <v>QRCODE</v>
      </c>
      <c r="C3124" t="s">
        <v>5351</v>
      </c>
      <c r="D3124" t="s">
        <v>1454</v>
      </c>
      <c r="E3124" t="s">
        <v>1454</v>
      </c>
      <c r="F3124" t="s">
        <v>21</v>
      </c>
      <c r="G3124" t="s">
        <v>3960</v>
      </c>
      <c r="H3124">
        <v>0</v>
      </c>
      <c r="I3124">
        <v>2</v>
      </c>
      <c r="J3124">
        <v>0</v>
      </c>
      <c r="K3124">
        <v>0</v>
      </c>
      <c r="L3124">
        <v>0</v>
      </c>
    </row>
    <row r="3125" spans="1:12">
      <c r="A3125" t="str">
        <f>HYPERLINK("http://bombeiros.sp.gov.br/hidrantes/03individual/1339.html","1339")</f>
        <v>1339</v>
      </c>
      <c r="B3125" t="str">
        <f>HYPERLINK("http://bombeiros.sp.gov.br/hidrantes/08bsg/qrcodeBSG.html?id=1339&amp;lat=-23.56262&amp;long=-46.70957&amp;tipo=S","QRCODE")</f>
        <v>QRCODE</v>
      </c>
      <c r="C3125" t="s">
        <v>5351</v>
      </c>
      <c r="D3125" t="s">
        <v>1454</v>
      </c>
      <c r="E3125" t="s">
        <v>1454</v>
      </c>
      <c r="F3125" t="s">
        <v>21</v>
      </c>
      <c r="G3125" t="s">
        <v>1976</v>
      </c>
      <c r="H3125">
        <v>0</v>
      </c>
      <c r="I3125">
        <v>2</v>
      </c>
      <c r="J3125">
        <v>0</v>
      </c>
      <c r="K3125">
        <v>0</v>
      </c>
      <c r="L3125">
        <v>0</v>
      </c>
    </row>
    <row r="3126" spans="1:12">
      <c r="A3126" t="str">
        <f>HYPERLINK("http://bombeiros.sp.gov.br/hidrantes/03individual/2257.html","2257")</f>
        <v>2257</v>
      </c>
      <c r="B3126" t="str">
        <f>HYPERLINK("http://bombeiros.sp.gov.br/hidrantes/08bsg/qrcodeBSG.html?id=2257&amp;lat=-23.57080&amp;long=-46.70930&amp;tipo=S","QRCODE")</f>
        <v>QRCODE</v>
      </c>
      <c r="C3126" t="s">
        <v>5351</v>
      </c>
      <c r="D3126" t="s">
        <v>1454</v>
      </c>
      <c r="E3126" t="s">
        <v>1454</v>
      </c>
      <c r="F3126" t="s">
        <v>21</v>
      </c>
      <c r="G3126" t="s">
        <v>2008</v>
      </c>
      <c r="H3126">
        <v>0</v>
      </c>
      <c r="I3126">
        <v>2</v>
      </c>
      <c r="J3126">
        <v>0</v>
      </c>
      <c r="K3126">
        <v>0</v>
      </c>
      <c r="L3126">
        <v>0</v>
      </c>
    </row>
    <row r="3127" spans="1:12">
      <c r="A3127" t="str">
        <f>HYPERLINK("http://bombeiros.sp.gov.br/hidrantes/03individual/2261.html","2261")</f>
        <v>2261</v>
      </c>
      <c r="B3127" t="str">
        <f>HYPERLINK("http://bombeiros.sp.gov.br/hidrantes/08bsg/qrcodeBSG.html?id=2261&amp;lat=-23.57138&amp;long=-46.71364&amp;tipo=S","QRCODE")</f>
        <v>QRCODE</v>
      </c>
      <c r="C3127" t="s">
        <v>5351</v>
      </c>
      <c r="D3127" t="s">
        <v>1454</v>
      </c>
      <c r="E3127" t="s">
        <v>1454</v>
      </c>
      <c r="F3127" t="s">
        <v>21</v>
      </c>
      <c r="G3127" t="s">
        <v>4707</v>
      </c>
      <c r="H3127">
        <v>1</v>
      </c>
      <c r="I3127">
        <v>1</v>
      </c>
      <c r="J3127">
        <v>0</v>
      </c>
      <c r="K3127">
        <v>0</v>
      </c>
      <c r="L3127">
        <v>0</v>
      </c>
    </row>
    <row r="3128" spans="1:12">
      <c r="A3128" t="str">
        <f>HYPERLINK("http://bombeiros.sp.gov.br/hidrantes/03individual/2297.html","2297")</f>
        <v>2297</v>
      </c>
      <c r="B3128" t="str">
        <f>HYPERLINK("http://bombeiros.sp.gov.br/hidrantes/08bsg/qrcodeBSG.html?id=2297&amp;lat=-23.56981&amp;long=-46.70465&amp;tipo=S","QRCODE")</f>
        <v>QRCODE</v>
      </c>
      <c r="C3128" t="s">
        <v>5351</v>
      </c>
      <c r="D3128" t="s">
        <v>1454</v>
      </c>
      <c r="E3128" t="s">
        <v>1454</v>
      </c>
      <c r="F3128" t="s">
        <v>21</v>
      </c>
      <c r="G3128" t="s">
        <v>2004</v>
      </c>
      <c r="H3128">
        <v>0</v>
      </c>
      <c r="I3128">
        <v>2</v>
      </c>
      <c r="J3128">
        <v>0</v>
      </c>
      <c r="K3128">
        <v>0</v>
      </c>
      <c r="L3128">
        <v>0</v>
      </c>
    </row>
    <row r="3129" spans="1:12">
      <c r="A3129" t="str">
        <f>HYPERLINK("http://bombeiros.sp.gov.br/hidrantes/03individual/2303.html","2303")</f>
        <v>2303</v>
      </c>
      <c r="B3129" t="str">
        <f>HYPERLINK("http://bombeiros.sp.gov.br/hidrantes/08bsg/qrcodeBSG.html?id=2303&amp;lat=-23.56941&amp;long=-46.70398&amp;tipo=S","QRCODE")</f>
        <v>QRCODE</v>
      </c>
      <c r="C3129" t="s">
        <v>5351</v>
      </c>
      <c r="D3129" t="s">
        <v>1454</v>
      </c>
      <c r="E3129" t="s">
        <v>1454</v>
      </c>
      <c r="F3129" t="s">
        <v>21</v>
      </c>
      <c r="G3129" t="s">
        <v>4071</v>
      </c>
      <c r="H3129">
        <v>0</v>
      </c>
      <c r="I3129">
        <v>1</v>
      </c>
      <c r="J3129">
        <v>0</v>
      </c>
      <c r="K3129">
        <v>0</v>
      </c>
      <c r="L3129">
        <v>0</v>
      </c>
    </row>
    <row r="3130" spans="1:12">
      <c r="A3130" t="str">
        <f>HYPERLINK("http://bombeiros.sp.gov.br/hidrantes/03individual/2325.html","2325")</f>
        <v>2325</v>
      </c>
      <c r="B3130" t="str">
        <f>HYPERLINK("http://bombeiros.sp.gov.br/hidrantes/08bsg/qrcodeBSG.html?id=2325&amp;lat=-23.57017&amp;long=-46.70576&amp;tipo=S","QRCODE")</f>
        <v>QRCODE</v>
      </c>
      <c r="C3130" t="s">
        <v>5351</v>
      </c>
      <c r="D3130" t="s">
        <v>1454</v>
      </c>
      <c r="E3130" t="s">
        <v>1454</v>
      </c>
      <c r="F3130" t="s">
        <v>21</v>
      </c>
      <c r="G3130" t="s">
        <v>2009</v>
      </c>
      <c r="H3130">
        <v>0</v>
      </c>
      <c r="I3130">
        <v>2</v>
      </c>
      <c r="J3130">
        <v>0</v>
      </c>
      <c r="K3130">
        <v>0</v>
      </c>
      <c r="L3130">
        <v>0</v>
      </c>
    </row>
    <row r="3131" spans="1:12">
      <c r="A3131" t="str">
        <f>HYPERLINK("http://bombeiros.sp.gov.br/hidrantes/03individual/4212.html","4212")</f>
        <v>4212</v>
      </c>
      <c r="B3131" t="str">
        <f>HYPERLINK("http://bombeiros.sp.gov.br/hidrantes/08bsg/qrcodeBSG.html?id=4212&amp;lat=-23.57265&amp;long=-46.70830&amp;tipo=S","QRCODE")</f>
        <v>QRCODE</v>
      </c>
      <c r="C3131" t="s">
        <v>5351</v>
      </c>
      <c r="D3131" t="s">
        <v>1454</v>
      </c>
      <c r="E3131" t="s">
        <v>1454</v>
      </c>
      <c r="F3131" t="s">
        <v>21</v>
      </c>
      <c r="G3131" t="s">
        <v>3612</v>
      </c>
      <c r="H3131">
        <v>1</v>
      </c>
      <c r="I3131">
        <v>1</v>
      </c>
      <c r="J3131">
        <v>0</v>
      </c>
      <c r="K3131">
        <v>0</v>
      </c>
      <c r="L3131">
        <v>0</v>
      </c>
    </row>
    <row r="3132" spans="1:12">
      <c r="A3132" t="str">
        <f>HYPERLINK("http://bombeiros.sp.gov.br/hidrantes/03individual/4213.html","4213")</f>
        <v>4213</v>
      </c>
      <c r="B3132" t="str">
        <f>HYPERLINK("http://bombeiros.sp.gov.br/hidrantes/08bsg/qrcodeBSG.html?id=4213&amp;lat=-23.57143&amp;long=-46.70742&amp;tipo=S","QRCODE")</f>
        <v>QRCODE</v>
      </c>
      <c r="C3132" t="s">
        <v>5351</v>
      </c>
      <c r="D3132" t="s">
        <v>1454</v>
      </c>
      <c r="E3132" t="s">
        <v>1454</v>
      </c>
      <c r="F3132" t="s">
        <v>21</v>
      </c>
      <c r="G3132" t="s">
        <v>4116</v>
      </c>
      <c r="H3132">
        <v>0</v>
      </c>
      <c r="I3132">
        <v>1</v>
      </c>
      <c r="J3132">
        <v>0</v>
      </c>
      <c r="K3132">
        <v>0</v>
      </c>
      <c r="L3132">
        <v>0</v>
      </c>
    </row>
    <row r="3133" spans="1:12">
      <c r="A3133" t="str">
        <f>HYPERLINK("http://bombeiros.sp.gov.br/hidrantes/03individual/4249.html","4249")</f>
        <v>4249</v>
      </c>
      <c r="B3133" t="str">
        <f>HYPERLINK("http://bombeiros.sp.gov.br/hidrantes/08bsg/qrcodeBSG.html?id=4249&amp;lat=-23.57002&amp;long=-46.71147&amp;tipo=S","QRCODE")</f>
        <v>QRCODE</v>
      </c>
      <c r="C3133" t="s">
        <v>5351</v>
      </c>
      <c r="D3133" t="s">
        <v>1454</v>
      </c>
      <c r="E3133" t="s">
        <v>1454</v>
      </c>
      <c r="F3133" t="s">
        <v>21</v>
      </c>
      <c r="G3133" t="s">
        <v>1546</v>
      </c>
      <c r="H3133">
        <v>1</v>
      </c>
      <c r="I3133">
        <v>2</v>
      </c>
      <c r="J3133">
        <v>0</v>
      </c>
      <c r="K3133">
        <v>0</v>
      </c>
      <c r="L3133">
        <v>0</v>
      </c>
    </row>
    <row r="3134" spans="1:12">
      <c r="A3134" t="str">
        <f>HYPERLINK("http://bombeiros.sp.gov.br/hidrantes/03individual/4250.html","4250")</f>
        <v>4250</v>
      </c>
      <c r="B3134" t="str">
        <f>HYPERLINK("http://bombeiros.sp.gov.br/hidrantes/08bsg/qrcodeBSG.html?id=4250&amp;lat=-23.57292&amp;long=-46.72281&amp;tipo=S","QRCODE")</f>
        <v>QRCODE</v>
      </c>
      <c r="C3134" t="s">
        <v>5351</v>
      </c>
      <c r="D3134" t="s">
        <v>1454</v>
      </c>
      <c r="E3134" t="s">
        <v>1454</v>
      </c>
      <c r="F3134" t="s">
        <v>21</v>
      </c>
      <c r="G3134" t="s">
        <v>1453</v>
      </c>
      <c r="H3134">
        <v>0</v>
      </c>
      <c r="I3134">
        <v>3</v>
      </c>
      <c r="J3134">
        <v>0</v>
      </c>
      <c r="K3134">
        <v>0</v>
      </c>
      <c r="L3134">
        <v>0</v>
      </c>
    </row>
    <row r="3135" spans="1:12">
      <c r="A3135" t="str">
        <f>HYPERLINK("http://bombeiros.sp.gov.br/hidrantes/03individual/4251.html","4251")</f>
        <v>4251</v>
      </c>
      <c r="B3135" t="str">
        <f>HYPERLINK("http://bombeiros.sp.gov.br/hidrantes/08bsg/qrcodeBSG.html?id=4251&amp;lat=-23.56929&amp;long=-46.70937&amp;tipo=S","QRCODE")</f>
        <v>QRCODE</v>
      </c>
      <c r="C3135" t="s">
        <v>5351</v>
      </c>
      <c r="D3135" t="s">
        <v>1454</v>
      </c>
      <c r="E3135" t="s">
        <v>1454</v>
      </c>
      <c r="F3135" t="s">
        <v>21</v>
      </c>
      <c r="G3135" t="s">
        <v>1545</v>
      </c>
      <c r="H3135">
        <v>0</v>
      </c>
      <c r="I3135">
        <v>4</v>
      </c>
      <c r="J3135">
        <v>0</v>
      </c>
      <c r="K3135">
        <v>0</v>
      </c>
      <c r="L3135">
        <v>0</v>
      </c>
    </row>
    <row r="3136" spans="1:12">
      <c r="A3136" t="str">
        <f>HYPERLINK("http://bombeiros.sp.gov.br/hidrantes/03individual/6684.html","6684")</f>
        <v>6684</v>
      </c>
      <c r="B3136" t="str">
        <f>HYPERLINK("http://bombeiros.sp.gov.br/hidrantes/08bsg/qrcodeBSG.html?id=6684&amp;lat=-23.57392&amp;long=-46.71344&amp;tipo=S","QRCODE")</f>
        <v>QRCODE</v>
      </c>
      <c r="C3136" t="s">
        <v>5351</v>
      </c>
      <c r="D3136" t="s">
        <v>1454</v>
      </c>
      <c r="E3136" t="s">
        <v>1454</v>
      </c>
      <c r="F3136" t="s">
        <v>21</v>
      </c>
      <c r="G3136" t="s">
        <v>3610</v>
      </c>
      <c r="H3136">
        <v>1</v>
      </c>
      <c r="I3136">
        <v>1</v>
      </c>
      <c r="J3136">
        <v>0</v>
      </c>
      <c r="K3136">
        <v>0</v>
      </c>
      <c r="L3136">
        <v>0</v>
      </c>
    </row>
    <row r="3137" spans="1:12">
      <c r="A3137" t="str">
        <f>HYPERLINK("http://bombeiros.sp.gov.br/hidrantes/03individual/1289.html","1289")</f>
        <v>1289</v>
      </c>
      <c r="B3137" t="str">
        <f>HYPERLINK("http://bombeiros.sp.gov.br/hidrantes/08bsg/qrcodeBSG.html?id=1289&amp;lat=-23.56554&amp;long=-46.72502&amp;tipo=C","QRCODE")</f>
        <v>QRCODE</v>
      </c>
      <c r="C3137" t="s">
        <v>5351</v>
      </c>
      <c r="D3137" t="s">
        <v>1454</v>
      </c>
      <c r="E3137" t="s">
        <v>1978</v>
      </c>
      <c r="F3137" t="s">
        <v>12</v>
      </c>
      <c r="G3137" t="s">
        <v>1977</v>
      </c>
      <c r="H3137">
        <v>0</v>
      </c>
      <c r="I3137">
        <v>2</v>
      </c>
      <c r="J3137">
        <v>0</v>
      </c>
      <c r="K3137">
        <v>0</v>
      </c>
      <c r="L3137">
        <v>0</v>
      </c>
    </row>
    <row r="3138" spans="1:12">
      <c r="A3138" t="str">
        <f>HYPERLINK("http://bombeiros.sp.gov.br/hidrantes/03individual/1291.html","1291")</f>
        <v>1291</v>
      </c>
      <c r="B3138" t="str">
        <f>HYPERLINK("http://bombeiros.sp.gov.br/hidrantes/08bsg/qrcodeBSG.html?id=1291&amp;lat=-23.55700&amp;long=-46.72039&amp;tipo=C","QRCODE")</f>
        <v>QRCODE</v>
      </c>
      <c r="C3138" t="s">
        <v>5351</v>
      </c>
      <c r="D3138" t="s">
        <v>1454</v>
      </c>
      <c r="E3138" t="s">
        <v>1978</v>
      </c>
      <c r="F3138" t="s">
        <v>12</v>
      </c>
      <c r="G3138" t="s">
        <v>4227</v>
      </c>
      <c r="H3138">
        <v>0</v>
      </c>
      <c r="I3138">
        <v>1</v>
      </c>
      <c r="J3138">
        <v>0</v>
      </c>
      <c r="K3138">
        <v>0</v>
      </c>
      <c r="L3138">
        <v>0</v>
      </c>
    </row>
    <row r="3139" spans="1:12">
      <c r="A3139" t="str">
        <f>HYPERLINK("http://bombeiros.sp.gov.br/hidrantes/03individual/1373.html","1373")</f>
        <v>1373</v>
      </c>
      <c r="B3139" t="str">
        <f>HYPERLINK("http://bombeiros.sp.gov.br/hidrantes/08bsg/qrcodeBSG.html?id=1373&amp;lat=-23.56454&amp;long=-46.71350&amp;tipo=C","QRCODE")</f>
        <v>QRCODE</v>
      </c>
      <c r="C3139" t="s">
        <v>5351</v>
      </c>
      <c r="D3139" t="s">
        <v>1454</v>
      </c>
      <c r="E3139" t="s">
        <v>1978</v>
      </c>
      <c r="F3139" t="s">
        <v>12</v>
      </c>
      <c r="G3139" t="s">
        <v>4658</v>
      </c>
      <c r="H3139">
        <v>1</v>
      </c>
      <c r="I3139">
        <v>1</v>
      </c>
      <c r="J3139">
        <v>0</v>
      </c>
      <c r="K3139">
        <v>0</v>
      </c>
      <c r="L3139">
        <v>0</v>
      </c>
    </row>
    <row r="3140" spans="1:12">
      <c r="A3140" t="str">
        <f>HYPERLINK("http://bombeiros.sp.gov.br/hidrantes/03individual/4440.html","4440")</f>
        <v>4440</v>
      </c>
      <c r="B3140" t="str">
        <f>HYPERLINK("http://bombeiros.sp.gov.br/hidrantes/08bsg/qrcodeBSG.html?id=4440&amp;lat=-23.55755&amp;long=-46.71906&amp;tipo=C","QRCODE")</f>
        <v>QRCODE</v>
      </c>
      <c r="C3140" t="s">
        <v>5351</v>
      </c>
      <c r="D3140" t="s">
        <v>1454</v>
      </c>
      <c r="E3140" t="s">
        <v>1978</v>
      </c>
      <c r="F3140" t="s">
        <v>12</v>
      </c>
      <c r="G3140" t="s">
        <v>3491</v>
      </c>
      <c r="H3140">
        <v>1</v>
      </c>
      <c r="I3140">
        <v>1</v>
      </c>
      <c r="J3140">
        <v>0</v>
      </c>
      <c r="K3140">
        <v>0</v>
      </c>
      <c r="L3140">
        <v>0</v>
      </c>
    </row>
    <row r="3141" spans="1:12">
      <c r="A3141" t="str">
        <f>HYPERLINK("http://bombeiros.sp.gov.br/hidrantes/03individual/16447.html","16447")</f>
        <v>16447</v>
      </c>
      <c r="B3141" t="str">
        <f>HYPERLINK("http://bombeiros.sp.gov.br/hidrantes/08bsg/qrcodeBSG.html?id=16447&amp;lat=-23.56571&amp;long=-46.72615&amp;tipo=C","QRCODE")</f>
        <v>QRCODE</v>
      </c>
      <c r="C3141" t="s">
        <v>5351</v>
      </c>
      <c r="D3141" t="s">
        <v>1454</v>
      </c>
      <c r="E3141" t="s">
        <v>1978</v>
      </c>
      <c r="F3141" t="s">
        <v>12</v>
      </c>
      <c r="G3141" t="s">
        <v>3511</v>
      </c>
      <c r="H3141">
        <v>1</v>
      </c>
      <c r="I3141">
        <v>1</v>
      </c>
      <c r="J3141">
        <v>0</v>
      </c>
      <c r="K3141">
        <v>0</v>
      </c>
      <c r="L3141">
        <v>0</v>
      </c>
    </row>
    <row r="3142" spans="1:12">
      <c r="A3142" t="str">
        <f>HYPERLINK("http://bombeiros.sp.gov.br/hidrantes/03individual/16448.html","16448")</f>
        <v>16448</v>
      </c>
      <c r="B3142" t="str">
        <f>HYPERLINK("http://bombeiros.sp.gov.br/hidrantes/08bsg/qrcodeBSG.html?id=16448&amp;lat=-23.56593&amp;long=-46.72625&amp;tipo=C","QRCODE")</f>
        <v>QRCODE</v>
      </c>
      <c r="C3142" t="s">
        <v>5351</v>
      </c>
      <c r="D3142" t="s">
        <v>1454</v>
      </c>
      <c r="E3142" t="s">
        <v>1978</v>
      </c>
      <c r="F3142" t="s">
        <v>12</v>
      </c>
      <c r="G3142" t="s">
        <v>3187</v>
      </c>
      <c r="H3142">
        <v>1</v>
      </c>
      <c r="I3142">
        <v>1</v>
      </c>
      <c r="J3142">
        <v>0</v>
      </c>
      <c r="K3142">
        <v>0</v>
      </c>
      <c r="L3142">
        <v>0</v>
      </c>
    </row>
    <row r="3143" spans="1:12">
      <c r="A3143" t="str">
        <f>HYPERLINK("http://bombeiros.sp.gov.br/hidrantes/03individual/25197.html","25197")</f>
        <v>25197</v>
      </c>
      <c r="B3143" t="str">
        <f>HYPERLINK("http://bombeiros.sp.gov.br/hidrantes/08bsg/qrcodeBSG.html?id=25197&amp;lat=-23.56275&amp;long=-46.71710&amp;tipo=C","QRCODE")</f>
        <v>QRCODE</v>
      </c>
      <c r="C3143" t="s">
        <v>5351</v>
      </c>
      <c r="D3143" t="s">
        <v>1454</v>
      </c>
      <c r="E3143" t="s">
        <v>1978</v>
      </c>
      <c r="F3143" t="s">
        <v>12</v>
      </c>
      <c r="G3143" t="s">
        <v>2320</v>
      </c>
      <c r="H3143">
        <v>1</v>
      </c>
      <c r="I3143">
        <v>2</v>
      </c>
      <c r="J3143">
        <v>0</v>
      </c>
      <c r="K3143">
        <v>0</v>
      </c>
      <c r="L3143">
        <v>0</v>
      </c>
    </row>
    <row r="3144" spans="1:12">
      <c r="A3144" t="str">
        <f>HYPERLINK("http://bombeiros.sp.gov.br/hidrantes/03individual/25198.html","25198")</f>
        <v>25198</v>
      </c>
      <c r="B3144" t="str">
        <f>HYPERLINK("http://bombeiros.sp.gov.br/hidrantes/08bsg/qrcodeBSG.html?id=25198&amp;lat=-23.55484&amp;long=-46.72481&amp;tipo=C","QRCODE")</f>
        <v>QRCODE</v>
      </c>
      <c r="C3144" t="s">
        <v>5351</v>
      </c>
      <c r="D3144" t="s">
        <v>1454</v>
      </c>
      <c r="E3144" t="s">
        <v>1978</v>
      </c>
      <c r="F3144" t="s">
        <v>12</v>
      </c>
      <c r="G3144" t="s">
        <v>4192</v>
      </c>
      <c r="H3144">
        <v>0</v>
      </c>
      <c r="I3144">
        <v>1</v>
      </c>
      <c r="J3144">
        <v>0</v>
      </c>
      <c r="K3144">
        <v>0</v>
      </c>
      <c r="L3144">
        <v>0</v>
      </c>
    </row>
    <row r="3145" spans="1:12">
      <c r="A3145" t="str">
        <f>HYPERLINK("http://bombeiros.sp.gov.br/hidrantes/03individual/27034.html","27034")</f>
        <v>27034</v>
      </c>
      <c r="B3145" t="str">
        <f>HYPERLINK("http://bombeiros.sp.gov.br/hidrantes/08bsg/qrcodeBSG.html?id=27034&amp;lat=-23.55697&amp;long=-46.73420&amp;tipo=C","QRCODE")</f>
        <v>QRCODE</v>
      </c>
      <c r="C3145" t="s">
        <v>5351</v>
      </c>
      <c r="D3145" t="s">
        <v>1454</v>
      </c>
      <c r="E3145" t="s">
        <v>1978</v>
      </c>
      <c r="F3145" t="s">
        <v>12</v>
      </c>
      <c r="G3145" t="s">
        <v>3899</v>
      </c>
      <c r="H3145">
        <v>0</v>
      </c>
      <c r="I3145">
        <v>1</v>
      </c>
      <c r="J3145">
        <v>0</v>
      </c>
      <c r="K3145">
        <v>0</v>
      </c>
      <c r="L3145">
        <v>0</v>
      </c>
    </row>
    <row r="3146" spans="1:12">
      <c r="A3146" t="str">
        <f>HYPERLINK("http://bombeiros.sp.gov.br/hidrantes/03individual/27062.html","27062")</f>
        <v>27062</v>
      </c>
      <c r="B3146" t="str">
        <f>HYPERLINK("http://bombeiros.sp.gov.br/hidrantes/08bsg/qrcodeBSG.html?id=27062&amp;lat=-23.56850&amp;long=-46.73534&amp;tipo=C","QRCODE")</f>
        <v>QRCODE</v>
      </c>
      <c r="C3146" t="s">
        <v>5351</v>
      </c>
      <c r="D3146" t="s">
        <v>1454</v>
      </c>
      <c r="E3146" t="s">
        <v>1978</v>
      </c>
      <c r="F3146" t="s">
        <v>12</v>
      </c>
      <c r="G3146" t="s">
        <v>3915</v>
      </c>
      <c r="H3146">
        <v>0</v>
      </c>
      <c r="I3146">
        <v>1</v>
      </c>
      <c r="J3146">
        <v>0</v>
      </c>
      <c r="K3146">
        <v>0</v>
      </c>
      <c r="L3146">
        <v>0</v>
      </c>
    </row>
    <row r="3147" spans="1:12">
      <c r="A3147" t="str">
        <f>HYPERLINK("http://bombeiros.sp.gov.br/hidrantes/03individual/1246.html","1246")</f>
        <v>1246</v>
      </c>
      <c r="B3147" t="str">
        <f>HYPERLINK("http://bombeiros.sp.gov.br/hidrantes/08bsg/qrcodeBSG.html?id=1246&amp;lat=-23.58416&amp;long=-46.73769&amp;tipo=C","QRCODE")</f>
        <v>QRCODE</v>
      </c>
      <c r="C3147" t="s">
        <v>5351</v>
      </c>
      <c r="D3147" t="s">
        <v>1454</v>
      </c>
      <c r="E3147" t="s">
        <v>498</v>
      </c>
      <c r="F3147" t="s">
        <v>12</v>
      </c>
      <c r="G3147" t="s">
        <v>4132</v>
      </c>
      <c r="H3147">
        <v>0</v>
      </c>
      <c r="I3147">
        <v>1</v>
      </c>
      <c r="J3147">
        <v>0</v>
      </c>
      <c r="K3147">
        <v>0</v>
      </c>
      <c r="L3147">
        <v>0</v>
      </c>
    </row>
    <row r="3148" spans="1:12">
      <c r="A3148" t="str">
        <f>HYPERLINK("http://bombeiros.sp.gov.br/hidrantes/03individual/6682.html","6682")</f>
        <v>6682</v>
      </c>
      <c r="B3148" t="str">
        <f>HYPERLINK("http://bombeiros.sp.gov.br/hidrantes/08bsg/qrcodeBSG.html?id=6682&amp;lat=-23.58224&amp;long=-46.74527&amp;tipo=C","QRCODE")</f>
        <v>QRCODE</v>
      </c>
      <c r="C3148" t="s">
        <v>5351</v>
      </c>
      <c r="D3148" t="s">
        <v>1454</v>
      </c>
      <c r="E3148" t="s">
        <v>498</v>
      </c>
      <c r="F3148" t="s">
        <v>12</v>
      </c>
      <c r="G3148" t="s">
        <v>3115</v>
      </c>
      <c r="H3148">
        <v>1</v>
      </c>
      <c r="I3148">
        <v>2</v>
      </c>
      <c r="J3148">
        <v>0</v>
      </c>
      <c r="K3148">
        <v>0</v>
      </c>
      <c r="L3148">
        <v>0</v>
      </c>
    </row>
    <row r="3149" spans="1:12">
      <c r="A3149" t="str">
        <f>HYPERLINK("http://bombeiros.sp.gov.br/hidrantes/03individual/6683.html","6683")</f>
        <v>6683</v>
      </c>
      <c r="B3149" t="str">
        <f>HYPERLINK("http://bombeiros.sp.gov.br/hidrantes/08bsg/qrcodeBSG.html?id=6683&amp;lat=-23.58221&amp;long=-46.74573&amp;tipo=C","QRCODE")</f>
        <v>QRCODE</v>
      </c>
      <c r="C3149" t="s">
        <v>5351</v>
      </c>
      <c r="D3149" t="s">
        <v>1454</v>
      </c>
      <c r="E3149" t="s">
        <v>498</v>
      </c>
      <c r="F3149" t="s">
        <v>12</v>
      </c>
      <c r="G3149" t="s">
        <v>3115</v>
      </c>
      <c r="H3149">
        <v>1</v>
      </c>
      <c r="I3149">
        <v>1</v>
      </c>
      <c r="J3149">
        <v>0</v>
      </c>
      <c r="K3149">
        <v>0</v>
      </c>
      <c r="L3149">
        <v>0</v>
      </c>
    </row>
    <row r="3150" spans="1:12">
      <c r="A3150" t="str">
        <f>HYPERLINK("http://bombeiros.sp.gov.br/hidrantes/03individual/27031.html","27031")</f>
        <v>27031</v>
      </c>
      <c r="B3150" t="str">
        <f>HYPERLINK("http://bombeiros.sp.gov.br/hidrantes/08bsg/qrcodeBSG.html?id=27031&amp;lat=-23.58402&amp;long=-46.73836&amp;tipo=C","QRCODE")</f>
        <v>QRCODE</v>
      </c>
      <c r="C3150" t="s">
        <v>5351</v>
      </c>
      <c r="D3150" t="s">
        <v>1454</v>
      </c>
      <c r="E3150" t="s">
        <v>498</v>
      </c>
      <c r="F3150" t="s">
        <v>12</v>
      </c>
      <c r="G3150" t="s">
        <v>5355</v>
      </c>
      <c r="H3150">
        <v>0</v>
      </c>
      <c r="I3150">
        <v>0</v>
      </c>
      <c r="J3150">
        <v>0</v>
      </c>
      <c r="K3150">
        <v>0</v>
      </c>
      <c r="L3150">
        <v>0</v>
      </c>
    </row>
    <row r="3151" spans="1:12">
      <c r="A3151" t="str">
        <f>HYPERLINK("http://bombeiros.sp.gov.br/hidrantes/03individual/27032.html","27032")</f>
        <v>27032</v>
      </c>
      <c r="B3151" t="str">
        <f>HYPERLINK("http://bombeiros.sp.gov.br/hidrantes/08bsg/qrcodeBSG.html?id=27032&amp;lat=-23.58233&amp;long=-46.73369&amp;tipo=C","QRCODE")</f>
        <v>QRCODE</v>
      </c>
      <c r="C3151" t="s">
        <v>5351</v>
      </c>
      <c r="D3151" t="s">
        <v>1454</v>
      </c>
      <c r="E3151" t="s">
        <v>498</v>
      </c>
      <c r="F3151" t="s">
        <v>12</v>
      </c>
      <c r="G3151" t="s">
        <v>4082</v>
      </c>
      <c r="H3151">
        <v>0</v>
      </c>
      <c r="I3151">
        <v>1</v>
      </c>
      <c r="J3151">
        <v>0</v>
      </c>
      <c r="K3151">
        <v>0</v>
      </c>
      <c r="L3151">
        <v>0</v>
      </c>
    </row>
    <row r="3152" spans="1:12">
      <c r="A3152" t="str">
        <f>HYPERLINK("http://bombeiros.sp.gov.br/hidrantes/03individual/27033.html","27033")</f>
        <v>27033</v>
      </c>
      <c r="B3152" t="str">
        <f>HYPERLINK("http://bombeiros.sp.gov.br/hidrantes/08bsg/qrcodeBSG.html?id=27033&amp;lat=-23.57528&amp;long=-46.72973&amp;tipo=C","QRCODE")</f>
        <v>QRCODE</v>
      </c>
      <c r="C3152" t="s">
        <v>5351</v>
      </c>
      <c r="D3152" t="s">
        <v>1454</v>
      </c>
      <c r="E3152" t="s">
        <v>498</v>
      </c>
      <c r="F3152" t="s">
        <v>12</v>
      </c>
      <c r="G3152" t="s">
        <v>3898</v>
      </c>
      <c r="H3152">
        <v>0</v>
      </c>
      <c r="I3152">
        <v>1</v>
      </c>
      <c r="J3152">
        <v>0</v>
      </c>
      <c r="K3152">
        <v>0</v>
      </c>
      <c r="L3152">
        <v>0</v>
      </c>
    </row>
    <row r="3153" spans="1:12">
      <c r="A3153" t="str">
        <f>HYPERLINK("http://bombeiros.sp.gov.br/hidrantes/03individual/27069.html","27069")</f>
        <v>27069</v>
      </c>
      <c r="B3153" t="str">
        <f>HYPERLINK("http://bombeiros.sp.gov.br/hidrantes/08bsg/qrcodeBSG.html?id=27069&amp;lat=-23.58102&amp;long=-46.75000&amp;tipo=C","QRCODE")</f>
        <v>QRCODE</v>
      </c>
      <c r="C3153" t="s">
        <v>5351</v>
      </c>
      <c r="D3153" t="s">
        <v>1454</v>
      </c>
      <c r="E3153" t="s">
        <v>498</v>
      </c>
      <c r="F3153" t="s">
        <v>12</v>
      </c>
      <c r="G3153" t="s">
        <v>4093</v>
      </c>
      <c r="H3153">
        <v>0</v>
      </c>
      <c r="I3153">
        <v>1</v>
      </c>
      <c r="J3153">
        <v>0</v>
      </c>
      <c r="K3153">
        <v>0</v>
      </c>
      <c r="L3153">
        <v>0</v>
      </c>
    </row>
    <row r="3154" spans="1:12">
      <c r="A3154" t="str">
        <f>HYPERLINK("http://bombeiros.sp.gov.br/hidrantes/03individual/1103.html","1103")</f>
        <v>1103</v>
      </c>
      <c r="B3154" t="str">
        <f>HYPERLINK("http://bombeiros.sp.gov.br/hidrantes/08bsg/qrcodeBSG.html?id=1103&amp;lat=-23.57870&amp;long=-46.74778&amp;tipo=S","QRCODE")</f>
        <v>QRCODE</v>
      </c>
      <c r="C3154" t="s">
        <v>5351</v>
      </c>
      <c r="D3154" t="s">
        <v>1454</v>
      </c>
      <c r="E3154" t="s">
        <v>498</v>
      </c>
      <c r="F3154" t="s">
        <v>21</v>
      </c>
      <c r="G3154" t="s">
        <v>4784</v>
      </c>
      <c r="H3154">
        <v>1</v>
      </c>
      <c r="I3154">
        <v>1</v>
      </c>
      <c r="J3154">
        <v>0</v>
      </c>
      <c r="K3154">
        <v>0</v>
      </c>
      <c r="L3154">
        <v>0</v>
      </c>
    </row>
    <row r="3155" spans="1:12">
      <c r="A3155" t="str">
        <f>HYPERLINK("http://bombeiros.sp.gov.br/hidrantes/03individual/1300.html","1300")</f>
        <v>1300</v>
      </c>
      <c r="B3155" t="str">
        <f>HYPERLINK("http://bombeiros.sp.gov.br/hidrantes/08bsg/qrcodeBSG.html?id=1300&amp;lat=-23.58141&amp;long=-46.74714&amp;tipo=S","QRCODE")</f>
        <v>QRCODE</v>
      </c>
      <c r="C3155" t="s">
        <v>5351</v>
      </c>
      <c r="D3155" t="s">
        <v>1454</v>
      </c>
      <c r="E3155" t="s">
        <v>498</v>
      </c>
      <c r="F3155" t="s">
        <v>21</v>
      </c>
      <c r="G3155" t="s">
        <v>1555</v>
      </c>
      <c r="H3155">
        <v>1</v>
      </c>
      <c r="I3155">
        <v>3</v>
      </c>
      <c r="J3155">
        <v>0</v>
      </c>
      <c r="K3155">
        <v>0</v>
      </c>
      <c r="L3155">
        <v>0</v>
      </c>
    </row>
    <row r="3156" spans="1:12">
      <c r="A3156" t="str">
        <f>HYPERLINK("http://bombeiros.sp.gov.br/hidrantes/03individual/1309.html","1309")</f>
        <v>1309</v>
      </c>
      <c r="B3156" t="str">
        <f>HYPERLINK("http://bombeiros.sp.gov.br/hidrantes/08bsg/qrcodeBSG.html?id=1309&amp;lat=-23.58091&amp;long=-46.72884&amp;tipo=S","QRCODE")</f>
        <v>QRCODE</v>
      </c>
      <c r="C3156" t="s">
        <v>5351</v>
      </c>
      <c r="D3156" t="s">
        <v>1454</v>
      </c>
      <c r="E3156" t="s">
        <v>498</v>
      </c>
      <c r="F3156" t="s">
        <v>21</v>
      </c>
      <c r="G3156" t="s">
        <v>3694</v>
      </c>
      <c r="H3156">
        <v>1</v>
      </c>
      <c r="I3156">
        <v>1</v>
      </c>
      <c r="J3156">
        <v>0</v>
      </c>
      <c r="K3156">
        <v>0</v>
      </c>
      <c r="L3156">
        <v>0</v>
      </c>
    </row>
    <row r="3157" spans="1:12">
      <c r="A3157" t="str">
        <f>HYPERLINK("http://bombeiros.sp.gov.br/hidrantes/03individual/2113.html","2113")</f>
        <v>2113</v>
      </c>
      <c r="B3157" t="str">
        <f>HYPERLINK("http://bombeiros.sp.gov.br/hidrantes/08bsg/qrcodeBSG.html?id=2113&amp;lat=-23.57512&amp;long=-46.73878&amp;tipo=S","QRCODE")</f>
        <v>QRCODE</v>
      </c>
      <c r="C3157" t="s">
        <v>5351</v>
      </c>
      <c r="D3157" t="s">
        <v>1454</v>
      </c>
      <c r="E3157" t="s">
        <v>498</v>
      </c>
      <c r="F3157" t="s">
        <v>21</v>
      </c>
      <c r="G3157" t="s">
        <v>562</v>
      </c>
      <c r="H3157">
        <v>2</v>
      </c>
      <c r="I3157">
        <v>2</v>
      </c>
      <c r="J3157">
        <v>0</v>
      </c>
      <c r="K3157">
        <v>0</v>
      </c>
      <c r="L3157">
        <v>0</v>
      </c>
    </row>
    <row r="3158" spans="1:12">
      <c r="A3158" t="str">
        <f>HYPERLINK("http://bombeiros.sp.gov.br/hidrantes/03individual/2129.html","2129")</f>
        <v>2129</v>
      </c>
      <c r="B3158" t="str">
        <f>HYPERLINK("http://bombeiros.sp.gov.br/hidrantes/08bsg/qrcodeBSG.html?id=2129&amp;lat=-23.57585&amp;long=-46.73753&amp;tipo=S","QRCODE")</f>
        <v>QRCODE</v>
      </c>
      <c r="C3158" t="s">
        <v>5351</v>
      </c>
      <c r="D3158" t="s">
        <v>1454</v>
      </c>
      <c r="E3158" t="s">
        <v>498</v>
      </c>
      <c r="F3158" t="s">
        <v>21</v>
      </c>
      <c r="G3158" t="s">
        <v>1565</v>
      </c>
      <c r="H3158">
        <v>2</v>
      </c>
      <c r="I3158">
        <v>2</v>
      </c>
      <c r="J3158">
        <v>0</v>
      </c>
      <c r="K3158">
        <v>0</v>
      </c>
      <c r="L3158">
        <v>0</v>
      </c>
    </row>
    <row r="3159" spans="1:12">
      <c r="A3159" t="str">
        <f>HYPERLINK("http://bombeiros.sp.gov.br/hidrantes/03individual/2131.html","2131")</f>
        <v>2131</v>
      </c>
      <c r="B3159" t="str">
        <f>HYPERLINK("http://bombeiros.sp.gov.br/hidrantes/08bsg/qrcodeBSG.html?id=2131&amp;lat=-23.57980&amp;long=-46.74197&amp;tipo=S","QRCODE")</f>
        <v>QRCODE</v>
      </c>
      <c r="C3159" t="s">
        <v>5351</v>
      </c>
      <c r="D3159" t="s">
        <v>1454</v>
      </c>
      <c r="E3159" t="s">
        <v>498</v>
      </c>
      <c r="F3159" t="s">
        <v>21</v>
      </c>
      <c r="G3159" t="s">
        <v>1564</v>
      </c>
      <c r="H3159">
        <v>1</v>
      </c>
      <c r="I3159">
        <v>2</v>
      </c>
      <c r="J3159">
        <v>0</v>
      </c>
      <c r="K3159">
        <v>0</v>
      </c>
      <c r="L3159">
        <v>0</v>
      </c>
    </row>
    <row r="3160" spans="1:12">
      <c r="A3160" t="str">
        <f>HYPERLINK("http://bombeiros.sp.gov.br/hidrantes/03individual/2133.html","2133")</f>
        <v>2133</v>
      </c>
      <c r="B3160" t="str">
        <f>HYPERLINK("http://bombeiros.sp.gov.br/hidrantes/08bsg/qrcodeBSG.html?id=2133&amp;lat=-23.58221&amp;long=-46.73997&amp;tipo=S","QRCODE")</f>
        <v>QRCODE</v>
      </c>
      <c r="C3160" t="s">
        <v>5351</v>
      </c>
      <c r="D3160" t="s">
        <v>1454</v>
      </c>
      <c r="E3160" t="s">
        <v>498</v>
      </c>
      <c r="F3160" t="s">
        <v>21</v>
      </c>
      <c r="G3160" t="s">
        <v>1566</v>
      </c>
      <c r="H3160">
        <v>1</v>
      </c>
      <c r="I3160">
        <v>2</v>
      </c>
      <c r="J3160">
        <v>0</v>
      </c>
      <c r="K3160">
        <v>0</v>
      </c>
      <c r="L3160">
        <v>0</v>
      </c>
    </row>
    <row r="3161" spans="1:12">
      <c r="A3161" t="str">
        <f>HYPERLINK("http://bombeiros.sp.gov.br/hidrantes/03individual/2151.html","2151")</f>
        <v>2151</v>
      </c>
      <c r="B3161" t="str">
        <f>HYPERLINK("http://bombeiros.sp.gov.br/hidrantes/08bsg/qrcodeBSG.html?id=2151&amp;lat=-23.58415&amp;long=-46.74032&amp;tipo=S","QRCODE")</f>
        <v>QRCODE</v>
      </c>
      <c r="C3161" t="s">
        <v>5351</v>
      </c>
      <c r="D3161" t="s">
        <v>1454</v>
      </c>
      <c r="E3161" t="s">
        <v>498</v>
      </c>
      <c r="F3161" t="s">
        <v>21</v>
      </c>
      <c r="G3161" t="s">
        <v>4789</v>
      </c>
      <c r="H3161">
        <v>0</v>
      </c>
      <c r="I3161">
        <v>2</v>
      </c>
      <c r="J3161">
        <v>0</v>
      </c>
      <c r="K3161">
        <v>0</v>
      </c>
      <c r="L3161">
        <v>0</v>
      </c>
    </row>
    <row r="3162" spans="1:12">
      <c r="A3162" t="str">
        <f>HYPERLINK("http://bombeiros.sp.gov.br/hidrantes/03individual/2167.html","2167")</f>
        <v>2167</v>
      </c>
      <c r="B3162" t="str">
        <f>HYPERLINK("http://bombeiros.sp.gov.br/hidrantes/08bsg/qrcodeBSG.html?id=2167&amp;lat=-23.57785&amp;long=-46.73141&amp;tipo=S","QRCODE")</f>
        <v>QRCODE</v>
      </c>
      <c r="C3162" t="s">
        <v>5351</v>
      </c>
      <c r="D3162" t="s">
        <v>1454</v>
      </c>
      <c r="E3162" t="s">
        <v>498</v>
      </c>
      <c r="F3162" t="s">
        <v>21</v>
      </c>
      <c r="G3162" t="s">
        <v>4672</v>
      </c>
      <c r="H3162">
        <v>1</v>
      </c>
      <c r="I3162">
        <v>1</v>
      </c>
      <c r="J3162">
        <v>0</v>
      </c>
      <c r="K3162">
        <v>0</v>
      </c>
      <c r="L3162">
        <v>0</v>
      </c>
    </row>
    <row r="3163" spans="1:12">
      <c r="A3163" t="str">
        <f>HYPERLINK("http://bombeiros.sp.gov.br/hidrantes/03individual/4245.html","4245")</f>
        <v>4245</v>
      </c>
      <c r="B3163" t="str">
        <f>HYPERLINK("http://bombeiros.sp.gov.br/hidrantes/08bsg/qrcodeBSG.html?id=4245&amp;lat=-23.58142&amp;long=-46.74307&amp;tipo=S","QRCODE")</f>
        <v>QRCODE</v>
      </c>
      <c r="C3163" t="s">
        <v>5351</v>
      </c>
      <c r="D3163" t="s">
        <v>1454</v>
      </c>
      <c r="E3163" t="s">
        <v>498</v>
      </c>
      <c r="F3163" t="s">
        <v>21</v>
      </c>
      <c r="G3163" t="s">
        <v>1548</v>
      </c>
      <c r="H3163">
        <v>1</v>
      </c>
      <c r="I3163">
        <v>2</v>
      </c>
      <c r="J3163">
        <v>0</v>
      </c>
      <c r="K3163">
        <v>0</v>
      </c>
      <c r="L3163">
        <v>0</v>
      </c>
    </row>
    <row r="3164" spans="1:12">
      <c r="A3164" t="str">
        <f>HYPERLINK("http://bombeiros.sp.gov.br/hidrantes/03individual/4247.html","4247")</f>
        <v>4247</v>
      </c>
      <c r="B3164" t="str">
        <f>HYPERLINK("http://bombeiros.sp.gov.br/hidrantes/08bsg/qrcodeBSG.html?id=4247&amp;lat=-23.57943&amp;long=-46.74100&amp;tipo=S","QRCODE")</f>
        <v>QRCODE</v>
      </c>
      <c r="C3164" t="s">
        <v>5351</v>
      </c>
      <c r="D3164" t="s">
        <v>1454</v>
      </c>
      <c r="E3164" t="s">
        <v>498</v>
      </c>
      <c r="F3164" t="s">
        <v>21</v>
      </c>
      <c r="G3164" t="s">
        <v>1547</v>
      </c>
      <c r="H3164">
        <v>1</v>
      </c>
      <c r="I3164">
        <v>2</v>
      </c>
      <c r="J3164">
        <v>0</v>
      </c>
      <c r="K3164">
        <v>0</v>
      </c>
      <c r="L3164">
        <v>0</v>
      </c>
    </row>
    <row r="3165" spans="1:12">
      <c r="A3165" t="str">
        <f>HYPERLINK("http://bombeiros.sp.gov.br/hidrantes/03individual/16552.html","16552")</f>
        <v>16552</v>
      </c>
      <c r="B3165" t="str">
        <f>HYPERLINK("http://bombeiros.sp.gov.br/hidrantes/08bsg/qrcodeBSG.html?id=16552&amp;lat=-23.58067&amp;long=-46.73383&amp;tipo=S","QRCODE")</f>
        <v>QRCODE</v>
      </c>
      <c r="C3165" t="s">
        <v>5351</v>
      </c>
      <c r="D3165" t="s">
        <v>1454</v>
      </c>
      <c r="E3165" t="s">
        <v>498</v>
      </c>
      <c r="F3165" t="s">
        <v>21</v>
      </c>
      <c r="G3165" t="s">
        <v>497</v>
      </c>
      <c r="H3165">
        <v>1</v>
      </c>
      <c r="I3165">
        <v>1</v>
      </c>
      <c r="J3165">
        <v>0</v>
      </c>
      <c r="K3165">
        <v>0</v>
      </c>
      <c r="L3165">
        <v>0</v>
      </c>
    </row>
    <row r="3166" spans="1:12">
      <c r="A3166" t="str">
        <f>HYPERLINK("http://bombeiros.sp.gov.br/hidrantes/03individual/17858.html","17858")</f>
        <v>17858</v>
      </c>
      <c r="B3166" t="str">
        <f>HYPERLINK("http://bombeiros.sp.gov.br/hidrantes/08bsg/qrcodeBSG.html?id=17858&amp;lat=-23.57758&amp;long=-46.74058&amp;tipo=S","QRCODE")</f>
        <v>QRCODE</v>
      </c>
      <c r="C3166" t="s">
        <v>5351</v>
      </c>
      <c r="D3166" t="s">
        <v>1454</v>
      </c>
      <c r="E3166" t="s">
        <v>498</v>
      </c>
      <c r="F3166" t="s">
        <v>21</v>
      </c>
      <c r="G3166" t="s">
        <v>3641</v>
      </c>
      <c r="H3166">
        <v>1</v>
      </c>
      <c r="I3166">
        <v>1</v>
      </c>
      <c r="J3166">
        <v>0</v>
      </c>
      <c r="K3166">
        <v>0</v>
      </c>
      <c r="L3166">
        <v>0</v>
      </c>
    </row>
    <row r="3167" spans="1:12">
      <c r="A3167" t="str">
        <f>HYPERLINK("http://bombeiros.sp.gov.br/hidrantes/03individual/17888.html","17888")</f>
        <v>17888</v>
      </c>
      <c r="B3167" t="str">
        <f>HYPERLINK("http://bombeiros.sp.gov.br/hidrantes/08bsg/qrcodeBSG.html?id=17888&amp;lat=-23.57376&amp;long=-46.73120&amp;tipo=S","QRCODE")</f>
        <v>QRCODE</v>
      </c>
      <c r="C3167" t="s">
        <v>5351</v>
      </c>
      <c r="D3167" t="s">
        <v>1454</v>
      </c>
      <c r="E3167" t="s">
        <v>498</v>
      </c>
      <c r="F3167" t="s">
        <v>21</v>
      </c>
      <c r="G3167" t="s">
        <v>4074</v>
      </c>
      <c r="H3167">
        <v>0</v>
      </c>
      <c r="I3167">
        <v>1</v>
      </c>
      <c r="J3167">
        <v>0</v>
      </c>
      <c r="K3167">
        <v>0</v>
      </c>
      <c r="L3167">
        <v>0</v>
      </c>
    </row>
    <row r="3168" spans="1:12">
      <c r="A3168" t="str">
        <f>HYPERLINK("http://bombeiros.sp.gov.br/hidrantes/03individual/1259.html","1259")</f>
        <v>1259</v>
      </c>
      <c r="B3168" t="str">
        <f>HYPERLINK("http://bombeiros.sp.gov.br/hidrantes/08bsg/qrcodeBSG.html?id=1259&amp;lat=-23.57708&amp;long=-46.71656&amp;tipo=C","QRCODE")</f>
        <v>QRCODE</v>
      </c>
      <c r="C3168" t="s">
        <v>5351</v>
      </c>
      <c r="D3168" t="s">
        <v>1454</v>
      </c>
      <c r="E3168" t="s">
        <v>1456</v>
      </c>
      <c r="F3168" t="s">
        <v>12</v>
      </c>
      <c r="G3168" t="s">
        <v>4662</v>
      </c>
      <c r="H3168">
        <v>1</v>
      </c>
      <c r="I3168">
        <v>1</v>
      </c>
      <c r="J3168">
        <v>0</v>
      </c>
      <c r="K3168">
        <v>0</v>
      </c>
      <c r="L3168">
        <v>0</v>
      </c>
    </row>
    <row r="3169" spans="1:12">
      <c r="A3169" t="str">
        <f>HYPERLINK("http://bombeiros.sp.gov.br/hidrantes/03individual/1287.html","1287")</f>
        <v>1287</v>
      </c>
      <c r="B3169" t="str">
        <f>HYPERLINK("http://bombeiros.sp.gov.br/hidrantes/08bsg/qrcodeBSG.html?id=1287&amp;lat=-23.57973&amp;long=-46.72426&amp;tipo=C","QRCODE")</f>
        <v>QRCODE</v>
      </c>
      <c r="C3169" t="s">
        <v>5351</v>
      </c>
      <c r="D3169" t="s">
        <v>1454</v>
      </c>
      <c r="E3169" t="s">
        <v>1456</v>
      </c>
      <c r="F3169" t="s">
        <v>12</v>
      </c>
      <c r="G3169" t="s">
        <v>3296</v>
      </c>
      <c r="H3169">
        <v>0</v>
      </c>
      <c r="I3169">
        <v>2</v>
      </c>
      <c r="J3169">
        <v>0</v>
      </c>
      <c r="K3169">
        <v>0</v>
      </c>
      <c r="L3169">
        <v>0</v>
      </c>
    </row>
    <row r="3170" spans="1:12">
      <c r="A3170" t="str">
        <f>HYPERLINK("http://bombeiros.sp.gov.br/hidrantes/03individual/4255.html","4255")</f>
        <v>4255</v>
      </c>
      <c r="B3170" t="str">
        <f>HYPERLINK("http://bombeiros.sp.gov.br/hidrantes/08bsg/qrcodeBSG.html?id=4255&amp;lat=-23.57663&amp;long=-46.72078&amp;tipo=C","QRCODE")</f>
        <v>QRCODE</v>
      </c>
      <c r="C3170" t="s">
        <v>5351</v>
      </c>
      <c r="D3170" t="s">
        <v>1454</v>
      </c>
      <c r="E3170" t="s">
        <v>1456</v>
      </c>
      <c r="F3170" t="s">
        <v>12</v>
      </c>
      <c r="G3170" t="s">
        <v>2304</v>
      </c>
      <c r="H3170">
        <v>0</v>
      </c>
      <c r="I3170">
        <v>2</v>
      </c>
      <c r="J3170">
        <v>0</v>
      </c>
      <c r="K3170">
        <v>0</v>
      </c>
      <c r="L3170">
        <v>0</v>
      </c>
    </row>
    <row r="3171" spans="1:12">
      <c r="A3171" t="str">
        <f>HYPERLINK("http://bombeiros.sp.gov.br/hidrantes/03individual/4256.html","4256")</f>
        <v>4256</v>
      </c>
      <c r="B3171" t="str">
        <f>HYPERLINK("http://bombeiros.sp.gov.br/hidrantes/08bsg/qrcodeBSG.html?id=4256&amp;lat=-23.57874&amp;long=-46.72672&amp;tipo=C","QRCODE")</f>
        <v>QRCODE</v>
      </c>
      <c r="C3171" t="s">
        <v>5351</v>
      </c>
      <c r="D3171" t="s">
        <v>1454</v>
      </c>
      <c r="E3171" t="s">
        <v>1456</v>
      </c>
      <c r="F3171" t="s">
        <v>12</v>
      </c>
      <c r="G3171" t="s">
        <v>1455</v>
      </c>
      <c r="H3171">
        <v>1</v>
      </c>
      <c r="I3171">
        <v>2</v>
      </c>
      <c r="J3171">
        <v>0</v>
      </c>
      <c r="K3171">
        <v>0</v>
      </c>
      <c r="L3171">
        <v>0</v>
      </c>
    </row>
    <row r="3172" spans="1:12">
      <c r="A3172" t="str">
        <f>HYPERLINK("http://bombeiros.sp.gov.br/hidrantes/03individual/16308.html","16308")</f>
        <v>16308</v>
      </c>
      <c r="B3172" t="str">
        <f>HYPERLINK("http://bombeiros.sp.gov.br/hidrantes/08bsg/qrcodeBSG.html?id=16308&amp;lat=-23.58613&amp;long=-46.72349&amp;tipo=C","QRCODE")</f>
        <v>QRCODE</v>
      </c>
      <c r="C3172" t="s">
        <v>5351</v>
      </c>
      <c r="D3172" t="s">
        <v>1454</v>
      </c>
      <c r="E3172" t="s">
        <v>1456</v>
      </c>
      <c r="F3172" t="s">
        <v>12</v>
      </c>
      <c r="G3172" t="s">
        <v>5247</v>
      </c>
      <c r="H3172">
        <v>1</v>
      </c>
      <c r="I3172">
        <v>0</v>
      </c>
      <c r="J3172">
        <v>0</v>
      </c>
      <c r="K3172">
        <v>0</v>
      </c>
      <c r="L3172">
        <v>0</v>
      </c>
    </row>
    <row r="3173" spans="1:12">
      <c r="A3173" t="str">
        <f>HYPERLINK("http://bombeiros.sp.gov.br/hidrantes/03individual/1318.html","1318")</f>
        <v>1318</v>
      </c>
      <c r="B3173" t="str">
        <f>HYPERLINK("http://bombeiros.sp.gov.br/hidrantes/08bsg/qrcodeBSG.html?id=1318&amp;lat=-23.57531&amp;long=-46.72595&amp;tipo=S","QRCODE")</f>
        <v>QRCODE</v>
      </c>
      <c r="C3173" t="s">
        <v>5351</v>
      </c>
      <c r="D3173" t="s">
        <v>1454</v>
      </c>
      <c r="E3173" t="s">
        <v>1456</v>
      </c>
      <c r="F3173" t="s">
        <v>21</v>
      </c>
      <c r="G3173" t="s">
        <v>4661</v>
      </c>
      <c r="H3173">
        <v>1</v>
      </c>
      <c r="I3173">
        <v>1</v>
      </c>
      <c r="J3173">
        <v>0</v>
      </c>
      <c r="K3173">
        <v>0</v>
      </c>
      <c r="L3173">
        <v>0</v>
      </c>
    </row>
    <row r="3174" spans="1:12">
      <c r="A3174" t="str">
        <f>HYPERLINK("http://bombeiros.sp.gov.br/hidrantes/03individual/1320.html","1320")</f>
        <v>1320</v>
      </c>
      <c r="B3174" t="str">
        <f>HYPERLINK("http://bombeiros.sp.gov.br/hidrantes/08bsg/qrcodeBSG.html?id=1320&amp;lat=-23.57374&amp;long=-46.72051&amp;tipo=S","QRCODE")</f>
        <v>QRCODE</v>
      </c>
      <c r="C3174" t="s">
        <v>5351</v>
      </c>
      <c r="D3174" t="s">
        <v>1454</v>
      </c>
      <c r="E3174" t="s">
        <v>1456</v>
      </c>
      <c r="F3174" t="s">
        <v>21</v>
      </c>
      <c r="G3174" t="s">
        <v>4660</v>
      </c>
      <c r="H3174">
        <v>1</v>
      </c>
      <c r="I3174">
        <v>1</v>
      </c>
      <c r="J3174">
        <v>0</v>
      </c>
      <c r="K3174">
        <v>0</v>
      </c>
      <c r="L3174">
        <v>0</v>
      </c>
    </row>
    <row r="3175" spans="1:12">
      <c r="A3175" t="str">
        <f>HYPERLINK("http://bombeiros.sp.gov.br/hidrantes/03individual/2225.html","2225")</f>
        <v>2225</v>
      </c>
      <c r="B3175" t="str">
        <f>HYPERLINK("http://bombeiros.sp.gov.br/hidrantes/08bsg/qrcodeBSG.html?id=2225&amp;lat=-23.57866&amp;long=-46.72646&amp;tipo=S","QRCODE")</f>
        <v>QRCODE</v>
      </c>
      <c r="C3175" t="s">
        <v>5351</v>
      </c>
      <c r="D3175" t="s">
        <v>1454</v>
      </c>
      <c r="E3175" t="s">
        <v>1456</v>
      </c>
      <c r="F3175" t="s">
        <v>21</v>
      </c>
      <c r="G3175" t="s">
        <v>3672</v>
      </c>
      <c r="H3175">
        <v>1</v>
      </c>
      <c r="I3175">
        <v>1</v>
      </c>
      <c r="J3175">
        <v>0</v>
      </c>
      <c r="K3175">
        <v>0</v>
      </c>
      <c r="L3175">
        <v>0</v>
      </c>
    </row>
    <row r="3176" spans="1:12">
      <c r="A3176" t="str">
        <f>HYPERLINK("http://bombeiros.sp.gov.br/hidrantes/03individual/2235.html","2235")</f>
        <v>2235</v>
      </c>
      <c r="B3176" t="str">
        <f>HYPERLINK("http://bombeiros.sp.gov.br/hidrantes/08bsg/qrcodeBSG.html?id=2235&amp;lat=-23.58445&amp;long=-46.71804&amp;tipo=S","QRCODE")</f>
        <v>QRCODE</v>
      </c>
      <c r="C3176" t="s">
        <v>5351</v>
      </c>
      <c r="D3176" t="s">
        <v>1454</v>
      </c>
      <c r="E3176" t="s">
        <v>1456</v>
      </c>
      <c r="F3176" t="s">
        <v>21</v>
      </c>
      <c r="G3176" t="s">
        <v>3985</v>
      </c>
      <c r="H3176">
        <v>0</v>
      </c>
      <c r="I3176">
        <v>2</v>
      </c>
      <c r="J3176">
        <v>0</v>
      </c>
      <c r="K3176">
        <v>0</v>
      </c>
      <c r="L3176">
        <v>0</v>
      </c>
    </row>
    <row r="3177" spans="1:12">
      <c r="A3177" t="str">
        <f>HYPERLINK("http://bombeiros.sp.gov.br/hidrantes/03individual/2259.html","2259")</f>
        <v>2259</v>
      </c>
      <c r="B3177" t="str">
        <f>HYPERLINK("http://bombeiros.sp.gov.br/hidrantes/08bsg/qrcodeBSG.html?id=2259&amp;lat=-23.57745&amp;long=-46.71495&amp;tipo=S","QRCODE")</f>
        <v>QRCODE</v>
      </c>
      <c r="C3177" t="s">
        <v>5351</v>
      </c>
      <c r="D3177" t="s">
        <v>1454</v>
      </c>
      <c r="E3177" t="s">
        <v>1456</v>
      </c>
      <c r="F3177" t="s">
        <v>21</v>
      </c>
      <c r="G3177" t="s">
        <v>4706</v>
      </c>
      <c r="H3177">
        <v>1</v>
      </c>
      <c r="I3177">
        <v>1</v>
      </c>
      <c r="J3177">
        <v>0</v>
      </c>
      <c r="K3177">
        <v>0</v>
      </c>
      <c r="L3177">
        <v>0</v>
      </c>
    </row>
    <row r="3178" spans="1:12">
      <c r="A3178" t="str">
        <f>HYPERLINK("http://bombeiros.sp.gov.br/hidrantes/03individual/2262.html","2262")</f>
        <v>2262</v>
      </c>
      <c r="B3178" t="str">
        <f>HYPERLINK("http://bombeiros.sp.gov.br/hidrantes/08bsg/qrcodeBSG.html?id=2262&amp;lat=-23.57909&amp;long=-46.71280&amp;tipo=S","QRCODE")</f>
        <v>QRCODE</v>
      </c>
      <c r="C3178" t="s">
        <v>5351</v>
      </c>
      <c r="D3178" t="s">
        <v>1454</v>
      </c>
      <c r="E3178" t="s">
        <v>1456</v>
      </c>
      <c r="F3178" t="s">
        <v>21</v>
      </c>
      <c r="G3178" t="s">
        <v>4708</v>
      </c>
      <c r="H3178">
        <v>1</v>
      </c>
      <c r="I3178">
        <v>1</v>
      </c>
      <c r="J3178">
        <v>0</v>
      </c>
      <c r="K3178">
        <v>0</v>
      </c>
      <c r="L3178">
        <v>0</v>
      </c>
    </row>
    <row r="3179" spans="1:12">
      <c r="A3179" t="str">
        <f>HYPERLINK("http://bombeiros.sp.gov.br/hidrantes/03individual/2278.html","2278")</f>
        <v>2278</v>
      </c>
      <c r="B3179" t="str">
        <f>HYPERLINK("http://bombeiros.sp.gov.br/hidrantes/08bsg/qrcodeBSG.html?id=2278&amp;lat=-23.57936&amp;long=-46.71482&amp;tipo=S","QRCODE")</f>
        <v>QRCODE</v>
      </c>
      <c r="C3179" t="s">
        <v>5351</v>
      </c>
      <c r="D3179" t="s">
        <v>1454</v>
      </c>
      <c r="E3179" t="s">
        <v>1456</v>
      </c>
      <c r="F3179" t="s">
        <v>21</v>
      </c>
      <c r="G3179" t="s">
        <v>3621</v>
      </c>
      <c r="H3179">
        <v>1</v>
      </c>
      <c r="I3179">
        <v>1</v>
      </c>
      <c r="J3179">
        <v>0</v>
      </c>
      <c r="K3179">
        <v>0</v>
      </c>
      <c r="L3179">
        <v>0</v>
      </c>
    </row>
    <row r="3180" spans="1:12">
      <c r="A3180" t="str">
        <f>HYPERLINK("http://bombeiros.sp.gov.br/hidrantes/03individual/4241.html","4241")</f>
        <v>4241</v>
      </c>
      <c r="B3180" t="str">
        <f>HYPERLINK("http://bombeiros.sp.gov.br/hidrantes/08bsg/qrcodeBSG.html?id=4241&amp;lat=-23.58156&amp;long=-46.71228&amp;tipo=S","QRCODE")</f>
        <v>QRCODE</v>
      </c>
      <c r="C3180" t="s">
        <v>5351</v>
      </c>
      <c r="D3180" t="s">
        <v>1454</v>
      </c>
      <c r="E3180" t="s">
        <v>1456</v>
      </c>
      <c r="F3180" t="s">
        <v>21</v>
      </c>
      <c r="G3180" t="s">
        <v>3969</v>
      </c>
      <c r="H3180">
        <v>0</v>
      </c>
      <c r="I3180">
        <v>2</v>
      </c>
      <c r="J3180">
        <v>0</v>
      </c>
      <c r="K3180">
        <v>0</v>
      </c>
      <c r="L3180">
        <v>0</v>
      </c>
    </row>
    <row r="3181" spans="1:12">
      <c r="A3181" t="str">
        <f>HYPERLINK("http://bombeiros.sp.gov.br/hidrantes/03individual/4246.html","4246")</f>
        <v>4246</v>
      </c>
      <c r="B3181" t="str">
        <f>HYPERLINK("http://bombeiros.sp.gov.br/hidrantes/08bsg/qrcodeBSG.html?id=4246&amp;lat=-23.58111&amp;long=-46.71391&amp;tipo=S","QRCODE")</f>
        <v>QRCODE</v>
      </c>
      <c r="C3181" t="s">
        <v>5351</v>
      </c>
      <c r="D3181" t="s">
        <v>1454</v>
      </c>
      <c r="E3181" t="s">
        <v>1456</v>
      </c>
      <c r="F3181" t="s">
        <v>21</v>
      </c>
      <c r="G3181" t="s">
        <v>3611</v>
      </c>
      <c r="H3181">
        <v>1</v>
      </c>
      <c r="I3181">
        <v>1</v>
      </c>
      <c r="J3181">
        <v>0</v>
      </c>
      <c r="K3181">
        <v>0</v>
      </c>
      <c r="L3181">
        <v>0</v>
      </c>
    </row>
    <row r="3182" spans="1:12">
      <c r="A3182" t="str">
        <f>HYPERLINK("http://bombeiros.sp.gov.br/hidrantes/03individual/4248.html","4248")</f>
        <v>4248</v>
      </c>
      <c r="B3182" t="str">
        <f>HYPERLINK("http://bombeiros.sp.gov.br/hidrantes/08bsg/qrcodeBSG.html?id=4248&amp;lat=-23.57465&amp;long=-46.72415&amp;tipo=S","QRCODE")</f>
        <v>QRCODE</v>
      </c>
      <c r="C3182" t="s">
        <v>5351</v>
      </c>
      <c r="D3182" t="s">
        <v>1454</v>
      </c>
      <c r="E3182" t="s">
        <v>1456</v>
      </c>
      <c r="F3182" t="s">
        <v>21</v>
      </c>
      <c r="G3182" t="s">
        <v>4810</v>
      </c>
      <c r="H3182">
        <v>0</v>
      </c>
      <c r="I3182">
        <v>2</v>
      </c>
      <c r="J3182">
        <v>0</v>
      </c>
      <c r="K3182">
        <v>0</v>
      </c>
      <c r="L3182">
        <v>0</v>
      </c>
    </row>
    <row r="3183" spans="1:12">
      <c r="A3183" t="str">
        <f>HYPERLINK("http://bombeiros.sp.gov.br/hidrantes/03individual/15022.html","15022")</f>
        <v>15022</v>
      </c>
      <c r="B3183" t="str">
        <f>HYPERLINK("http://bombeiros.sp.gov.br/hidrantes/08bsg/qrcodeBSG.html?id=15022&amp;lat=-23.57657&amp;long=-46.72092&amp;tipo=S","QRCODE")</f>
        <v>QRCODE</v>
      </c>
      <c r="C3183" t="s">
        <v>5351</v>
      </c>
      <c r="D3183" t="s">
        <v>1454</v>
      </c>
      <c r="E3183" t="s">
        <v>1456</v>
      </c>
      <c r="F3183" t="s">
        <v>21</v>
      </c>
      <c r="G3183" t="s">
        <v>1492</v>
      </c>
      <c r="H3183">
        <v>0</v>
      </c>
      <c r="I3183">
        <v>4</v>
      </c>
      <c r="J3183">
        <v>0</v>
      </c>
      <c r="K3183">
        <v>0</v>
      </c>
      <c r="L3183">
        <v>0</v>
      </c>
    </row>
    <row r="3184" spans="1:12">
      <c r="A3184" t="str">
        <f>HYPERLINK("http://bombeiros.sp.gov.br/hidrantes/03individual/16539.html","16539")</f>
        <v>16539</v>
      </c>
      <c r="B3184" t="str">
        <f>HYPERLINK("http://bombeiros.sp.gov.br/hidrantes/08bsg/qrcodeBSG.html?id=16539&amp;lat=-23.57832&amp;long=-46.72866&amp;tipo=S","QRCODE")</f>
        <v>QRCODE</v>
      </c>
      <c r="C3184" t="s">
        <v>5351</v>
      </c>
      <c r="D3184" t="s">
        <v>1454</v>
      </c>
      <c r="E3184" t="s">
        <v>1456</v>
      </c>
      <c r="F3184" t="s">
        <v>21</v>
      </c>
      <c r="G3184" t="s">
        <v>1490</v>
      </c>
      <c r="H3184">
        <v>1</v>
      </c>
      <c r="I3184">
        <v>4</v>
      </c>
      <c r="J3184">
        <v>0</v>
      </c>
      <c r="K3184">
        <v>0</v>
      </c>
      <c r="L3184">
        <v>0</v>
      </c>
    </row>
    <row r="3185" spans="1:12">
      <c r="A3185" t="str">
        <f>HYPERLINK("http://bombeiros.sp.gov.br/hidrantes/03individual/1419.html","1419")</f>
        <v>1419</v>
      </c>
      <c r="B3185" t="str">
        <f>HYPERLINK("http://bombeiros.sp.gov.br/hidrantes/08bsg/qrcodeBSG.html?id=1419&amp;lat=-23.59293&amp;long=-46.68897&amp;tipo=C","QRCODE")</f>
        <v>QRCODE</v>
      </c>
      <c r="C3185" t="s">
        <v>5351</v>
      </c>
      <c r="D3185" t="s">
        <v>5356</v>
      </c>
      <c r="E3185" t="s">
        <v>620</v>
      </c>
      <c r="F3185" t="s">
        <v>12</v>
      </c>
      <c r="G3185" t="s">
        <v>2630</v>
      </c>
      <c r="H3185">
        <v>0</v>
      </c>
      <c r="I3185">
        <v>2</v>
      </c>
      <c r="J3185">
        <v>0</v>
      </c>
      <c r="K3185">
        <v>0</v>
      </c>
      <c r="L3185">
        <v>0</v>
      </c>
    </row>
    <row r="3186" spans="1:12">
      <c r="A3186" t="str">
        <f>HYPERLINK("http://bombeiros.sp.gov.br/hidrantes/03individual/1425.html","1425")</f>
        <v>1425</v>
      </c>
      <c r="B3186" t="str">
        <f>HYPERLINK("http://bombeiros.sp.gov.br/hidrantes/08bsg/qrcodeBSG.html?id=1425&amp;lat=-23.59257&amp;long=-46.68775&amp;tipo=C","QRCODE")</f>
        <v>QRCODE</v>
      </c>
      <c r="C3186" t="s">
        <v>5351</v>
      </c>
      <c r="D3186" t="s">
        <v>5356</v>
      </c>
      <c r="E3186" t="s">
        <v>620</v>
      </c>
      <c r="F3186" t="s">
        <v>12</v>
      </c>
      <c r="G3186" t="s">
        <v>3308</v>
      </c>
      <c r="H3186">
        <v>1</v>
      </c>
      <c r="I3186">
        <v>1</v>
      </c>
      <c r="J3186">
        <v>0</v>
      </c>
      <c r="K3186">
        <v>0</v>
      </c>
      <c r="L3186">
        <v>0</v>
      </c>
    </row>
    <row r="3187" spans="1:12">
      <c r="A3187" t="str">
        <f>HYPERLINK("http://bombeiros.sp.gov.br/hidrantes/03individual/3935.html","3935")</f>
        <v>3935</v>
      </c>
      <c r="B3187" t="str">
        <f>HYPERLINK("http://bombeiros.sp.gov.br/hidrantes/08bsg/qrcodeBSG.html?id=3935&amp;lat=-23.60811&amp;long=-46.69413&amp;tipo=C","QRCODE")</f>
        <v>QRCODE</v>
      </c>
      <c r="C3187" t="s">
        <v>5351</v>
      </c>
      <c r="D3187" t="s">
        <v>5356</v>
      </c>
      <c r="E3187" t="s">
        <v>620</v>
      </c>
      <c r="F3187" t="s">
        <v>12</v>
      </c>
      <c r="G3187" t="s">
        <v>4692</v>
      </c>
      <c r="H3187">
        <v>1</v>
      </c>
      <c r="I3187">
        <v>1</v>
      </c>
      <c r="J3187">
        <v>0</v>
      </c>
      <c r="K3187">
        <v>0</v>
      </c>
      <c r="L3187">
        <v>0</v>
      </c>
    </row>
    <row r="3188" spans="1:12">
      <c r="A3188" t="str">
        <f>HYPERLINK("http://bombeiros.sp.gov.br/hidrantes/03individual/4161.html","4161")</f>
        <v>4161</v>
      </c>
      <c r="B3188" t="str">
        <f>HYPERLINK("http://bombeiros.sp.gov.br/hidrantes/08bsg/qrcodeBSG.html?id=4161&amp;lat=-23.61000&amp;long=-46.69604&amp;tipo=S","QRCODE")</f>
        <v>QRCODE</v>
      </c>
      <c r="C3188" t="s">
        <v>5351</v>
      </c>
      <c r="D3188" t="s">
        <v>5356</v>
      </c>
      <c r="E3188" t="s">
        <v>620</v>
      </c>
      <c r="F3188" t="s">
        <v>21</v>
      </c>
      <c r="G3188" t="s">
        <v>4160</v>
      </c>
      <c r="H3188">
        <v>0</v>
      </c>
      <c r="I3188">
        <v>1</v>
      </c>
      <c r="J3188">
        <v>0</v>
      </c>
      <c r="K3188">
        <v>0</v>
      </c>
      <c r="L3188">
        <v>0</v>
      </c>
    </row>
    <row r="3189" spans="1:12">
      <c r="A3189" t="str">
        <f>HYPERLINK("http://bombeiros.sp.gov.br/hidrantes/03individual/4383.html","4383")</f>
        <v>4383</v>
      </c>
      <c r="B3189" t="str">
        <f>HYPERLINK("http://bombeiros.sp.gov.br/hidrantes/08bsg/qrcodeBSG.html?id=4383&amp;lat=-23.60251&amp;long=-46.69470&amp;tipo=S","QRCODE")</f>
        <v>QRCODE</v>
      </c>
      <c r="C3189" t="s">
        <v>5351</v>
      </c>
      <c r="D3189" t="s">
        <v>5356</v>
      </c>
      <c r="E3189" t="s">
        <v>620</v>
      </c>
      <c r="F3189" t="s">
        <v>21</v>
      </c>
      <c r="G3189" t="s">
        <v>619</v>
      </c>
      <c r="H3189">
        <v>0</v>
      </c>
      <c r="I3189">
        <v>3</v>
      </c>
      <c r="J3189">
        <v>0</v>
      </c>
      <c r="K3189">
        <v>0</v>
      </c>
      <c r="L3189">
        <v>0</v>
      </c>
    </row>
    <row r="3190" spans="1:12">
      <c r="A3190" t="str">
        <f>HYPERLINK("http://bombeiros.sp.gov.br/hidrantes/03individual/4384.html","4384")</f>
        <v>4384</v>
      </c>
      <c r="B3190" t="str">
        <f>HYPERLINK("http://bombeiros.sp.gov.br/hidrantes/08bsg/qrcodeBSG.html?id=4384&amp;lat=-23.60025&amp;long=-46.68939&amp;tipo=S","QRCODE")</f>
        <v>QRCODE</v>
      </c>
      <c r="C3190" t="s">
        <v>5351</v>
      </c>
      <c r="D3190" t="s">
        <v>5356</v>
      </c>
      <c r="E3190" t="s">
        <v>620</v>
      </c>
      <c r="F3190" t="s">
        <v>21</v>
      </c>
      <c r="G3190" t="s">
        <v>4677</v>
      </c>
      <c r="H3190">
        <v>1</v>
      </c>
      <c r="I3190">
        <v>1</v>
      </c>
      <c r="J3190">
        <v>0</v>
      </c>
      <c r="K3190">
        <v>0</v>
      </c>
      <c r="L3190">
        <v>0</v>
      </c>
    </row>
    <row r="3191" spans="1:12">
      <c r="A3191" t="str">
        <f>HYPERLINK("http://bombeiros.sp.gov.br/hidrantes/03individual/1413.html","1413")</f>
        <v>1413</v>
      </c>
      <c r="B3191" t="str">
        <f>HYPERLINK("http://bombeiros.sp.gov.br/hidrantes/08bsg/qrcodeBSG.html?id=1413&amp;lat=-23.59910&amp;long=-46.68698&amp;tipo=S","QRCODE")</f>
        <v>QRCODE</v>
      </c>
      <c r="C3191" t="s">
        <v>5351</v>
      </c>
      <c r="D3191" t="s">
        <v>5356</v>
      </c>
      <c r="E3191" t="s">
        <v>1500</v>
      </c>
      <c r="F3191" t="s">
        <v>21</v>
      </c>
      <c r="G3191" t="s">
        <v>4049</v>
      </c>
      <c r="H3191">
        <v>0</v>
      </c>
      <c r="I3191">
        <v>2</v>
      </c>
      <c r="J3191">
        <v>0</v>
      </c>
      <c r="K3191">
        <v>0</v>
      </c>
      <c r="L3191">
        <v>0</v>
      </c>
    </row>
    <row r="3192" spans="1:12">
      <c r="A3192" t="str">
        <f>HYPERLINK("http://bombeiros.sp.gov.br/hidrantes/03individual/3939.html","3939")</f>
        <v>3939</v>
      </c>
      <c r="B3192" t="str">
        <f>HYPERLINK("http://bombeiros.sp.gov.br/hidrantes/08bsg/qrcodeBSG.html?id=3939&amp;lat=-23.61460&amp;long=-46.68434&amp;tipo=S","QRCODE")</f>
        <v>QRCODE</v>
      </c>
      <c r="C3192" t="s">
        <v>5351</v>
      </c>
      <c r="D3192" t="s">
        <v>5356</v>
      </c>
      <c r="E3192" t="s">
        <v>1500</v>
      </c>
      <c r="F3192" t="s">
        <v>21</v>
      </c>
      <c r="G3192" t="s">
        <v>4149</v>
      </c>
      <c r="H3192">
        <v>0</v>
      </c>
      <c r="I3192">
        <v>1</v>
      </c>
      <c r="J3192">
        <v>0</v>
      </c>
      <c r="K3192">
        <v>0</v>
      </c>
      <c r="L3192">
        <v>0</v>
      </c>
    </row>
    <row r="3193" spans="1:12">
      <c r="A3193" t="str">
        <f>HYPERLINK("http://bombeiros.sp.gov.br/hidrantes/03individual/3941.html","3941")</f>
        <v>3941</v>
      </c>
      <c r="B3193" t="str">
        <f>HYPERLINK("http://bombeiros.sp.gov.br/hidrantes/08bsg/qrcodeBSG.html?id=3941&amp;lat=-23.61253&amp;long=-46.69030&amp;tipo=S","QRCODE")</f>
        <v>QRCODE</v>
      </c>
      <c r="C3193" t="s">
        <v>5351</v>
      </c>
      <c r="D3193" t="s">
        <v>5356</v>
      </c>
      <c r="E3193" t="s">
        <v>1500</v>
      </c>
      <c r="F3193" t="s">
        <v>21</v>
      </c>
      <c r="G3193" t="s">
        <v>1712</v>
      </c>
      <c r="H3193">
        <v>0</v>
      </c>
      <c r="I3193">
        <v>2</v>
      </c>
      <c r="J3193">
        <v>0</v>
      </c>
      <c r="K3193">
        <v>0</v>
      </c>
      <c r="L3193">
        <v>0</v>
      </c>
    </row>
    <row r="3194" spans="1:12">
      <c r="A3194" t="str">
        <f>HYPERLINK("http://bombeiros.sp.gov.br/hidrantes/03individual/3942.html","3942")</f>
        <v>3942</v>
      </c>
      <c r="B3194" t="str">
        <f>HYPERLINK("http://bombeiros.sp.gov.br/hidrantes/08bsg/qrcodeBSG.html?id=3942&amp;lat=-23.61104&amp;long=-46.68923&amp;tipo=S","QRCODE")</f>
        <v>QRCODE</v>
      </c>
      <c r="C3194" t="s">
        <v>5351</v>
      </c>
      <c r="D3194" t="s">
        <v>5356</v>
      </c>
      <c r="E3194" t="s">
        <v>1500</v>
      </c>
      <c r="F3194" t="s">
        <v>21</v>
      </c>
      <c r="G3194" t="s">
        <v>1713</v>
      </c>
      <c r="H3194">
        <v>0</v>
      </c>
      <c r="I3194">
        <v>2</v>
      </c>
      <c r="J3194">
        <v>0</v>
      </c>
      <c r="K3194">
        <v>0</v>
      </c>
      <c r="L3194">
        <v>0</v>
      </c>
    </row>
    <row r="3195" spans="1:12">
      <c r="A3195" t="str">
        <f>HYPERLINK("http://bombeiros.sp.gov.br/hidrantes/03individual/3944.html","3944")</f>
        <v>3944</v>
      </c>
      <c r="B3195" t="str">
        <f>HYPERLINK("http://bombeiros.sp.gov.br/hidrantes/08bsg/qrcodeBSG.html?id=3944&amp;lat=-23.60978&amp;long=-46.69081&amp;tipo=S","QRCODE")</f>
        <v>QRCODE</v>
      </c>
      <c r="C3195" t="s">
        <v>5351</v>
      </c>
      <c r="D3195" t="s">
        <v>5356</v>
      </c>
      <c r="E3195" t="s">
        <v>1500</v>
      </c>
      <c r="F3195" t="s">
        <v>21</v>
      </c>
      <c r="G3195" t="s">
        <v>1714</v>
      </c>
      <c r="H3195">
        <v>0</v>
      </c>
      <c r="I3195">
        <v>2</v>
      </c>
      <c r="J3195">
        <v>0</v>
      </c>
      <c r="K3195">
        <v>0</v>
      </c>
      <c r="L3195">
        <v>0</v>
      </c>
    </row>
    <row r="3196" spans="1:12">
      <c r="A3196" t="str">
        <f>HYPERLINK("http://bombeiros.sp.gov.br/hidrantes/03individual/3966.html","3966")</f>
        <v>3966</v>
      </c>
      <c r="B3196" t="str">
        <f>HYPERLINK("http://bombeiros.sp.gov.br/hidrantes/08bsg/qrcodeBSG.html?id=3966&amp;lat=-23.61177&amp;long=-46.68142&amp;tipo=S","QRCODE")</f>
        <v>QRCODE</v>
      </c>
      <c r="C3196" t="s">
        <v>5351</v>
      </c>
      <c r="D3196" t="s">
        <v>5356</v>
      </c>
      <c r="E3196" t="s">
        <v>1500</v>
      </c>
      <c r="F3196" t="s">
        <v>21</v>
      </c>
      <c r="G3196" t="s">
        <v>3037</v>
      </c>
      <c r="H3196">
        <v>0</v>
      </c>
      <c r="I3196">
        <v>2</v>
      </c>
      <c r="J3196">
        <v>0</v>
      </c>
      <c r="K3196">
        <v>0</v>
      </c>
      <c r="L3196">
        <v>0</v>
      </c>
    </row>
    <row r="3197" spans="1:12">
      <c r="A3197" t="str">
        <f>HYPERLINK("http://bombeiros.sp.gov.br/hidrantes/03individual/3968.html","3968")</f>
        <v>3968</v>
      </c>
      <c r="B3197" t="str">
        <f>HYPERLINK("http://bombeiros.sp.gov.br/hidrantes/08bsg/qrcodeBSG.html?id=3968&amp;lat=-23.61030&amp;long=-46.68340&amp;tipo=S","QRCODE")</f>
        <v>QRCODE</v>
      </c>
      <c r="C3197" t="s">
        <v>5351</v>
      </c>
      <c r="D3197" t="s">
        <v>5356</v>
      </c>
      <c r="E3197" t="s">
        <v>1500</v>
      </c>
      <c r="F3197" t="s">
        <v>21</v>
      </c>
      <c r="G3197" t="s">
        <v>4037</v>
      </c>
      <c r="H3197">
        <v>0</v>
      </c>
      <c r="I3197">
        <v>3</v>
      </c>
      <c r="J3197">
        <v>0</v>
      </c>
      <c r="K3197">
        <v>0</v>
      </c>
      <c r="L3197">
        <v>0</v>
      </c>
    </row>
    <row r="3198" spans="1:12">
      <c r="A3198" t="str">
        <f>HYPERLINK("http://bombeiros.sp.gov.br/hidrantes/03individual/3970.html","3970")</f>
        <v>3970</v>
      </c>
      <c r="B3198" t="str">
        <f>HYPERLINK("http://bombeiros.sp.gov.br/hidrantes/08bsg/qrcodeBSG.html?id=3970&amp;lat=-23.60830&amp;long=-46.68765&amp;tipo=S","QRCODE")</f>
        <v>QRCODE</v>
      </c>
      <c r="C3198" t="s">
        <v>5351</v>
      </c>
      <c r="D3198" t="s">
        <v>5356</v>
      </c>
      <c r="E3198" t="s">
        <v>1500</v>
      </c>
      <c r="F3198" t="s">
        <v>21</v>
      </c>
      <c r="G3198" t="s">
        <v>1717</v>
      </c>
      <c r="H3198">
        <v>0</v>
      </c>
      <c r="I3198">
        <v>2</v>
      </c>
      <c r="J3198">
        <v>0</v>
      </c>
      <c r="K3198">
        <v>0</v>
      </c>
      <c r="L3198">
        <v>0</v>
      </c>
    </row>
    <row r="3199" spans="1:12">
      <c r="A3199" t="str">
        <f>HYPERLINK("http://bombeiros.sp.gov.br/hidrantes/03individual/3971.html","3971")</f>
        <v>3971</v>
      </c>
      <c r="B3199" t="str">
        <f>HYPERLINK("http://bombeiros.sp.gov.br/hidrantes/08bsg/qrcodeBSG.html?id=3971&amp;lat=-23.60551&amp;long=-46.68098&amp;tipo=S","QRCODE")</f>
        <v>QRCODE</v>
      </c>
      <c r="C3199" t="s">
        <v>5351</v>
      </c>
      <c r="D3199" t="s">
        <v>5356</v>
      </c>
      <c r="E3199" t="s">
        <v>1500</v>
      </c>
      <c r="F3199" t="s">
        <v>21</v>
      </c>
      <c r="G3199" t="s">
        <v>4694</v>
      </c>
      <c r="H3199">
        <v>1</v>
      </c>
      <c r="I3199">
        <v>1</v>
      </c>
      <c r="J3199">
        <v>0</v>
      </c>
      <c r="K3199">
        <v>0</v>
      </c>
      <c r="L3199">
        <v>0</v>
      </c>
    </row>
    <row r="3200" spans="1:12">
      <c r="A3200" t="str">
        <f>HYPERLINK("http://bombeiros.sp.gov.br/hidrantes/03individual/3975.html","3975")</f>
        <v>3975</v>
      </c>
      <c r="B3200" t="str">
        <f>HYPERLINK("http://bombeiros.sp.gov.br/hidrantes/08bsg/qrcodeBSG.html?id=3975&amp;lat=-23.60277&amp;long=-46.68154&amp;tipo=S","QRCODE")</f>
        <v>QRCODE</v>
      </c>
      <c r="C3200" t="s">
        <v>5351</v>
      </c>
      <c r="D3200" t="s">
        <v>5356</v>
      </c>
      <c r="E3200" t="s">
        <v>1500</v>
      </c>
      <c r="F3200" t="s">
        <v>21</v>
      </c>
      <c r="G3200" t="s">
        <v>2720</v>
      </c>
      <c r="H3200">
        <v>0</v>
      </c>
      <c r="I3200">
        <v>2</v>
      </c>
      <c r="J3200">
        <v>0</v>
      </c>
      <c r="K3200">
        <v>0</v>
      </c>
      <c r="L3200">
        <v>0</v>
      </c>
    </row>
    <row r="3201" spans="1:12">
      <c r="A3201" t="str">
        <f>HYPERLINK("http://bombeiros.sp.gov.br/hidrantes/03individual/4159.html","4159")</f>
        <v>4159</v>
      </c>
      <c r="B3201" t="str">
        <f>HYPERLINK("http://bombeiros.sp.gov.br/hidrantes/08bsg/qrcodeBSG.html?id=4159&amp;lat=-23.60965&amp;long=-46.69222&amp;tipo=S","QRCODE")</f>
        <v>QRCODE</v>
      </c>
      <c r="C3201" t="s">
        <v>5351</v>
      </c>
      <c r="D3201" t="s">
        <v>5356</v>
      </c>
      <c r="E3201" t="s">
        <v>1500</v>
      </c>
      <c r="F3201" t="s">
        <v>21</v>
      </c>
      <c r="G3201" t="s">
        <v>4159</v>
      </c>
      <c r="H3201">
        <v>0</v>
      </c>
      <c r="I3201">
        <v>1</v>
      </c>
      <c r="J3201">
        <v>0</v>
      </c>
      <c r="K3201">
        <v>0</v>
      </c>
      <c r="L3201">
        <v>0</v>
      </c>
    </row>
    <row r="3202" spans="1:12">
      <c r="A3202" t="str">
        <f>HYPERLINK("http://bombeiros.sp.gov.br/hidrantes/03individual/4162.html","4162")</f>
        <v>4162</v>
      </c>
      <c r="B3202" t="str">
        <f>HYPERLINK("http://bombeiros.sp.gov.br/hidrantes/08bsg/qrcodeBSG.html?id=4162&amp;lat=-23.60585&amp;long=-46.68400&amp;tipo=S","QRCODE")</f>
        <v>QRCODE</v>
      </c>
      <c r="C3202" t="s">
        <v>5351</v>
      </c>
      <c r="D3202" t="s">
        <v>5356</v>
      </c>
      <c r="E3202" t="s">
        <v>1500</v>
      </c>
      <c r="F3202" t="s">
        <v>21</v>
      </c>
      <c r="G3202" t="s">
        <v>3053</v>
      </c>
      <c r="H3202">
        <v>0</v>
      </c>
      <c r="I3202">
        <v>2</v>
      </c>
      <c r="J3202">
        <v>0</v>
      </c>
      <c r="K3202">
        <v>0</v>
      </c>
      <c r="L3202">
        <v>0</v>
      </c>
    </row>
    <row r="3203" spans="1:12">
      <c r="A3203" t="str">
        <f>HYPERLINK("http://bombeiros.sp.gov.br/hidrantes/03individual/4166.html","4166")</f>
        <v>4166</v>
      </c>
      <c r="B3203" t="str">
        <f>HYPERLINK("http://bombeiros.sp.gov.br/hidrantes/08bsg/qrcodeBSG.html?id=4166&amp;lat=-23.60272&amp;long=-46.68248&amp;tipo=S","QRCODE")</f>
        <v>QRCODE</v>
      </c>
      <c r="C3203" t="s">
        <v>5351</v>
      </c>
      <c r="D3203" t="s">
        <v>5356</v>
      </c>
      <c r="E3203" t="s">
        <v>1500</v>
      </c>
      <c r="F3203" t="s">
        <v>21</v>
      </c>
      <c r="G3203" t="s">
        <v>3054</v>
      </c>
      <c r="H3203">
        <v>0</v>
      </c>
      <c r="I3203">
        <v>2</v>
      </c>
      <c r="J3203">
        <v>0</v>
      </c>
      <c r="K3203">
        <v>0</v>
      </c>
      <c r="L3203">
        <v>0</v>
      </c>
    </row>
    <row r="3204" spans="1:12">
      <c r="A3204" t="str">
        <f>HYPERLINK("http://bombeiros.sp.gov.br/hidrantes/03individual/4429.html","4429")</f>
        <v>4429</v>
      </c>
      <c r="B3204" t="str">
        <f>HYPERLINK("http://bombeiros.sp.gov.br/hidrantes/08bsg/qrcodeBSG.html?id=4429&amp;lat=-23.61068&amp;long=-46.68604&amp;tipo=S","QRCODE")</f>
        <v>QRCODE</v>
      </c>
      <c r="C3204" t="s">
        <v>5351</v>
      </c>
      <c r="D3204" t="s">
        <v>5356</v>
      </c>
      <c r="E3204" t="s">
        <v>1500</v>
      </c>
      <c r="F3204" t="s">
        <v>21</v>
      </c>
      <c r="G3204" t="s">
        <v>4156</v>
      </c>
      <c r="H3204">
        <v>0</v>
      </c>
      <c r="I3204">
        <v>1</v>
      </c>
      <c r="J3204">
        <v>0</v>
      </c>
      <c r="K3204">
        <v>0</v>
      </c>
      <c r="L3204">
        <v>0</v>
      </c>
    </row>
    <row r="3205" spans="1:12">
      <c r="A3205" t="str">
        <f>HYPERLINK("http://bombeiros.sp.gov.br/hidrantes/03individual/6698.html","6698")</f>
        <v>6698</v>
      </c>
      <c r="B3205" t="str">
        <f>HYPERLINK("http://bombeiros.sp.gov.br/hidrantes/08bsg/qrcodeBSG.html?id=6698&amp;lat=-23.60448&amp;long=-46.68468&amp;tipo=S","QRCODE")</f>
        <v>QRCODE</v>
      </c>
      <c r="C3205" t="s">
        <v>5351</v>
      </c>
      <c r="D3205" t="s">
        <v>5356</v>
      </c>
      <c r="E3205" t="s">
        <v>1500</v>
      </c>
      <c r="F3205" t="s">
        <v>21</v>
      </c>
      <c r="G3205" t="s">
        <v>3329</v>
      </c>
      <c r="H3205">
        <v>1</v>
      </c>
      <c r="I3205">
        <v>2</v>
      </c>
      <c r="J3205">
        <v>0</v>
      </c>
      <c r="K3205">
        <v>0</v>
      </c>
      <c r="L3205">
        <v>0</v>
      </c>
    </row>
    <row r="3206" spans="1:12">
      <c r="A3206" t="str">
        <f>HYPERLINK("http://bombeiros.sp.gov.br/hidrantes/03individual/17878.html","17878")</f>
        <v>17878</v>
      </c>
      <c r="B3206" t="str">
        <f>HYPERLINK("http://bombeiros.sp.gov.br/hidrantes/08bsg/qrcodeBSG.html?id=17878&amp;lat=-23.60931&amp;long=-46.68968&amp;tipo=S","QRCODE")</f>
        <v>QRCODE</v>
      </c>
      <c r="C3206" t="s">
        <v>5351</v>
      </c>
      <c r="D3206" t="s">
        <v>5356</v>
      </c>
      <c r="E3206" t="s">
        <v>1500</v>
      </c>
      <c r="F3206" t="s">
        <v>21</v>
      </c>
      <c r="G3206" t="s">
        <v>4011</v>
      </c>
      <c r="H3206">
        <v>1</v>
      </c>
      <c r="I3206">
        <v>1</v>
      </c>
      <c r="J3206">
        <v>0</v>
      </c>
      <c r="K3206">
        <v>0</v>
      </c>
      <c r="L3206">
        <v>0</v>
      </c>
    </row>
    <row r="3207" spans="1:12">
      <c r="A3207" t="str">
        <f>HYPERLINK("http://bombeiros.sp.gov.br/hidrantes/03individual/26771.html","26771")</f>
        <v>26771</v>
      </c>
      <c r="B3207" t="str">
        <f>HYPERLINK("http://bombeiros.sp.gov.br/hidrantes/08bsg/qrcodeBSG.html?id=26771&amp;lat=-23.61508&amp;long=-46.68751&amp;tipo=S","QRCODE")</f>
        <v>QRCODE</v>
      </c>
      <c r="C3207" t="s">
        <v>5351</v>
      </c>
      <c r="D3207" t="s">
        <v>5356</v>
      </c>
      <c r="E3207" t="s">
        <v>1500</v>
      </c>
      <c r="F3207" t="s">
        <v>21</v>
      </c>
      <c r="G3207" t="s">
        <v>3908</v>
      </c>
      <c r="H3207">
        <v>0</v>
      </c>
      <c r="I3207">
        <v>1</v>
      </c>
      <c r="J3207">
        <v>0</v>
      </c>
      <c r="K3207">
        <v>0</v>
      </c>
      <c r="L3207">
        <v>0</v>
      </c>
    </row>
    <row r="3208" spans="1:12">
      <c r="A3208" t="str">
        <f>HYPERLINK("http://bombeiros.sp.gov.br/hidrantes/03individual/27203.html","27203")</f>
        <v>27203</v>
      </c>
      <c r="B3208" t="str">
        <f>HYPERLINK("http://bombeiros.sp.gov.br/hidrantes/08bsg/qrcodeBSG.html?id=27203&amp;lat=-23.60298&amp;long=-46.68957&amp;tipo=S","QRCODE")</f>
        <v>QRCODE</v>
      </c>
      <c r="C3208" t="s">
        <v>5351</v>
      </c>
      <c r="D3208" t="s">
        <v>5356</v>
      </c>
      <c r="E3208" t="s">
        <v>1500</v>
      </c>
      <c r="F3208" t="s">
        <v>21</v>
      </c>
      <c r="G3208" t="s">
        <v>1499</v>
      </c>
      <c r="H3208">
        <v>0</v>
      </c>
      <c r="I3208">
        <v>1</v>
      </c>
      <c r="J3208">
        <v>0</v>
      </c>
      <c r="K3208">
        <v>0</v>
      </c>
      <c r="L3208">
        <v>0</v>
      </c>
    </row>
    <row r="3209" spans="1:12">
      <c r="A3209" t="str">
        <f>HYPERLINK("http://bombeiros.sp.gov.br/hidrantes/03individual/27204.html","27204")</f>
        <v>27204</v>
      </c>
      <c r="B3209" t="str">
        <f>HYPERLINK("http://bombeiros.sp.gov.br/hidrantes/08bsg/qrcodeBSG.html?id=27204&amp;lat=-23.60413&amp;long=-46.68410&amp;tipo=S","QRCODE")</f>
        <v>QRCODE</v>
      </c>
      <c r="C3209" t="s">
        <v>5351</v>
      </c>
      <c r="D3209" t="s">
        <v>5356</v>
      </c>
      <c r="E3209" t="s">
        <v>1500</v>
      </c>
      <c r="F3209" t="s">
        <v>21</v>
      </c>
      <c r="G3209" t="s">
        <v>5357</v>
      </c>
      <c r="H3209">
        <v>0</v>
      </c>
      <c r="I3209">
        <v>0</v>
      </c>
      <c r="J3209">
        <v>0</v>
      </c>
      <c r="K3209">
        <v>0</v>
      </c>
      <c r="L3209">
        <v>0</v>
      </c>
    </row>
    <row r="3210" spans="1:12">
      <c r="A3210" t="str">
        <f>HYPERLINK("http://bombeiros.sp.gov.br/hidrantes/03individual/1541.html","1541")</f>
        <v>1541</v>
      </c>
      <c r="B3210" t="str">
        <f>HYPERLINK("http://bombeiros.sp.gov.br/hidrantes/08bsg/qrcodeBSG.html?id=1541&amp;lat=-23.58319&amp;long=-46.67041&amp;tipo=C","QRCODE")</f>
        <v>QRCODE</v>
      </c>
      <c r="C3210" t="s">
        <v>5351</v>
      </c>
      <c r="D3210" t="s">
        <v>5356</v>
      </c>
      <c r="E3210" t="s">
        <v>1179</v>
      </c>
      <c r="F3210" t="s">
        <v>12</v>
      </c>
      <c r="G3210" t="s">
        <v>4820</v>
      </c>
      <c r="H3210">
        <v>1</v>
      </c>
      <c r="I3210">
        <v>1</v>
      </c>
      <c r="J3210">
        <v>0</v>
      </c>
      <c r="K3210">
        <v>0</v>
      </c>
      <c r="L3210">
        <v>0</v>
      </c>
    </row>
    <row r="3211" spans="1:12">
      <c r="A3211" t="str">
        <f>HYPERLINK("http://bombeiros.sp.gov.br/hidrantes/03individual/1568.html","1568")</f>
        <v>1568</v>
      </c>
      <c r="B3211" t="str">
        <f>HYPERLINK("http://bombeiros.sp.gov.br/hidrantes/08bsg/qrcodeBSG.html?id=1568&amp;lat=-23.58561&amp;long=-46.67864&amp;tipo=C","QRCODE")</f>
        <v>QRCODE</v>
      </c>
      <c r="C3211" t="s">
        <v>5351</v>
      </c>
      <c r="D3211" t="s">
        <v>5356</v>
      </c>
      <c r="E3211" t="s">
        <v>1179</v>
      </c>
      <c r="F3211" t="s">
        <v>12</v>
      </c>
      <c r="G3211" t="s">
        <v>2640</v>
      </c>
      <c r="H3211">
        <v>0</v>
      </c>
      <c r="I3211">
        <v>2</v>
      </c>
      <c r="J3211">
        <v>0</v>
      </c>
      <c r="K3211">
        <v>0</v>
      </c>
      <c r="L3211">
        <v>0</v>
      </c>
    </row>
    <row r="3212" spans="1:12">
      <c r="A3212" t="str">
        <f>HYPERLINK("http://bombeiros.sp.gov.br/hidrantes/03individual/1439.html","1439")</f>
        <v>1439</v>
      </c>
      <c r="B3212" t="str">
        <f>HYPERLINK("http://bombeiros.sp.gov.br/hidrantes/08bsg/qrcodeBSG.html?id=1439&amp;lat=-23.58768&amp;long=-46.68341&amp;tipo=S","QRCODE")</f>
        <v>QRCODE</v>
      </c>
      <c r="C3212" t="s">
        <v>5351</v>
      </c>
      <c r="D3212" t="s">
        <v>5356</v>
      </c>
      <c r="E3212" t="s">
        <v>1179</v>
      </c>
      <c r="F3212" t="s">
        <v>21</v>
      </c>
      <c r="G3212" t="s">
        <v>2628</v>
      </c>
      <c r="H3212">
        <v>0</v>
      </c>
      <c r="I3212">
        <v>2</v>
      </c>
      <c r="J3212">
        <v>0</v>
      </c>
      <c r="K3212">
        <v>0</v>
      </c>
      <c r="L3212">
        <v>0</v>
      </c>
    </row>
    <row r="3213" spans="1:12">
      <c r="A3213" t="str">
        <f>HYPERLINK("http://bombeiros.sp.gov.br/hidrantes/03individual/1498.html","1498")</f>
        <v>1498</v>
      </c>
      <c r="B3213" t="str">
        <f>HYPERLINK("http://bombeiros.sp.gov.br/hidrantes/08bsg/qrcodeBSG.html?id=1498&amp;lat=-23.58559&amp;long=-46.68155&amp;tipo=S","QRCODE")</f>
        <v>QRCODE</v>
      </c>
      <c r="C3213" t="s">
        <v>5351</v>
      </c>
      <c r="D3213" t="s">
        <v>5356</v>
      </c>
      <c r="E3213" t="s">
        <v>1179</v>
      </c>
      <c r="F3213" t="s">
        <v>21</v>
      </c>
      <c r="G3213" t="s">
        <v>2635</v>
      </c>
      <c r="H3213">
        <v>1</v>
      </c>
      <c r="I3213">
        <v>2</v>
      </c>
      <c r="J3213">
        <v>0</v>
      </c>
      <c r="K3213">
        <v>0</v>
      </c>
      <c r="L3213">
        <v>0</v>
      </c>
    </row>
    <row r="3214" spans="1:12">
      <c r="A3214" t="str">
        <f>HYPERLINK("http://bombeiros.sp.gov.br/hidrantes/03individual/1501.html","1501")</f>
        <v>1501</v>
      </c>
      <c r="B3214" t="str">
        <f>HYPERLINK("http://bombeiros.sp.gov.br/hidrantes/08bsg/qrcodeBSG.html?id=1501&amp;lat=-23.58468&amp;long=-46.67578&amp;tipo=S","QRCODE")</f>
        <v>QRCODE</v>
      </c>
      <c r="C3214" t="s">
        <v>5351</v>
      </c>
      <c r="D3214" t="s">
        <v>5356</v>
      </c>
      <c r="E3214" t="s">
        <v>1179</v>
      </c>
      <c r="F3214" t="s">
        <v>21</v>
      </c>
      <c r="G3214" t="s">
        <v>4819</v>
      </c>
      <c r="H3214">
        <v>1</v>
      </c>
      <c r="I3214">
        <v>1</v>
      </c>
      <c r="J3214">
        <v>0</v>
      </c>
      <c r="K3214">
        <v>0</v>
      </c>
      <c r="L3214">
        <v>0</v>
      </c>
    </row>
    <row r="3215" spans="1:12">
      <c r="A3215" t="str">
        <f>HYPERLINK("http://bombeiros.sp.gov.br/hidrantes/03individual/1554.html","1554")</f>
        <v>1554</v>
      </c>
      <c r="B3215" t="str">
        <f>HYPERLINK("http://bombeiros.sp.gov.br/hidrantes/08bsg/qrcodeBSG.html?id=1554&amp;lat=-23.58375&amp;long=-46.67217&amp;tipo=S","QRCODE")</f>
        <v>QRCODE</v>
      </c>
      <c r="C3215" t="s">
        <v>5351</v>
      </c>
      <c r="D3215" t="s">
        <v>5356</v>
      </c>
      <c r="E3215" t="s">
        <v>1179</v>
      </c>
      <c r="F3215" t="s">
        <v>21</v>
      </c>
      <c r="G3215" t="s">
        <v>5102</v>
      </c>
      <c r="H3215">
        <v>0</v>
      </c>
      <c r="I3215">
        <v>1</v>
      </c>
      <c r="J3215">
        <v>0</v>
      </c>
      <c r="K3215">
        <v>0</v>
      </c>
      <c r="L3215">
        <v>0</v>
      </c>
    </row>
    <row r="3216" spans="1:12">
      <c r="A3216" t="str">
        <f>HYPERLINK("http://bombeiros.sp.gov.br/hidrantes/03individual/1574.html","1574")</f>
        <v>1574</v>
      </c>
      <c r="B3216" t="str">
        <f>HYPERLINK("http://bombeiros.sp.gov.br/hidrantes/08bsg/qrcodeBSG.html?id=1574&amp;lat=-23.58291&amp;long=-46.67930&amp;tipo=S","QRCODE")</f>
        <v>QRCODE</v>
      </c>
      <c r="C3216" t="s">
        <v>5351</v>
      </c>
      <c r="D3216" t="s">
        <v>5356</v>
      </c>
      <c r="E3216" t="s">
        <v>1179</v>
      </c>
      <c r="F3216" t="s">
        <v>21</v>
      </c>
      <c r="G3216" t="s">
        <v>3587</v>
      </c>
      <c r="H3216">
        <v>2</v>
      </c>
      <c r="I3216">
        <v>1</v>
      </c>
      <c r="J3216">
        <v>0</v>
      </c>
      <c r="K3216">
        <v>0</v>
      </c>
      <c r="L3216">
        <v>0</v>
      </c>
    </row>
    <row r="3217" spans="1:12">
      <c r="A3217" t="str">
        <f>HYPERLINK("http://bombeiros.sp.gov.br/hidrantes/03individual/1590.html","1590")</f>
        <v>1590</v>
      </c>
      <c r="B3217" t="str">
        <f>HYPERLINK("http://bombeiros.sp.gov.br/hidrantes/08bsg/qrcodeBSG.html?id=1590&amp;lat=-23.58327&amp;long=-46.68321&amp;tipo=S","QRCODE")</f>
        <v>QRCODE</v>
      </c>
      <c r="C3217" t="s">
        <v>5351</v>
      </c>
      <c r="D3217" t="s">
        <v>5356</v>
      </c>
      <c r="E3217" t="s">
        <v>1179</v>
      </c>
      <c r="F3217" t="s">
        <v>21</v>
      </c>
      <c r="G3217" t="s">
        <v>3589</v>
      </c>
      <c r="H3217">
        <v>1</v>
      </c>
      <c r="I3217">
        <v>1</v>
      </c>
      <c r="J3217">
        <v>0</v>
      </c>
      <c r="K3217">
        <v>0</v>
      </c>
      <c r="L3217">
        <v>0</v>
      </c>
    </row>
    <row r="3218" spans="1:12">
      <c r="A3218" t="str">
        <f>HYPERLINK("http://bombeiros.sp.gov.br/hidrantes/03individual/1599.html","1599")</f>
        <v>1599</v>
      </c>
      <c r="B3218" t="str">
        <f>HYPERLINK("http://bombeiros.sp.gov.br/hidrantes/08bsg/qrcodeBSG.html?id=1599&amp;lat=-23.58196&amp;long=-46.68330&amp;tipo=S","QRCODE")</f>
        <v>QRCODE</v>
      </c>
      <c r="C3218" t="s">
        <v>5351</v>
      </c>
      <c r="D3218" t="s">
        <v>5356</v>
      </c>
      <c r="E3218" t="s">
        <v>1179</v>
      </c>
      <c r="F3218" t="s">
        <v>21</v>
      </c>
      <c r="G3218" t="s">
        <v>2805</v>
      </c>
      <c r="H3218">
        <v>0</v>
      </c>
      <c r="I3218">
        <v>3</v>
      </c>
      <c r="J3218">
        <v>0</v>
      </c>
      <c r="K3218">
        <v>0</v>
      </c>
      <c r="L3218">
        <v>0</v>
      </c>
    </row>
    <row r="3219" spans="1:12">
      <c r="A3219" t="str">
        <f>HYPERLINK("http://bombeiros.sp.gov.br/hidrantes/03individual/2176.html","2176")</f>
        <v>2176</v>
      </c>
      <c r="B3219" t="str">
        <f>HYPERLINK("http://bombeiros.sp.gov.br/hidrantes/08bsg/qrcodeBSG.html?id=2176&amp;lat=-23.58637&amp;long=-46.67395&amp;tipo=S","QRCODE")</f>
        <v>QRCODE</v>
      </c>
      <c r="C3219" t="s">
        <v>5351</v>
      </c>
      <c r="D3219" t="s">
        <v>5356</v>
      </c>
      <c r="E3219" t="s">
        <v>1179</v>
      </c>
      <c r="F3219" t="s">
        <v>21</v>
      </c>
      <c r="G3219" t="s">
        <v>1563</v>
      </c>
      <c r="H3219">
        <v>1</v>
      </c>
      <c r="I3219">
        <v>2</v>
      </c>
      <c r="J3219">
        <v>0</v>
      </c>
      <c r="K3219">
        <v>0</v>
      </c>
      <c r="L3219">
        <v>0</v>
      </c>
    </row>
    <row r="3220" spans="1:12">
      <c r="A3220" t="str">
        <f>HYPERLINK("http://bombeiros.sp.gov.br/hidrantes/03individual/5378.html","5378")</f>
        <v>5378</v>
      </c>
      <c r="B3220" t="str">
        <f>HYPERLINK("http://bombeiros.sp.gov.br/hidrantes/08bsg/qrcodeBSG.html?id=5378&amp;lat=-23.58207&amp;long=-46.67410&amp;tipo=S","QRCODE")</f>
        <v>QRCODE</v>
      </c>
      <c r="C3220" t="s">
        <v>5351</v>
      </c>
      <c r="D3220" t="s">
        <v>5356</v>
      </c>
      <c r="E3220" t="s">
        <v>1179</v>
      </c>
      <c r="F3220" t="s">
        <v>21</v>
      </c>
      <c r="G3220" t="s">
        <v>1544</v>
      </c>
      <c r="H3220">
        <v>1</v>
      </c>
      <c r="I3220">
        <v>2</v>
      </c>
      <c r="J3220">
        <v>0</v>
      </c>
      <c r="K3220">
        <v>0</v>
      </c>
      <c r="L3220">
        <v>0</v>
      </c>
    </row>
    <row r="3221" spans="1:12">
      <c r="A3221" t="str">
        <f>HYPERLINK("http://bombeiros.sp.gov.br/hidrantes/03individual/6687.html","6687")</f>
        <v>6687</v>
      </c>
      <c r="B3221" t="str">
        <f>HYPERLINK("http://bombeiros.sp.gov.br/hidrantes/08bsg/qrcodeBSG.html?id=6687&amp;lat=-23.58374&amp;long=-46.68179&amp;tipo=S","QRCODE")</f>
        <v>QRCODE</v>
      </c>
      <c r="C3221" t="s">
        <v>5351</v>
      </c>
      <c r="D3221" t="s">
        <v>5356</v>
      </c>
      <c r="E3221" t="s">
        <v>1179</v>
      </c>
      <c r="F3221" t="s">
        <v>21</v>
      </c>
      <c r="G3221" t="s">
        <v>5099</v>
      </c>
      <c r="H3221">
        <v>0</v>
      </c>
      <c r="I3221">
        <v>1</v>
      </c>
      <c r="J3221">
        <v>0</v>
      </c>
      <c r="K3221">
        <v>0</v>
      </c>
      <c r="L3221">
        <v>0</v>
      </c>
    </row>
    <row r="3222" spans="1:12">
      <c r="A3222" t="str">
        <f>HYPERLINK("http://bombeiros.sp.gov.br/hidrantes/03individual/6688.html","6688")</f>
        <v>6688</v>
      </c>
      <c r="B3222" t="str">
        <f>HYPERLINK("http://bombeiros.sp.gov.br/hidrantes/08bsg/qrcodeBSG.html?id=6688&amp;lat=-23.58365&amp;long=-46.68057&amp;tipo=S","QRCODE")</f>
        <v>QRCODE</v>
      </c>
      <c r="C3222" t="s">
        <v>5351</v>
      </c>
      <c r="D3222" t="s">
        <v>5356</v>
      </c>
      <c r="E3222" t="s">
        <v>1179</v>
      </c>
      <c r="F3222" t="s">
        <v>21</v>
      </c>
      <c r="G3222" t="s">
        <v>1178</v>
      </c>
      <c r="H3222">
        <v>1</v>
      </c>
      <c r="I3222">
        <v>2</v>
      </c>
      <c r="J3222">
        <v>0</v>
      </c>
      <c r="K3222">
        <v>0</v>
      </c>
      <c r="L3222">
        <v>0</v>
      </c>
    </row>
    <row r="3223" spans="1:12">
      <c r="A3223" t="str">
        <f>HYPERLINK("http://bombeiros.sp.gov.br/hidrantes/03individual/3992.html","3992")</f>
        <v>3992</v>
      </c>
      <c r="B3223" t="str">
        <f>HYPERLINK("http://bombeiros.sp.gov.br/hidrantes/08bsg/qrcodeBSG.html?id=3992&amp;lat=-23.60012&amp;long=-46.67413&amp;tipo=C","QRCODE")</f>
        <v>QRCODE</v>
      </c>
      <c r="C3223" t="s">
        <v>5351</v>
      </c>
      <c r="D3223" t="s">
        <v>5356</v>
      </c>
      <c r="E3223" t="s">
        <v>2722</v>
      </c>
      <c r="F3223" t="s">
        <v>12</v>
      </c>
      <c r="G3223" t="s">
        <v>2724</v>
      </c>
      <c r="H3223">
        <v>0</v>
      </c>
      <c r="I3223">
        <v>2</v>
      </c>
      <c r="J3223">
        <v>0</v>
      </c>
      <c r="K3223">
        <v>0</v>
      </c>
      <c r="L3223">
        <v>0</v>
      </c>
    </row>
    <row r="3224" spans="1:12">
      <c r="A3224" t="str">
        <f>HYPERLINK("http://bombeiros.sp.gov.br/hidrantes/03individual/26301.html","26301")</f>
        <v>26301</v>
      </c>
      <c r="B3224" t="str">
        <f>HYPERLINK("http://bombeiros.sp.gov.br/hidrantes/08bsg/qrcodeBSG.html?id=26301&amp;lat=-23.59826&amp;long=-46.67514&amp;tipo=C","QRCODE")</f>
        <v>QRCODE</v>
      </c>
      <c r="C3224" t="s">
        <v>5351</v>
      </c>
      <c r="D3224" t="s">
        <v>5356</v>
      </c>
      <c r="E3224" t="s">
        <v>2722</v>
      </c>
      <c r="F3224" t="s">
        <v>12</v>
      </c>
      <c r="G3224" t="s">
        <v>3643</v>
      </c>
      <c r="H3224">
        <v>1</v>
      </c>
      <c r="I3224">
        <v>1</v>
      </c>
      <c r="J3224">
        <v>0</v>
      </c>
      <c r="K3224">
        <v>0</v>
      </c>
      <c r="L3224">
        <v>0</v>
      </c>
    </row>
    <row r="3225" spans="1:12">
      <c r="A3225" t="str">
        <f>HYPERLINK("http://bombeiros.sp.gov.br/hidrantes/03individual/3972.html","3972")</f>
        <v>3972</v>
      </c>
      <c r="B3225" t="str">
        <f>HYPERLINK("http://bombeiros.sp.gov.br/hidrantes/08bsg/qrcodeBSG.html?id=3972&amp;lat=-23.60700&amp;long=-46.67653&amp;tipo=S","QRCODE")</f>
        <v>QRCODE</v>
      </c>
      <c r="C3225" t="s">
        <v>5351</v>
      </c>
      <c r="D3225" t="s">
        <v>5356</v>
      </c>
      <c r="E3225" t="s">
        <v>2722</v>
      </c>
      <c r="F3225" t="s">
        <v>21</v>
      </c>
      <c r="G3225" t="s">
        <v>3036</v>
      </c>
      <c r="H3225">
        <v>0</v>
      </c>
      <c r="I3225">
        <v>2</v>
      </c>
      <c r="J3225">
        <v>0</v>
      </c>
      <c r="K3225">
        <v>0</v>
      </c>
      <c r="L3225">
        <v>0</v>
      </c>
    </row>
    <row r="3226" spans="1:12">
      <c r="A3226" t="str">
        <f>HYPERLINK("http://bombeiros.sp.gov.br/hidrantes/03individual/3977.html","3977")</f>
        <v>3977</v>
      </c>
      <c r="B3226" t="str">
        <f>HYPERLINK("http://bombeiros.sp.gov.br/hidrantes/08bsg/qrcodeBSG.html?id=3977&amp;lat=-23.60089&amp;long=-46.67912&amp;tipo=S","QRCODE")</f>
        <v>QRCODE</v>
      </c>
      <c r="C3226" t="s">
        <v>5351</v>
      </c>
      <c r="D3226" t="s">
        <v>5356</v>
      </c>
      <c r="E3226" t="s">
        <v>2722</v>
      </c>
      <c r="F3226" t="s">
        <v>21</v>
      </c>
      <c r="G3226" t="s">
        <v>2721</v>
      </c>
      <c r="H3226">
        <v>0</v>
      </c>
      <c r="I3226">
        <v>2</v>
      </c>
      <c r="J3226">
        <v>0</v>
      </c>
      <c r="K3226">
        <v>0</v>
      </c>
      <c r="L3226">
        <v>0</v>
      </c>
    </row>
    <row r="3227" spans="1:12">
      <c r="A3227" t="str">
        <f>HYPERLINK("http://bombeiros.sp.gov.br/hidrantes/03individual/4163.html","4163")</f>
        <v>4163</v>
      </c>
      <c r="B3227" t="str">
        <f>HYPERLINK("http://bombeiros.sp.gov.br/hidrantes/08bsg/qrcodeBSG.html?id=4163&amp;lat=-23.60588&amp;long=-46.67829&amp;tipo=S","QRCODE")</f>
        <v>QRCODE</v>
      </c>
      <c r="C3227" t="s">
        <v>5351</v>
      </c>
      <c r="D3227" t="s">
        <v>5356</v>
      </c>
      <c r="E3227" t="s">
        <v>2722</v>
      </c>
      <c r="F3227" t="s">
        <v>21</v>
      </c>
      <c r="G3227" t="s">
        <v>4674</v>
      </c>
      <c r="H3227">
        <v>1</v>
      </c>
      <c r="I3227">
        <v>1</v>
      </c>
      <c r="J3227">
        <v>0</v>
      </c>
      <c r="K3227">
        <v>0</v>
      </c>
      <c r="L3227">
        <v>0</v>
      </c>
    </row>
    <row r="3228" spans="1:12">
      <c r="A3228" t="str">
        <f>HYPERLINK("http://bombeiros.sp.gov.br/hidrantes/03individual/6700.html","6700")</f>
        <v>6700</v>
      </c>
      <c r="B3228" t="str">
        <f>HYPERLINK("http://bombeiros.sp.gov.br/hidrantes/08bsg/qrcodeBSG.html?id=6700&amp;lat=-23.59990&amp;long=-46.67757&amp;tipo=S","QRCODE")</f>
        <v>QRCODE</v>
      </c>
      <c r="C3228" t="s">
        <v>5351</v>
      </c>
      <c r="D3228" t="s">
        <v>5356</v>
      </c>
      <c r="E3228" t="s">
        <v>2722</v>
      </c>
      <c r="F3228" t="s">
        <v>21</v>
      </c>
      <c r="G3228" t="s">
        <v>2738</v>
      </c>
      <c r="H3228">
        <v>0</v>
      </c>
      <c r="I3228">
        <v>2</v>
      </c>
      <c r="J3228">
        <v>0</v>
      </c>
      <c r="K3228">
        <v>0</v>
      </c>
      <c r="L3228">
        <v>0</v>
      </c>
    </row>
    <row r="3229" spans="1:12">
      <c r="A3229" t="str">
        <f>HYPERLINK("http://bombeiros.sp.gov.br/hidrantes/03individual/6701.html","6701")</f>
        <v>6701</v>
      </c>
      <c r="B3229" t="str">
        <f>HYPERLINK("http://bombeiros.sp.gov.br/hidrantes/08bsg/qrcodeBSG.html?id=6701&amp;lat=-23.60131&amp;long=-46.67481&amp;tipo=S","QRCODE")</f>
        <v>QRCODE</v>
      </c>
      <c r="C3229" t="s">
        <v>5351</v>
      </c>
      <c r="D3229" t="s">
        <v>5356</v>
      </c>
      <c r="E3229" t="s">
        <v>2722</v>
      </c>
      <c r="F3229" t="s">
        <v>21</v>
      </c>
      <c r="G3229" t="s">
        <v>2739</v>
      </c>
      <c r="H3229">
        <v>0</v>
      </c>
      <c r="I3229">
        <v>2</v>
      </c>
      <c r="J3229">
        <v>0</v>
      </c>
      <c r="K3229">
        <v>0</v>
      </c>
      <c r="L3229">
        <v>0</v>
      </c>
    </row>
    <row r="3230" spans="1:12">
      <c r="A3230" t="str">
        <f>HYPERLINK("http://bombeiros.sp.gov.br/hidrantes/03individual/6714.html","6714")</f>
        <v>6714</v>
      </c>
      <c r="B3230" t="str">
        <f>HYPERLINK("http://bombeiros.sp.gov.br/hidrantes/08bsg/qrcodeBSG.html?id=6714&amp;lat=-23.61784&amp;long=-46.68141&amp;tipo=S","QRCODE")</f>
        <v>QRCODE</v>
      </c>
      <c r="C3230" t="s">
        <v>5351</v>
      </c>
      <c r="D3230" t="s">
        <v>5356</v>
      </c>
      <c r="E3230" t="s">
        <v>607</v>
      </c>
      <c r="F3230" t="s">
        <v>21</v>
      </c>
      <c r="G3230" t="s">
        <v>740</v>
      </c>
      <c r="H3230">
        <v>0</v>
      </c>
      <c r="I3230">
        <v>2</v>
      </c>
      <c r="J3230">
        <v>0</v>
      </c>
      <c r="K3230">
        <v>0</v>
      </c>
      <c r="L3230">
        <v>0</v>
      </c>
    </row>
    <row r="3231" spans="1:12">
      <c r="A3231" t="str">
        <f>HYPERLINK("http://bombeiros.sp.gov.br/hidrantes/03individual/3909.html","3909")</f>
        <v>3909</v>
      </c>
      <c r="B3231" t="str">
        <f>HYPERLINK("http://bombeiros.sp.gov.br/hidrantes/08bsg/qrcodeBSG.html?id=3909&amp;lat=-23.62111&amp;long=-46.69593&amp;tipo=S","QRCODE")</f>
        <v>QRCODE</v>
      </c>
      <c r="C3231" t="s">
        <v>5351</v>
      </c>
      <c r="D3231" t="s">
        <v>5356</v>
      </c>
      <c r="E3231" t="s">
        <v>1995</v>
      </c>
      <c r="F3231" t="s">
        <v>21</v>
      </c>
      <c r="G3231" t="s">
        <v>4678</v>
      </c>
      <c r="H3231">
        <v>1</v>
      </c>
      <c r="I3231">
        <v>1</v>
      </c>
      <c r="J3231">
        <v>0</v>
      </c>
      <c r="K3231">
        <v>0</v>
      </c>
      <c r="L3231">
        <v>0</v>
      </c>
    </row>
    <row r="3232" spans="1:12">
      <c r="A3232" t="str">
        <f>HYPERLINK("http://bombeiros.sp.gov.br/hidrantes/03individual/3910.html","3910")</f>
        <v>3910</v>
      </c>
      <c r="B3232" t="str">
        <f>HYPERLINK("http://bombeiros.sp.gov.br/hidrantes/08bsg/qrcodeBSG.html?id=3910&amp;lat=-23.62007&amp;long=-46.69338&amp;tipo=S","QRCODE")</f>
        <v>QRCODE</v>
      </c>
      <c r="C3232" t="s">
        <v>5351</v>
      </c>
      <c r="D3232" t="s">
        <v>5356</v>
      </c>
      <c r="E3232" t="s">
        <v>1995</v>
      </c>
      <c r="F3232" t="s">
        <v>21</v>
      </c>
      <c r="G3232" t="s">
        <v>4679</v>
      </c>
      <c r="H3232">
        <v>1</v>
      </c>
      <c r="I3232">
        <v>1</v>
      </c>
      <c r="J3232">
        <v>0</v>
      </c>
      <c r="K3232">
        <v>0</v>
      </c>
      <c r="L3232">
        <v>0</v>
      </c>
    </row>
    <row r="3233" spans="1:12">
      <c r="A3233" t="str">
        <f>HYPERLINK("http://bombeiros.sp.gov.br/hidrantes/03individual/3913.html","3913")</f>
        <v>3913</v>
      </c>
      <c r="B3233" t="str">
        <f>HYPERLINK("http://bombeiros.sp.gov.br/hidrantes/08bsg/qrcodeBSG.html?id=3913&amp;lat=-23.61781&amp;long=-46.69135&amp;tipo=S","QRCODE")</f>
        <v>QRCODE</v>
      </c>
      <c r="C3233" t="s">
        <v>5351</v>
      </c>
      <c r="D3233" t="s">
        <v>5356</v>
      </c>
      <c r="E3233" t="s">
        <v>1995</v>
      </c>
      <c r="F3233" t="s">
        <v>21</v>
      </c>
      <c r="G3233" t="s">
        <v>3035</v>
      </c>
      <c r="H3233">
        <v>0</v>
      </c>
      <c r="I3233">
        <v>2</v>
      </c>
      <c r="J3233">
        <v>0</v>
      </c>
      <c r="K3233">
        <v>0</v>
      </c>
      <c r="L3233">
        <v>0</v>
      </c>
    </row>
    <row r="3234" spans="1:12">
      <c r="A3234" t="str">
        <f>HYPERLINK("http://bombeiros.sp.gov.br/hidrantes/03individual/3914.html","3914")</f>
        <v>3914</v>
      </c>
      <c r="B3234" t="str">
        <f>HYPERLINK("http://bombeiros.sp.gov.br/hidrantes/08bsg/qrcodeBSG.html?id=3914&amp;lat=-23.61618&amp;long=-46.69182&amp;tipo=S","QRCODE")</f>
        <v>QRCODE</v>
      </c>
      <c r="C3234" t="s">
        <v>5351</v>
      </c>
      <c r="D3234" t="s">
        <v>5356</v>
      </c>
      <c r="E3234" t="s">
        <v>1995</v>
      </c>
      <c r="F3234" t="s">
        <v>21</v>
      </c>
      <c r="G3234" t="s">
        <v>4688</v>
      </c>
      <c r="H3234">
        <v>1</v>
      </c>
      <c r="I3234">
        <v>1</v>
      </c>
      <c r="J3234">
        <v>0</v>
      </c>
      <c r="K3234">
        <v>0</v>
      </c>
      <c r="L3234">
        <v>0</v>
      </c>
    </row>
    <row r="3235" spans="1:12">
      <c r="A3235" t="str">
        <f>HYPERLINK("http://bombeiros.sp.gov.br/hidrantes/03individual/3916.html","3916")</f>
        <v>3916</v>
      </c>
      <c r="B3235" t="str">
        <f>HYPERLINK("http://bombeiros.sp.gov.br/hidrantes/08bsg/qrcodeBSG.html?id=3916&amp;lat=-23.61656&amp;long=-46.69459&amp;tipo=S","QRCODE")</f>
        <v>QRCODE</v>
      </c>
      <c r="C3235" t="s">
        <v>5351</v>
      </c>
      <c r="D3235" t="s">
        <v>5356</v>
      </c>
      <c r="E3235" t="s">
        <v>1995</v>
      </c>
      <c r="F3235" t="s">
        <v>21</v>
      </c>
      <c r="G3235" t="s">
        <v>4689</v>
      </c>
      <c r="H3235">
        <v>1</v>
      </c>
      <c r="I3235">
        <v>1</v>
      </c>
      <c r="J3235">
        <v>0</v>
      </c>
      <c r="K3235">
        <v>0</v>
      </c>
      <c r="L3235">
        <v>0</v>
      </c>
    </row>
    <row r="3236" spans="1:12">
      <c r="A3236" t="str">
        <f>HYPERLINK("http://bombeiros.sp.gov.br/hidrantes/03individual/4379.html","4379")</f>
        <v>4379</v>
      </c>
      <c r="B3236" t="str">
        <f>HYPERLINK("http://bombeiros.sp.gov.br/hidrantes/08bsg/qrcodeBSG.html?id=4379&amp;lat=-23.62312&amp;long=-46.69445&amp;tipo=S","QRCODE")</f>
        <v>QRCODE</v>
      </c>
      <c r="C3236" t="s">
        <v>5351</v>
      </c>
      <c r="D3236" t="s">
        <v>5356</v>
      </c>
      <c r="E3236" t="s">
        <v>1995</v>
      </c>
      <c r="F3236" t="s">
        <v>21</v>
      </c>
      <c r="G3236" t="s">
        <v>3040</v>
      </c>
      <c r="H3236">
        <v>0</v>
      </c>
      <c r="I3236">
        <v>2</v>
      </c>
      <c r="J3236">
        <v>0</v>
      </c>
      <c r="K3236">
        <v>0</v>
      </c>
      <c r="L3236">
        <v>0</v>
      </c>
    </row>
    <row r="3237" spans="1:12">
      <c r="A3237" t="str">
        <f>HYPERLINK("http://bombeiros.sp.gov.br/hidrantes/03individual/6711.html","6711")</f>
        <v>6711</v>
      </c>
      <c r="B3237" t="str">
        <f>HYPERLINK("http://bombeiros.sp.gov.br/hidrantes/08bsg/qrcodeBSG.html?id=6711&amp;lat=-23.62113&amp;long=-46.68522&amp;tipo=S","QRCODE")</f>
        <v>QRCODE</v>
      </c>
      <c r="C3237" t="s">
        <v>5351</v>
      </c>
      <c r="D3237" t="s">
        <v>5356</v>
      </c>
      <c r="E3237" t="s">
        <v>1995</v>
      </c>
      <c r="F3237" t="s">
        <v>21</v>
      </c>
      <c r="G3237" t="s">
        <v>3741</v>
      </c>
      <c r="H3237">
        <v>1</v>
      </c>
      <c r="I3237">
        <v>1</v>
      </c>
      <c r="J3237">
        <v>0</v>
      </c>
      <c r="K3237">
        <v>0</v>
      </c>
      <c r="L3237">
        <v>0</v>
      </c>
    </row>
    <row r="3238" spans="1:12">
      <c r="A3238" t="str">
        <f>HYPERLINK("http://bombeiros.sp.gov.br/hidrantes/03individual/6715.html","6715")</f>
        <v>6715</v>
      </c>
      <c r="B3238" t="str">
        <f>HYPERLINK("http://bombeiros.sp.gov.br/hidrantes/08bsg/qrcodeBSG.html?id=6715&amp;lat=-23.62017&amp;long=-46.68694&amp;tipo=S","QRCODE")</f>
        <v>QRCODE</v>
      </c>
      <c r="C3238" t="s">
        <v>5351</v>
      </c>
      <c r="D3238" t="s">
        <v>5356</v>
      </c>
      <c r="E3238" t="s">
        <v>1995</v>
      </c>
      <c r="F3238" t="s">
        <v>21</v>
      </c>
      <c r="G3238" t="s">
        <v>1994</v>
      </c>
      <c r="H3238">
        <v>0</v>
      </c>
      <c r="I3238">
        <v>2</v>
      </c>
      <c r="J3238">
        <v>0</v>
      </c>
      <c r="K3238">
        <v>0</v>
      </c>
      <c r="L3238">
        <v>0</v>
      </c>
    </row>
    <row r="3239" spans="1:12">
      <c r="A3239" t="str">
        <f>HYPERLINK("http://bombeiros.sp.gov.br/hidrantes/03individual/16534.html","16534")</f>
        <v>16534</v>
      </c>
      <c r="B3239" t="str">
        <f>HYPERLINK("http://bombeiros.sp.gov.br/hidrantes/08bsg/qrcodeBSG.html?id=16534&amp;lat=-23.61684&amp;long=-46.69727&amp;tipo=S","QRCODE")</f>
        <v>QRCODE</v>
      </c>
      <c r="C3239" t="s">
        <v>5351</v>
      </c>
      <c r="D3239" t="s">
        <v>5356</v>
      </c>
      <c r="E3239" t="s">
        <v>1995</v>
      </c>
      <c r="F3239" t="s">
        <v>21</v>
      </c>
      <c r="G3239" t="s">
        <v>3993</v>
      </c>
      <c r="H3239">
        <v>1</v>
      </c>
      <c r="I3239">
        <v>1</v>
      </c>
      <c r="J3239">
        <v>0</v>
      </c>
      <c r="K3239">
        <v>0</v>
      </c>
      <c r="L3239">
        <v>0</v>
      </c>
    </row>
    <row r="3240" spans="1:12">
      <c r="A3240" t="str">
        <f>HYPERLINK("http://bombeiros.sp.gov.br/hidrantes/03individual/1432.html","1432")</f>
        <v>1432</v>
      </c>
      <c r="B3240" t="str">
        <f>HYPERLINK("http://bombeiros.sp.gov.br/hidrantes/08bsg/qrcodeBSG.html?id=1432&amp;lat=-23.59307&amp;long=-46.68384&amp;tipo=C","QRCODE")</f>
        <v>QRCODE</v>
      </c>
      <c r="C3240" t="s">
        <v>5351</v>
      </c>
      <c r="D3240" t="s">
        <v>5356</v>
      </c>
      <c r="E3240" t="s">
        <v>1568</v>
      </c>
      <c r="F3240" t="s">
        <v>12</v>
      </c>
      <c r="G3240" t="s">
        <v>3309</v>
      </c>
      <c r="H3240">
        <v>2</v>
      </c>
      <c r="I3240">
        <v>1</v>
      </c>
      <c r="J3240">
        <v>0</v>
      </c>
      <c r="K3240">
        <v>0</v>
      </c>
      <c r="L3240">
        <v>0</v>
      </c>
    </row>
    <row r="3241" spans="1:12">
      <c r="A3241" t="str">
        <f>HYPERLINK("http://bombeiros.sp.gov.br/hidrantes/03individual/1459.html","1459")</f>
        <v>1459</v>
      </c>
      <c r="B3241" t="str">
        <f>HYPERLINK("http://bombeiros.sp.gov.br/hidrantes/08bsg/qrcodeBSG.html?id=1459&amp;lat=-23.59417&amp;long=-46.67937&amp;tipo=C","QRCODE")</f>
        <v>QRCODE</v>
      </c>
      <c r="C3241" t="s">
        <v>5351</v>
      </c>
      <c r="D3241" t="s">
        <v>5356</v>
      </c>
      <c r="E3241" t="s">
        <v>1568</v>
      </c>
      <c r="F3241" t="s">
        <v>12</v>
      </c>
      <c r="G3241" t="s">
        <v>3592</v>
      </c>
      <c r="H3241">
        <v>1</v>
      </c>
      <c r="I3241">
        <v>1</v>
      </c>
      <c r="J3241">
        <v>0</v>
      </c>
      <c r="K3241">
        <v>0</v>
      </c>
      <c r="L3241">
        <v>0</v>
      </c>
    </row>
    <row r="3242" spans="1:12">
      <c r="A3242" t="str">
        <f>HYPERLINK("http://bombeiros.sp.gov.br/hidrantes/03individual/1486.html","1486")</f>
        <v>1486</v>
      </c>
      <c r="B3242" t="str">
        <f>HYPERLINK("http://bombeiros.sp.gov.br/hidrantes/08bsg/qrcodeBSG.html?id=1486&amp;lat=-23.58990&amp;long=-46.67821&amp;tipo=C","QRCODE")</f>
        <v>QRCODE</v>
      </c>
      <c r="C3242" t="s">
        <v>5351</v>
      </c>
      <c r="D3242" t="s">
        <v>5356</v>
      </c>
      <c r="E3242" t="s">
        <v>1568</v>
      </c>
      <c r="F3242" t="s">
        <v>12</v>
      </c>
      <c r="G3242" t="s">
        <v>3586</v>
      </c>
      <c r="H3242">
        <v>1</v>
      </c>
      <c r="I3242">
        <v>1</v>
      </c>
      <c r="J3242">
        <v>0</v>
      </c>
      <c r="K3242">
        <v>0</v>
      </c>
      <c r="L3242">
        <v>0</v>
      </c>
    </row>
    <row r="3243" spans="1:12">
      <c r="A3243" t="str">
        <f>HYPERLINK("http://bombeiros.sp.gov.br/hidrantes/03individual/1531.html","1531")</f>
        <v>1531</v>
      </c>
      <c r="B3243" t="str">
        <f>HYPERLINK("http://bombeiros.sp.gov.br/hidrantes/08bsg/qrcodeBSG.html?id=1531&amp;lat=-23.58774&amp;long=-46.67186&amp;tipo=C","QRCODE")</f>
        <v>QRCODE</v>
      </c>
      <c r="C3243" t="s">
        <v>5351</v>
      </c>
      <c r="D3243" t="s">
        <v>5356</v>
      </c>
      <c r="E3243" t="s">
        <v>1568</v>
      </c>
      <c r="F3243" t="s">
        <v>12</v>
      </c>
      <c r="G3243" t="s">
        <v>4822</v>
      </c>
      <c r="H3243">
        <v>1</v>
      </c>
      <c r="I3243">
        <v>1</v>
      </c>
      <c r="J3243">
        <v>0</v>
      </c>
      <c r="K3243">
        <v>0</v>
      </c>
      <c r="L3243">
        <v>0</v>
      </c>
    </row>
    <row r="3244" spans="1:12">
      <c r="A3244" t="str">
        <f>HYPERLINK("http://bombeiros.sp.gov.br/hidrantes/03individual/1463.html","1463")</f>
        <v>1463</v>
      </c>
      <c r="B3244" t="str">
        <f>HYPERLINK("http://bombeiros.sp.gov.br/hidrantes/08bsg/qrcodeBSG.html?id=1463&amp;lat=-23.59357&amp;long=-46.67736&amp;tipo=S","QRCODE")</f>
        <v>QRCODE</v>
      </c>
      <c r="C3244" t="s">
        <v>5351</v>
      </c>
      <c r="D3244" t="s">
        <v>5356</v>
      </c>
      <c r="E3244" t="s">
        <v>1568</v>
      </c>
      <c r="F3244" t="s">
        <v>21</v>
      </c>
      <c r="G3244" t="s">
        <v>2629</v>
      </c>
      <c r="H3244">
        <v>0</v>
      </c>
      <c r="I3244">
        <v>2</v>
      </c>
      <c r="J3244">
        <v>0</v>
      </c>
      <c r="K3244">
        <v>0</v>
      </c>
      <c r="L3244">
        <v>0</v>
      </c>
    </row>
    <row r="3245" spans="1:12">
      <c r="A3245" t="str">
        <f>HYPERLINK("http://bombeiros.sp.gov.br/hidrantes/03individual/1481.html","1481")</f>
        <v>1481</v>
      </c>
      <c r="B3245" t="str">
        <f>HYPERLINK("http://bombeiros.sp.gov.br/hidrantes/08bsg/qrcodeBSG.html?id=1481&amp;lat=-23.59686&amp;long=-46.67603&amp;tipo=S","QRCODE")</f>
        <v>QRCODE</v>
      </c>
      <c r="C3245" t="s">
        <v>5351</v>
      </c>
      <c r="D3245" t="s">
        <v>5356</v>
      </c>
      <c r="E3245" t="s">
        <v>1568</v>
      </c>
      <c r="F3245" t="s">
        <v>21</v>
      </c>
      <c r="G3245" t="s">
        <v>3591</v>
      </c>
      <c r="H3245">
        <v>1</v>
      </c>
      <c r="I3245">
        <v>1</v>
      </c>
      <c r="J3245">
        <v>0</v>
      </c>
      <c r="K3245">
        <v>0</v>
      </c>
      <c r="L3245">
        <v>0</v>
      </c>
    </row>
    <row r="3246" spans="1:12">
      <c r="A3246" t="str">
        <f>HYPERLINK("http://bombeiros.sp.gov.br/hidrantes/03individual/1519.html","1519")</f>
        <v>1519</v>
      </c>
      <c r="B3246" t="str">
        <f>HYPERLINK("http://bombeiros.sp.gov.br/hidrantes/08bsg/qrcodeBSG.html?id=1519&amp;lat=-23.59176&amp;long=-46.67286&amp;tipo=S","QRCODE")</f>
        <v>QRCODE</v>
      </c>
      <c r="C3246" t="s">
        <v>5351</v>
      </c>
      <c r="D3246" t="s">
        <v>5356</v>
      </c>
      <c r="E3246" t="s">
        <v>1568</v>
      </c>
      <c r="F3246" t="s">
        <v>21</v>
      </c>
      <c r="G3246" t="s">
        <v>5103</v>
      </c>
      <c r="H3246">
        <v>0</v>
      </c>
      <c r="I3246">
        <v>1</v>
      </c>
      <c r="J3246">
        <v>0</v>
      </c>
      <c r="K3246">
        <v>0</v>
      </c>
      <c r="L3246">
        <v>0</v>
      </c>
    </row>
    <row r="3247" spans="1:12">
      <c r="A3247" t="str">
        <f>HYPERLINK("http://bombeiros.sp.gov.br/hidrantes/03individual/1527.html","1527")</f>
        <v>1527</v>
      </c>
      <c r="B3247" t="str">
        <f>HYPERLINK("http://bombeiros.sp.gov.br/hidrantes/08bsg/qrcodeBSG.html?id=1527&amp;lat=-23.59022&amp;long=-46.67335&amp;tipo=S","QRCODE")</f>
        <v>QRCODE</v>
      </c>
      <c r="C3247" t="s">
        <v>5351</v>
      </c>
      <c r="D3247" t="s">
        <v>5356</v>
      </c>
      <c r="E3247" t="s">
        <v>1568</v>
      </c>
      <c r="F3247" t="s">
        <v>21</v>
      </c>
      <c r="G3247" t="s">
        <v>3585</v>
      </c>
      <c r="H3247">
        <v>1</v>
      </c>
      <c r="I3247">
        <v>1</v>
      </c>
      <c r="J3247">
        <v>0</v>
      </c>
      <c r="K3247">
        <v>0</v>
      </c>
      <c r="L3247">
        <v>0</v>
      </c>
    </row>
    <row r="3248" spans="1:12">
      <c r="A3248" t="str">
        <f>HYPERLINK("http://bombeiros.sp.gov.br/hidrantes/03individual/1528.html","1528")</f>
        <v>1528</v>
      </c>
      <c r="B3248" t="str">
        <f>HYPERLINK("http://bombeiros.sp.gov.br/hidrantes/08bsg/qrcodeBSG.html?id=1528&amp;lat=-23.58712&amp;long=-46.67163&amp;tipo=S","QRCODE")</f>
        <v>QRCODE</v>
      </c>
      <c r="C3248" t="s">
        <v>5351</v>
      </c>
      <c r="D3248" t="s">
        <v>5356</v>
      </c>
      <c r="E3248" t="s">
        <v>1568</v>
      </c>
      <c r="F3248" t="s">
        <v>21</v>
      </c>
      <c r="G3248" t="s">
        <v>4821</v>
      </c>
      <c r="H3248">
        <v>2</v>
      </c>
      <c r="I3248">
        <v>2</v>
      </c>
      <c r="J3248">
        <v>0</v>
      </c>
      <c r="K3248">
        <v>0</v>
      </c>
      <c r="L3248">
        <v>0</v>
      </c>
    </row>
    <row r="3249" spans="1:12">
      <c r="A3249" t="str">
        <f>HYPERLINK("http://bombeiros.sp.gov.br/hidrantes/03individual/1533.html","1533")</f>
        <v>1533</v>
      </c>
      <c r="B3249" t="str">
        <f>HYPERLINK("http://bombeiros.sp.gov.br/hidrantes/08bsg/qrcodeBSG.html?id=1533&amp;lat=-23.58620&amp;long=-46.67124&amp;tipo=S","QRCODE")</f>
        <v>QRCODE</v>
      </c>
      <c r="C3249" t="s">
        <v>5351</v>
      </c>
      <c r="D3249" t="s">
        <v>5356</v>
      </c>
      <c r="E3249" t="s">
        <v>1568</v>
      </c>
      <c r="F3249" t="s">
        <v>21</v>
      </c>
      <c r="G3249" t="s">
        <v>2639</v>
      </c>
      <c r="H3249">
        <v>0</v>
      </c>
      <c r="I3249">
        <v>2</v>
      </c>
      <c r="J3249">
        <v>0</v>
      </c>
      <c r="K3249">
        <v>0</v>
      </c>
      <c r="L3249">
        <v>0</v>
      </c>
    </row>
    <row r="3250" spans="1:12">
      <c r="A3250" t="str">
        <f>HYPERLINK("http://bombeiros.sp.gov.br/hidrantes/03individual/2115.html","2115")</f>
        <v>2115</v>
      </c>
      <c r="B3250" t="str">
        <f>HYPERLINK("http://bombeiros.sp.gov.br/hidrantes/08bsg/qrcodeBSG.html?id=2115&amp;lat=-23.59169&amp;long=-46.67546&amp;tipo=S","QRCODE")</f>
        <v>QRCODE</v>
      </c>
      <c r="C3250" t="s">
        <v>5351</v>
      </c>
      <c r="D3250" t="s">
        <v>5356</v>
      </c>
      <c r="E3250" t="s">
        <v>1568</v>
      </c>
      <c r="F3250" t="s">
        <v>21</v>
      </c>
      <c r="G3250" t="s">
        <v>3595</v>
      </c>
      <c r="H3250">
        <v>1</v>
      </c>
      <c r="I3250">
        <v>1</v>
      </c>
      <c r="J3250">
        <v>0</v>
      </c>
      <c r="K3250">
        <v>0</v>
      </c>
      <c r="L3250">
        <v>0</v>
      </c>
    </row>
    <row r="3251" spans="1:12">
      <c r="A3251" t="str">
        <f>HYPERLINK("http://bombeiros.sp.gov.br/hidrantes/03individual/2136.html","2136")</f>
        <v>2136</v>
      </c>
      <c r="B3251" t="str">
        <f>HYPERLINK("http://bombeiros.sp.gov.br/hidrantes/08bsg/qrcodeBSG.html?id=2136&amp;lat=-23.59328&amp;long=-46.67713&amp;tipo=S","QRCODE")</f>
        <v>QRCODE</v>
      </c>
      <c r="C3251" t="s">
        <v>5351</v>
      </c>
      <c r="D3251" t="s">
        <v>5356</v>
      </c>
      <c r="E3251" t="s">
        <v>1568</v>
      </c>
      <c r="F3251" t="s">
        <v>21</v>
      </c>
      <c r="G3251" t="s">
        <v>2629</v>
      </c>
      <c r="H3251">
        <v>1</v>
      </c>
      <c r="I3251">
        <v>3</v>
      </c>
      <c r="J3251">
        <v>0</v>
      </c>
      <c r="K3251">
        <v>0</v>
      </c>
      <c r="L3251">
        <v>0</v>
      </c>
    </row>
    <row r="3252" spans="1:12">
      <c r="A3252" t="str">
        <f>HYPERLINK("http://bombeiros.sp.gov.br/hidrantes/03individual/2138.html","2138")</f>
        <v>2138</v>
      </c>
      <c r="B3252" t="str">
        <f>HYPERLINK("http://bombeiros.sp.gov.br/hidrantes/08bsg/qrcodeBSG.html?id=2138&amp;lat=-23.58952&amp;long=-46.67612&amp;tipo=S","QRCODE")</f>
        <v>QRCODE</v>
      </c>
      <c r="C3252" t="s">
        <v>5351</v>
      </c>
      <c r="D3252" t="s">
        <v>5356</v>
      </c>
      <c r="E3252" t="s">
        <v>1568</v>
      </c>
      <c r="F3252" t="s">
        <v>21</v>
      </c>
      <c r="G3252" t="s">
        <v>1567</v>
      </c>
      <c r="H3252">
        <v>1</v>
      </c>
      <c r="I3252">
        <v>2</v>
      </c>
      <c r="J3252">
        <v>0</v>
      </c>
      <c r="K3252">
        <v>0</v>
      </c>
      <c r="L3252">
        <v>0</v>
      </c>
    </row>
    <row r="3253" spans="1:12">
      <c r="A3253" t="str">
        <f>HYPERLINK("http://bombeiros.sp.gov.br/hidrantes/03individual/2140.html","2140")</f>
        <v>2140</v>
      </c>
      <c r="B3253" t="str">
        <f>HYPERLINK("http://bombeiros.sp.gov.br/hidrantes/08bsg/qrcodeBSG.html?id=2140&amp;lat=-23.58985&amp;long=-46.67601&amp;tipo=S","QRCODE")</f>
        <v>QRCODE</v>
      </c>
      <c r="C3253" t="s">
        <v>5351</v>
      </c>
      <c r="D3253" t="s">
        <v>5356</v>
      </c>
      <c r="E3253" t="s">
        <v>1568</v>
      </c>
      <c r="F3253" t="s">
        <v>21</v>
      </c>
      <c r="G3253" t="s">
        <v>1569</v>
      </c>
      <c r="H3253">
        <v>1</v>
      </c>
      <c r="I3253">
        <v>2</v>
      </c>
      <c r="J3253">
        <v>0</v>
      </c>
      <c r="K3253">
        <v>0</v>
      </c>
      <c r="L3253">
        <v>0</v>
      </c>
    </row>
    <row r="3254" spans="1:12">
      <c r="A3254" t="str">
        <f>HYPERLINK("http://bombeiros.sp.gov.br/hidrantes/03individual/26784.html","26784")</f>
        <v>26784</v>
      </c>
      <c r="B3254" t="str">
        <f>HYPERLINK("http://bombeiros.sp.gov.br/hidrantes/08bsg/qrcodeBSG.html?id=26784&amp;lat=-23.59226&amp;long=-46.68000&amp;tipo=S","QRCODE")</f>
        <v>QRCODE</v>
      </c>
      <c r="C3254" t="s">
        <v>5351</v>
      </c>
      <c r="D3254" t="s">
        <v>5356</v>
      </c>
      <c r="E3254" t="s">
        <v>1568</v>
      </c>
      <c r="F3254" t="s">
        <v>21</v>
      </c>
      <c r="G3254" t="s">
        <v>3781</v>
      </c>
      <c r="H3254">
        <v>0</v>
      </c>
      <c r="I3254">
        <v>1</v>
      </c>
      <c r="J3254">
        <v>0</v>
      </c>
      <c r="K3254">
        <v>0</v>
      </c>
      <c r="L3254">
        <v>0</v>
      </c>
    </row>
    <row r="3255" spans="1:12">
      <c r="A3255" t="str">
        <f>HYPERLINK("http://bombeiros.sp.gov.br/hidrantes/03individual/10050.html","10050")</f>
        <v>10050</v>
      </c>
      <c r="B3255" t="str">
        <f>HYPERLINK("http://bombeiros.sp.gov.br/hidrantes/08bsg/qrcodeBSG.html?id=10050&amp;lat=-23.51210&amp;long=-46.75262&amp;tipo=B","QRCODE")</f>
        <v>QRCODE</v>
      </c>
      <c r="C3255" t="s">
        <v>5351</v>
      </c>
      <c r="D3255" t="s">
        <v>5358</v>
      </c>
      <c r="E3255" t="s">
        <v>152</v>
      </c>
      <c r="F3255" t="s">
        <v>1719</v>
      </c>
      <c r="G3255" t="s">
        <v>5227</v>
      </c>
      <c r="H3255">
        <v>1</v>
      </c>
      <c r="I3255">
        <v>0</v>
      </c>
      <c r="J3255">
        <v>0</v>
      </c>
      <c r="K3255">
        <v>0</v>
      </c>
      <c r="L3255">
        <v>0</v>
      </c>
    </row>
    <row r="3256" spans="1:12">
      <c r="A3256" t="str">
        <f>HYPERLINK("http://bombeiros.sp.gov.br/hidrantes/03individual/3361.html","3361")</f>
        <v>3361</v>
      </c>
      <c r="B3256" t="str">
        <f>HYPERLINK("http://bombeiros.sp.gov.br/hidrantes/08bsg/qrcodeBSG.html?id=3361&amp;lat=-23.51521&amp;long=-46.75162&amp;tipo=C","QRCODE")</f>
        <v>QRCODE</v>
      </c>
      <c r="C3256" t="s">
        <v>5351</v>
      </c>
      <c r="D3256" t="s">
        <v>5358</v>
      </c>
      <c r="E3256" t="s">
        <v>152</v>
      </c>
      <c r="F3256" t="s">
        <v>12</v>
      </c>
      <c r="G3256" t="s">
        <v>213</v>
      </c>
      <c r="H3256">
        <v>0</v>
      </c>
      <c r="I3256">
        <v>3</v>
      </c>
      <c r="J3256">
        <v>0</v>
      </c>
      <c r="K3256">
        <v>0</v>
      </c>
      <c r="L3256">
        <v>0</v>
      </c>
    </row>
    <row r="3257" spans="1:12">
      <c r="A3257" t="str">
        <f>HYPERLINK("http://bombeiros.sp.gov.br/hidrantes/03individual/1096.html","1096")</f>
        <v>1096</v>
      </c>
      <c r="B3257" t="str">
        <f>HYPERLINK("http://bombeiros.sp.gov.br/hidrantes/08bsg/qrcodeBSG.html?id=1096&amp;lat=-23.51066&amp;long=-46.74753&amp;tipo=S","QRCODE")</f>
        <v>QRCODE</v>
      </c>
      <c r="C3257" t="s">
        <v>5351</v>
      </c>
      <c r="D3257" t="s">
        <v>5358</v>
      </c>
      <c r="E3257" t="s">
        <v>152</v>
      </c>
      <c r="F3257" t="s">
        <v>21</v>
      </c>
      <c r="G3257" t="s">
        <v>2122</v>
      </c>
      <c r="H3257">
        <v>1</v>
      </c>
      <c r="I3257">
        <v>3</v>
      </c>
      <c r="J3257">
        <v>0</v>
      </c>
      <c r="K3257">
        <v>0</v>
      </c>
      <c r="L3257">
        <v>0</v>
      </c>
    </row>
    <row r="3258" spans="1:12">
      <c r="A3258" t="str">
        <f>HYPERLINK("http://bombeiros.sp.gov.br/hidrantes/03individual/1110.html","1110")</f>
        <v>1110</v>
      </c>
      <c r="B3258" t="str">
        <f>HYPERLINK("http://bombeiros.sp.gov.br/hidrantes/08bsg/qrcodeBSG.html?id=1110&amp;lat=-23.51129&amp;long=-46.75936&amp;tipo=S","QRCODE")</f>
        <v>QRCODE</v>
      </c>
      <c r="C3258" t="s">
        <v>5351</v>
      </c>
      <c r="D3258" t="s">
        <v>5358</v>
      </c>
      <c r="E3258" t="s">
        <v>152</v>
      </c>
      <c r="F3258" t="s">
        <v>21</v>
      </c>
      <c r="G3258" t="s">
        <v>168</v>
      </c>
      <c r="H3258">
        <v>0</v>
      </c>
      <c r="I3258">
        <v>2</v>
      </c>
      <c r="J3258">
        <v>0</v>
      </c>
      <c r="K3258">
        <v>0</v>
      </c>
      <c r="L3258">
        <v>0</v>
      </c>
    </row>
    <row r="3259" spans="1:12">
      <c r="A3259" t="str">
        <f>HYPERLINK("http://bombeiros.sp.gov.br/hidrantes/03individual/1112.html","1112")</f>
        <v>1112</v>
      </c>
      <c r="B3259" t="str">
        <f>HYPERLINK("http://bombeiros.sp.gov.br/hidrantes/08bsg/qrcodeBSG.html?id=1112&amp;lat=-23.50404&amp;long=-46.76228&amp;tipo=S","QRCODE")</f>
        <v>QRCODE</v>
      </c>
      <c r="C3259" t="s">
        <v>5351</v>
      </c>
      <c r="D3259" t="s">
        <v>5358</v>
      </c>
      <c r="E3259" t="s">
        <v>152</v>
      </c>
      <c r="F3259" t="s">
        <v>21</v>
      </c>
      <c r="G3259" t="s">
        <v>3722</v>
      </c>
      <c r="H3259">
        <v>0</v>
      </c>
      <c r="I3259">
        <v>2</v>
      </c>
      <c r="J3259">
        <v>0</v>
      </c>
      <c r="K3259">
        <v>0</v>
      </c>
      <c r="L3259">
        <v>0</v>
      </c>
    </row>
    <row r="3260" spans="1:12">
      <c r="A3260" t="str">
        <f>HYPERLINK("http://bombeiros.sp.gov.br/hidrantes/03individual/1167.html","1167")</f>
        <v>1167</v>
      </c>
      <c r="B3260" t="str">
        <f>HYPERLINK("http://bombeiros.sp.gov.br/hidrantes/08bsg/qrcodeBSG.html?id=1167&amp;lat=-23.52059&amp;long=-46.75035&amp;tipo=S","QRCODE")</f>
        <v>QRCODE</v>
      </c>
      <c r="C3260" t="s">
        <v>5351</v>
      </c>
      <c r="D3260" t="s">
        <v>5358</v>
      </c>
      <c r="E3260" t="s">
        <v>152</v>
      </c>
      <c r="F3260" t="s">
        <v>21</v>
      </c>
      <c r="G3260" t="s">
        <v>166</v>
      </c>
      <c r="H3260">
        <v>0</v>
      </c>
      <c r="I3260">
        <v>2</v>
      </c>
      <c r="J3260">
        <v>0</v>
      </c>
      <c r="K3260">
        <v>0</v>
      </c>
      <c r="L3260">
        <v>0</v>
      </c>
    </row>
    <row r="3261" spans="1:12">
      <c r="A3261" t="str">
        <f>HYPERLINK("http://bombeiros.sp.gov.br/hidrantes/03individual/1251.html","1251")</f>
        <v>1251</v>
      </c>
      <c r="B3261" t="str">
        <f>HYPERLINK("http://bombeiros.sp.gov.br/hidrantes/08bsg/qrcodeBSG.html?id=1251&amp;lat=-23.51222&amp;long=-46.75727&amp;tipo=S","QRCODE")</f>
        <v>QRCODE</v>
      </c>
      <c r="C3261" t="s">
        <v>5351</v>
      </c>
      <c r="D3261" t="s">
        <v>5358</v>
      </c>
      <c r="E3261" t="s">
        <v>152</v>
      </c>
      <c r="F3261" t="s">
        <v>21</v>
      </c>
      <c r="G3261" t="s">
        <v>151</v>
      </c>
      <c r="H3261">
        <v>0</v>
      </c>
      <c r="I3261">
        <v>2</v>
      </c>
      <c r="J3261">
        <v>0</v>
      </c>
      <c r="K3261">
        <v>0</v>
      </c>
      <c r="L3261">
        <v>0</v>
      </c>
    </row>
    <row r="3262" spans="1:12">
      <c r="A3262" t="str">
        <f>HYPERLINK("http://bombeiros.sp.gov.br/hidrantes/03individual/1307.html","1307")</f>
        <v>1307</v>
      </c>
      <c r="B3262" t="str">
        <f>HYPERLINK("http://bombeiros.sp.gov.br/hidrantes/08bsg/qrcodeBSG.html?id=1307&amp;lat=-23.50893&amp;long=-46.73574&amp;tipo=S","QRCODE")</f>
        <v>QRCODE</v>
      </c>
      <c r="C3262" t="s">
        <v>5351</v>
      </c>
      <c r="D3262" t="s">
        <v>5358</v>
      </c>
      <c r="E3262" t="s">
        <v>152</v>
      </c>
      <c r="F3262" t="s">
        <v>21</v>
      </c>
      <c r="G3262" t="s">
        <v>610</v>
      </c>
      <c r="H3262">
        <v>0</v>
      </c>
      <c r="I3262">
        <v>2</v>
      </c>
      <c r="J3262">
        <v>0</v>
      </c>
      <c r="K3262">
        <v>0</v>
      </c>
      <c r="L3262">
        <v>0</v>
      </c>
    </row>
    <row r="3263" spans="1:12">
      <c r="A3263" t="str">
        <f>HYPERLINK("http://bombeiros.sp.gov.br/hidrantes/03individual/4226.html","4226")</f>
        <v>4226</v>
      </c>
      <c r="B3263" t="str">
        <f>HYPERLINK("http://bombeiros.sp.gov.br/hidrantes/08bsg/qrcodeBSG.html?id=4226&amp;lat=-23.50795&amp;long=-46.74732&amp;tipo=S","QRCODE")</f>
        <v>QRCODE</v>
      </c>
      <c r="C3263" t="s">
        <v>5351</v>
      </c>
      <c r="D3263" t="s">
        <v>5358</v>
      </c>
      <c r="E3263" t="s">
        <v>152</v>
      </c>
      <c r="F3263" t="s">
        <v>21</v>
      </c>
      <c r="G3263" t="s">
        <v>3744</v>
      </c>
      <c r="H3263">
        <v>1</v>
      </c>
      <c r="I3263">
        <v>1</v>
      </c>
      <c r="J3263">
        <v>0</v>
      </c>
      <c r="K3263">
        <v>0</v>
      </c>
      <c r="L3263">
        <v>0</v>
      </c>
    </row>
    <row r="3264" spans="1:12">
      <c r="A3264" t="str">
        <f>HYPERLINK("http://bombeiros.sp.gov.br/hidrantes/03individual/17885.html","17885")</f>
        <v>17885</v>
      </c>
      <c r="B3264" t="str">
        <f>HYPERLINK("http://bombeiros.sp.gov.br/hidrantes/08bsg/qrcodeBSG.html?id=17885&amp;lat=-23.50205&amp;long=-46.76077&amp;tipo=S","QRCODE")</f>
        <v>QRCODE</v>
      </c>
      <c r="C3264" t="s">
        <v>5351</v>
      </c>
      <c r="D3264" t="s">
        <v>5358</v>
      </c>
      <c r="E3264" t="s">
        <v>152</v>
      </c>
      <c r="F3264" t="s">
        <v>21</v>
      </c>
      <c r="G3264" t="s">
        <v>229</v>
      </c>
      <c r="H3264">
        <v>1</v>
      </c>
      <c r="I3264">
        <v>2</v>
      </c>
      <c r="J3264">
        <v>0</v>
      </c>
      <c r="K3264">
        <v>0</v>
      </c>
      <c r="L3264">
        <v>0</v>
      </c>
    </row>
    <row r="3265" spans="1:12">
      <c r="A3265" t="str">
        <f>HYPERLINK("http://bombeiros.sp.gov.br/hidrantes/03individual/17886.html","17886")</f>
        <v>17886</v>
      </c>
      <c r="B3265" t="str">
        <f>HYPERLINK("http://bombeiros.sp.gov.br/hidrantes/08bsg/qrcodeBSG.html?id=17886&amp;lat=-23.50574&amp;long=-46.76013&amp;tipo=S","QRCODE")</f>
        <v>QRCODE</v>
      </c>
      <c r="C3265" t="s">
        <v>5351</v>
      </c>
      <c r="D3265" t="s">
        <v>5358</v>
      </c>
      <c r="E3265" t="s">
        <v>152</v>
      </c>
      <c r="F3265" t="s">
        <v>21</v>
      </c>
      <c r="G3265" t="s">
        <v>230</v>
      </c>
      <c r="H3265">
        <v>1</v>
      </c>
      <c r="I3265">
        <v>2</v>
      </c>
      <c r="J3265">
        <v>0</v>
      </c>
      <c r="K3265">
        <v>0</v>
      </c>
      <c r="L3265">
        <v>0</v>
      </c>
    </row>
    <row r="3266" spans="1:12">
      <c r="A3266" t="str">
        <f>HYPERLINK("http://bombeiros.sp.gov.br/hidrantes/03individual/895.html","895")</f>
        <v>895</v>
      </c>
      <c r="B3266" t="str">
        <f>HYPERLINK("http://bombeiros.sp.gov.br/hidrantes/08bsg/qrcodeBSG.html?id=895&amp;lat=-23.54181&amp;long=-46.74747&amp;tipo=C","QRCODE")</f>
        <v>QRCODE</v>
      </c>
      <c r="C3266" t="s">
        <v>5351</v>
      </c>
      <c r="D3266" t="s">
        <v>541</v>
      </c>
      <c r="E3266" t="s">
        <v>541</v>
      </c>
      <c r="F3266" t="s">
        <v>12</v>
      </c>
      <c r="G3266" t="s">
        <v>2997</v>
      </c>
      <c r="H3266">
        <v>0</v>
      </c>
      <c r="I3266">
        <v>2</v>
      </c>
      <c r="J3266">
        <v>0</v>
      </c>
      <c r="K3266">
        <v>0</v>
      </c>
      <c r="L3266">
        <v>0</v>
      </c>
    </row>
    <row r="3267" spans="1:12">
      <c r="A3267" t="str">
        <f>HYPERLINK("http://bombeiros.sp.gov.br/hidrantes/03individual/6653.html","6653")</f>
        <v>6653</v>
      </c>
      <c r="B3267" t="str">
        <f>HYPERLINK("http://bombeiros.sp.gov.br/hidrantes/08bsg/qrcodeBSG.html?id=6653&amp;lat=-23.55383&amp;long=-46.73906&amp;tipo=C","QRCODE")</f>
        <v>QRCODE</v>
      </c>
      <c r="C3267" t="s">
        <v>5351</v>
      </c>
      <c r="D3267" t="s">
        <v>541</v>
      </c>
      <c r="E3267" t="s">
        <v>541</v>
      </c>
      <c r="F3267" t="s">
        <v>12</v>
      </c>
      <c r="G3267" t="s">
        <v>540</v>
      </c>
      <c r="H3267">
        <v>0</v>
      </c>
      <c r="I3267">
        <v>2</v>
      </c>
      <c r="J3267">
        <v>0</v>
      </c>
      <c r="K3267">
        <v>0</v>
      </c>
      <c r="L3267">
        <v>0</v>
      </c>
    </row>
    <row r="3268" spans="1:12">
      <c r="A3268" t="str">
        <f>HYPERLINK("http://bombeiros.sp.gov.br/hidrantes/03individual/16553.html","16553")</f>
        <v>16553</v>
      </c>
      <c r="B3268" t="str">
        <f>HYPERLINK("http://bombeiros.sp.gov.br/hidrantes/08bsg/qrcodeBSG.html?id=16553&amp;lat=-23.53825&amp;long=-46.74822&amp;tipo=C","QRCODE")</f>
        <v>QRCODE</v>
      </c>
      <c r="C3268" t="s">
        <v>5351</v>
      </c>
      <c r="D3268" t="s">
        <v>541</v>
      </c>
      <c r="E3268" t="s">
        <v>541</v>
      </c>
      <c r="F3268" t="s">
        <v>12</v>
      </c>
      <c r="G3268" t="s">
        <v>2592</v>
      </c>
      <c r="H3268">
        <v>0</v>
      </c>
      <c r="I3268">
        <v>2</v>
      </c>
      <c r="J3268">
        <v>0</v>
      </c>
      <c r="K3268">
        <v>0</v>
      </c>
      <c r="L3268">
        <v>0</v>
      </c>
    </row>
    <row r="3269" spans="1:12">
      <c r="A3269" t="str">
        <f>HYPERLINK("http://bombeiros.sp.gov.br/hidrantes/03individual/27037.html","27037")</f>
        <v>27037</v>
      </c>
      <c r="B3269" t="str">
        <f>HYPERLINK("http://bombeiros.sp.gov.br/hidrantes/08bsg/qrcodeBSG.html?id=27037&amp;lat=-23.54162&amp;long=-46.75016&amp;tipo=C","QRCODE")</f>
        <v>QRCODE</v>
      </c>
      <c r="C3269" t="s">
        <v>5351</v>
      </c>
      <c r="D3269" t="s">
        <v>541</v>
      </c>
      <c r="E3269" t="s">
        <v>541</v>
      </c>
      <c r="F3269" t="s">
        <v>12</v>
      </c>
      <c r="G3269" t="s">
        <v>3844</v>
      </c>
      <c r="H3269">
        <v>0</v>
      </c>
      <c r="I3269">
        <v>1</v>
      </c>
      <c r="J3269">
        <v>0</v>
      </c>
      <c r="K3269">
        <v>0</v>
      </c>
      <c r="L3269">
        <v>0</v>
      </c>
    </row>
    <row r="3270" spans="1:12">
      <c r="A3270" t="str">
        <f>HYPERLINK("http://bombeiros.sp.gov.br/hidrantes/03individual/27421.html","27421")</f>
        <v>27421</v>
      </c>
      <c r="B3270" t="str">
        <f>HYPERLINK("http://bombeiros.sp.gov.br/hidrantes/08bsg/qrcodeBSG.html?id=27421&amp;lat=-23.54925&amp;long=-46.73559&amp;tipo=C","QRCODE")</f>
        <v>QRCODE</v>
      </c>
      <c r="C3270" t="s">
        <v>5351</v>
      </c>
      <c r="D3270" t="s">
        <v>541</v>
      </c>
      <c r="E3270" t="s">
        <v>541</v>
      </c>
      <c r="F3270" t="s">
        <v>12</v>
      </c>
      <c r="G3270" t="s">
        <v>5359</v>
      </c>
      <c r="H3270">
        <v>0</v>
      </c>
      <c r="I3270">
        <v>0</v>
      </c>
      <c r="J3270">
        <v>0</v>
      </c>
      <c r="K3270">
        <v>0</v>
      </c>
      <c r="L3270">
        <v>0</v>
      </c>
    </row>
    <row r="3271" spans="1:12">
      <c r="A3271" t="str">
        <f>HYPERLINK("http://bombeiros.sp.gov.br/hidrantes/03individual/1203.html","1203")</f>
        <v>1203</v>
      </c>
      <c r="B3271" t="str">
        <f>HYPERLINK("http://bombeiros.sp.gov.br/hidrantes/08bsg/qrcodeBSG.html?id=1203&amp;lat=-23.54487&amp;long=-46.74603&amp;tipo=S","QRCODE")</f>
        <v>QRCODE</v>
      </c>
      <c r="C3271" t="s">
        <v>5351</v>
      </c>
      <c r="D3271" t="s">
        <v>541</v>
      </c>
      <c r="E3271" t="s">
        <v>541</v>
      </c>
      <c r="F3271" t="s">
        <v>21</v>
      </c>
      <c r="G3271" t="s">
        <v>3000</v>
      </c>
      <c r="H3271">
        <v>0</v>
      </c>
      <c r="I3271">
        <v>2</v>
      </c>
      <c r="J3271">
        <v>0</v>
      </c>
      <c r="K3271">
        <v>0</v>
      </c>
      <c r="L3271">
        <v>0</v>
      </c>
    </row>
    <row r="3272" spans="1:12">
      <c r="A3272" t="str">
        <f>HYPERLINK("http://bombeiros.sp.gov.br/hidrantes/03individual/1205.html","1205")</f>
        <v>1205</v>
      </c>
      <c r="B3272" t="str">
        <f>HYPERLINK("http://bombeiros.sp.gov.br/hidrantes/08bsg/qrcodeBSG.html?id=1205&amp;lat=-23.54759&amp;long=-46.74410&amp;tipo=S","QRCODE")</f>
        <v>QRCODE</v>
      </c>
      <c r="C3272" t="s">
        <v>5351</v>
      </c>
      <c r="D3272" t="s">
        <v>541</v>
      </c>
      <c r="E3272" t="s">
        <v>541</v>
      </c>
      <c r="F3272" t="s">
        <v>21</v>
      </c>
      <c r="G3272" t="s">
        <v>3001</v>
      </c>
      <c r="H3272">
        <v>0</v>
      </c>
      <c r="I3272">
        <v>2</v>
      </c>
      <c r="J3272">
        <v>0</v>
      </c>
      <c r="K3272">
        <v>0</v>
      </c>
      <c r="L3272">
        <v>0</v>
      </c>
    </row>
    <row r="3273" spans="1:12">
      <c r="A3273" t="str">
        <f>HYPERLINK("http://bombeiros.sp.gov.br/hidrantes/03individual/1207.html","1207")</f>
        <v>1207</v>
      </c>
      <c r="B3273" t="str">
        <f>HYPERLINK("http://bombeiros.sp.gov.br/hidrantes/08bsg/qrcodeBSG.html?id=1207&amp;lat=-23.55109&amp;long=-46.73988&amp;tipo=S","QRCODE")</f>
        <v>QRCODE</v>
      </c>
      <c r="C3273" t="s">
        <v>5351</v>
      </c>
      <c r="D3273" t="s">
        <v>541</v>
      </c>
      <c r="E3273" t="s">
        <v>541</v>
      </c>
      <c r="F3273" t="s">
        <v>21</v>
      </c>
      <c r="G3273" t="s">
        <v>1447</v>
      </c>
      <c r="H3273">
        <v>2</v>
      </c>
      <c r="I3273">
        <v>2</v>
      </c>
      <c r="J3273">
        <v>0</v>
      </c>
      <c r="K3273">
        <v>0</v>
      </c>
      <c r="L3273">
        <v>0</v>
      </c>
    </row>
    <row r="3274" spans="1:12">
      <c r="A3274" t="str">
        <f>HYPERLINK("http://bombeiros.sp.gov.br/hidrantes/03individual/17810.html","17810")</f>
        <v>17810</v>
      </c>
      <c r="B3274" t="str">
        <f>HYPERLINK("http://bombeiros.sp.gov.br/hidrantes/08bsg/qrcodeBSG.html?id=17810&amp;lat=-23.54286&amp;long=-46.75211&amp;tipo=S","QRCODE")</f>
        <v>QRCODE</v>
      </c>
      <c r="C3274" t="s">
        <v>5351</v>
      </c>
      <c r="D3274" t="s">
        <v>541</v>
      </c>
      <c r="E3274" t="s">
        <v>541</v>
      </c>
      <c r="F3274" t="s">
        <v>21</v>
      </c>
      <c r="G3274" t="s">
        <v>4537</v>
      </c>
      <c r="H3274">
        <v>1</v>
      </c>
      <c r="I3274">
        <v>1</v>
      </c>
      <c r="J3274">
        <v>0</v>
      </c>
      <c r="K3274">
        <v>0</v>
      </c>
      <c r="L3274">
        <v>0</v>
      </c>
    </row>
    <row r="3275" spans="1:12">
      <c r="A3275" t="str">
        <f>HYPERLINK("http://bombeiros.sp.gov.br/hidrantes/03individual/17812.html","17812")</f>
        <v>17812</v>
      </c>
      <c r="B3275" t="str">
        <f>HYPERLINK("http://bombeiros.sp.gov.br/hidrantes/08bsg/qrcodeBSG.html?id=17812&amp;lat=-23.54901&amp;long=-46.74227&amp;tipo=S","QRCODE")</f>
        <v>QRCODE</v>
      </c>
      <c r="C3275" t="s">
        <v>5351</v>
      </c>
      <c r="D3275" t="s">
        <v>541</v>
      </c>
      <c r="E3275" t="s">
        <v>541</v>
      </c>
      <c r="F3275" t="s">
        <v>21</v>
      </c>
      <c r="G3275" t="s">
        <v>3928</v>
      </c>
      <c r="H3275">
        <v>0</v>
      </c>
      <c r="I3275">
        <v>2</v>
      </c>
      <c r="J3275">
        <v>0</v>
      </c>
      <c r="K3275">
        <v>0</v>
      </c>
      <c r="L3275">
        <v>0</v>
      </c>
    </row>
    <row r="3276" spans="1:12">
      <c r="A3276" t="str">
        <f>HYPERLINK("http://bombeiros.sp.gov.br/hidrantes/03individual/10057.html","10057")</f>
        <v>10057</v>
      </c>
      <c r="B3276" t="str">
        <f>HYPERLINK("http://bombeiros.sp.gov.br/hidrantes/08bsg/qrcodeBSG.html?id=10057&amp;lat=-23.54866&amp;long=-46.75551&amp;tipo=B","QRCODE")</f>
        <v>QRCODE</v>
      </c>
      <c r="C3276" t="s">
        <v>5351</v>
      </c>
      <c r="D3276" t="s">
        <v>541</v>
      </c>
      <c r="E3276" t="s">
        <v>146</v>
      </c>
      <c r="F3276" t="s">
        <v>1719</v>
      </c>
      <c r="G3276" t="s">
        <v>5204</v>
      </c>
      <c r="H3276">
        <v>1</v>
      </c>
      <c r="I3276">
        <v>0</v>
      </c>
      <c r="J3276">
        <v>0</v>
      </c>
      <c r="K3276">
        <v>0</v>
      </c>
      <c r="L3276">
        <v>0</v>
      </c>
    </row>
    <row r="3277" spans="1:12">
      <c r="A3277" t="str">
        <f>HYPERLINK("http://bombeiros.sp.gov.br/hidrantes/03individual/1219.html","1219")</f>
        <v>1219</v>
      </c>
      <c r="B3277" t="str">
        <f>HYPERLINK("http://bombeiros.sp.gov.br/hidrantes/08bsg/qrcodeBSG.html?id=1219&amp;lat=-23.55466&amp;long=-46.75153&amp;tipo=C","QRCODE")</f>
        <v>QRCODE</v>
      </c>
      <c r="C3277" t="s">
        <v>5351</v>
      </c>
      <c r="D3277" t="s">
        <v>541</v>
      </c>
      <c r="E3277" t="s">
        <v>146</v>
      </c>
      <c r="F3277" t="s">
        <v>12</v>
      </c>
      <c r="G3277" t="s">
        <v>145</v>
      </c>
      <c r="H3277">
        <v>2</v>
      </c>
      <c r="I3277">
        <v>2</v>
      </c>
      <c r="J3277">
        <v>0</v>
      </c>
      <c r="K3277">
        <v>0</v>
      </c>
      <c r="L3277">
        <v>0</v>
      </c>
    </row>
    <row r="3278" spans="1:12">
      <c r="A3278" t="str">
        <f>HYPERLINK("http://bombeiros.sp.gov.br/hidrantes/03individual/1368.html","1368")</f>
        <v>1368</v>
      </c>
      <c r="B3278" t="str">
        <f>HYPERLINK("http://bombeiros.sp.gov.br/hidrantes/08bsg/qrcodeBSG.html?id=1368&amp;lat=-23.54699&amp;long=-46.75574&amp;tipo=C","QRCODE")</f>
        <v>QRCODE</v>
      </c>
      <c r="C3278" t="s">
        <v>5351</v>
      </c>
      <c r="D3278" t="s">
        <v>541</v>
      </c>
      <c r="E3278" t="s">
        <v>146</v>
      </c>
      <c r="F3278" t="s">
        <v>12</v>
      </c>
      <c r="G3278" t="s">
        <v>173</v>
      </c>
      <c r="H3278">
        <v>0</v>
      </c>
      <c r="I3278">
        <v>2</v>
      </c>
      <c r="J3278">
        <v>0</v>
      </c>
      <c r="K3278">
        <v>0</v>
      </c>
      <c r="L3278">
        <v>0</v>
      </c>
    </row>
    <row r="3279" spans="1:12">
      <c r="A3279" t="str">
        <f>HYPERLINK("http://bombeiros.sp.gov.br/hidrantes/03individual/1370.html","1370")</f>
        <v>1370</v>
      </c>
      <c r="B3279" t="str">
        <f>HYPERLINK("http://bombeiros.sp.gov.br/hidrantes/08bsg/qrcodeBSG.html?id=1370&amp;lat=-23.54880&amp;long=-46.75304&amp;tipo=C","QRCODE")</f>
        <v>QRCODE</v>
      </c>
      <c r="C3279" t="s">
        <v>5351</v>
      </c>
      <c r="D3279" t="s">
        <v>541</v>
      </c>
      <c r="E3279" t="s">
        <v>146</v>
      </c>
      <c r="F3279" t="s">
        <v>12</v>
      </c>
      <c r="G3279" t="s">
        <v>4238</v>
      </c>
      <c r="H3279">
        <v>0</v>
      </c>
      <c r="I3279">
        <v>1</v>
      </c>
      <c r="J3279">
        <v>0</v>
      </c>
      <c r="K3279">
        <v>0</v>
      </c>
      <c r="L3279">
        <v>0</v>
      </c>
    </row>
    <row r="3280" spans="1:12">
      <c r="A3280" t="str">
        <f>HYPERLINK("http://bombeiros.sp.gov.br/hidrantes/03individual/27038.html","27038")</f>
        <v>27038</v>
      </c>
      <c r="B3280" t="str">
        <f>HYPERLINK("http://bombeiros.sp.gov.br/hidrantes/08bsg/qrcodeBSG.html?id=27038&amp;lat=-23.55146&amp;long=-46.74734&amp;tipo=C","QRCODE")</f>
        <v>QRCODE</v>
      </c>
      <c r="C3280" t="s">
        <v>5351</v>
      </c>
      <c r="D3280" t="s">
        <v>541</v>
      </c>
      <c r="E3280" t="s">
        <v>146</v>
      </c>
      <c r="F3280" t="s">
        <v>12</v>
      </c>
      <c r="G3280" t="s">
        <v>218</v>
      </c>
      <c r="H3280">
        <v>0</v>
      </c>
      <c r="I3280">
        <v>2</v>
      </c>
      <c r="J3280">
        <v>0</v>
      </c>
      <c r="K3280">
        <v>0</v>
      </c>
      <c r="L3280">
        <v>0</v>
      </c>
    </row>
    <row r="3281" spans="1:12">
      <c r="A3281" t="str">
        <f>HYPERLINK("http://bombeiros.sp.gov.br/hidrantes/03individual/27052.html","27052")</f>
        <v>27052</v>
      </c>
      <c r="B3281" t="str">
        <f>HYPERLINK("http://bombeiros.sp.gov.br/hidrantes/08bsg/qrcodeBSG.html?id=27052&amp;lat=-23.55090&amp;long=-46.74695&amp;tipo=C","QRCODE")</f>
        <v>QRCODE</v>
      </c>
      <c r="C3281" t="s">
        <v>5351</v>
      </c>
      <c r="D3281" t="s">
        <v>541</v>
      </c>
      <c r="E3281" t="s">
        <v>146</v>
      </c>
      <c r="F3281" t="s">
        <v>12</v>
      </c>
      <c r="G3281" t="s">
        <v>3845</v>
      </c>
      <c r="H3281">
        <v>0</v>
      </c>
      <c r="I3281">
        <v>1</v>
      </c>
      <c r="J3281">
        <v>0</v>
      </c>
      <c r="K3281">
        <v>0</v>
      </c>
      <c r="L3281">
        <v>0</v>
      </c>
    </row>
    <row r="3282" spans="1:12">
      <c r="A3282" t="str">
        <f>HYPERLINK("http://bombeiros.sp.gov.br/hidrantes/03individual/1211.html","1211")</f>
        <v>1211</v>
      </c>
      <c r="B3282" t="str">
        <f>HYPERLINK("http://bombeiros.sp.gov.br/hidrantes/08bsg/qrcodeBSG.html?id=1211&amp;lat=-23.55083&amp;long=-46.74442&amp;tipo=S","QRCODE")</f>
        <v>QRCODE</v>
      </c>
      <c r="C3282" t="s">
        <v>5351</v>
      </c>
      <c r="D3282" t="s">
        <v>541</v>
      </c>
      <c r="E3282" t="s">
        <v>146</v>
      </c>
      <c r="F3282" t="s">
        <v>21</v>
      </c>
      <c r="G3282" t="s">
        <v>571</v>
      </c>
      <c r="H3282">
        <v>0</v>
      </c>
      <c r="I3282">
        <v>2</v>
      </c>
      <c r="J3282">
        <v>0</v>
      </c>
      <c r="K3282">
        <v>0</v>
      </c>
      <c r="L3282">
        <v>0</v>
      </c>
    </row>
    <row r="3283" spans="1:12">
      <c r="A3283" t="str">
        <f>HYPERLINK("http://bombeiros.sp.gov.br/hidrantes/03individual/1216.html","1216")</f>
        <v>1216</v>
      </c>
      <c r="B3283" t="str">
        <f>HYPERLINK("http://bombeiros.sp.gov.br/hidrantes/08bsg/qrcodeBSG.html?id=1216&amp;lat=-23.55357&amp;long=-46.75028&amp;tipo=S","QRCODE")</f>
        <v>QRCODE</v>
      </c>
      <c r="C3283" t="s">
        <v>5351</v>
      </c>
      <c r="D3283" t="s">
        <v>541</v>
      </c>
      <c r="E3283" t="s">
        <v>146</v>
      </c>
      <c r="F3283" t="s">
        <v>21</v>
      </c>
      <c r="G3283" t="s">
        <v>4469</v>
      </c>
      <c r="H3283">
        <v>0</v>
      </c>
      <c r="I3283">
        <v>2</v>
      </c>
      <c r="J3283">
        <v>0</v>
      </c>
      <c r="K3283">
        <v>0</v>
      </c>
      <c r="L3283">
        <v>0</v>
      </c>
    </row>
    <row r="3284" spans="1:12">
      <c r="A3284" t="str">
        <f>HYPERLINK("http://bombeiros.sp.gov.br/hidrantes/03individual/1366.html","1366")</f>
        <v>1366</v>
      </c>
      <c r="B3284" t="str">
        <f>HYPERLINK("http://bombeiros.sp.gov.br/hidrantes/08bsg/qrcodeBSG.html?id=1366&amp;lat=-23.54773&amp;long=-46.75898&amp;tipo=S","QRCODE")</f>
        <v>QRCODE</v>
      </c>
      <c r="C3284" t="s">
        <v>5351</v>
      </c>
      <c r="D3284" t="s">
        <v>541</v>
      </c>
      <c r="E3284" t="s">
        <v>146</v>
      </c>
      <c r="F3284" t="s">
        <v>21</v>
      </c>
      <c r="G3284" t="s">
        <v>172</v>
      </c>
      <c r="H3284">
        <v>0</v>
      </c>
      <c r="I3284">
        <v>2</v>
      </c>
      <c r="J3284">
        <v>0</v>
      </c>
      <c r="K3284">
        <v>0</v>
      </c>
      <c r="L3284">
        <v>0</v>
      </c>
    </row>
    <row r="3285" spans="1:12">
      <c r="A3285" t="str">
        <f>HYPERLINK("http://bombeiros.sp.gov.br/hidrantes/03individual/4254.html","4254")</f>
        <v>4254</v>
      </c>
      <c r="B3285" t="str">
        <f>HYPERLINK("http://bombeiros.sp.gov.br/hidrantes/08bsg/qrcodeBSG.html?id=4254&amp;lat=-23.54192&amp;long=-46.75693&amp;tipo=S","QRCODE")</f>
        <v>QRCODE</v>
      </c>
      <c r="C3285" t="s">
        <v>5351</v>
      </c>
      <c r="D3285" t="s">
        <v>541</v>
      </c>
      <c r="E3285" t="s">
        <v>146</v>
      </c>
      <c r="F3285" t="s">
        <v>21</v>
      </c>
      <c r="G3285" t="s">
        <v>3165</v>
      </c>
      <c r="H3285">
        <v>2</v>
      </c>
      <c r="I3285">
        <v>2</v>
      </c>
      <c r="J3285">
        <v>0</v>
      </c>
      <c r="K3285">
        <v>0</v>
      </c>
      <c r="L3285">
        <v>0</v>
      </c>
    </row>
    <row r="3286" spans="1:12">
      <c r="A3286" t="str">
        <f>HYPERLINK("http://bombeiros.sp.gov.br/hidrantes/03individual/17809.html","17809")</f>
        <v>17809</v>
      </c>
      <c r="B3286" t="str">
        <f>HYPERLINK("http://bombeiros.sp.gov.br/hidrantes/08bsg/qrcodeBSG.html?id=17809&amp;lat=-23.55454&amp;long=-46.74688&amp;tipo=S","QRCODE")</f>
        <v>QRCODE</v>
      </c>
      <c r="C3286" t="s">
        <v>5351</v>
      </c>
      <c r="D3286" t="s">
        <v>541</v>
      </c>
      <c r="E3286" t="s">
        <v>146</v>
      </c>
      <c r="F3286" t="s">
        <v>21</v>
      </c>
      <c r="G3286" t="s">
        <v>234</v>
      </c>
      <c r="H3286">
        <v>1</v>
      </c>
      <c r="I3286">
        <v>2</v>
      </c>
      <c r="J3286">
        <v>0</v>
      </c>
      <c r="K3286">
        <v>0</v>
      </c>
      <c r="L3286">
        <v>0</v>
      </c>
    </row>
    <row r="3287" spans="1:12">
      <c r="A3287" t="str">
        <f>HYPERLINK("http://bombeiros.sp.gov.br/hidrantes/03individual/17813.html","17813")</f>
        <v>17813</v>
      </c>
      <c r="B3287" t="str">
        <f>HYPERLINK("http://bombeiros.sp.gov.br/hidrantes/08bsg/qrcodeBSG.html?id=17813&amp;lat=-23.54828&amp;long=-46.74964&amp;tipo=S","QRCODE")</f>
        <v>QRCODE</v>
      </c>
      <c r="C3287" t="s">
        <v>5351</v>
      </c>
      <c r="D3287" t="s">
        <v>541</v>
      </c>
      <c r="E3287" t="s">
        <v>146</v>
      </c>
      <c r="F3287" t="s">
        <v>21</v>
      </c>
      <c r="G3287" t="s">
        <v>3341</v>
      </c>
      <c r="H3287">
        <v>0</v>
      </c>
      <c r="I3287">
        <v>2</v>
      </c>
      <c r="J3287">
        <v>0</v>
      </c>
      <c r="K3287">
        <v>0</v>
      </c>
      <c r="L3287">
        <v>0</v>
      </c>
    </row>
    <row r="3288" spans="1:12">
      <c r="A3288" t="str">
        <f>HYPERLINK("http://bombeiros.sp.gov.br/hidrantes/03individual/25223.html","25223")</f>
        <v>25223</v>
      </c>
      <c r="B3288" t="str">
        <f>HYPERLINK("http://bombeiros.sp.gov.br/hidrantes/08bsg/qrcodeBSG.html?id=25223&amp;lat=-23.55111&amp;long=-46.74969&amp;tipo=S","QRCODE")</f>
        <v>QRCODE</v>
      </c>
      <c r="C3288" t="s">
        <v>5351</v>
      </c>
      <c r="D3288" t="s">
        <v>541</v>
      </c>
      <c r="E3288" t="s">
        <v>146</v>
      </c>
      <c r="F3288" t="s">
        <v>21</v>
      </c>
      <c r="G3288" t="s">
        <v>226</v>
      </c>
      <c r="H3288">
        <v>0</v>
      </c>
      <c r="I3288">
        <v>2</v>
      </c>
      <c r="J3288">
        <v>0</v>
      </c>
      <c r="K3288">
        <v>0</v>
      </c>
      <c r="L3288">
        <v>0</v>
      </c>
    </row>
    <row r="3289" spans="1:12">
      <c r="A3289" t="str">
        <f>HYPERLINK("http://bombeiros.sp.gov.br/hidrantes/03individual/25229.html","25229")</f>
        <v>25229</v>
      </c>
      <c r="B3289" t="str">
        <f>HYPERLINK("http://bombeiros.sp.gov.br/hidrantes/08bsg/qrcodeBSG.html?id=25229&amp;lat=-23.55772&amp;long=-46.74730&amp;tipo=S","QRCODE")</f>
        <v>QRCODE</v>
      </c>
      <c r="C3289" t="s">
        <v>5351</v>
      </c>
      <c r="D3289" t="s">
        <v>541</v>
      </c>
      <c r="E3289" t="s">
        <v>146</v>
      </c>
      <c r="F3289" t="s">
        <v>21</v>
      </c>
      <c r="G3289" t="s">
        <v>227</v>
      </c>
      <c r="H3289">
        <v>0</v>
      </c>
      <c r="I3289">
        <v>3</v>
      </c>
      <c r="J3289">
        <v>0</v>
      </c>
      <c r="K3289">
        <v>0</v>
      </c>
      <c r="L3289">
        <v>0</v>
      </c>
    </row>
    <row r="3290" spans="1:12">
      <c r="A3290" t="str">
        <f>HYPERLINK("http://bombeiros.sp.gov.br/hidrantes/03individual/27326.html","27326")</f>
        <v>27326</v>
      </c>
      <c r="B3290" t="str">
        <f>HYPERLINK("http://bombeiros.sp.gov.br/hidrantes/08bsg/qrcodeBSG.html?id=27326&amp;lat=-23.55476&amp;long=-46.75122&amp;tipo=S","QRCODE")</f>
        <v>QRCODE</v>
      </c>
      <c r="C3290" t="s">
        <v>5351</v>
      </c>
      <c r="D3290" t="s">
        <v>541</v>
      </c>
      <c r="E3290" t="s">
        <v>146</v>
      </c>
      <c r="F3290" t="s">
        <v>21</v>
      </c>
      <c r="G3290" t="s">
        <v>5360</v>
      </c>
      <c r="H3290">
        <v>0</v>
      </c>
      <c r="I3290">
        <v>0</v>
      </c>
      <c r="J3290">
        <v>0</v>
      </c>
      <c r="K3290">
        <v>0</v>
      </c>
      <c r="L3290">
        <v>0</v>
      </c>
    </row>
    <row r="3291" spans="1:12">
      <c r="A3291" t="str">
        <f>HYPERLINK("http://bombeiros.sp.gov.br/hidrantes/03individual/491.html","491")</f>
        <v>491</v>
      </c>
      <c r="B3291" t="str">
        <f>HYPERLINK("http://bombeiros.sp.gov.br/hidrantes/08bsg/qrcodeBSG.html?id=491&amp;lat=-23.57091&amp;long=-46.65246&amp;tipo=C","QRCODE")</f>
        <v>QRCODE</v>
      </c>
      <c r="C3291" t="s">
        <v>5351</v>
      </c>
      <c r="D3291" t="s">
        <v>5361</v>
      </c>
      <c r="E3291" t="s">
        <v>603</v>
      </c>
      <c r="F3291" t="s">
        <v>12</v>
      </c>
      <c r="G3291" t="s">
        <v>1933</v>
      </c>
      <c r="H3291">
        <v>0</v>
      </c>
      <c r="I3291">
        <v>2</v>
      </c>
      <c r="J3291">
        <v>0</v>
      </c>
      <c r="K3291">
        <v>0</v>
      </c>
      <c r="L3291">
        <v>0</v>
      </c>
    </row>
    <row r="3292" spans="1:12">
      <c r="A3292" t="str">
        <f>HYPERLINK("http://bombeiros.sp.gov.br/hidrantes/03individual/2625.html","2625")</f>
        <v>2625</v>
      </c>
      <c r="B3292" t="str">
        <f>HYPERLINK("http://bombeiros.sp.gov.br/hidrantes/08bsg/qrcodeBSG.html?id=2625&amp;lat=-23.56620&amp;long=-46.65099&amp;tipo=C","QRCODE")</f>
        <v>QRCODE</v>
      </c>
      <c r="C3292" t="s">
        <v>5351</v>
      </c>
      <c r="D3292" t="s">
        <v>5361</v>
      </c>
      <c r="E3292" t="s">
        <v>603</v>
      </c>
      <c r="F3292" t="s">
        <v>12</v>
      </c>
      <c r="G3292" t="s">
        <v>2779</v>
      </c>
      <c r="H3292">
        <v>0</v>
      </c>
      <c r="I3292">
        <v>2</v>
      </c>
      <c r="J3292">
        <v>0</v>
      </c>
      <c r="K3292">
        <v>0</v>
      </c>
      <c r="L3292">
        <v>0</v>
      </c>
    </row>
    <row r="3293" spans="1:12">
      <c r="A3293" t="str">
        <f>HYPERLINK("http://bombeiros.sp.gov.br/hidrantes/03individual/162.html","162")</f>
        <v>162</v>
      </c>
      <c r="B3293" t="str">
        <f>HYPERLINK("http://bombeiros.sp.gov.br/hidrantes/08bsg/qrcodeBSG.html?id=162&amp;lat=-23.56633&amp;long=-46.65654&amp;tipo=S","QRCODE")</f>
        <v>QRCODE</v>
      </c>
      <c r="C3293" t="s">
        <v>5351</v>
      </c>
      <c r="D3293" t="s">
        <v>5361</v>
      </c>
      <c r="E3293" t="s">
        <v>603</v>
      </c>
      <c r="F3293" t="s">
        <v>21</v>
      </c>
      <c r="G3293" t="s">
        <v>602</v>
      </c>
      <c r="H3293">
        <v>0</v>
      </c>
      <c r="I3293">
        <v>2</v>
      </c>
      <c r="J3293">
        <v>0</v>
      </c>
      <c r="K3293">
        <v>0</v>
      </c>
      <c r="L3293">
        <v>0</v>
      </c>
    </row>
    <row r="3294" spans="1:12">
      <c r="A3294" t="str">
        <f>HYPERLINK("http://bombeiros.sp.gov.br/hidrantes/03individual/2622.html","2622")</f>
        <v>2622</v>
      </c>
      <c r="B3294" t="str">
        <f>HYPERLINK("http://bombeiros.sp.gov.br/hidrantes/08bsg/qrcodeBSG.html?id=2622&amp;lat=-23.56796&amp;long=-46.65284&amp;tipo=S","QRCODE")</f>
        <v>QRCODE</v>
      </c>
      <c r="C3294" t="s">
        <v>5351</v>
      </c>
      <c r="D3294" t="s">
        <v>5361</v>
      </c>
      <c r="E3294" t="s">
        <v>603</v>
      </c>
      <c r="F3294" t="s">
        <v>21</v>
      </c>
      <c r="G3294" t="s">
        <v>3334</v>
      </c>
      <c r="H3294">
        <v>0</v>
      </c>
      <c r="I3294">
        <v>2</v>
      </c>
      <c r="J3294">
        <v>0</v>
      </c>
      <c r="K3294">
        <v>0</v>
      </c>
      <c r="L3294">
        <v>0</v>
      </c>
    </row>
    <row r="3295" spans="1:12">
      <c r="A3295" t="str">
        <f>HYPERLINK("http://bombeiros.sp.gov.br/hidrantes/03individual/2639.html","2639")</f>
        <v>2639</v>
      </c>
      <c r="B3295" t="str">
        <f>HYPERLINK("http://bombeiros.sp.gov.br/hidrantes/08bsg/qrcodeBSG.html?id=2639&amp;lat=-23.56840&amp;long=-46.64993&amp;tipo=S","QRCODE")</f>
        <v>QRCODE</v>
      </c>
      <c r="C3295" t="s">
        <v>5351</v>
      </c>
      <c r="D3295" t="s">
        <v>5361</v>
      </c>
      <c r="E3295" t="s">
        <v>603</v>
      </c>
      <c r="F3295" t="s">
        <v>21</v>
      </c>
      <c r="G3295" t="s">
        <v>2780</v>
      </c>
      <c r="H3295">
        <v>1</v>
      </c>
      <c r="I3295">
        <v>1</v>
      </c>
      <c r="J3295">
        <v>0</v>
      </c>
      <c r="K3295">
        <v>0</v>
      </c>
      <c r="L3295">
        <v>0</v>
      </c>
    </row>
    <row r="3296" spans="1:12">
      <c r="A3296" t="str">
        <f>HYPERLINK("http://bombeiros.sp.gov.br/hidrantes/03individual/5601.html","5601")</f>
        <v>5601</v>
      </c>
      <c r="B3296" t="str">
        <f>HYPERLINK("http://bombeiros.sp.gov.br/hidrantes/08bsg/qrcodeBSG.html?id=5601&amp;lat=-23.56661&amp;long=-46.65515&amp;tipo=S","QRCODE")</f>
        <v>QRCODE</v>
      </c>
      <c r="C3296" t="s">
        <v>5351</v>
      </c>
      <c r="D3296" t="s">
        <v>5361</v>
      </c>
      <c r="E3296" t="s">
        <v>603</v>
      </c>
      <c r="F3296" t="s">
        <v>21</v>
      </c>
      <c r="G3296" t="s">
        <v>618</v>
      </c>
      <c r="H3296">
        <v>0</v>
      </c>
      <c r="I3296">
        <v>2</v>
      </c>
      <c r="J3296">
        <v>0</v>
      </c>
      <c r="K3296">
        <v>0</v>
      </c>
      <c r="L3296">
        <v>0</v>
      </c>
    </row>
    <row r="3297" spans="1:12">
      <c r="A3297" t="str">
        <f>HYPERLINK("http://bombeiros.sp.gov.br/hidrantes/03individual/17744.html","17744")</f>
        <v>17744</v>
      </c>
      <c r="B3297" t="str">
        <f>HYPERLINK("http://bombeiros.sp.gov.br/hidrantes/08bsg/qrcodeBSG.html?id=17744&amp;lat=-23.56292&amp;long=-46.65665&amp;tipo=S","QRCODE")</f>
        <v>QRCODE</v>
      </c>
      <c r="C3297" t="s">
        <v>5351</v>
      </c>
      <c r="D3297" t="s">
        <v>5361</v>
      </c>
      <c r="E3297" t="s">
        <v>603</v>
      </c>
      <c r="F3297" t="s">
        <v>21</v>
      </c>
      <c r="G3297" t="s">
        <v>5216</v>
      </c>
      <c r="H3297">
        <v>1</v>
      </c>
      <c r="I3297">
        <v>0</v>
      </c>
      <c r="J3297">
        <v>0</v>
      </c>
      <c r="K3297">
        <v>0</v>
      </c>
      <c r="L3297">
        <v>0</v>
      </c>
    </row>
    <row r="3298" spans="1:12">
      <c r="A3298" t="str">
        <f>HYPERLINK("http://bombeiros.sp.gov.br/hidrantes/03individual/26794.html","26794")</f>
        <v>26794</v>
      </c>
      <c r="B3298" t="str">
        <f>HYPERLINK("http://bombeiros.sp.gov.br/hidrantes/08bsg/qrcodeBSG.html?id=26794&amp;lat=-23.56715&amp;long=-46.65202&amp;tipo=S","QRCODE")</f>
        <v>QRCODE</v>
      </c>
      <c r="C3298" t="s">
        <v>5351</v>
      </c>
      <c r="D3298" t="s">
        <v>5361</v>
      </c>
      <c r="E3298" t="s">
        <v>603</v>
      </c>
      <c r="F3298" t="s">
        <v>21</v>
      </c>
      <c r="G3298" t="s">
        <v>3782</v>
      </c>
      <c r="H3298">
        <v>0</v>
      </c>
      <c r="I3298">
        <v>1</v>
      </c>
      <c r="J3298">
        <v>0</v>
      </c>
      <c r="K3298">
        <v>0</v>
      </c>
      <c r="L3298">
        <v>0</v>
      </c>
    </row>
    <row r="3299" spans="1:12">
      <c r="A3299" t="str">
        <f>HYPERLINK("http://bombeiros.sp.gov.br/hidrantes/03individual/26812.html","26812")</f>
        <v>26812</v>
      </c>
      <c r="B3299" t="str">
        <f>HYPERLINK("http://bombeiros.sp.gov.br/hidrantes/08bsg/qrcodeBSG.html?id=26812&amp;lat=-23.56950&amp;long=-46.65092&amp;tipo=S","QRCODE")</f>
        <v>QRCODE</v>
      </c>
      <c r="C3299" t="s">
        <v>5351</v>
      </c>
      <c r="D3299" t="s">
        <v>5361</v>
      </c>
      <c r="E3299" t="s">
        <v>603</v>
      </c>
      <c r="F3299" t="s">
        <v>21</v>
      </c>
      <c r="G3299" t="s">
        <v>3784</v>
      </c>
      <c r="H3299">
        <v>0</v>
      </c>
      <c r="I3299">
        <v>1</v>
      </c>
      <c r="J3299">
        <v>0</v>
      </c>
      <c r="K3299">
        <v>0</v>
      </c>
      <c r="L3299">
        <v>0</v>
      </c>
    </row>
    <row r="3300" spans="1:12">
      <c r="A3300" t="str">
        <f>HYPERLINK("http://bombeiros.sp.gov.br/hidrantes/03individual/1927.html","1927")</f>
        <v>1927</v>
      </c>
      <c r="B3300" t="str">
        <f>HYPERLINK("http://bombeiros.sp.gov.br/hidrantes/08bsg/qrcodeBSG.html?id=1927&amp;lat=-23.55906&amp;long=-46.68031&amp;tipo=C","QRCODE")</f>
        <v>QRCODE</v>
      </c>
      <c r="C3300" t="s">
        <v>5351</v>
      </c>
      <c r="D3300" t="s">
        <v>5361</v>
      </c>
      <c r="E3300" t="s">
        <v>1219</v>
      </c>
      <c r="F3300" t="s">
        <v>12</v>
      </c>
      <c r="G3300" t="s">
        <v>1570</v>
      </c>
      <c r="H3300">
        <v>1</v>
      </c>
      <c r="I3300">
        <v>2</v>
      </c>
      <c r="J3300">
        <v>0</v>
      </c>
      <c r="K3300">
        <v>0</v>
      </c>
      <c r="L3300">
        <v>0</v>
      </c>
    </row>
    <row r="3301" spans="1:12">
      <c r="A3301" t="str">
        <f>HYPERLINK("http://bombeiros.sp.gov.br/hidrantes/03individual/1938.html","1938")</f>
        <v>1938</v>
      </c>
      <c r="B3301" t="str">
        <f>HYPERLINK("http://bombeiros.sp.gov.br/hidrantes/08bsg/qrcodeBSG.html?id=1938&amp;lat=-23.55729&amp;long=-46.67721&amp;tipo=C","QRCODE")</f>
        <v>QRCODE</v>
      </c>
      <c r="C3301" t="s">
        <v>5351</v>
      </c>
      <c r="D3301" t="s">
        <v>5361</v>
      </c>
      <c r="E3301" t="s">
        <v>1219</v>
      </c>
      <c r="F3301" t="s">
        <v>12</v>
      </c>
      <c r="G3301" t="s">
        <v>1220</v>
      </c>
      <c r="H3301">
        <v>1</v>
      </c>
      <c r="I3301">
        <v>2</v>
      </c>
      <c r="J3301">
        <v>0</v>
      </c>
      <c r="K3301">
        <v>0</v>
      </c>
      <c r="L3301">
        <v>0</v>
      </c>
    </row>
    <row r="3302" spans="1:12">
      <c r="A3302" t="str">
        <f>HYPERLINK("http://bombeiros.sp.gov.br/hidrantes/03individual/2228.html","2228")</f>
        <v>2228</v>
      </c>
      <c r="B3302" t="str">
        <f>HYPERLINK("http://bombeiros.sp.gov.br/hidrantes/08bsg/qrcodeBSG.html?id=2228&amp;lat=-23.55646&amp;long=-46.67931&amp;tipo=C","QRCODE")</f>
        <v>QRCODE</v>
      </c>
      <c r="C3302" t="s">
        <v>5351</v>
      </c>
      <c r="D3302" t="s">
        <v>5361</v>
      </c>
      <c r="E3302" t="s">
        <v>1219</v>
      </c>
      <c r="F3302" t="s">
        <v>12</v>
      </c>
      <c r="G3302" t="s">
        <v>3195</v>
      </c>
      <c r="H3302">
        <v>0</v>
      </c>
      <c r="I3302">
        <v>2</v>
      </c>
      <c r="J3302">
        <v>0</v>
      </c>
      <c r="K3302">
        <v>0</v>
      </c>
      <c r="L3302">
        <v>0</v>
      </c>
    </row>
    <row r="3303" spans="1:12">
      <c r="A3303" t="str">
        <f>HYPERLINK("http://bombeiros.sp.gov.br/hidrantes/03individual/2733.html","2733")</f>
        <v>2733</v>
      </c>
      <c r="B3303" t="str">
        <f>HYPERLINK("http://bombeiros.sp.gov.br/hidrantes/08bsg/qrcodeBSG.html?id=2733&amp;lat=-23.55486&amp;long=-46.66963&amp;tipo=C","QRCODE")</f>
        <v>QRCODE</v>
      </c>
      <c r="C3303" t="s">
        <v>5351</v>
      </c>
      <c r="D3303" t="s">
        <v>5361</v>
      </c>
      <c r="E3303" t="s">
        <v>1219</v>
      </c>
      <c r="F3303" t="s">
        <v>12</v>
      </c>
      <c r="G3303" t="s">
        <v>1884</v>
      </c>
      <c r="H3303">
        <v>0</v>
      </c>
      <c r="I3303">
        <v>2</v>
      </c>
      <c r="J3303">
        <v>0</v>
      </c>
      <c r="K3303">
        <v>0</v>
      </c>
      <c r="L3303">
        <v>0</v>
      </c>
    </row>
    <row r="3304" spans="1:12">
      <c r="A3304" t="str">
        <f>HYPERLINK("http://bombeiros.sp.gov.br/hidrantes/03individual/4276.html","4276")</f>
        <v>4276</v>
      </c>
      <c r="B3304" t="str">
        <f>HYPERLINK("http://bombeiros.sp.gov.br/hidrantes/08bsg/qrcodeBSG.html?id=4276&amp;lat=-23.55690&amp;long=-46.66987&amp;tipo=C","QRCODE")</f>
        <v>QRCODE</v>
      </c>
      <c r="C3304" t="s">
        <v>5351</v>
      </c>
      <c r="D3304" t="s">
        <v>5361</v>
      </c>
      <c r="E3304" t="s">
        <v>1219</v>
      </c>
      <c r="F3304" t="s">
        <v>12</v>
      </c>
      <c r="G3304" t="s">
        <v>1898</v>
      </c>
      <c r="H3304">
        <v>0</v>
      </c>
      <c r="I3304">
        <v>2</v>
      </c>
      <c r="J3304">
        <v>0</v>
      </c>
      <c r="K3304">
        <v>0</v>
      </c>
      <c r="L3304">
        <v>0</v>
      </c>
    </row>
    <row r="3305" spans="1:12">
      <c r="A3305" t="str">
        <f>HYPERLINK("http://bombeiros.sp.gov.br/hidrantes/03individual/100.html","100")</f>
        <v>100</v>
      </c>
      <c r="B3305" t="str">
        <f>HYPERLINK("http://bombeiros.sp.gov.br/hidrantes/08bsg/qrcodeBSG.html?id=100&amp;lat=-23.56092&amp;long=-46.67858&amp;tipo=S","QRCODE")</f>
        <v>QRCODE</v>
      </c>
      <c r="C3305" t="s">
        <v>5351</v>
      </c>
      <c r="D3305" t="s">
        <v>5361</v>
      </c>
      <c r="E3305" t="s">
        <v>1219</v>
      </c>
      <c r="F3305" t="s">
        <v>21</v>
      </c>
      <c r="G3305" t="s">
        <v>1586</v>
      </c>
      <c r="H3305">
        <v>0</v>
      </c>
      <c r="I3305">
        <v>3</v>
      </c>
      <c r="J3305">
        <v>0</v>
      </c>
      <c r="K3305">
        <v>0</v>
      </c>
      <c r="L3305">
        <v>0</v>
      </c>
    </row>
    <row r="3306" spans="1:12">
      <c r="A3306" t="str">
        <f>HYPERLINK("http://bombeiros.sp.gov.br/hidrantes/03individual/1932.html","1932")</f>
        <v>1932</v>
      </c>
      <c r="B3306" t="str">
        <f>HYPERLINK("http://bombeiros.sp.gov.br/hidrantes/08bsg/qrcodeBSG.html?id=1932&amp;lat=-23.55810&amp;long=-46.67817&amp;tipo=S","QRCODE")</f>
        <v>QRCODE</v>
      </c>
      <c r="C3306" t="s">
        <v>5351</v>
      </c>
      <c r="D3306" t="s">
        <v>5361</v>
      </c>
      <c r="E3306" t="s">
        <v>1219</v>
      </c>
      <c r="F3306" t="s">
        <v>21</v>
      </c>
      <c r="G3306" t="s">
        <v>1218</v>
      </c>
      <c r="H3306">
        <v>0</v>
      </c>
      <c r="I3306">
        <v>2</v>
      </c>
      <c r="J3306">
        <v>0</v>
      </c>
      <c r="K3306">
        <v>0</v>
      </c>
      <c r="L3306">
        <v>0</v>
      </c>
    </row>
    <row r="3307" spans="1:12">
      <c r="A3307" t="str">
        <f>HYPERLINK("http://bombeiros.sp.gov.br/hidrantes/03individual/1940.html","1940")</f>
        <v>1940</v>
      </c>
      <c r="B3307" t="str">
        <f>HYPERLINK("http://bombeiros.sp.gov.br/hidrantes/08bsg/qrcodeBSG.html?id=1940&amp;lat=-23.55519&amp;long=-46.67391&amp;tipo=S","QRCODE")</f>
        <v>QRCODE</v>
      </c>
      <c r="C3307" t="s">
        <v>5351</v>
      </c>
      <c r="D3307" t="s">
        <v>5361</v>
      </c>
      <c r="E3307" t="s">
        <v>1219</v>
      </c>
      <c r="F3307" t="s">
        <v>21</v>
      </c>
      <c r="G3307" t="s">
        <v>1221</v>
      </c>
      <c r="H3307">
        <v>0</v>
      </c>
      <c r="I3307">
        <v>3</v>
      </c>
      <c r="J3307">
        <v>0</v>
      </c>
      <c r="K3307">
        <v>0</v>
      </c>
      <c r="L3307">
        <v>0</v>
      </c>
    </row>
    <row r="3308" spans="1:12">
      <c r="A3308" t="str">
        <f>HYPERLINK("http://bombeiros.sp.gov.br/hidrantes/03individual/2316.html","2316")</f>
        <v>2316</v>
      </c>
      <c r="B3308" t="str">
        <f>HYPERLINK("http://bombeiros.sp.gov.br/hidrantes/08bsg/qrcodeBSG.html?id=2316&amp;lat=-23.56220&amp;long=-46.67516&amp;tipo=S","QRCODE")</f>
        <v>QRCODE</v>
      </c>
      <c r="C3308" t="s">
        <v>5351</v>
      </c>
      <c r="D3308" t="s">
        <v>5361</v>
      </c>
      <c r="E3308" t="s">
        <v>1219</v>
      </c>
      <c r="F3308" t="s">
        <v>21</v>
      </c>
      <c r="G3308" t="s">
        <v>4959</v>
      </c>
      <c r="H3308">
        <v>0</v>
      </c>
      <c r="I3308">
        <v>1</v>
      </c>
      <c r="J3308">
        <v>0</v>
      </c>
      <c r="K3308">
        <v>0</v>
      </c>
      <c r="L3308">
        <v>0</v>
      </c>
    </row>
    <row r="3309" spans="1:12">
      <c r="A3309" t="str">
        <f>HYPERLINK("http://bombeiros.sp.gov.br/hidrantes/03individual/2450.html","2450")</f>
        <v>2450</v>
      </c>
      <c r="B3309" t="str">
        <f>HYPERLINK("http://bombeiros.sp.gov.br/hidrantes/08bsg/qrcodeBSG.html?id=2450&amp;lat=-23.56089&amp;long=-46.67303&amp;tipo=S","QRCODE")</f>
        <v>QRCODE</v>
      </c>
      <c r="C3309" t="s">
        <v>5351</v>
      </c>
      <c r="D3309" t="s">
        <v>5361</v>
      </c>
      <c r="E3309" t="s">
        <v>1219</v>
      </c>
      <c r="F3309" t="s">
        <v>21</v>
      </c>
      <c r="G3309" t="s">
        <v>4833</v>
      </c>
      <c r="H3309">
        <v>1</v>
      </c>
      <c r="I3309">
        <v>1</v>
      </c>
      <c r="J3309">
        <v>0</v>
      </c>
      <c r="K3309">
        <v>0</v>
      </c>
      <c r="L3309">
        <v>0</v>
      </c>
    </row>
    <row r="3310" spans="1:12">
      <c r="A3310" t="str">
        <f>HYPERLINK("http://bombeiros.sp.gov.br/hidrantes/03individual/2503.html","2503")</f>
        <v>2503</v>
      </c>
      <c r="B3310" t="str">
        <f>HYPERLINK("http://bombeiros.sp.gov.br/hidrantes/08bsg/qrcodeBSG.html?id=2503&amp;lat=-23.55555&amp;long=-46.67850&amp;tipo=S","QRCODE")</f>
        <v>QRCODE</v>
      </c>
      <c r="C3310" t="s">
        <v>5351</v>
      </c>
      <c r="D3310" t="s">
        <v>5361</v>
      </c>
      <c r="E3310" t="s">
        <v>1219</v>
      </c>
      <c r="F3310" t="s">
        <v>21</v>
      </c>
      <c r="G3310" t="s">
        <v>2202</v>
      </c>
      <c r="H3310">
        <v>0</v>
      </c>
      <c r="I3310">
        <v>2</v>
      </c>
      <c r="J3310">
        <v>0</v>
      </c>
      <c r="K3310">
        <v>0</v>
      </c>
      <c r="L3310">
        <v>0</v>
      </c>
    </row>
    <row r="3311" spans="1:12">
      <c r="A3311" t="str">
        <f>HYPERLINK("http://bombeiros.sp.gov.br/hidrantes/03individual/5639.html","5639")</f>
        <v>5639</v>
      </c>
      <c r="B3311" t="str">
        <f>HYPERLINK("http://bombeiros.sp.gov.br/hidrantes/08bsg/qrcodeBSG.html?id=5639&amp;lat=-23.55434&amp;long=-46.67295&amp;tipo=S","QRCODE")</f>
        <v>QRCODE</v>
      </c>
      <c r="C3311" t="s">
        <v>5351</v>
      </c>
      <c r="D3311" t="s">
        <v>5361</v>
      </c>
      <c r="E3311" t="s">
        <v>1219</v>
      </c>
      <c r="F3311" t="s">
        <v>21</v>
      </c>
      <c r="G3311" t="s">
        <v>3398</v>
      </c>
      <c r="H3311">
        <v>0</v>
      </c>
      <c r="I3311">
        <v>1</v>
      </c>
      <c r="J3311">
        <v>0</v>
      </c>
      <c r="K3311">
        <v>0</v>
      </c>
      <c r="L3311">
        <v>0</v>
      </c>
    </row>
    <row r="3312" spans="1:12">
      <c r="A3312" t="str">
        <f>HYPERLINK("http://bombeiros.sp.gov.br/hidrantes/03individual/17745.html","17745")</f>
        <v>17745</v>
      </c>
      <c r="B3312" t="str">
        <f>HYPERLINK("http://bombeiros.sp.gov.br/hidrantes/08bsg/qrcodeBSG.html?id=17745&amp;lat=-23.55447&amp;long=-46.67218&amp;tipo=S","QRCODE")</f>
        <v>QRCODE</v>
      </c>
      <c r="C3312" t="s">
        <v>5351</v>
      </c>
      <c r="D3312" t="s">
        <v>5361</v>
      </c>
      <c r="E3312" t="s">
        <v>1219</v>
      </c>
      <c r="F3312" t="s">
        <v>21</v>
      </c>
      <c r="G3312" t="s">
        <v>5224</v>
      </c>
      <c r="H3312">
        <v>1</v>
      </c>
      <c r="I3312">
        <v>0</v>
      </c>
      <c r="J3312">
        <v>0</v>
      </c>
      <c r="K3312">
        <v>0</v>
      </c>
      <c r="L3312">
        <v>0</v>
      </c>
    </row>
    <row r="3313" spans="1:12">
      <c r="A3313" t="str">
        <f>HYPERLINK("http://bombeiros.sp.gov.br/hidrantes/03individual/26842.html","26842")</f>
        <v>26842</v>
      </c>
      <c r="B3313" t="str">
        <f>HYPERLINK("http://bombeiros.sp.gov.br/hidrantes/08bsg/qrcodeBSG.html?id=26842&amp;lat=-23.55495&amp;long=-46.67761&amp;tipo=S","QRCODE")</f>
        <v>QRCODE</v>
      </c>
      <c r="C3313" t="s">
        <v>5351</v>
      </c>
      <c r="D3313" t="s">
        <v>5361</v>
      </c>
      <c r="E3313" t="s">
        <v>1219</v>
      </c>
      <c r="F3313" t="s">
        <v>21</v>
      </c>
      <c r="G3313" t="s">
        <v>3410</v>
      </c>
      <c r="H3313">
        <v>0</v>
      </c>
      <c r="I3313">
        <v>1</v>
      </c>
      <c r="J3313">
        <v>0</v>
      </c>
      <c r="K3313">
        <v>0</v>
      </c>
      <c r="L3313">
        <v>0</v>
      </c>
    </row>
    <row r="3314" spans="1:12">
      <c r="A3314" t="str">
        <f>HYPERLINK("http://bombeiros.sp.gov.br/hidrantes/03individual/1552.html","1552")</f>
        <v>1552</v>
      </c>
      <c r="B3314" t="str">
        <f>HYPERLINK("http://bombeiros.sp.gov.br/hidrantes/08bsg/qrcodeBSG.html?id=1552&amp;lat=-23.58283&amp;long=-46.67005&amp;tipo=C","QRCODE")</f>
        <v>QRCODE</v>
      </c>
      <c r="C3314" t="s">
        <v>5351</v>
      </c>
      <c r="D3314" t="s">
        <v>5361</v>
      </c>
      <c r="E3314" t="s">
        <v>937</v>
      </c>
      <c r="F3314" t="s">
        <v>12</v>
      </c>
      <c r="G3314" t="s">
        <v>1558</v>
      </c>
      <c r="H3314">
        <v>1</v>
      </c>
      <c r="I3314">
        <v>2</v>
      </c>
      <c r="J3314">
        <v>0</v>
      </c>
      <c r="K3314">
        <v>0</v>
      </c>
      <c r="L3314">
        <v>0</v>
      </c>
    </row>
    <row r="3315" spans="1:12">
      <c r="A3315" t="str">
        <f>HYPERLINK("http://bombeiros.sp.gov.br/hidrantes/03individual/1845.html","1845")</f>
        <v>1845</v>
      </c>
      <c r="B3315" t="str">
        <f>HYPERLINK("http://bombeiros.sp.gov.br/hidrantes/08bsg/qrcodeBSG.html?id=1845&amp;lat=-23.57202&amp;long=-46.66952&amp;tipo=C","QRCODE")</f>
        <v>QRCODE</v>
      </c>
      <c r="C3315" t="s">
        <v>5351</v>
      </c>
      <c r="D3315" t="s">
        <v>5361</v>
      </c>
      <c r="E3315" t="s">
        <v>937</v>
      </c>
      <c r="F3315" t="s">
        <v>12</v>
      </c>
      <c r="G3315" t="s">
        <v>2051</v>
      </c>
      <c r="H3315">
        <v>0</v>
      </c>
      <c r="I3315">
        <v>2</v>
      </c>
      <c r="J3315">
        <v>0</v>
      </c>
      <c r="K3315">
        <v>0</v>
      </c>
      <c r="L3315">
        <v>0</v>
      </c>
    </row>
    <row r="3316" spans="1:12">
      <c r="A3316" t="str">
        <f>HYPERLINK("http://bombeiros.sp.gov.br/hidrantes/03individual/2095.html","2095")</f>
        <v>2095</v>
      </c>
      <c r="B3316" t="str">
        <f>HYPERLINK("http://bombeiros.sp.gov.br/hidrantes/08bsg/qrcodeBSG.html?id=2095&amp;lat=-23.56992&amp;long=-46.67635&amp;tipo=C","QRCODE")</f>
        <v>QRCODE</v>
      </c>
      <c r="C3316" t="s">
        <v>5351</v>
      </c>
      <c r="D3316" t="s">
        <v>5361</v>
      </c>
      <c r="E3316" t="s">
        <v>937</v>
      </c>
      <c r="F3316" t="s">
        <v>12</v>
      </c>
      <c r="G3316" t="s">
        <v>2052</v>
      </c>
      <c r="H3316">
        <v>0</v>
      </c>
      <c r="I3316">
        <v>2</v>
      </c>
      <c r="J3316">
        <v>0</v>
      </c>
      <c r="K3316">
        <v>0</v>
      </c>
      <c r="L3316">
        <v>0</v>
      </c>
    </row>
    <row r="3317" spans="1:12">
      <c r="A3317" t="str">
        <f>HYPERLINK("http://bombeiros.sp.gov.br/hidrantes/03individual/2189.html","2189")</f>
        <v>2189</v>
      </c>
      <c r="B3317" t="str">
        <f>HYPERLINK("http://bombeiros.sp.gov.br/hidrantes/08bsg/qrcodeBSG.html?id=2189&amp;lat=-23.57156&amp;long=-46.66334&amp;tipo=C","QRCODE")</f>
        <v>QRCODE</v>
      </c>
      <c r="C3317" t="s">
        <v>5351</v>
      </c>
      <c r="D3317" t="s">
        <v>5361</v>
      </c>
      <c r="E3317" t="s">
        <v>937</v>
      </c>
      <c r="F3317" t="s">
        <v>12</v>
      </c>
      <c r="G3317" t="s">
        <v>1874</v>
      </c>
      <c r="H3317">
        <v>0</v>
      </c>
      <c r="I3317">
        <v>3</v>
      </c>
      <c r="J3317">
        <v>0</v>
      </c>
      <c r="K3317">
        <v>0</v>
      </c>
      <c r="L3317">
        <v>0</v>
      </c>
    </row>
    <row r="3318" spans="1:12">
      <c r="A3318" t="str">
        <f>HYPERLINK("http://bombeiros.sp.gov.br/hidrantes/03individual/2276.html","2276")</f>
        <v>2276</v>
      </c>
      <c r="B3318" t="str">
        <f>HYPERLINK("http://bombeiros.sp.gov.br/hidrantes/08bsg/qrcodeBSG.html?id=2276&amp;lat=-23.56672&amp;long=-46.67067&amp;tipo=C","QRCODE")</f>
        <v>QRCODE</v>
      </c>
      <c r="C3318" t="s">
        <v>5351</v>
      </c>
      <c r="D3318" t="s">
        <v>5361</v>
      </c>
      <c r="E3318" t="s">
        <v>937</v>
      </c>
      <c r="F3318" t="s">
        <v>12</v>
      </c>
      <c r="G3318" t="s">
        <v>2021</v>
      </c>
      <c r="H3318">
        <v>0</v>
      </c>
      <c r="I3318">
        <v>2</v>
      </c>
      <c r="J3318">
        <v>0</v>
      </c>
      <c r="K3318">
        <v>0</v>
      </c>
      <c r="L3318">
        <v>0</v>
      </c>
    </row>
    <row r="3319" spans="1:12">
      <c r="A3319" t="str">
        <f>HYPERLINK("http://bombeiros.sp.gov.br/hidrantes/03individual/32.html","32")</f>
        <v>32</v>
      </c>
      <c r="B3319" t="str">
        <f>HYPERLINK("http://bombeiros.sp.gov.br/hidrantes/08bsg/qrcodeBSG.html?id=32&amp;lat=-23.57573&amp;long=-46.66244&amp;tipo=S","QRCODE")</f>
        <v>QRCODE</v>
      </c>
      <c r="C3319" t="s">
        <v>5351</v>
      </c>
      <c r="D3319" t="s">
        <v>5361</v>
      </c>
      <c r="E3319" t="s">
        <v>937</v>
      </c>
      <c r="F3319" t="s">
        <v>21</v>
      </c>
      <c r="G3319" t="s">
        <v>5129</v>
      </c>
      <c r="H3319">
        <v>0</v>
      </c>
      <c r="I3319">
        <v>1</v>
      </c>
      <c r="J3319">
        <v>0</v>
      </c>
      <c r="K3319">
        <v>0</v>
      </c>
      <c r="L3319">
        <v>0</v>
      </c>
    </row>
    <row r="3320" spans="1:12">
      <c r="A3320" t="str">
        <f>HYPERLINK("http://bombeiros.sp.gov.br/hidrantes/03individual/94.html","94")</f>
        <v>94</v>
      </c>
      <c r="B3320" t="str">
        <f>HYPERLINK("http://bombeiros.sp.gov.br/hidrantes/08bsg/qrcodeBSG.html?id=94&amp;lat=-23.57493&amp;long=-46.65947&amp;tipo=S","QRCODE")</f>
        <v>QRCODE</v>
      </c>
      <c r="C3320" t="s">
        <v>5351</v>
      </c>
      <c r="D3320" t="s">
        <v>5361</v>
      </c>
      <c r="E3320" t="s">
        <v>937</v>
      </c>
      <c r="F3320" t="s">
        <v>21</v>
      </c>
      <c r="G3320" t="s">
        <v>2815</v>
      </c>
      <c r="H3320">
        <v>0</v>
      </c>
      <c r="I3320">
        <v>2</v>
      </c>
      <c r="J3320">
        <v>0</v>
      </c>
      <c r="K3320">
        <v>0</v>
      </c>
      <c r="L3320">
        <v>0</v>
      </c>
    </row>
    <row r="3321" spans="1:12">
      <c r="A3321" t="str">
        <f>HYPERLINK("http://bombeiros.sp.gov.br/hidrantes/03individual/1773.html","1773")</f>
        <v>1773</v>
      </c>
      <c r="B3321" t="str">
        <f>HYPERLINK("http://bombeiros.sp.gov.br/hidrantes/08bsg/qrcodeBSG.html?id=1773&amp;lat=-23.57974&amp;long=-46.66742&amp;tipo=S","QRCODE")</f>
        <v>QRCODE</v>
      </c>
      <c r="C3321" t="s">
        <v>5351</v>
      </c>
      <c r="D3321" t="s">
        <v>5361</v>
      </c>
      <c r="E3321" t="s">
        <v>937</v>
      </c>
      <c r="F3321" t="s">
        <v>21</v>
      </c>
      <c r="G3321" t="s">
        <v>1919</v>
      </c>
      <c r="H3321">
        <v>0</v>
      </c>
      <c r="I3321">
        <v>2</v>
      </c>
      <c r="J3321">
        <v>0</v>
      </c>
      <c r="K3321">
        <v>0</v>
      </c>
      <c r="L3321">
        <v>0</v>
      </c>
    </row>
    <row r="3322" spans="1:12">
      <c r="A3322" t="str">
        <f>HYPERLINK("http://bombeiros.sp.gov.br/hidrantes/03individual/1785.html","1785")</f>
        <v>1785</v>
      </c>
      <c r="B3322" t="str">
        <f>HYPERLINK("http://bombeiros.sp.gov.br/hidrantes/08bsg/qrcodeBSG.html?id=1785&amp;lat=-23.57999&amp;long=-46.67061&amp;tipo=S","QRCODE")</f>
        <v>QRCODE</v>
      </c>
      <c r="C3322" t="s">
        <v>5351</v>
      </c>
      <c r="D3322" t="s">
        <v>5361</v>
      </c>
      <c r="E3322" t="s">
        <v>937</v>
      </c>
      <c r="F3322" t="s">
        <v>21</v>
      </c>
      <c r="G3322" t="s">
        <v>1920</v>
      </c>
      <c r="H3322">
        <v>0</v>
      </c>
      <c r="I3322">
        <v>2</v>
      </c>
      <c r="J3322">
        <v>0</v>
      </c>
      <c r="K3322">
        <v>0</v>
      </c>
      <c r="L3322">
        <v>0</v>
      </c>
    </row>
    <row r="3323" spans="1:12">
      <c r="A3323" t="str">
        <f>HYPERLINK("http://bombeiros.sp.gov.br/hidrantes/03individual/1839.html","1839")</f>
        <v>1839</v>
      </c>
      <c r="B3323" t="str">
        <f>HYPERLINK("http://bombeiros.sp.gov.br/hidrantes/08bsg/qrcodeBSG.html?id=1839&amp;lat=-23.57354&amp;long=-46.66343&amp;tipo=S","QRCODE")</f>
        <v>QRCODE</v>
      </c>
      <c r="C3323" t="s">
        <v>5351</v>
      </c>
      <c r="D3323" t="s">
        <v>5361</v>
      </c>
      <c r="E3323" t="s">
        <v>937</v>
      </c>
      <c r="F3323" t="s">
        <v>21</v>
      </c>
      <c r="G3323" t="s">
        <v>2811</v>
      </c>
      <c r="H3323">
        <v>0</v>
      </c>
      <c r="I3323">
        <v>2</v>
      </c>
      <c r="J3323">
        <v>0</v>
      </c>
      <c r="K3323">
        <v>0</v>
      </c>
      <c r="L3323">
        <v>0</v>
      </c>
    </row>
    <row r="3324" spans="1:12">
      <c r="A3324" t="str">
        <f>HYPERLINK("http://bombeiros.sp.gov.br/hidrantes/03individual/1842.html","1842")</f>
        <v>1842</v>
      </c>
      <c r="B3324" t="str">
        <f>HYPERLINK("http://bombeiros.sp.gov.br/hidrantes/08bsg/qrcodeBSG.html?id=1842&amp;lat=-23.57298&amp;long=-46.66785&amp;tipo=S","QRCODE")</f>
        <v>QRCODE</v>
      </c>
      <c r="C3324" t="s">
        <v>5351</v>
      </c>
      <c r="D3324" t="s">
        <v>5361</v>
      </c>
      <c r="E3324" t="s">
        <v>937</v>
      </c>
      <c r="F3324" t="s">
        <v>21</v>
      </c>
      <c r="G3324" t="s">
        <v>2810</v>
      </c>
      <c r="H3324">
        <v>0</v>
      </c>
      <c r="I3324">
        <v>2</v>
      </c>
      <c r="J3324">
        <v>0</v>
      </c>
      <c r="K3324">
        <v>0</v>
      </c>
      <c r="L3324">
        <v>0</v>
      </c>
    </row>
    <row r="3325" spans="1:12">
      <c r="A3325" t="str">
        <f>HYPERLINK("http://bombeiros.sp.gov.br/hidrantes/03individual/1859.html","1859")</f>
        <v>1859</v>
      </c>
      <c r="B3325" t="str">
        <f>HYPERLINK("http://bombeiros.sp.gov.br/hidrantes/08bsg/qrcodeBSG.html?id=1859&amp;lat=-23.57132&amp;long=-46.67024&amp;tipo=S","QRCODE")</f>
        <v>QRCODE</v>
      </c>
      <c r="C3325" t="s">
        <v>5351</v>
      </c>
      <c r="D3325" t="s">
        <v>5361</v>
      </c>
      <c r="E3325" t="s">
        <v>937</v>
      </c>
      <c r="F3325" t="s">
        <v>21</v>
      </c>
      <c r="G3325" t="s">
        <v>2050</v>
      </c>
      <c r="H3325">
        <v>0</v>
      </c>
      <c r="I3325">
        <v>2</v>
      </c>
      <c r="J3325">
        <v>0</v>
      </c>
      <c r="K3325">
        <v>0</v>
      </c>
      <c r="L3325">
        <v>0</v>
      </c>
    </row>
    <row r="3326" spans="1:12">
      <c r="A3326" t="str">
        <f>HYPERLINK("http://bombeiros.sp.gov.br/hidrantes/03individual/1861.html","1861")</f>
        <v>1861</v>
      </c>
      <c r="B3326" t="str">
        <f>HYPERLINK("http://bombeiros.sp.gov.br/hidrantes/08bsg/qrcodeBSG.html?id=1861&amp;lat=-23.56675&amp;long=-46.67448&amp;tipo=S","QRCODE")</f>
        <v>QRCODE</v>
      </c>
      <c r="C3326" t="s">
        <v>5351</v>
      </c>
      <c r="D3326" t="s">
        <v>5361</v>
      </c>
      <c r="E3326" t="s">
        <v>937</v>
      </c>
      <c r="F3326" t="s">
        <v>21</v>
      </c>
      <c r="G3326" t="s">
        <v>3234</v>
      </c>
      <c r="H3326">
        <v>0</v>
      </c>
      <c r="I3326">
        <v>2</v>
      </c>
      <c r="J3326">
        <v>0</v>
      </c>
      <c r="K3326">
        <v>0</v>
      </c>
      <c r="L3326">
        <v>0</v>
      </c>
    </row>
    <row r="3327" spans="1:12">
      <c r="A3327" t="str">
        <f>HYPERLINK("http://bombeiros.sp.gov.br/hidrantes/03individual/2093.html","2093")</f>
        <v>2093</v>
      </c>
      <c r="B3327" t="str">
        <f>HYPERLINK("http://bombeiros.sp.gov.br/hidrantes/08bsg/qrcodeBSG.html?id=2093&amp;lat=-23.56999&amp;long=-46.67562&amp;tipo=S","QRCODE")</f>
        <v>QRCODE</v>
      </c>
      <c r="C3327" t="s">
        <v>5351</v>
      </c>
      <c r="D3327" t="s">
        <v>5361</v>
      </c>
      <c r="E3327" t="s">
        <v>937</v>
      </c>
      <c r="F3327" t="s">
        <v>21</v>
      </c>
      <c r="G3327" t="s">
        <v>1262</v>
      </c>
      <c r="H3327">
        <v>1</v>
      </c>
      <c r="I3327">
        <v>2</v>
      </c>
      <c r="J3327">
        <v>0</v>
      </c>
      <c r="K3327">
        <v>0</v>
      </c>
      <c r="L3327">
        <v>0</v>
      </c>
    </row>
    <row r="3328" spans="1:12">
      <c r="A3328" t="str">
        <f>HYPERLINK("http://bombeiros.sp.gov.br/hidrantes/03individual/2105.html","2105")</f>
        <v>2105</v>
      </c>
      <c r="B3328" t="str">
        <f>HYPERLINK("http://bombeiros.sp.gov.br/hidrantes/08bsg/qrcodeBSG.html?id=2105&amp;lat=-23.56718&amp;long=-46.67297&amp;tipo=S","QRCODE")</f>
        <v>QRCODE</v>
      </c>
      <c r="C3328" t="s">
        <v>5351</v>
      </c>
      <c r="D3328" t="s">
        <v>5361</v>
      </c>
      <c r="E3328" t="s">
        <v>937</v>
      </c>
      <c r="F3328" t="s">
        <v>21</v>
      </c>
      <c r="G3328" t="s">
        <v>1260</v>
      </c>
      <c r="H3328">
        <v>1</v>
      </c>
      <c r="I3328">
        <v>2</v>
      </c>
      <c r="J3328">
        <v>0</v>
      </c>
      <c r="K3328">
        <v>0</v>
      </c>
      <c r="L3328">
        <v>0</v>
      </c>
    </row>
    <row r="3329" spans="1:12">
      <c r="A3329" t="str">
        <f>HYPERLINK("http://bombeiros.sp.gov.br/hidrantes/03individual/2187.html","2187")</f>
        <v>2187</v>
      </c>
      <c r="B3329" t="str">
        <f>HYPERLINK("http://bombeiros.sp.gov.br/hidrantes/08bsg/qrcodeBSG.html?id=2187&amp;lat=-23.57116&amp;long=-46.66594&amp;tipo=S","QRCODE")</f>
        <v>QRCODE</v>
      </c>
      <c r="C3329" t="s">
        <v>5351</v>
      </c>
      <c r="D3329" t="s">
        <v>5361</v>
      </c>
      <c r="E3329" t="s">
        <v>937</v>
      </c>
      <c r="F3329" t="s">
        <v>21</v>
      </c>
      <c r="G3329" t="s">
        <v>3337</v>
      </c>
      <c r="H3329">
        <v>1</v>
      </c>
      <c r="I3329">
        <v>1</v>
      </c>
      <c r="J3329">
        <v>0</v>
      </c>
      <c r="K3329">
        <v>0</v>
      </c>
      <c r="L3329">
        <v>0</v>
      </c>
    </row>
    <row r="3330" spans="1:12">
      <c r="A3330" t="str">
        <f>HYPERLINK("http://bombeiros.sp.gov.br/hidrantes/03individual/2192.html","2192")</f>
        <v>2192</v>
      </c>
      <c r="B3330" t="str">
        <f>HYPERLINK("http://bombeiros.sp.gov.br/hidrantes/08bsg/qrcodeBSG.html?id=2192&amp;lat=-23.57067&amp;long=-46.67316&amp;tipo=S","QRCODE")</f>
        <v>QRCODE</v>
      </c>
      <c r="C3330" t="s">
        <v>5351</v>
      </c>
      <c r="D3330" t="s">
        <v>5361</v>
      </c>
      <c r="E3330" t="s">
        <v>937</v>
      </c>
      <c r="F3330" t="s">
        <v>21</v>
      </c>
      <c r="G3330" t="s">
        <v>1302</v>
      </c>
      <c r="H3330">
        <v>1</v>
      </c>
      <c r="I3330">
        <v>2</v>
      </c>
      <c r="J3330">
        <v>0</v>
      </c>
      <c r="K3330">
        <v>0</v>
      </c>
      <c r="L3330">
        <v>0</v>
      </c>
    </row>
    <row r="3331" spans="1:12">
      <c r="A3331" t="str">
        <f>HYPERLINK("http://bombeiros.sp.gov.br/hidrantes/03individual/2289.html","2289")</f>
        <v>2289</v>
      </c>
      <c r="B3331" t="str">
        <f>HYPERLINK("http://bombeiros.sp.gov.br/hidrantes/08bsg/qrcodeBSG.html?id=2289&amp;lat=-23.56820&amp;long=-46.67095&amp;tipo=S","QRCODE")</f>
        <v>QRCODE</v>
      </c>
      <c r="C3331" t="s">
        <v>5351</v>
      </c>
      <c r="D3331" t="s">
        <v>5361</v>
      </c>
      <c r="E3331" t="s">
        <v>937</v>
      </c>
      <c r="F3331" t="s">
        <v>21</v>
      </c>
      <c r="G3331" t="s">
        <v>1307</v>
      </c>
      <c r="H3331">
        <v>1</v>
      </c>
      <c r="I3331">
        <v>2</v>
      </c>
      <c r="J3331">
        <v>0</v>
      </c>
      <c r="K3331">
        <v>0</v>
      </c>
      <c r="L3331">
        <v>0</v>
      </c>
    </row>
    <row r="3332" spans="1:12">
      <c r="A3332" t="str">
        <f>HYPERLINK("http://bombeiros.sp.gov.br/hidrantes/03individual/2313.html","2313")</f>
        <v>2313</v>
      </c>
      <c r="B3332" t="str">
        <f>HYPERLINK("http://bombeiros.sp.gov.br/hidrantes/08bsg/qrcodeBSG.html?id=2313&amp;lat=-23.56328&amp;long=-46.67377&amp;tipo=S","QRCODE")</f>
        <v>QRCODE</v>
      </c>
      <c r="C3332" t="s">
        <v>5351</v>
      </c>
      <c r="D3332" t="s">
        <v>5361</v>
      </c>
      <c r="E3332" t="s">
        <v>937</v>
      </c>
      <c r="F3332" t="s">
        <v>21</v>
      </c>
      <c r="G3332" t="s">
        <v>936</v>
      </c>
      <c r="H3332">
        <v>1</v>
      </c>
      <c r="I3332">
        <v>2</v>
      </c>
      <c r="J3332">
        <v>0</v>
      </c>
      <c r="K3332">
        <v>0</v>
      </c>
      <c r="L3332">
        <v>0</v>
      </c>
    </row>
    <row r="3333" spans="1:12">
      <c r="A3333" t="str">
        <f>HYPERLINK("http://bombeiros.sp.gov.br/hidrantes/03individual/17671.html","17671")</f>
        <v>17671</v>
      </c>
      <c r="B3333" t="str">
        <f>HYPERLINK("http://bombeiros.sp.gov.br/hidrantes/08bsg/qrcodeBSG.html?id=17671&amp;lat=-23.57599&amp;long=-46.67027&amp;tipo=S","QRCODE")</f>
        <v>QRCODE</v>
      </c>
      <c r="C3333" t="s">
        <v>5351</v>
      </c>
      <c r="D3333" t="s">
        <v>5361</v>
      </c>
      <c r="E3333" t="s">
        <v>937</v>
      </c>
      <c r="F3333" t="s">
        <v>21</v>
      </c>
      <c r="G3333" t="s">
        <v>3345</v>
      </c>
      <c r="H3333">
        <v>1</v>
      </c>
      <c r="I3333">
        <v>1</v>
      </c>
      <c r="J3333">
        <v>0</v>
      </c>
      <c r="K3333">
        <v>0</v>
      </c>
      <c r="L3333">
        <v>0</v>
      </c>
    </row>
    <row r="3334" spans="1:12">
      <c r="A3334" t="str">
        <f>HYPERLINK("http://bombeiros.sp.gov.br/hidrantes/03individual/26888.html","26888")</f>
        <v>26888</v>
      </c>
      <c r="B3334" t="str">
        <f>HYPERLINK("http://bombeiros.sp.gov.br/hidrantes/08bsg/qrcodeBSG.html?id=26888&amp;lat=-23.57153&amp;long=-46.66641&amp;tipo=S","QRCODE")</f>
        <v>QRCODE</v>
      </c>
      <c r="C3334" t="s">
        <v>5351</v>
      </c>
      <c r="D3334" t="s">
        <v>5361</v>
      </c>
      <c r="E3334" t="s">
        <v>937</v>
      </c>
      <c r="F3334" t="s">
        <v>21</v>
      </c>
      <c r="G3334" t="s">
        <v>3776</v>
      </c>
      <c r="H3334">
        <v>0</v>
      </c>
      <c r="I3334">
        <v>1</v>
      </c>
      <c r="J3334">
        <v>0</v>
      </c>
      <c r="K3334">
        <v>0</v>
      </c>
      <c r="L3334">
        <v>0</v>
      </c>
    </row>
    <row r="3335" spans="1:12">
      <c r="A3335" t="str">
        <f>HYPERLINK("http://bombeiros.sp.gov.br/hidrantes/03individual/27202.html","27202")</f>
        <v>27202</v>
      </c>
      <c r="B3335" t="str">
        <f>HYPERLINK("http://bombeiros.sp.gov.br/hidrantes/08bsg/qrcodeBSG.html?id=27202&amp;lat=-23.58100&amp;long=-46.66504&amp;tipo=S","QRCODE")</f>
        <v>QRCODE</v>
      </c>
      <c r="C3335" t="s">
        <v>5351</v>
      </c>
      <c r="D3335" t="s">
        <v>5361</v>
      </c>
      <c r="E3335" t="s">
        <v>937</v>
      </c>
      <c r="F3335" t="s">
        <v>21</v>
      </c>
      <c r="G3335" t="s">
        <v>1507</v>
      </c>
      <c r="H3335">
        <v>0</v>
      </c>
      <c r="I3335">
        <v>1</v>
      </c>
      <c r="J3335">
        <v>0</v>
      </c>
      <c r="K3335">
        <v>0</v>
      </c>
      <c r="L3335">
        <v>0</v>
      </c>
    </row>
    <row r="3336" spans="1:12">
      <c r="A3336" t="str">
        <f>HYPERLINK("http://bombeiros.sp.gov.br/hidrantes/03individual/27.html","27")</f>
        <v>27</v>
      </c>
      <c r="B3336" t="str">
        <f>HYPERLINK("http://bombeiros.sp.gov.br/hidrantes/08bsg/qrcodeBSG.html?id=27&amp;lat=-23.56868&amp;long=-46.66289&amp;tipo=S","QRCODE")</f>
        <v>QRCODE</v>
      </c>
      <c r="C3336" t="s">
        <v>5351</v>
      </c>
      <c r="D3336" t="s">
        <v>5361</v>
      </c>
      <c r="E3336" t="s">
        <v>514</v>
      </c>
      <c r="F3336" t="s">
        <v>21</v>
      </c>
      <c r="G3336" t="s">
        <v>1943</v>
      </c>
      <c r="H3336">
        <v>0</v>
      </c>
      <c r="I3336">
        <v>3</v>
      </c>
      <c r="J3336">
        <v>0</v>
      </c>
      <c r="K3336">
        <v>0</v>
      </c>
      <c r="L3336">
        <v>0</v>
      </c>
    </row>
    <row r="3337" spans="1:12">
      <c r="A3337" t="str">
        <f>HYPERLINK("http://bombeiros.sp.gov.br/hidrantes/03individual/29.html","29")</f>
        <v>29</v>
      </c>
      <c r="B3337" t="str">
        <f>HYPERLINK("http://bombeiros.sp.gov.br/hidrantes/08bsg/qrcodeBSG.html?id=29&amp;lat=-23.56330&amp;long=-46.66358&amp;tipo=S","QRCODE")</f>
        <v>QRCODE</v>
      </c>
      <c r="C3337" t="s">
        <v>5351</v>
      </c>
      <c r="D3337" t="s">
        <v>5361</v>
      </c>
      <c r="E3337" t="s">
        <v>514</v>
      </c>
      <c r="F3337" t="s">
        <v>21</v>
      </c>
      <c r="G3337" t="s">
        <v>1037</v>
      </c>
      <c r="H3337">
        <v>1</v>
      </c>
      <c r="I3337">
        <v>2</v>
      </c>
      <c r="J3337">
        <v>0</v>
      </c>
      <c r="K3337">
        <v>0</v>
      </c>
      <c r="L3337">
        <v>0</v>
      </c>
    </row>
    <row r="3338" spans="1:12">
      <c r="A3338" t="str">
        <f>HYPERLINK("http://bombeiros.sp.gov.br/hidrantes/03individual/99.html","99")</f>
        <v>99</v>
      </c>
      <c r="B3338" t="str">
        <f>HYPERLINK("http://bombeiros.sp.gov.br/hidrantes/08bsg/qrcodeBSG.html?id=99&amp;lat=-23.56646&amp;long=-46.66724&amp;tipo=S","QRCODE")</f>
        <v>QRCODE</v>
      </c>
      <c r="C3338" t="s">
        <v>5351</v>
      </c>
      <c r="D3338" t="s">
        <v>5361</v>
      </c>
      <c r="E3338" t="s">
        <v>514</v>
      </c>
      <c r="F3338" t="s">
        <v>21</v>
      </c>
      <c r="G3338" t="s">
        <v>3275</v>
      </c>
      <c r="H3338">
        <v>0</v>
      </c>
      <c r="I3338">
        <v>2</v>
      </c>
      <c r="J3338">
        <v>0</v>
      </c>
      <c r="K3338">
        <v>0</v>
      </c>
      <c r="L3338">
        <v>0</v>
      </c>
    </row>
    <row r="3339" spans="1:12">
      <c r="A3339" t="str">
        <f>HYPERLINK("http://bombeiros.sp.gov.br/hidrantes/03individual/161.html","161")</f>
        <v>161</v>
      </c>
      <c r="B3339" t="str">
        <f>HYPERLINK("http://bombeiros.sp.gov.br/hidrantes/08bsg/qrcodeBSG.html?id=161&amp;lat=-23.56507&amp;long=-46.66119&amp;tipo=S","QRCODE")</f>
        <v>QRCODE</v>
      </c>
      <c r="C3339" t="s">
        <v>5351</v>
      </c>
      <c r="D3339" t="s">
        <v>5361</v>
      </c>
      <c r="E3339" t="s">
        <v>514</v>
      </c>
      <c r="F3339" t="s">
        <v>21</v>
      </c>
      <c r="G3339" t="s">
        <v>3274</v>
      </c>
      <c r="H3339">
        <v>0</v>
      </c>
      <c r="I3339">
        <v>2</v>
      </c>
      <c r="J3339">
        <v>0</v>
      </c>
      <c r="K3339">
        <v>0</v>
      </c>
      <c r="L3339">
        <v>0</v>
      </c>
    </row>
    <row r="3340" spans="1:12">
      <c r="A3340" t="str">
        <f>HYPERLINK("http://bombeiros.sp.gov.br/hidrantes/03individual/2294.html","2294")</f>
        <v>2294</v>
      </c>
      <c r="B3340" t="str">
        <f>HYPERLINK("http://bombeiros.sp.gov.br/hidrantes/08bsg/qrcodeBSG.html?id=2294&amp;lat=-23.56505&amp;long=-46.66125&amp;tipo=S","QRCODE")</f>
        <v>QRCODE</v>
      </c>
      <c r="C3340" t="s">
        <v>5351</v>
      </c>
      <c r="D3340" t="s">
        <v>5361</v>
      </c>
      <c r="E3340" t="s">
        <v>514</v>
      </c>
      <c r="F3340" t="s">
        <v>21</v>
      </c>
      <c r="G3340" t="s">
        <v>513</v>
      </c>
      <c r="H3340">
        <v>0</v>
      </c>
      <c r="I3340">
        <v>2</v>
      </c>
      <c r="J3340">
        <v>0</v>
      </c>
      <c r="K3340">
        <v>0</v>
      </c>
      <c r="L3340">
        <v>0</v>
      </c>
    </row>
    <row r="3341" spans="1:12">
      <c r="A3341" t="str">
        <f>HYPERLINK("http://bombeiros.sp.gov.br/hidrantes/03individual/2300.html","2300")</f>
        <v>2300</v>
      </c>
      <c r="B3341" t="str">
        <f>HYPERLINK("http://bombeiros.sp.gov.br/hidrantes/08bsg/qrcodeBSG.html?id=2300&amp;lat=-23.56477&amp;long=-46.66511&amp;tipo=S","QRCODE")</f>
        <v>QRCODE</v>
      </c>
      <c r="C3341" t="s">
        <v>5351</v>
      </c>
      <c r="D3341" t="s">
        <v>5361</v>
      </c>
      <c r="E3341" t="s">
        <v>514</v>
      </c>
      <c r="F3341" t="s">
        <v>21</v>
      </c>
      <c r="G3341" t="s">
        <v>939</v>
      </c>
      <c r="H3341">
        <v>0</v>
      </c>
      <c r="I3341">
        <v>2</v>
      </c>
      <c r="J3341">
        <v>0</v>
      </c>
      <c r="K3341">
        <v>0</v>
      </c>
      <c r="L3341">
        <v>0</v>
      </c>
    </row>
    <row r="3342" spans="1:12">
      <c r="A3342" t="str">
        <f>HYPERLINK("http://bombeiros.sp.gov.br/hidrantes/03individual/2336.html","2336")</f>
        <v>2336</v>
      </c>
      <c r="B3342" t="str">
        <f>HYPERLINK("http://bombeiros.sp.gov.br/hidrantes/08bsg/qrcodeBSG.html?id=2336&amp;lat=-23.56144&amp;long=-46.66882&amp;tipo=S","QRCODE")</f>
        <v>QRCODE</v>
      </c>
      <c r="C3342" t="s">
        <v>5351</v>
      </c>
      <c r="D3342" t="s">
        <v>5361</v>
      </c>
      <c r="E3342" t="s">
        <v>514</v>
      </c>
      <c r="F3342" t="s">
        <v>21</v>
      </c>
      <c r="G3342" t="s">
        <v>4828</v>
      </c>
      <c r="H3342">
        <v>1</v>
      </c>
      <c r="I3342">
        <v>1</v>
      </c>
      <c r="J3342">
        <v>0</v>
      </c>
      <c r="K3342">
        <v>0</v>
      </c>
      <c r="L3342">
        <v>0</v>
      </c>
    </row>
    <row r="3343" spans="1:12">
      <c r="A3343" t="str">
        <f>HYPERLINK("http://bombeiros.sp.gov.br/hidrantes/03individual/2340.html","2340")</f>
        <v>2340</v>
      </c>
      <c r="B3343" t="str">
        <f>HYPERLINK("http://bombeiros.sp.gov.br/hidrantes/08bsg/qrcodeBSG.html?id=2340&amp;lat=-23.56025&amp;long=-46.66758&amp;tipo=S","QRCODE")</f>
        <v>QRCODE</v>
      </c>
      <c r="C3343" t="s">
        <v>5351</v>
      </c>
      <c r="D3343" t="s">
        <v>5361</v>
      </c>
      <c r="E3343" t="s">
        <v>514</v>
      </c>
      <c r="F3343" t="s">
        <v>21</v>
      </c>
      <c r="G3343" t="s">
        <v>4829</v>
      </c>
      <c r="H3343">
        <v>1</v>
      </c>
      <c r="I3343">
        <v>1</v>
      </c>
      <c r="J3343">
        <v>0</v>
      </c>
      <c r="K3343">
        <v>0</v>
      </c>
      <c r="L3343">
        <v>0</v>
      </c>
    </row>
    <row r="3344" spans="1:12">
      <c r="A3344" t="str">
        <f>HYPERLINK("http://bombeiros.sp.gov.br/hidrantes/03individual/2346.html","2346")</f>
        <v>2346</v>
      </c>
      <c r="B3344" t="str">
        <f>HYPERLINK("http://bombeiros.sp.gov.br/hidrantes/08bsg/qrcodeBSG.html?id=2346&amp;lat=-23.55923&amp;long=-46.66875&amp;tipo=S","QRCODE")</f>
        <v>QRCODE</v>
      </c>
      <c r="C3344" t="s">
        <v>5351</v>
      </c>
      <c r="D3344" t="s">
        <v>5361</v>
      </c>
      <c r="E3344" t="s">
        <v>514</v>
      </c>
      <c r="F3344" t="s">
        <v>21</v>
      </c>
      <c r="G3344" t="s">
        <v>5096</v>
      </c>
      <c r="H3344">
        <v>0</v>
      </c>
      <c r="I3344">
        <v>1</v>
      </c>
      <c r="J3344">
        <v>0</v>
      </c>
      <c r="K3344">
        <v>0</v>
      </c>
      <c r="L3344">
        <v>0</v>
      </c>
    </row>
    <row r="3345" spans="1:12">
      <c r="A3345" t="str">
        <f>HYPERLINK("http://bombeiros.sp.gov.br/hidrantes/03individual/2362.html","2362")</f>
        <v>2362</v>
      </c>
      <c r="B3345" t="str">
        <f>HYPERLINK("http://bombeiros.sp.gov.br/hidrantes/08bsg/qrcodeBSG.html?id=2362&amp;lat=-23.56254&amp;long=-46.66499&amp;tipo=S","QRCODE")</f>
        <v>QRCODE</v>
      </c>
      <c r="C3345" t="s">
        <v>5351</v>
      </c>
      <c r="D3345" t="s">
        <v>5361</v>
      </c>
      <c r="E3345" t="s">
        <v>514</v>
      </c>
      <c r="F3345" t="s">
        <v>21</v>
      </c>
      <c r="G3345" t="s">
        <v>4830</v>
      </c>
      <c r="H3345">
        <v>1</v>
      </c>
      <c r="I3345">
        <v>1</v>
      </c>
      <c r="J3345">
        <v>0</v>
      </c>
      <c r="K3345">
        <v>0</v>
      </c>
      <c r="L3345">
        <v>0</v>
      </c>
    </row>
    <row r="3346" spans="1:12">
      <c r="A3346" t="str">
        <f>HYPERLINK("http://bombeiros.sp.gov.br/hidrantes/03individual/2749.html","2749")</f>
        <v>2749</v>
      </c>
      <c r="B3346" t="str">
        <f>HYPERLINK("http://bombeiros.sp.gov.br/hidrantes/08bsg/qrcodeBSG.html?id=2749&amp;lat=-23.56211&amp;long=-46.66767&amp;tipo=S","QRCODE")</f>
        <v>QRCODE</v>
      </c>
      <c r="C3346" t="s">
        <v>5351</v>
      </c>
      <c r="D3346" t="s">
        <v>5361</v>
      </c>
      <c r="E3346" t="s">
        <v>514</v>
      </c>
      <c r="F3346" t="s">
        <v>21</v>
      </c>
      <c r="G3346" t="s">
        <v>5033</v>
      </c>
      <c r="H3346">
        <v>0</v>
      </c>
      <c r="I3346">
        <v>1</v>
      </c>
      <c r="J3346">
        <v>0</v>
      </c>
      <c r="K3346">
        <v>0</v>
      </c>
      <c r="L3346">
        <v>0</v>
      </c>
    </row>
    <row r="3347" spans="1:12">
      <c r="A3347" t="str">
        <f>HYPERLINK("http://bombeiros.sp.gov.br/hidrantes/03individual/4268.html","4268")</f>
        <v>4268</v>
      </c>
      <c r="B3347" t="str">
        <f>HYPERLINK("http://bombeiros.sp.gov.br/hidrantes/08bsg/qrcodeBSG.html?id=4268&amp;lat=-23.56141&amp;long=-46.67071&amp;tipo=S","QRCODE")</f>
        <v>QRCODE</v>
      </c>
      <c r="C3347" t="s">
        <v>5351</v>
      </c>
      <c r="D3347" t="s">
        <v>5361</v>
      </c>
      <c r="E3347" t="s">
        <v>514</v>
      </c>
      <c r="F3347" t="s">
        <v>21</v>
      </c>
      <c r="G3347" t="s">
        <v>4836</v>
      </c>
      <c r="H3347">
        <v>0</v>
      </c>
      <c r="I3347">
        <v>2</v>
      </c>
      <c r="J3347">
        <v>0</v>
      </c>
      <c r="K3347">
        <v>0</v>
      </c>
      <c r="L3347">
        <v>0</v>
      </c>
    </row>
    <row r="3348" spans="1:12">
      <c r="A3348" t="str">
        <f>HYPERLINK("http://bombeiros.sp.gov.br/hidrantes/03individual/2474.html","2474")</f>
        <v>2474</v>
      </c>
      <c r="B3348" t="str">
        <f>HYPERLINK("http://bombeiros.sp.gov.br/hidrantes/08bsg/qrcodeBSG.html?id=2474&amp;lat=-23.56795&amp;long=-46.65800&amp;tipo=C","QRCODE")</f>
        <v>QRCODE</v>
      </c>
      <c r="C3348" t="s">
        <v>5351</v>
      </c>
      <c r="D3348" t="s">
        <v>5361</v>
      </c>
      <c r="E3348" t="s">
        <v>1035</v>
      </c>
      <c r="F3348" t="s">
        <v>12</v>
      </c>
      <c r="G3348" t="s">
        <v>3335</v>
      </c>
      <c r="H3348">
        <v>0</v>
      </c>
      <c r="I3348">
        <v>2</v>
      </c>
      <c r="J3348">
        <v>0</v>
      </c>
      <c r="K3348">
        <v>0</v>
      </c>
      <c r="L3348">
        <v>0</v>
      </c>
    </row>
    <row r="3349" spans="1:12">
      <c r="A3349" t="str">
        <f>HYPERLINK("http://bombeiros.sp.gov.br/hidrantes/03individual/28.html","28")</f>
        <v>28</v>
      </c>
      <c r="B3349" t="str">
        <f>HYPERLINK("http://bombeiros.sp.gov.br/hidrantes/08bsg/qrcodeBSG.html?id=28&amp;lat=-23.57074&amp;long=-46.65519&amp;tipo=S","QRCODE")</f>
        <v>QRCODE</v>
      </c>
      <c r="C3349" t="s">
        <v>5351</v>
      </c>
      <c r="D3349" t="s">
        <v>5361</v>
      </c>
      <c r="E3349" t="s">
        <v>1035</v>
      </c>
      <c r="F3349" t="s">
        <v>21</v>
      </c>
      <c r="G3349" t="s">
        <v>2818</v>
      </c>
      <c r="H3349">
        <v>0</v>
      </c>
      <c r="I3349">
        <v>2</v>
      </c>
      <c r="J3349">
        <v>0</v>
      </c>
      <c r="K3349">
        <v>0</v>
      </c>
      <c r="L3349">
        <v>0</v>
      </c>
    </row>
    <row r="3350" spans="1:12">
      <c r="A3350" t="str">
        <f>HYPERLINK("http://bombeiros.sp.gov.br/hidrantes/03individual/93.html","93")</f>
        <v>93</v>
      </c>
      <c r="B3350" t="str">
        <f>HYPERLINK("http://bombeiros.sp.gov.br/hidrantes/08bsg/qrcodeBSG.html?id=93&amp;lat=-23.56733&amp;long=-46.65743&amp;tipo=S","QRCODE")</f>
        <v>QRCODE</v>
      </c>
      <c r="C3350" t="s">
        <v>5351</v>
      </c>
      <c r="D3350" t="s">
        <v>5361</v>
      </c>
      <c r="E3350" t="s">
        <v>1035</v>
      </c>
      <c r="F3350" t="s">
        <v>21</v>
      </c>
      <c r="G3350" t="s">
        <v>1034</v>
      </c>
      <c r="H3350">
        <v>1</v>
      </c>
      <c r="I3350">
        <v>2</v>
      </c>
      <c r="J3350">
        <v>0</v>
      </c>
      <c r="K3350">
        <v>0</v>
      </c>
      <c r="L3350">
        <v>0</v>
      </c>
    </row>
    <row r="3351" spans="1:12">
      <c r="A3351" t="str">
        <f>HYPERLINK("http://bombeiros.sp.gov.br/hidrantes/03individual/138.html","138")</f>
        <v>138</v>
      </c>
      <c r="B3351" t="str">
        <f>HYPERLINK("http://bombeiros.sp.gov.br/hidrantes/08bsg/qrcodeBSG.html?id=138&amp;lat=-23.57142&amp;long=-46.65438&amp;tipo=S","QRCODE")</f>
        <v>QRCODE</v>
      </c>
      <c r="C3351" t="s">
        <v>5351</v>
      </c>
      <c r="D3351" t="s">
        <v>5361</v>
      </c>
      <c r="E3351" t="s">
        <v>1035</v>
      </c>
      <c r="F3351" t="s">
        <v>21</v>
      </c>
      <c r="G3351" t="s">
        <v>1224</v>
      </c>
      <c r="H3351">
        <v>1</v>
      </c>
      <c r="I3351">
        <v>2</v>
      </c>
      <c r="J3351">
        <v>0</v>
      </c>
      <c r="K3351">
        <v>0</v>
      </c>
      <c r="L3351">
        <v>0</v>
      </c>
    </row>
    <row r="3352" spans="1:12">
      <c r="A3352" t="str">
        <f>HYPERLINK("http://bombeiros.sp.gov.br/hidrantes/03individual/2363.html","2363")</f>
        <v>2363</v>
      </c>
      <c r="B3352" t="str">
        <f>HYPERLINK("http://bombeiros.sp.gov.br/hidrantes/08bsg/qrcodeBSG.html?id=2363&amp;lat=-23.56004&amp;long=-46.66386&amp;tipo=C","QRCODE")</f>
        <v>QRCODE</v>
      </c>
      <c r="C3352" t="s">
        <v>5351</v>
      </c>
      <c r="D3352" t="s">
        <v>5361</v>
      </c>
      <c r="E3352" t="s">
        <v>585</v>
      </c>
      <c r="F3352" t="s">
        <v>12</v>
      </c>
      <c r="G3352" t="s">
        <v>650</v>
      </c>
      <c r="H3352">
        <v>0</v>
      </c>
      <c r="I3352">
        <v>2</v>
      </c>
      <c r="J3352">
        <v>0</v>
      </c>
      <c r="K3352">
        <v>0</v>
      </c>
      <c r="L3352">
        <v>0</v>
      </c>
    </row>
    <row r="3353" spans="1:12">
      <c r="A3353" t="str">
        <f>HYPERLINK("http://bombeiros.sp.gov.br/hidrantes/03individual/2367.html","2367")</f>
        <v>2367</v>
      </c>
      <c r="B3353" t="str">
        <f>HYPERLINK("http://bombeiros.sp.gov.br/hidrantes/08bsg/qrcodeBSG.html?id=2367&amp;lat=-23.55662&amp;long=-46.66217&amp;tipo=C","QRCODE")</f>
        <v>QRCODE</v>
      </c>
      <c r="C3353" t="s">
        <v>5351</v>
      </c>
      <c r="D3353" t="s">
        <v>5361</v>
      </c>
      <c r="E3353" t="s">
        <v>585</v>
      </c>
      <c r="F3353" t="s">
        <v>12</v>
      </c>
      <c r="G3353" t="s">
        <v>934</v>
      </c>
      <c r="H3353">
        <v>1</v>
      </c>
      <c r="I3353">
        <v>2</v>
      </c>
      <c r="J3353">
        <v>0</v>
      </c>
      <c r="K3353">
        <v>0</v>
      </c>
      <c r="L3353">
        <v>0</v>
      </c>
    </row>
    <row r="3354" spans="1:12">
      <c r="A3354" t="str">
        <f>HYPERLINK("http://bombeiros.sp.gov.br/hidrantes/03individual/2564.html","2564")</f>
        <v>2564</v>
      </c>
      <c r="B3354" t="str">
        <f>HYPERLINK("http://bombeiros.sp.gov.br/hidrantes/08bsg/qrcodeBSG.html?id=2564&amp;lat=-23.56036&amp;long=-46.65813&amp;tipo=C","QRCODE")</f>
        <v>QRCODE</v>
      </c>
      <c r="C3354" t="s">
        <v>5351</v>
      </c>
      <c r="D3354" t="s">
        <v>5361</v>
      </c>
      <c r="E3354" t="s">
        <v>585</v>
      </c>
      <c r="F3354" t="s">
        <v>12</v>
      </c>
      <c r="G3354" t="s">
        <v>3532</v>
      </c>
      <c r="H3354">
        <v>1</v>
      </c>
      <c r="I3354">
        <v>1</v>
      </c>
      <c r="J3354">
        <v>0</v>
      </c>
      <c r="K3354">
        <v>0</v>
      </c>
      <c r="L3354">
        <v>0</v>
      </c>
    </row>
    <row r="3355" spans="1:12">
      <c r="A3355" t="str">
        <f>HYPERLINK("http://bombeiros.sp.gov.br/hidrantes/03individual/2764.html","2764")</f>
        <v>2764</v>
      </c>
      <c r="B3355" t="str">
        <f>HYPERLINK("http://bombeiros.sp.gov.br/hidrantes/08bsg/qrcodeBSG.html?id=2764&amp;lat=-23.56203&amp;long=-46.65986&amp;tipo=C","QRCODE")</f>
        <v>QRCODE</v>
      </c>
      <c r="C3355" t="s">
        <v>5351</v>
      </c>
      <c r="D3355" t="s">
        <v>5361</v>
      </c>
      <c r="E3355" t="s">
        <v>585</v>
      </c>
      <c r="F3355" t="s">
        <v>12</v>
      </c>
      <c r="G3355" t="s">
        <v>954</v>
      </c>
      <c r="H3355">
        <v>1</v>
      </c>
      <c r="I3355">
        <v>2</v>
      </c>
      <c r="J3355">
        <v>0</v>
      </c>
      <c r="K3355">
        <v>0</v>
      </c>
      <c r="L3355">
        <v>0</v>
      </c>
    </row>
    <row r="3356" spans="1:12">
      <c r="A3356" t="str">
        <f>HYPERLINK("http://bombeiros.sp.gov.br/hidrantes/03individual/5.html","5")</f>
        <v>5</v>
      </c>
      <c r="B3356" t="str">
        <f>HYPERLINK("http://bombeiros.sp.gov.br/hidrantes/08bsg/qrcodeBSG.html?id=5&amp;lat=-23.55677&amp;long=-46.66394&amp;tipo=S","QRCODE")</f>
        <v>QRCODE</v>
      </c>
      <c r="C3356" t="s">
        <v>5351</v>
      </c>
      <c r="D3356" t="s">
        <v>5361</v>
      </c>
      <c r="E3356" t="s">
        <v>585</v>
      </c>
      <c r="F3356" t="s">
        <v>21</v>
      </c>
      <c r="G3356" t="s">
        <v>5038</v>
      </c>
      <c r="H3356">
        <v>0</v>
      </c>
      <c r="I3356">
        <v>1</v>
      </c>
      <c r="J3356">
        <v>0</v>
      </c>
      <c r="K3356">
        <v>0</v>
      </c>
      <c r="L3356">
        <v>0</v>
      </c>
    </row>
    <row r="3357" spans="1:12">
      <c r="A3357" t="str">
        <f>HYPERLINK("http://bombeiros.sp.gov.br/hidrantes/03individual/30.html","30")</f>
        <v>30</v>
      </c>
      <c r="B3357" t="str">
        <f>HYPERLINK("http://bombeiros.sp.gov.br/hidrantes/08bsg/qrcodeBSG.html?id=30&amp;lat=-23.56094&amp;long=-46.65917&amp;tipo=S","QRCODE")</f>
        <v>QRCODE</v>
      </c>
      <c r="C3357" t="s">
        <v>5351</v>
      </c>
      <c r="D3357" t="s">
        <v>5361</v>
      </c>
      <c r="E3357" t="s">
        <v>585</v>
      </c>
      <c r="F3357" t="s">
        <v>21</v>
      </c>
      <c r="G3357" t="s">
        <v>584</v>
      </c>
      <c r="H3357">
        <v>0</v>
      </c>
      <c r="I3357">
        <v>2</v>
      </c>
      <c r="J3357">
        <v>0</v>
      </c>
      <c r="K3357">
        <v>0</v>
      </c>
      <c r="L3357">
        <v>0</v>
      </c>
    </row>
    <row r="3358" spans="1:12">
      <c r="A3358" t="str">
        <f>HYPERLINK("http://bombeiros.sp.gov.br/hidrantes/03individual/88.html","88")</f>
        <v>88</v>
      </c>
      <c r="B3358" t="str">
        <f>HYPERLINK("http://bombeiros.sp.gov.br/hidrantes/08bsg/qrcodeBSG.html?id=88&amp;lat=-23.56524&amp;long=-46.65932&amp;tipo=S","QRCODE")</f>
        <v>QRCODE</v>
      </c>
      <c r="C3358" t="s">
        <v>5351</v>
      </c>
      <c r="D3358" t="s">
        <v>5361</v>
      </c>
      <c r="E3358" t="s">
        <v>585</v>
      </c>
      <c r="F3358" t="s">
        <v>21</v>
      </c>
      <c r="G3358" t="s">
        <v>1945</v>
      </c>
      <c r="H3358">
        <v>0</v>
      </c>
      <c r="I3358">
        <v>2</v>
      </c>
      <c r="J3358">
        <v>0</v>
      </c>
      <c r="K3358">
        <v>0</v>
      </c>
      <c r="L3358">
        <v>0</v>
      </c>
    </row>
    <row r="3359" spans="1:12">
      <c r="A3359" t="str">
        <f>HYPERLINK("http://bombeiros.sp.gov.br/hidrantes/03individual/89.html","89")</f>
        <v>89</v>
      </c>
      <c r="B3359" t="str">
        <f>HYPERLINK("http://bombeiros.sp.gov.br/hidrantes/08bsg/qrcodeBSG.html?id=89&amp;lat=-23.56472&amp;long=-46.65878&amp;tipo=S","QRCODE")</f>
        <v>QRCODE</v>
      </c>
      <c r="C3359" t="s">
        <v>5351</v>
      </c>
      <c r="D3359" t="s">
        <v>5361</v>
      </c>
      <c r="E3359" t="s">
        <v>585</v>
      </c>
      <c r="F3359" t="s">
        <v>21</v>
      </c>
      <c r="G3359" t="s">
        <v>835</v>
      </c>
      <c r="H3359">
        <v>2</v>
      </c>
      <c r="I3359">
        <v>3</v>
      </c>
      <c r="J3359">
        <v>0</v>
      </c>
      <c r="K3359">
        <v>0</v>
      </c>
      <c r="L3359">
        <v>0</v>
      </c>
    </row>
    <row r="3360" spans="1:12">
      <c r="A3360" t="str">
        <f>HYPERLINK("http://bombeiros.sp.gov.br/hidrantes/03individual/90.html","90")</f>
        <v>90</v>
      </c>
      <c r="B3360" t="str">
        <f>HYPERLINK("http://bombeiros.sp.gov.br/hidrantes/08bsg/qrcodeBSG.html?id=90&amp;lat=-23.56281&amp;long=-46.65891&amp;tipo=S","QRCODE")</f>
        <v>QRCODE</v>
      </c>
      <c r="C3360" t="s">
        <v>5351</v>
      </c>
      <c r="D3360" t="s">
        <v>5361</v>
      </c>
      <c r="E3360" t="s">
        <v>585</v>
      </c>
      <c r="F3360" t="s">
        <v>21</v>
      </c>
      <c r="G3360" t="s">
        <v>1946</v>
      </c>
      <c r="H3360">
        <v>0</v>
      </c>
      <c r="I3360">
        <v>2</v>
      </c>
      <c r="J3360">
        <v>0</v>
      </c>
      <c r="K3360">
        <v>0</v>
      </c>
      <c r="L3360">
        <v>0</v>
      </c>
    </row>
    <row r="3361" spans="1:12">
      <c r="A3361" t="str">
        <f>HYPERLINK("http://bombeiros.sp.gov.br/hidrantes/03individual/2382.html","2382")</f>
        <v>2382</v>
      </c>
      <c r="B3361" t="str">
        <f>HYPERLINK("http://bombeiros.sp.gov.br/hidrantes/08bsg/qrcodeBSG.html?id=2382&amp;lat=-23.55842&amp;long=-46.66201&amp;tipo=S","QRCODE")</f>
        <v>QRCODE</v>
      </c>
      <c r="C3361" t="s">
        <v>5351</v>
      </c>
      <c r="D3361" t="s">
        <v>5361</v>
      </c>
      <c r="E3361" t="s">
        <v>585</v>
      </c>
      <c r="F3361" t="s">
        <v>21</v>
      </c>
      <c r="G3361" t="s">
        <v>5220</v>
      </c>
      <c r="H3361">
        <v>1</v>
      </c>
      <c r="I3361">
        <v>0</v>
      </c>
      <c r="J3361">
        <v>0</v>
      </c>
      <c r="K3361">
        <v>0</v>
      </c>
      <c r="L3361">
        <v>0</v>
      </c>
    </row>
    <row r="3362" spans="1:12">
      <c r="A3362" t="str">
        <f>HYPERLINK("http://bombeiros.sp.gov.br/hidrantes/03individual/2405.html","2405")</f>
        <v>2405</v>
      </c>
      <c r="B3362" t="str">
        <f>HYPERLINK("http://bombeiros.sp.gov.br/hidrantes/08bsg/qrcodeBSG.html?id=2405&amp;lat=-23.55990&amp;long=-46.66226&amp;tipo=S","QRCODE")</f>
        <v>QRCODE</v>
      </c>
      <c r="C3362" t="s">
        <v>5351</v>
      </c>
      <c r="D3362" t="s">
        <v>5361</v>
      </c>
      <c r="E3362" t="s">
        <v>585</v>
      </c>
      <c r="F3362" t="s">
        <v>21</v>
      </c>
      <c r="G3362" t="s">
        <v>5223</v>
      </c>
      <c r="H3362">
        <v>1</v>
      </c>
      <c r="I3362">
        <v>0</v>
      </c>
      <c r="J3362">
        <v>0</v>
      </c>
      <c r="K3362">
        <v>0</v>
      </c>
      <c r="L3362">
        <v>0</v>
      </c>
    </row>
    <row r="3363" spans="1:12">
      <c r="A3363" t="str">
        <f>HYPERLINK("http://bombeiros.sp.gov.br/hidrantes/03individual/2642.html","2642")</f>
        <v>2642</v>
      </c>
      <c r="B3363" t="str">
        <f>HYPERLINK("http://bombeiros.sp.gov.br/hidrantes/08bsg/qrcodeBSG.html?id=2642&amp;lat=-23.55924&amp;long=-46.66480&amp;tipo=S","QRCODE")</f>
        <v>QRCODE</v>
      </c>
      <c r="C3363" t="s">
        <v>5351</v>
      </c>
      <c r="D3363" t="s">
        <v>5361</v>
      </c>
      <c r="E3363" t="s">
        <v>585</v>
      </c>
      <c r="F3363" t="s">
        <v>21</v>
      </c>
      <c r="G3363" t="s">
        <v>5035</v>
      </c>
      <c r="H3363">
        <v>0</v>
      </c>
      <c r="I3363">
        <v>1</v>
      </c>
      <c r="J3363">
        <v>0</v>
      </c>
      <c r="K3363">
        <v>0</v>
      </c>
      <c r="L3363">
        <v>0</v>
      </c>
    </row>
    <row r="3364" spans="1:12">
      <c r="A3364" t="str">
        <f>HYPERLINK("http://bombeiros.sp.gov.br/hidrantes/03individual/2662.html","2662")</f>
        <v>2662</v>
      </c>
      <c r="B3364" t="str">
        <f>HYPERLINK("http://bombeiros.sp.gov.br/hidrantes/08bsg/qrcodeBSG.html?id=2662&amp;lat=-23.56147&amp;long=-46.66394&amp;tipo=S","QRCODE")</f>
        <v>QRCODE</v>
      </c>
      <c r="C3364" t="s">
        <v>5351</v>
      </c>
      <c r="D3364" t="s">
        <v>5361</v>
      </c>
      <c r="E3364" t="s">
        <v>585</v>
      </c>
      <c r="F3364" t="s">
        <v>21</v>
      </c>
      <c r="G3364" t="s">
        <v>943</v>
      </c>
      <c r="H3364">
        <v>1</v>
      </c>
      <c r="I3364">
        <v>2</v>
      </c>
      <c r="J3364">
        <v>0</v>
      </c>
      <c r="K3364">
        <v>0</v>
      </c>
      <c r="L3364">
        <v>0</v>
      </c>
    </row>
    <row r="3365" spans="1:12">
      <c r="A3365" t="str">
        <f>HYPERLINK("http://bombeiros.sp.gov.br/hidrantes/03individual/2665.html","2665")</f>
        <v>2665</v>
      </c>
      <c r="B3365" t="str">
        <f>HYPERLINK("http://bombeiros.sp.gov.br/hidrantes/08bsg/qrcodeBSG.html?id=2665&amp;lat=-23.56073&amp;long=-46.66320&amp;tipo=S","QRCODE")</f>
        <v>QRCODE</v>
      </c>
      <c r="C3365" t="s">
        <v>5351</v>
      </c>
      <c r="D3365" t="s">
        <v>5361</v>
      </c>
      <c r="E3365" t="s">
        <v>585</v>
      </c>
      <c r="F3365" t="s">
        <v>21</v>
      </c>
      <c r="G3365" t="s">
        <v>944</v>
      </c>
      <c r="H3365">
        <v>1</v>
      </c>
      <c r="I3365">
        <v>2</v>
      </c>
      <c r="J3365">
        <v>0</v>
      </c>
      <c r="K3365">
        <v>0</v>
      </c>
      <c r="L3365">
        <v>0</v>
      </c>
    </row>
    <row r="3366" spans="1:12">
      <c r="A3366" t="str">
        <f>HYPERLINK("http://bombeiros.sp.gov.br/hidrantes/03individual/2743.html","2743")</f>
        <v>2743</v>
      </c>
      <c r="B3366" t="str">
        <f>HYPERLINK("http://bombeiros.sp.gov.br/hidrantes/08bsg/qrcodeBSG.html?id=2743&amp;lat=-23.56435&amp;long=-46.66044&amp;tipo=S","QRCODE")</f>
        <v>QRCODE</v>
      </c>
      <c r="C3366" t="s">
        <v>5351</v>
      </c>
      <c r="D3366" t="s">
        <v>5361</v>
      </c>
      <c r="E3366" t="s">
        <v>585</v>
      </c>
      <c r="F3366" t="s">
        <v>21</v>
      </c>
      <c r="G3366" t="s">
        <v>959</v>
      </c>
      <c r="H3366">
        <v>1</v>
      </c>
      <c r="I3366">
        <v>2</v>
      </c>
      <c r="J3366">
        <v>0</v>
      </c>
      <c r="K3366">
        <v>0</v>
      </c>
      <c r="L3366">
        <v>0</v>
      </c>
    </row>
    <row r="3367" spans="1:12">
      <c r="A3367" t="str">
        <f>HYPERLINK("http://bombeiros.sp.gov.br/hidrantes/03individual/4278.html","4278")</f>
        <v>4278</v>
      </c>
      <c r="B3367" t="str">
        <f>HYPERLINK("http://bombeiros.sp.gov.br/hidrantes/08bsg/qrcodeBSG.html?id=4278&amp;lat=-23.56157&amp;long=-46.65799&amp;tipo=S","QRCODE")</f>
        <v>QRCODE</v>
      </c>
      <c r="C3367" t="s">
        <v>5351</v>
      </c>
      <c r="D3367" t="s">
        <v>5361</v>
      </c>
      <c r="E3367" t="s">
        <v>585</v>
      </c>
      <c r="F3367" t="s">
        <v>21</v>
      </c>
      <c r="G3367" t="s">
        <v>999</v>
      </c>
      <c r="H3367">
        <v>1</v>
      </c>
      <c r="I3367">
        <v>2</v>
      </c>
      <c r="J3367">
        <v>0</v>
      </c>
      <c r="K3367">
        <v>0</v>
      </c>
      <c r="L3367">
        <v>0</v>
      </c>
    </row>
    <row r="3368" spans="1:12">
      <c r="A3368" t="str">
        <f>HYPERLINK("http://bombeiros.sp.gov.br/hidrantes/03individual/1175.html","1175")</f>
        <v>1175</v>
      </c>
      <c r="B3368" t="str">
        <f>HYPERLINK("http://bombeiros.sp.gov.br/hidrantes/08bsg/qrcodeBSG.html?id=1175&amp;lat=-23.53069&amp;long=-46.70632&amp;tipo=S","QRCODE")</f>
        <v>QRCODE</v>
      </c>
      <c r="C3368" t="s">
        <v>5351</v>
      </c>
      <c r="D3368" t="s">
        <v>102</v>
      </c>
      <c r="E3368" t="s">
        <v>1317</v>
      </c>
      <c r="F3368" t="s">
        <v>21</v>
      </c>
      <c r="G3368" t="s">
        <v>2647</v>
      </c>
      <c r="H3368">
        <v>0</v>
      </c>
      <c r="I3368">
        <v>3</v>
      </c>
      <c r="J3368">
        <v>0</v>
      </c>
      <c r="K3368">
        <v>0</v>
      </c>
      <c r="L3368">
        <v>0</v>
      </c>
    </row>
    <row r="3369" spans="1:12">
      <c r="A3369" t="str">
        <f>HYPERLINK("http://bombeiros.sp.gov.br/hidrantes/03individual/1177.html","1177")</f>
        <v>1177</v>
      </c>
      <c r="B3369" t="str">
        <f>HYPERLINK("http://bombeiros.sp.gov.br/hidrantes/08bsg/qrcodeBSG.html?id=1177&amp;lat=-23.52809&amp;long=-46.70613&amp;tipo=S","QRCODE")</f>
        <v>QRCODE</v>
      </c>
      <c r="C3369" t="s">
        <v>5351</v>
      </c>
      <c r="D3369" t="s">
        <v>102</v>
      </c>
      <c r="E3369" t="s">
        <v>1317</v>
      </c>
      <c r="F3369" t="s">
        <v>21</v>
      </c>
      <c r="G3369" t="s">
        <v>2648</v>
      </c>
      <c r="H3369">
        <v>0</v>
      </c>
      <c r="I3369">
        <v>2</v>
      </c>
      <c r="J3369">
        <v>0</v>
      </c>
      <c r="K3369">
        <v>0</v>
      </c>
      <c r="L3369">
        <v>0</v>
      </c>
    </row>
    <row r="3370" spans="1:12">
      <c r="A3370" t="str">
        <f>HYPERLINK("http://bombeiros.sp.gov.br/hidrantes/03individual/1255.html","1255")</f>
        <v>1255</v>
      </c>
      <c r="B3370" t="str">
        <f>HYPERLINK("http://bombeiros.sp.gov.br/hidrantes/08bsg/qrcodeBSG.html?id=1255&amp;lat=-23.53000&amp;long=-46.71466&amp;tipo=S","QRCODE")</f>
        <v>QRCODE</v>
      </c>
      <c r="C3370" t="s">
        <v>5351</v>
      </c>
      <c r="D3370" t="s">
        <v>102</v>
      </c>
      <c r="E3370" t="s">
        <v>1317</v>
      </c>
      <c r="F3370" t="s">
        <v>21</v>
      </c>
      <c r="G3370" t="s">
        <v>4047</v>
      </c>
      <c r="H3370">
        <v>0</v>
      </c>
      <c r="I3370">
        <v>2</v>
      </c>
      <c r="J3370">
        <v>0</v>
      </c>
      <c r="K3370">
        <v>0</v>
      </c>
      <c r="L3370">
        <v>0</v>
      </c>
    </row>
    <row r="3371" spans="1:12">
      <c r="A3371" t="str">
        <f>HYPERLINK("http://bombeiros.sp.gov.br/hidrantes/03individual/1272.html","1272")</f>
        <v>1272</v>
      </c>
      <c r="B3371" t="str">
        <f>HYPERLINK("http://bombeiros.sp.gov.br/hidrantes/08bsg/qrcodeBSG.html?id=1272&amp;lat=-23.53511&amp;long=-46.71436&amp;tipo=S","QRCODE")</f>
        <v>QRCODE</v>
      </c>
      <c r="C3371" t="s">
        <v>5351</v>
      </c>
      <c r="D3371" t="s">
        <v>102</v>
      </c>
      <c r="E3371" t="s">
        <v>1317</v>
      </c>
      <c r="F3371" t="s">
        <v>21</v>
      </c>
      <c r="G3371" t="s">
        <v>2126</v>
      </c>
      <c r="H3371">
        <v>0</v>
      </c>
      <c r="I3371">
        <v>2</v>
      </c>
      <c r="J3371">
        <v>0</v>
      </c>
      <c r="K3371">
        <v>0</v>
      </c>
      <c r="L3371">
        <v>0</v>
      </c>
    </row>
    <row r="3372" spans="1:12">
      <c r="A3372" t="str">
        <f>HYPERLINK("http://bombeiros.sp.gov.br/hidrantes/03individual/1274.html","1274")</f>
        <v>1274</v>
      </c>
      <c r="B3372" t="str">
        <f>HYPERLINK("http://bombeiros.sp.gov.br/hidrantes/08bsg/qrcodeBSG.html?id=1274&amp;lat=-23.53433&amp;long=-46.71396&amp;tipo=S","QRCODE")</f>
        <v>QRCODE</v>
      </c>
      <c r="C3372" t="s">
        <v>5351</v>
      </c>
      <c r="D3372" t="s">
        <v>102</v>
      </c>
      <c r="E3372" t="s">
        <v>1317</v>
      </c>
      <c r="F3372" t="s">
        <v>21</v>
      </c>
      <c r="G3372" t="s">
        <v>1373</v>
      </c>
      <c r="H3372">
        <v>0</v>
      </c>
      <c r="I3372">
        <v>2</v>
      </c>
      <c r="J3372">
        <v>0</v>
      </c>
      <c r="K3372">
        <v>0</v>
      </c>
      <c r="L3372">
        <v>0</v>
      </c>
    </row>
    <row r="3373" spans="1:12">
      <c r="A3373" t="str">
        <f>HYPERLINK("http://bombeiros.sp.gov.br/hidrantes/03individual/1417.html","1417")</f>
        <v>1417</v>
      </c>
      <c r="B3373" t="str">
        <f>HYPERLINK("http://bombeiros.sp.gov.br/hidrantes/08bsg/qrcodeBSG.html?id=1417&amp;lat=-23.52669&amp;long=-46.70894&amp;tipo=S","QRCODE")</f>
        <v>QRCODE</v>
      </c>
      <c r="C3373" t="s">
        <v>5351</v>
      </c>
      <c r="D3373" t="s">
        <v>102</v>
      </c>
      <c r="E3373" t="s">
        <v>1317</v>
      </c>
      <c r="F3373" t="s">
        <v>21</v>
      </c>
      <c r="G3373" t="s">
        <v>2631</v>
      </c>
      <c r="H3373">
        <v>0</v>
      </c>
      <c r="I3373">
        <v>2</v>
      </c>
      <c r="J3373">
        <v>0</v>
      </c>
      <c r="K3373">
        <v>0</v>
      </c>
      <c r="L3373">
        <v>0</v>
      </c>
    </row>
    <row r="3374" spans="1:12">
      <c r="A3374" t="str">
        <f>HYPERLINK("http://bombeiros.sp.gov.br/hidrantes/03individual/2370.html","2370")</f>
        <v>2370</v>
      </c>
      <c r="B3374" t="str">
        <f>HYPERLINK("http://bombeiros.sp.gov.br/hidrantes/08bsg/qrcodeBSG.html?id=2370&amp;lat=-23.52843&amp;long=-46.70673&amp;tipo=S","QRCODE")</f>
        <v>QRCODE</v>
      </c>
      <c r="C3374" t="s">
        <v>5351</v>
      </c>
      <c r="D3374" t="s">
        <v>102</v>
      </c>
      <c r="E3374" t="s">
        <v>1317</v>
      </c>
      <c r="F3374" t="s">
        <v>21</v>
      </c>
      <c r="G3374" t="s">
        <v>1329</v>
      </c>
      <c r="H3374">
        <v>0</v>
      </c>
      <c r="I3374">
        <v>2</v>
      </c>
      <c r="J3374">
        <v>0</v>
      </c>
      <c r="K3374">
        <v>0</v>
      </c>
      <c r="L3374">
        <v>0</v>
      </c>
    </row>
    <row r="3375" spans="1:12">
      <c r="A3375" t="str">
        <f>HYPERLINK("http://bombeiros.sp.gov.br/hidrantes/03individual/4237.html","4237")</f>
        <v>4237</v>
      </c>
      <c r="B3375" t="str">
        <f>HYPERLINK("http://bombeiros.sp.gov.br/hidrantes/08bsg/qrcodeBSG.html?id=4237&amp;lat=-23.52820&amp;long=-46.71599&amp;tipo=S","QRCODE")</f>
        <v>QRCODE</v>
      </c>
      <c r="C3375" t="s">
        <v>5351</v>
      </c>
      <c r="D3375" t="s">
        <v>102</v>
      </c>
      <c r="E3375" t="s">
        <v>1317</v>
      </c>
      <c r="F3375" t="s">
        <v>21</v>
      </c>
      <c r="G3375" t="s">
        <v>3202</v>
      </c>
      <c r="H3375">
        <v>0</v>
      </c>
      <c r="I3375">
        <v>2</v>
      </c>
      <c r="J3375">
        <v>0</v>
      </c>
      <c r="K3375">
        <v>0</v>
      </c>
      <c r="L3375">
        <v>0</v>
      </c>
    </row>
    <row r="3376" spans="1:12">
      <c r="A3376" t="str">
        <f>HYPERLINK("http://bombeiros.sp.gov.br/hidrantes/03individual/4239.html","4239")</f>
        <v>4239</v>
      </c>
      <c r="B3376" t="str">
        <f>HYPERLINK("http://bombeiros.sp.gov.br/hidrantes/08bsg/qrcodeBSG.html?id=4239&amp;lat=-23.53095&amp;long=-46.70965&amp;tipo=S","QRCODE")</f>
        <v>QRCODE</v>
      </c>
      <c r="C3376" t="s">
        <v>5351</v>
      </c>
      <c r="D3376" t="s">
        <v>102</v>
      </c>
      <c r="E3376" t="s">
        <v>1317</v>
      </c>
      <c r="F3376" t="s">
        <v>21</v>
      </c>
      <c r="G3376" t="s">
        <v>3203</v>
      </c>
      <c r="H3376">
        <v>0</v>
      </c>
      <c r="I3376">
        <v>2</v>
      </c>
      <c r="J3376">
        <v>0</v>
      </c>
      <c r="K3376">
        <v>0</v>
      </c>
      <c r="L3376">
        <v>0</v>
      </c>
    </row>
    <row r="3377" spans="1:12">
      <c r="A3377" t="str">
        <f>HYPERLINK("http://bombeiros.sp.gov.br/hidrantes/03individual/4240.html","4240")</f>
        <v>4240</v>
      </c>
      <c r="B3377" t="str">
        <f>HYPERLINK("http://bombeiros.sp.gov.br/hidrantes/08bsg/qrcodeBSG.html?id=4240&amp;lat=-23.53348&amp;long=-46.70906&amp;tipo=S","QRCODE")</f>
        <v>QRCODE</v>
      </c>
      <c r="C3377" t="s">
        <v>5351</v>
      </c>
      <c r="D3377" t="s">
        <v>102</v>
      </c>
      <c r="E3377" t="s">
        <v>1317</v>
      </c>
      <c r="F3377" t="s">
        <v>21</v>
      </c>
      <c r="G3377" t="s">
        <v>3204</v>
      </c>
      <c r="H3377">
        <v>0</v>
      </c>
      <c r="I3377">
        <v>2</v>
      </c>
      <c r="J3377">
        <v>0</v>
      </c>
      <c r="K3377">
        <v>0</v>
      </c>
      <c r="L3377">
        <v>0</v>
      </c>
    </row>
    <row r="3378" spans="1:12">
      <c r="A3378" t="str">
        <f>HYPERLINK("http://bombeiros.sp.gov.br/hidrantes/03individual/6661.html","6661")</f>
        <v>6661</v>
      </c>
      <c r="B3378" t="str">
        <f>HYPERLINK("http://bombeiros.sp.gov.br/hidrantes/08bsg/qrcodeBSG.html?id=6661&amp;lat=-23.53168&amp;long=-46.71862&amp;tipo=S","QRCODE")</f>
        <v>QRCODE</v>
      </c>
      <c r="C3378" t="s">
        <v>5351</v>
      </c>
      <c r="D3378" t="s">
        <v>102</v>
      </c>
      <c r="E3378" t="s">
        <v>1317</v>
      </c>
      <c r="F3378" t="s">
        <v>21</v>
      </c>
      <c r="G3378" t="s">
        <v>3737</v>
      </c>
      <c r="H3378">
        <v>1</v>
      </c>
      <c r="I3378">
        <v>1</v>
      </c>
      <c r="J3378">
        <v>0</v>
      </c>
      <c r="K3378">
        <v>0</v>
      </c>
      <c r="L3378">
        <v>0</v>
      </c>
    </row>
    <row r="3379" spans="1:12">
      <c r="A3379" t="str">
        <f>HYPERLINK("http://bombeiros.sp.gov.br/hidrantes/03individual/6672.html","6672")</f>
        <v>6672</v>
      </c>
      <c r="B3379" t="str">
        <f>HYPERLINK("http://bombeiros.sp.gov.br/hidrantes/08bsg/qrcodeBSG.html?id=6672&amp;lat=-23.53684&amp;long=-46.70812&amp;tipo=S","QRCODE")</f>
        <v>QRCODE</v>
      </c>
      <c r="C3379" t="s">
        <v>5351</v>
      </c>
      <c r="D3379" t="s">
        <v>102</v>
      </c>
      <c r="E3379" t="s">
        <v>1317</v>
      </c>
      <c r="F3379" t="s">
        <v>21</v>
      </c>
      <c r="G3379" t="s">
        <v>4251</v>
      </c>
      <c r="H3379">
        <v>0</v>
      </c>
      <c r="I3379">
        <v>1</v>
      </c>
      <c r="J3379">
        <v>0</v>
      </c>
      <c r="K3379">
        <v>0</v>
      </c>
      <c r="L3379">
        <v>0</v>
      </c>
    </row>
    <row r="3380" spans="1:12">
      <c r="A3380" t="str">
        <f>HYPERLINK("http://bombeiros.sp.gov.br/hidrantes/03individual/6675.html","6675")</f>
        <v>6675</v>
      </c>
      <c r="B3380" t="str">
        <f>HYPERLINK("http://bombeiros.sp.gov.br/hidrantes/08bsg/qrcodeBSG.html?id=6675&amp;lat=-23.53540&amp;long=-46.71128&amp;tipo=S","QRCODE")</f>
        <v>QRCODE</v>
      </c>
      <c r="C3380" t="s">
        <v>5351</v>
      </c>
      <c r="D3380" t="s">
        <v>102</v>
      </c>
      <c r="E3380" t="s">
        <v>1317</v>
      </c>
      <c r="F3380" t="s">
        <v>21</v>
      </c>
      <c r="G3380" t="s">
        <v>3210</v>
      </c>
      <c r="H3380">
        <v>1</v>
      </c>
      <c r="I3380">
        <v>1</v>
      </c>
      <c r="J3380">
        <v>0</v>
      </c>
      <c r="K3380">
        <v>0</v>
      </c>
      <c r="L3380">
        <v>0</v>
      </c>
    </row>
    <row r="3381" spans="1:12">
      <c r="A3381" t="str">
        <f>HYPERLINK("http://bombeiros.sp.gov.br/hidrantes/03individual/16594.html","16594")</f>
        <v>16594</v>
      </c>
      <c r="B3381" t="str">
        <f>HYPERLINK("http://bombeiros.sp.gov.br/hidrantes/08bsg/qrcodeBSG.html?id=16594&amp;lat=-23.52590&amp;long=-46.71354&amp;tipo=S","QRCODE")</f>
        <v>QRCODE</v>
      </c>
      <c r="C3381" t="s">
        <v>5351</v>
      </c>
      <c r="D3381" t="s">
        <v>102</v>
      </c>
      <c r="E3381" t="s">
        <v>1317</v>
      </c>
      <c r="F3381" t="s">
        <v>21</v>
      </c>
      <c r="G3381" t="s">
        <v>1316</v>
      </c>
      <c r="H3381">
        <v>1</v>
      </c>
      <c r="I3381">
        <v>2</v>
      </c>
      <c r="J3381">
        <v>0</v>
      </c>
      <c r="K3381">
        <v>0</v>
      </c>
      <c r="L3381">
        <v>0</v>
      </c>
    </row>
    <row r="3382" spans="1:12">
      <c r="A3382" t="str">
        <f>HYPERLINK("http://bombeiros.sp.gov.br/hidrantes/03individual/17866.html","17866")</f>
        <v>17866</v>
      </c>
      <c r="B3382" t="str">
        <f>HYPERLINK("http://bombeiros.sp.gov.br/hidrantes/08bsg/qrcodeBSG.html?id=17866&amp;lat=-23.53607&amp;long=-46.70842&amp;tipo=S","QRCODE")</f>
        <v>QRCODE</v>
      </c>
      <c r="C3382" t="s">
        <v>5351</v>
      </c>
      <c r="D3382" t="s">
        <v>102</v>
      </c>
      <c r="E3382" t="s">
        <v>1317</v>
      </c>
      <c r="F3382" t="s">
        <v>21</v>
      </c>
      <c r="G3382" t="s">
        <v>4012</v>
      </c>
      <c r="H3382">
        <v>1</v>
      </c>
      <c r="I3382">
        <v>1</v>
      </c>
      <c r="J3382">
        <v>0</v>
      </c>
      <c r="K3382">
        <v>0</v>
      </c>
      <c r="L3382">
        <v>0</v>
      </c>
    </row>
    <row r="3383" spans="1:12">
      <c r="A3383" t="str">
        <f>HYPERLINK("http://bombeiros.sp.gov.br/hidrantes/03individual/1148.html","1148")</f>
        <v>1148</v>
      </c>
      <c r="B3383" t="str">
        <f>HYPERLINK("http://bombeiros.sp.gov.br/hidrantes/08bsg/qrcodeBSG.html?id=1148&amp;lat=-23.51919&amp;long=-46.71803&amp;tipo=S","QRCODE")</f>
        <v>QRCODE</v>
      </c>
      <c r="C3383" t="s">
        <v>5351</v>
      </c>
      <c r="D3383" t="s">
        <v>102</v>
      </c>
      <c r="E3383" t="s">
        <v>1452</v>
      </c>
      <c r="F3383" t="s">
        <v>21</v>
      </c>
      <c r="G3383" t="s">
        <v>1902</v>
      </c>
      <c r="H3383">
        <v>0</v>
      </c>
      <c r="I3383">
        <v>2</v>
      </c>
      <c r="J3383">
        <v>0</v>
      </c>
      <c r="K3383">
        <v>0</v>
      </c>
      <c r="L3383">
        <v>0</v>
      </c>
    </row>
    <row r="3384" spans="1:12">
      <c r="A3384" t="str">
        <f>HYPERLINK("http://bombeiros.sp.gov.br/hidrantes/03individual/4227.html","4227")</f>
        <v>4227</v>
      </c>
      <c r="B3384" t="str">
        <f>HYPERLINK("http://bombeiros.sp.gov.br/hidrantes/08bsg/qrcodeBSG.html?id=4227&amp;lat=-23.52606&amp;long=-46.72088&amp;tipo=S","QRCODE")</f>
        <v>QRCODE</v>
      </c>
      <c r="C3384" t="s">
        <v>5351</v>
      </c>
      <c r="D3384" t="s">
        <v>102</v>
      </c>
      <c r="E3384" t="s">
        <v>1452</v>
      </c>
      <c r="F3384" t="s">
        <v>21</v>
      </c>
      <c r="G3384" t="s">
        <v>3205</v>
      </c>
      <c r="H3384">
        <v>0</v>
      </c>
      <c r="I3384">
        <v>2</v>
      </c>
      <c r="J3384">
        <v>0</v>
      </c>
      <c r="K3384">
        <v>0</v>
      </c>
      <c r="L3384">
        <v>0</v>
      </c>
    </row>
    <row r="3385" spans="1:12">
      <c r="A3385" t="str">
        <f>HYPERLINK("http://bombeiros.sp.gov.br/hidrantes/03individual/4228.html","4228")</f>
        <v>4228</v>
      </c>
      <c r="B3385" t="str">
        <f>HYPERLINK("http://bombeiros.sp.gov.br/hidrantes/08bsg/qrcodeBSG.html?id=4228&amp;lat=-23.52246&amp;long=-46.71843&amp;tipo=S","QRCODE")</f>
        <v>QRCODE</v>
      </c>
      <c r="C3385" t="s">
        <v>5351</v>
      </c>
      <c r="D3385" t="s">
        <v>102</v>
      </c>
      <c r="E3385" t="s">
        <v>1452</v>
      </c>
      <c r="F3385" t="s">
        <v>21</v>
      </c>
      <c r="G3385" t="s">
        <v>1451</v>
      </c>
      <c r="H3385">
        <v>1</v>
      </c>
      <c r="I3385">
        <v>2</v>
      </c>
      <c r="J3385">
        <v>0</v>
      </c>
      <c r="K3385">
        <v>0</v>
      </c>
      <c r="L3385">
        <v>0</v>
      </c>
    </row>
    <row r="3386" spans="1:12">
      <c r="A3386" t="str">
        <f>HYPERLINK("http://bombeiros.sp.gov.br/hidrantes/03individual/16317.html","16317")</f>
        <v>16317</v>
      </c>
      <c r="B3386" t="str">
        <f>HYPERLINK("http://bombeiros.sp.gov.br/hidrantes/08bsg/qrcodeBSG.html?id=16317&amp;lat=-23.51934&amp;long=-46.72304&amp;tipo=S","QRCODE")</f>
        <v>QRCODE</v>
      </c>
      <c r="C3386" t="s">
        <v>5351</v>
      </c>
      <c r="D3386" t="s">
        <v>102</v>
      </c>
      <c r="E3386" t="s">
        <v>1452</v>
      </c>
      <c r="F3386" t="s">
        <v>21</v>
      </c>
      <c r="G3386" t="s">
        <v>1491</v>
      </c>
      <c r="H3386">
        <v>0</v>
      </c>
      <c r="I3386">
        <v>3</v>
      </c>
      <c r="J3386">
        <v>0</v>
      </c>
      <c r="K3386">
        <v>0</v>
      </c>
      <c r="L3386">
        <v>0</v>
      </c>
    </row>
    <row r="3387" spans="1:12">
      <c r="A3387" t="str">
        <f>HYPERLINK("http://bombeiros.sp.gov.br/hidrantes/03individual/1124.html","1124")</f>
        <v>1124</v>
      </c>
      <c r="B3387" t="str">
        <f>HYPERLINK("http://bombeiros.sp.gov.br/hidrantes/08bsg/qrcodeBSG.html?id=1124&amp;lat=-23.52177&amp;long=-46.70308&amp;tipo=C","QRCODE")</f>
        <v>QRCODE</v>
      </c>
      <c r="C3387" t="s">
        <v>5351</v>
      </c>
      <c r="D3387" t="s">
        <v>102</v>
      </c>
      <c r="E3387" t="s">
        <v>102</v>
      </c>
      <c r="F3387" t="s">
        <v>12</v>
      </c>
      <c r="G3387" t="s">
        <v>1366</v>
      </c>
      <c r="H3387">
        <v>1</v>
      </c>
      <c r="I3387">
        <v>2</v>
      </c>
      <c r="J3387">
        <v>0</v>
      </c>
      <c r="K3387">
        <v>0</v>
      </c>
      <c r="L3387">
        <v>0</v>
      </c>
    </row>
    <row r="3388" spans="1:12">
      <c r="A3388" t="str">
        <f>HYPERLINK("http://bombeiros.sp.gov.br/hidrantes/03individual/1150.html","1150")</f>
        <v>1150</v>
      </c>
      <c r="B3388" t="str">
        <f>HYPERLINK("http://bombeiros.sp.gov.br/hidrantes/08bsg/qrcodeBSG.html?id=1150&amp;lat=-23.52154&amp;long=-46.70498&amp;tipo=C","QRCODE")</f>
        <v>QRCODE</v>
      </c>
      <c r="C3388" t="s">
        <v>5351</v>
      </c>
      <c r="D3388" t="s">
        <v>102</v>
      </c>
      <c r="E3388" t="s">
        <v>102</v>
      </c>
      <c r="F3388" t="s">
        <v>12</v>
      </c>
      <c r="G3388" t="s">
        <v>2650</v>
      </c>
      <c r="H3388">
        <v>0</v>
      </c>
      <c r="I3388">
        <v>2</v>
      </c>
      <c r="J3388">
        <v>0</v>
      </c>
      <c r="K3388">
        <v>0</v>
      </c>
      <c r="L3388">
        <v>0</v>
      </c>
    </row>
    <row r="3389" spans="1:12">
      <c r="A3389" t="str">
        <f>HYPERLINK("http://bombeiros.sp.gov.br/hidrantes/03individual/1152.html","1152")</f>
        <v>1152</v>
      </c>
      <c r="B3389" t="str">
        <f>HYPERLINK("http://bombeiros.sp.gov.br/hidrantes/08bsg/qrcodeBSG.html?id=1152&amp;lat=-23.52038&amp;long=-46.70347&amp;tipo=C","QRCODE")</f>
        <v>QRCODE</v>
      </c>
      <c r="C3389" t="s">
        <v>5351</v>
      </c>
      <c r="D3389" t="s">
        <v>102</v>
      </c>
      <c r="E3389" t="s">
        <v>102</v>
      </c>
      <c r="F3389" t="s">
        <v>12</v>
      </c>
      <c r="G3389" t="s">
        <v>1364</v>
      </c>
      <c r="H3389">
        <v>1</v>
      </c>
      <c r="I3389">
        <v>2</v>
      </c>
      <c r="J3389">
        <v>0</v>
      </c>
      <c r="K3389">
        <v>0</v>
      </c>
      <c r="L3389">
        <v>0</v>
      </c>
    </row>
    <row r="3390" spans="1:12">
      <c r="A3390" t="str">
        <f>HYPERLINK("http://bombeiros.sp.gov.br/hidrantes/03individual/1181.html","1181")</f>
        <v>1181</v>
      </c>
      <c r="B3390" t="str">
        <f>HYPERLINK("http://bombeiros.sp.gov.br/hidrantes/08bsg/qrcodeBSG.html?id=1181&amp;lat=-23.52455&amp;long=-46.70810&amp;tipo=C","QRCODE")</f>
        <v>QRCODE</v>
      </c>
      <c r="C3390" t="s">
        <v>5351</v>
      </c>
      <c r="D3390" t="s">
        <v>102</v>
      </c>
      <c r="E3390" t="s">
        <v>102</v>
      </c>
      <c r="F3390" t="s">
        <v>12</v>
      </c>
      <c r="G3390" t="s">
        <v>1363</v>
      </c>
      <c r="H3390">
        <v>1</v>
      </c>
      <c r="I3390">
        <v>2</v>
      </c>
      <c r="J3390">
        <v>0</v>
      </c>
      <c r="K3390">
        <v>0</v>
      </c>
      <c r="L3390">
        <v>0</v>
      </c>
    </row>
    <row r="3391" spans="1:12">
      <c r="A3391" t="str">
        <f>HYPERLINK("http://bombeiros.sp.gov.br/hidrantes/03individual/1473.html","1473")</f>
        <v>1473</v>
      </c>
      <c r="B3391" t="str">
        <f>HYPERLINK("http://bombeiros.sp.gov.br/hidrantes/08bsg/qrcodeBSG.html?id=1473&amp;lat=-23.52149&amp;long=-46.70055&amp;tipo=C","QRCODE")</f>
        <v>QRCODE</v>
      </c>
      <c r="C3391" t="s">
        <v>5351</v>
      </c>
      <c r="D3391" t="s">
        <v>102</v>
      </c>
      <c r="E3391" t="s">
        <v>102</v>
      </c>
      <c r="F3391" t="s">
        <v>12</v>
      </c>
      <c r="G3391" t="s">
        <v>2130</v>
      </c>
      <c r="H3391">
        <v>0</v>
      </c>
      <c r="I3391">
        <v>3</v>
      </c>
      <c r="J3391">
        <v>0</v>
      </c>
      <c r="K3391">
        <v>0</v>
      </c>
      <c r="L3391">
        <v>0</v>
      </c>
    </row>
    <row r="3392" spans="1:12">
      <c r="A3392" t="str">
        <f>HYPERLINK("http://bombeiros.sp.gov.br/hidrantes/03individual/1477.html","1477")</f>
        <v>1477</v>
      </c>
      <c r="B3392" t="str">
        <f>HYPERLINK("http://bombeiros.sp.gov.br/hidrantes/08bsg/qrcodeBSG.html?id=1477&amp;lat=-23.52253&amp;long=-46.68996&amp;tipo=C","QRCODE")</f>
        <v>QRCODE</v>
      </c>
      <c r="C3392" t="s">
        <v>5351</v>
      </c>
      <c r="D3392" t="s">
        <v>102</v>
      </c>
      <c r="E3392" t="s">
        <v>102</v>
      </c>
      <c r="F3392" t="s">
        <v>12</v>
      </c>
      <c r="G3392" t="s">
        <v>1556</v>
      </c>
      <c r="H3392">
        <v>1</v>
      </c>
      <c r="I3392">
        <v>2</v>
      </c>
      <c r="J3392">
        <v>0</v>
      </c>
      <c r="K3392">
        <v>0</v>
      </c>
      <c r="L3392">
        <v>0</v>
      </c>
    </row>
    <row r="3393" spans="1:12">
      <c r="A3393" t="str">
        <f>HYPERLINK("http://bombeiros.sp.gov.br/hidrantes/03individual/2145.html","2145")</f>
        <v>2145</v>
      </c>
      <c r="B3393" t="str">
        <f>HYPERLINK("http://bombeiros.sp.gov.br/hidrantes/08bsg/qrcodeBSG.html?id=2145&amp;lat=-23.52563&amp;long=-46.70313&amp;tipo=C","QRCODE")</f>
        <v>QRCODE</v>
      </c>
      <c r="C3393" t="s">
        <v>5351</v>
      </c>
      <c r="D3393" t="s">
        <v>102</v>
      </c>
      <c r="E3393" t="s">
        <v>102</v>
      </c>
      <c r="F3393" t="s">
        <v>12</v>
      </c>
      <c r="G3393" t="s">
        <v>2656</v>
      </c>
      <c r="H3393">
        <v>0</v>
      </c>
      <c r="I3393">
        <v>3</v>
      </c>
      <c r="J3393">
        <v>0</v>
      </c>
      <c r="K3393">
        <v>0</v>
      </c>
      <c r="L3393">
        <v>0</v>
      </c>
    </row>
    <row r="3394" spans="1:12">
      <c r="A3394" t="str">
        <f>HYPERLINK("http://bombeiros.sp.gov.br/hidrantes/03individual/2201.html","2201")</f>
        <v>2201</v>
      </c>
      <c r="B3394" t="str">
        <f>HYPERLINK("http://bombeiros.sp.gov.br/hidrantes/08bsg/qrcodeBSG.html?id=2201&amp;lat=-23.52140&amp;long=-46.69927&amp;tipo=C","QRCODE")</f>
        <v>QRCODE</v>
      </c>
      <c r="C3394" t="s">
        <v>5351</v>
      </c>
      <c r="D3394" t="s">
        <v>102</v>
      </c>
      <c r="E3394" t="s">
        <v>102</v>
      </c>
      <c r="F3394" t="s">
        <v>12</v>
      </c>
      <c r="G3394" t="s">
        <v>1523</v>
      </c>
      <c r="H3394">
        <v>1</v>
      </c>
      <c r="I3394">
        <v>2</v>
      </c>
      <c r="J3394">
        <v>0</v>
      </c>
      <c r="K3394">
        <v>0</v>
      </c>
      <c r="L3394">
        <v>0</v>
      </c>
    </row>
    <row r="3395" spans="1:12">
      <c r="A3395" t="str">
        <f>HYPERLINK("http://bombeiros.sp.gov.br/hidrantes/03individual/2245.html","2245")</f>
        <v>2245</v>
      </c>
      <c r="B3395" t="str">
        <f>HYPERLINK("http://bombeiros.sp.gov.br/hidrantes/08bsg/qrcodeBSG.html?id=2245&amp;lat=-23.52608&amp;long=-46.69764&amp;tipo=C","QRCODE")</f>
        <v>QRCODE</v>
      </c>
      <c r="C3395" t="s">
        <v>5351</v>
      </c>
      <c r="D3395" t="s">
        <v>102</v>
      </c>
      <c r="E3395" t="s">
        <v>102</v>
      </c>
      <c r="F3395" t="s">
        <v>12</v>
      </c>
      <c r="G3395" t="s">
        <v>2758</v>
      </c>
      <c r="H3395">
        <v>0</v>
      </c>
      <c r="I3395">
        <v>2</v>
      </c>
      <c r="J3395">
        <v>0</v>
      </c>
      <c r="K3395">
        <v>0</v>
      </c>
      <c r="L3395">
        <v>0</v>
      </c>
    </row>
    <row r="3396" spans="1:12">
      <c r="A3396" t="str">
        <f>HYPERLINK("http://bombeiros.sp.gov.br/hidrantes/03individual/2255.html","2255")</f>
        <v>2255</v>
      </c>
      <c r="B3396" t="str">
        <f>HYPERLINK("http://bombeiros.sp.gov.br/hidrantes/08bsg/qrcodeBSG.html?id=2255&amp;lat=-23.52253&amp;long=-46.69441&amp;tipo=C","QRCODE")</f>
        <v>QRCODE</v>
      </c>
      <c r="C3396" t="s">
        <v>5351</v>
      </c>
      <c r="D3396" t="s">
        <v>102</v>
      </c>
      <c r="E3396" t="s">
        <v>102</v>
      </c>
      <c r="F3396" t="s">
        <v>12</v>
      </c>
      <c r="G3396" t="s">
        <v>1522</v>
      </c>
      <c r="H3396">
        <v>1</v>
      </c>
      <c r="I3396">
        <v>2</v>
      </c>
      <c r="J3396">
        <v>0</v>
      </c>
      <c r="K3396">
        <v>0</v>
      </c>
      <c r="L3396">
        <v>0</v>
      </c>
    </row>
    <row r="3397" spans="1:12">
      <c r="A3397" t="str">
        <f>HYPERLINK("http://bombeiros.sp.gov.br/hidrantes/03individual/17684.html","17684")</f>
        <v>17684</v>
      </c>
      <c r="B3397" t="str">
        <f>HYPERLINK("http://bombeiros.sp.gov.br/hidrantes/08bsg/qrcodeBSG.html?id=17684&amp;lat=-23.52174&amp;long=-46.68763&amp;tipo=C","QRCODE")</f>
        <v>QRCODE</v>
      </c>
      <c r="C3397" t="s">
        <v>5351</v>
      </c>
      <c r="D3397" t="s">
        <v>102</v>
      </c>
      <c r="E3397" t="s">
        <v>102</v>
      </c>
      <c r="F3397" t="s">
        <v>12</v>
      </c>
      <c r="G3397" t="s">
        <v>1515</v>
      </c>
      <c r="H3397">
        <v>2</v>
      </c>
      <c r="I3397">
        <v>2</v>
      </c>
      <c r="J3397">
        <v>0</v>
      </c>
      <c r="K3397">
        <v>0</v>
      </c>
      <c r="L3397">
        <v>0</v>
      </c>
    </row>
    <row r="3398" spans="1:12">
      <c r="A3398" t="str">
        <f>HYPERLINK("http://bombeiros.sp.gov.br/hidrantes/03individual/26955.html","26955")</f>
        <v>26955</v>
      </c>
      <c r="B3398" t="str">
        <f>HYPERLINK("http://bombeiros.sp.gov.br/hidrantes/08bsg/qrcodeBSG.html?id=26955&amp;lat=-23.52280&amp;long=-46.69204&amp;tipo=C","QRCODE")</f>
        <v>QRCODE</v>
      </c>
      <c r="C3398" t="s">
        <v>5351</v>
      </c>
      <c r="D3398" t="s">
        <v>102</v>
      </c>
      <c r="E3398" t="s">
        <v>102</v>
      </c>
      <c r="F3398" t="s">
        <v>12</v>
      </c>
      <c r="G3398" t="s">
        <v>4005</v>
      </c>
      <c r="H3398">
        <v>0</v>
      </c>
      <c r="I3398">
        <v>1</v>
      </c>
      <c r="J3398">
        <v>0</v>
      </c>
      <c r="K3398">
        <v>0</v>
      </c>
      <c r="L3398">
        <v>0</v>
      </c>
    </row>
    <row r="3399" spans="1:12">
      <c r="A3399" t="str">
        <f>HYPERLINK("http://bombeiros.sp.gov.br/hidrantes/03individual/1091.html","1091")</f>
        <v>1091</v>
      </c>
      <c r="B3399" t="str">
        <f>HYPERLINK("http://bombeiros.sp.gov.br/hidrantes/08bsg/qrcodeBSG.html?id=1091&amp;lat=-23.51946&amp;long=-46.70400&amp;tipo=S","QRCODE")</f>
        <v>QRCODE</v>
      </c>
      <c r="C3399" t="s">
        <v>5351</v>
      </c>
      <c r="D3399" t="s">
        <v>102</v>
      </c>
      <c r="E3399" t="s">
        <v>102</v>
      </c>
      <c r="F3399" t="s">
        <v>21</v>
      </c>
      <c r="G3399" t="s">
        <v>3248</v>
      </c>
      <c r="H3399">
        <v>0</v>
      </c>
      <c r="I3399">
        <v>2</v>
      </c>
      <c r="J3399">
        <v>0</v>
      </c>
      <c r="K3399">
        <v>0</v>
      </c>
      <c r="L3399">
        <v>0</v>
      </c>
    </row>
    <row r="3400" spans="1:12">
      <c r="A3400" t="str">
        <f>HYPERLINK("http://bombeiros.sp.gov.br/hidrantes/03individual/1109.html","1109")</f>
        <v>1109</v>
      </c>
      <c r="B3400" t="str">
        <f>HYPERLINK("http://bombeiros.sp.gov.br/hidrantes/08bsg/qrcodeBSG.html?id=1109&amp;lat=-23.51793&amp;long=-46.70446&amp;tipo=S","QRCODE")</f>
        <v>QRCODE</v>
      </c>
      <c r="C3400" t="s">
        <v>5351</v>
      </c>
      <c r="D3400" t="s">
        <v>102</v>
      </c>
      <c r="E3400" t="s">
        <v>102</v>
      </c>
      <c r="F3400" t="s">
        <v>21</v>
      </c>
      <c r="G3400" t="s">
        <v>2117</v>
      </c>
      <c r="H3400">
        <v>0</v>
      </c>
      <c r="I3400">
        <v>2</v>
      </c>
      <c r="J3400">
        <v>0</v>
      </c>
      <c r="K3400">
        <v>0</v>
      </c>
      <c r="L3400">
        <v>0</v>
      </c>
    </row>
    <row r="3401" spans="1:12">
      <c r="A3401" t="str">
        <f>HYPERLINK("http://bombeiros.sp.gov.br/hidrantes/03individual/1111.html","1111")</f>
        <v>1111</v>
      </c>
      <c r="B3401" t="str">
        <f>HYPERLINK("http://bombeiros.sp.gov.br/hidrantes/08bsg/qrcodeBSG.html?id=1111&amp;lat=-23.51749&amp;long=-46.70528&amp;tipo=S","QRCODE")</f>
        <v>QRCODE</v>
      </c>
      <c r="C3401" t="s">
        <v>5351</v>
      </c>
      <c r="D3401" t="s">
        <v>102</v>
      </c>
      <c r="E3401" t="s">
        <v>102</v>
      </c>
      <c r="F3401" t="s">
        <v>21</v>
      </c>
      <c r="G3401" t="s">
        <v>2118</v>
      </c>
      <c r="H3401">
        <v>0</v>
      </c>
      <c r="I3401">
        <v>2</v>
      </c>
      <c r="J3401">
        <v>0</v>
      </c>
      <c r="K3401">
        <v>0</v>
      </c>
      <c r="L3401">
        <v>0</v>
      </c>
    </row>
    <row r="3402" spans="1:12">
      <c r="A3402" t="str">
        <f>HYPERLINK("http://bombeiros.sp.gov.br/hidrantes/03individual/1115.html","1115")</f>
        <v>1115</v>
      </c>
      <c r="B3402" t="str">
        <f>HYPERLINK("http://bombeiros.sp.gov.br/hidrantes/08bsg/qrcodeBSG.html?id=1115&amp;lat=-23.51818&amp;long=-46.70680&amp;tipo=S","QRCODE")</f>
        <v>QRCODE</v>
      </c>
      <c r="C3402" t="s">
        <v>5351</v>
      </c>
      <c r="D3402" t="s">
        <v>102</v>
      </c>
      <c r="E3402" t="s">
        <v>102</v>
      </c>
      <c r="F3402" t="s">
        <v>21</v>
      </c>
      <c r="G3402" t="s">
        <v>2119</v>
      </c>
      <c r="H3402">
        <v>0</v>
      </c>
      <c r="I3402">
        <v>2</v>
      </c>
      <c r="J3402">
        <v>0</v>
      </c>
      <c r="K3402">
        <v>0</v>
      </c>
      <c r="L3402">
        <v>0</v>
      </c>
    </row>
    <row r="3403" spans="1:12">
      <c r="A3403" t="str">
        <f>HYPERLINK("http://bombeiros.sp.gov.br/hidrantes/03individual/1117.html","1117")</f>
        <v>1117</v>
      </c>
      <c r="B3403" t="str">
        <f>HYPERLINK("http://bombeiros.sp.gov.br/hidrantes/08bsg/qrcodeBSG.html?id=1117&amp;lat=-23.51853&amp;long=-46.70598&amp;tipo=S","QRCODE")</f>
        <v>QRCODE</v>
      </c>
      <c r="C3403" t="s">
        <v>5351</v>
      </c>
      <c r="D3403" t="s">
        <v>102</v>
      </c>
      <c r="E3403" t="s">
        <v>102</v>
      </c>
      <c r="F3403" t="s">
        <v>21</v>
      </c>
      <c r="G3403" t="s">
        <v>3250</v>
      </c>
      <c r="H3403">
        <v>0</v>
      </c>
      <c r="I3403">
        <v>2</v>
      </c>
      <c r="J3403">
        <v>0</v>
      </c>
      <c r="K3403">
        <v>0</v>
      </c>
      <c r="L3403">
        <v>0</v>
      </c>
    </row>
    <row r="3404" spans="1:12">
      <c r="A3404" t="str">
        <f>HYPERLINK("http://bombeiros.sp.gov.br/hidrantes/03individual/1118.html","1118")</f>
        <v>1118</v>
      </c>
      <c r="B3404" t="str">
        <f>HYPERLINK("http://bombeiros.sp.gov.br/hidrantes/08bsg/qrcodeBSG.html?id=1118&amp;lat=-23.51906&amp;long=-46.70503&amp;tipo=S","QRCODE")</f>
        <v>QRCODE</v>
      </c>
      <c r="C3404" t="s">
        <v>5351</v>
      </c>
      <c r="D3404" t="s">
        <v>102</v>
      </c>
      <c r="E3404" t="s">
        <v>102</v>
      </c>
      <c r="F3404" t="s">
        <v>21</v>
      </c>
      <c r="G3404" t="s">
        <v>3251</v>
      </c>
      <c r="H3404">
        <v>0</v>
      </c>
      <c r="I3404">
        <v>2</v>
      </c>
      <c r="J3404">
        <v>0</v>
      </c>
      <c r="K3404">
        <v>0</v>
      </c>
      <c r="L3404">
        <v>0</v>
      </c>
    </row>
    <row r="3405" spans="1:12">
      <c r="A3405" t="str">
        <f>HYPERLINK("http://bombeiros.sp.gov.br/hidrantes/03individual/1120.html","1120")</f>
        <v>1120</v>
      </c>
      <c r="B3405" t="str">
        <f>HYPERLINK("http://bombeiros.sp.gov.br/hidrantes/08bsg/qrcodeBSG.html?id=1120&amp;lat=-23.51852&amp;long=-46.70827&amp;tipo=S","QRCODE")</f>
        <v>QRCODE</v>
      </c>
      <c r="C3405" t="s">
        <v>5351</v>
      </c>
      <c r="D3405" t="s">
        <v>102</v>
      </c>
      <c r="E3405" t="s">
        <v>102</v>
      </c>
      <c r="F3405" t="s">
        <v>21</v>
      </c>
      <c r="G3405" t="s">
        <v>2120</v>
      </c>
      <c r="H3405">
        <v>0</v>
      </c>
      <c r="I3405">
        <v>2</v>
      </c>
      <c r="J3405">
        <v>0</v>
      </c>
      <c r="K3405">
        <v>0</v>
      </c>
      <c r="L3405">
        <v>0</v>
      </c>
    </row>
    <row r="3406" spans="1:12">
      <c r="A3406" t="str">
        <f>HYPERLINK("http://bombeiros.sp.gov.br/hidrantes/03individual/1122.html","1122")</f>
        <v>1122</v>
      </c>
      <c r="B3406" t="str">
        <f>HYPERLINK("http://bombeiros.sp.gov.br/hidrantes/08bsg/qrcodeBSG.html?id=1122&amp;lat=-23.52010&amp;long=-46.70558&amp;tipo=S","QRCODE")</f>
        <v>QRCODE</v>
      </c>
      <c r="C3406" t="s">
        <v>5351</v>
      </c>
      <c r="D3406" t="s">
        <v>102</v>
      </c>
      <c r="E3406" t="s">
        <v>102</v>
      </c>
      <c r="F3406" t="s">
        <v>21</v>
      </c>
      <c r="G3406" t="s">
        <v>3249</v>
      </c>
      <c r="H3406">
        <v>0</v>
      </c>
      <c r="I3406">
        <v>2</v>
      </c>
      <c r="J3406">
        <v>0</v>
      </c>
      <c r="K3406">
        <v>0</v>
      </c>
      <c r="L3406">
        <v>0</v>
      </c>
    </row>
    <row r="3407" spans="1:12">
      <c r="A3407" t="str">
        <f>HYPERLINK("http://bombeiros.sp.gov.br/hidrantes/03individual/1126.html","1126")</f>
        <v>1126</v>
      </c>
      <c r="B3407" t="str">
        <f>HYPERLINK("http://bombeiros.sp.gov.br/hidrantes/08bsg/qrcodeBSG.html?id=1126&amp;lat=-23.52091&amp;long=-46.70052&amp;tipo=S","QRCODE")</f>
        <v>QRCODE</v>
      </c>
      <c r="C3407" t="s">
        <v>5351</v>
      </c>
      <c r="D3407" t="s">
        <v>102</v>
      </c>
      <c r="E3407" t="s">
        <v>102</v>
      </c>
      <c r="F3407" t="s">
        <v>21</v>
      </c>
      <c r="G3407" t="s">
        <v>2121</v>
      </c>
      <c r="H3407">
        <v>0</v>
      </c>
      <c r="I3407">
        <v>3</v>
      </c>
      <c r="J3407">
        <v>0</v>
      </c>
      <c r="K3407">
        <v>0</v>
      </c>
      <c r="L3407">
        <v>0</v>
      </c>
    </row>
    <row r="3408" spans="1:12">
      <c r="A3408" t="str">
        <f>HYPERLINK("http://bombeiros.sp.gov.br/hidrantes/03individual/1131.html","1131")</f>
        <v>1131</v>
      </c>
      <c r="B3408" t="str">
        <f>HYPERLINK("http://bombeiros.sp.gov.br/hidrantes/08bsg/qrcodeBSG.html?id=1131&amp;lat=-23.52286&amp;long=-46.70063&amp;tipo=S","QRCODE")</f>
        <v>QRCODE</v>
      </c>
      <c r="C3408" t="s">
        <v>5351</v>
      </c>
      <c r="D3408" t="s">
        <v>102</v>
      </c>
      <c r="E3408" t="s">
        <v>102</v>
      </c>
      <c r="F3408" t="s">
        <v>21</v>
      </c>
      <c r="G3408" t="s">
        <v>1367</v>
      </c>
      <c r="H3408">
        <v>1</v>
      </c>
      <c r="I3408">
        <v>2</v>
      </c>
      <c r="J3408">
        <v>0</v>
      </c>
      <c r="K3408">
        <v>0</v>
      </c>
      <c r="L3408">
        <v>0</v>
      </c>
    </row>
    <row r="3409" spans="1:12">
      <c r="A3409" t="str">
        <f>HYPERLINK("http://bombeiros.sp.gov.br/hidrantes/03individual/1149.html","1149")</f>
        <v>1149</v>
      </c>
      <c r="B3409" t="str">
        <f>HYPERLINK("http://bombeiros.sp.gov.br/hidrantes/08bsg/qrcodeBSG.html?id=1149&amp;lat=-23.52131&amp;long=-46.70599&amp;tipo=S","QRCODE")</f>
        <v>QRCODE</v>
      </c>
      <c r="C3409" t="s">
        <v>5351</v>
      </c>
      <c r="D3409" t="s">
        <v>102</v>
      </c>
      <c r="E3409" t="s">
        <v>102</v>
      </c>
      <c r="F3409" t="s">
        <v>21</v>
      </c>
      <c r="G3409" t="s">
        <v>1365</v>
      </c>
      <c r="H3409">
        <v>1</v>
      </c>
      <c r="I3409">
        <v>2</v>
      </c>
      <c r="J3409">
        <v>0</v>
      </c>
      <c r="K3409">
        <v>0</v>
      </c>
      <c r="L3409">
        <v>0</v>
      </c>
    </row>
    <row r="3410" spans="1:12">
      <c r="A3410" t="str">
        <f>HYPERLINK("http://bombeiros.sp.gov.br/hidrantes/03individual/1162.html","1162")</f>
        <v>1162</v>
      </c>
      <c r="B3410" t="str">
        <f>HYPERLINK("http://bombeiros.sp.gov.br/hidrantes/08bsg/qrcodeBSG.html?id=1162&amp;lat=-23.52382&amp;long=-46.70462&amp;tipo=S","QRCODE")</f>
        <v>QRCODE</v>
      </c>
      <c r="C3410" t="s">
        <v>5351</v>
      </c>
      <c r="D3410" t="s">
        <v>102</v>
      </c>
      <c r="E3410" t="s">
        <v>102</v>
      </c>
      <c r="F3410" t="s">
        <v>21</v>
      </c>
      <c r="G3410" t="s">
        <v>2651</v>
      </c>
      <c r="H3410">
        <v>0</v>
      </c>
      <c r="I3410">
        <v>2</v>
      </c>
      <c r="J3410">
        <v>0</v>
      </c>
      <c r="K3410">
        <v>0</v>
      </c>
      <c r="L3410">
        <v>0</v>
      </c>
    </row>
    <row r="3411" spans="1:12">
      <c r="A3411" t="str">
        <f>HYPERLINK("http://bombeiros.sp.gov.br/hidrantes/03individual/1163.html","1163")</f>
        <v>1163</v>
      </c>
      <c r="B3411" t="str">
        <f>HYPERLINK("http://bombeiros.sp.gov.br/hidrantes/08bsg/qrcodeBSG.html?id=1163&amp;lat=-23.52470&amp;long=-46.70536&amp;tipo=S","QRCODE")</f>
        <v>QRCODE</v>
      </c>
      <c r="C3411" t="s">
        <v>5351</v>
      </c>
      <c r="D3411" t="s">
        <v>102</v>
      </c>
      <c r="E3411" t="s">
        <v>102</v>
      </c>
      <c r="F3411" t="s">
        <v>21</v>
      </c>
      <c r="G3411" t="s">
        <v>3254</v>
      </c>
      <c r="H3411">
        <v>0</v>
      </c>
      <c r="I3411">
        <v>2</v>
      </c>
      <c r="J3411">
        <v>0</v>
      </c>
      <c r="K3411">
        <v>0</v>
      </c>
      <c r="L3411">
        <v>0</v>
      </c>
    </row>
    <row r="3412" spans="1:12">
      <c r="A3412" t="str">
        <f>HYPERLINK("http://bombeiros.sp.gov.br/hidrantes/03individual/1170.html","1170")</f>
        <v>1170</v>
      </c>
      <c r="B3412" t="str">
        <f>HYPERLINK("http://bombeiros.sp.gov.br/hidrantes/08bsg/qrcodeBSG.html?id=1170&amp;lat=-23.52580&amp;long=-46.70299&amp;tipo=S","QRCODE")</f>
        <v>QRCODE</v>
      </c>
      <c r="C3412" t="s">
        <v>5351</v>
      </c>
      <c r="D3412" t="s">
        <v>102</v>
      </c>
      <c r="E3412" t="s">
        <v>102</v>
      </c>
      <c r="F3412" t="s">
        <v>21</v>
      </c>
      <c r="G3412" t="s">
        <v>2652</v>
      </c>
      <c r="H3412">
        <v>0</v>
      </c>
      <c r="I3412">
        <v>2</v>
      </c>
      <c r="J3412">
        <v>0</v>
      </c>
      <c r="K3412">
        <v>0</v>
      </c>
      <c r="L3412">
        <v>0</v>
      </c>
    </row>
    <row r="3413" spans="1:12">
      <c r="A3413" t="str">
        <f>HYPERLINK("http://bombeiros.sp.gov.br/hidrantes/03individual/1182.html","1182")</f>
        <v>1182</v>
      </c>
      <c r="B3413" t="str">
        <f>HYPERLINK("http://bombeiros.sp.gov.br/hidrantes/08bsg/qrcodeBSG.html?id=1182&amp;lat=-23.52372&amp;long=-46.70819&amp;tipo=S","QRCODE")</f>
        <v>QRCODE</v>
      </c>
      <c r="C3413" t="s">
        <v>5351</v>
      </c>
      <c r="D3413" t="s">
        <v>102</v>
      </c>
      <c r="E3413" t="s">
        <v>102</v>
      </c>
      <c r="F3413" t="s">
        <v>21</v>
      </c>
      <c r="G3413" t="s">
        <v>3549</v>
      </c>
      <c r="H3413">
        <v>1</v>
      </c>
      <c r="I3413">
        <v>1</v>
      </c>
      <c r="J3413">
        <v>0</v>
      </c>
      <c r="K3413">
        <v>0</v>
      </c>
      <c r="L3413">
        <v>0</v>
      </c>
    </row>
    <row r="3414" spans="1:12">
      <c r="A3414" t="str">
        <f>HYPERLINK("http://bombeiros.sp.gov.br/hidrantes/03individual/1185.html","1185")</f>
        <v>1185</v>
      </c>
      <c r="B3414" t="str">
        <f>HYPERLINK("http://bombeiros.sp.gov.br/hidrantes/08bsg/qrcodeBSG.html?id=1185&amp;lat=-23.52356&amp;long=-46.70919&amp;tipo=S","QRCODE")</f>
        <v>QRCODE</v>
      </c>
      <c r="C3414" t="s">
        <v>5351</v>
      </c>
      <c r="D3414" t="s">
        <v>102</v>
      </c>
      <c r="E3414" t="s">
        <v>102</v>
      </c>
      <c r="F3414" t="s">
        <v>21</v>
      </c>
      <c r="G3414" t="s">
        <v>4044</v>
      </c>
      <c r="H3414">
        <v>0</v>
      </c>
      <c r="I3414">
        <v>1</v>
      </c>
      <c r="J3414">
        <v>0</v>
      </c>
      <c r="K3414">
        <v>0</v>
      </c>
      <c r="L3414">
        <v>0</v>
      </c>
    </row>
    <row r="3415" spans="1:12">
      <c r="A3415" t="str">
        <f>HYPERLINK("http://bombeiros.sp.gov.br/hidrantes/03individual/1469.html","1469")</f>
        <v>1469</v>
      </c>
      <c r="B3415" t="str">
        <f>HYPERLINK("http://bombeiros.sp.gov.br/hidrantes/08bsg/qrcodeBSG.html?id=1469&amp;lat=-23.52244&amp;long=-46.69669&amp;tipo=S","QRCODE")</f>
        <v>QRCODE</v>
      </c>
      <c r="C3415" t="s">
        <v>5351</v>
      </c>
      <c r="D3415" t="s">
        <v>102</v>
      </c>
      <c r="E3415" t="s">
        <v>102</v>
      </c>
      <c r="F3415" t="s">
        <v>21</v>
      </c>
      <c r="G3415" t="s">
        <v>1557</v>
      </c>
      <c r="H3415">
        <v>1</v>
      </c>
      <c r="I3415">
        <v>3</v>
      </c>
      <c r="J3415">
        <v>0</v>
      </c>
      <c r="K3415">
        <v>0</v>
      </c>
      <c r="L3415">
        <v>0</v>
      </c>
    </row>
    <row r="3416" spans="1:12">
      <c r="A3416" t="str">
        <f>HYPERLINK("http://bombeiros.sp.gov.br/hidrantes/03individual/1474.html","1474")</f>
        <v>1474</v>
      </c>
      <c r="B3416" t="str">
        <f>HYPERLINK("http://bombeiros.sp.gov.br/hidrantes/08bsg/qrcodeBSG.html?id=1474&amp;lat=-23.52292&amp;long=-46.69788&amp;tipo=S","QRCODE")</f>
        <v>QRCODE</v>
      </c>
      <c r="C3416" t="s">
        <v>5351</v>
      </c>
      <c r="D3416" t="s">
        <v>102</v>
      </c>
      <c r="E3416" t="s">
        <v>102</v>
      </c>
      <c r="F3416" t="s">
        <v>21</v>
      </c>
      <c r="G3416" t="s">
        <v>2131</v>
      </c>
      <c r="H3416">
        <v>0</v>
      </c>
      <c r="I3416">
        <v>2</v>
      </c>
      <c r="J3416">
        <v>0</v>
      </c>
      <c r="K3416">
        <v>0</v>
      </c>
      <c r="L3416">
        <v>0</v>
      </c>
    </row>
    <row r="3417" spans="1:12">
      <c r="A3417" t="str">
        <f>HYPERLINK("http://bombeiros.sp.gov.br/hidrantes/03individual/1475.html","1475")</f>
        <v>1475</v>
      </c>
      <c r="B3417" t="str">
        <f>HYPERLINK("http://bombeiros.sp.gov.br/hidrantes/08bsg/qrcodeBSG.html?id=1475&amp;lat=-23.52181&amp;long=-46.69777&amp;tipo=S","QRCODE")</f>
        <v>QRCODE</v>
      </c>
      <c r="C3417" t="s">
        <v>5351</v>
      </c>
      <c r="D3417" t="s">
        <v>102</v>
      </c>
      <c r="E3417" t="s">
        <v>102</v>
      </c>
      <c r="F3417" t="s">
        <v>21</v>
      </c>
      <c r="G3417" t="s">
        <v>4805</v>
      </c>
      <c r="H3417">
        <v>1</v>
      </c>
      <c r="I3417">
        <v>1</v>
      </c>
      <c r="J3417">
        <v>0</v>
      </c>
      <c r="K3417">
        <v>0</v>
      </c>
      <c r="L3417">
        <v>0</v>
      </c>
    </row>
    <row r="3418" spans="1:12">
      <c r="A3418" t="str">
        <f>HYPERLINK("http://bombeiros.sp.gov.br/hidrantes/03individual/1476.html","1476")</f>
        <v>1476</v>
      </c>
      <c r="B3418" t="str">
        <f>HYPERLINK("http://bombeiros.sp.gov.br/hidrantes/08bsg/qrcodeBSG.html?id=1476&amp;lat=-23.52334&amp;long=-46.68705&amp;tipo=S","QRCODE")</f>
        <v>QRCODE</v>
      </c>
      <c r="C3418" t="s">
        <v>5351</v>
      </c>
      <c r="D3418" t="s">
        <v>102</v>
      </c>
      <c r="E3418" t="s">
        <v>102</v>
      </c>
      <c r="F3418" t="s">
        <v>21</v>
      </c>
      <c r="G3418" t="s">
        <v>2271</v>
      </c>
      <c r="H3418">
        <v>0</v>
      </c>
      <c r="I3418">
        <v>3</v>
      </c>
      <c r="J3418">
        <v>0</v>
      </c>
      <c r="K3418">
        <v>0</v>
      </c>
      <c r="L3418">
        <v>0</v>
      </c>
    </row>
    <row r="3419" spans="1:12">
      <c r="A3419" t="str">
        <f>HYPERLINK("http://bombeiros.sp.gov.br/hidrantes/03individual/1479.html","1479")</f>
        <v>1479</v>
      </c>
      <c r="B3419" t="str">
        <f>HYPERLINK("http://bombeiros.sp.gov.br/hidrantes/08bsg/qrcodeBSG.html?id=1479&amp;lat=-23.52258&amp;long=-46.69307&amp;tipo=S","QRCODE")</f>
        <v>QRCODE</v>
      </c>
      <c r="C3419" t="s">
        <v>5351</v>
      </c>
      <c r="D3419" t="s">
        <v>102</v>
      </c>
      <c r="E3419" t="s">
        <v>102</v>
      </c>
      <c r="F3419" t="s">
        <v>21</v>
      </c>
      <c r="G3419" t="s">
        <v>3235</v>
      </c>
      <c r="H3419">
        <v>0</v>
      </c>
      <c r="I3419">
        <v>2</v>
      </c>
      <c r="J3419">
        <v>0</v>
      </c>
      <c r="K3419">
        <v>0</v>
      </c>
      <c r="L3419">
        <v>0</v>
      </c>
    </row>
    <row r="3420" spans="1:12">
      <c r="A3420" t="str">
        <f>HYPERLINK("http://bombeiros.sp.gov.br/hidrantes/03individual/1482.html","1482")</f>
        <v>1482</v>
      </c>
      <c r="B3420" t="str">
        <f>HYPERLINK("http://bombeiros.sp.gov.br/hidrantes/08bsg/qrcodeBSG.html?id=1482&amp;lat=-23.52513&amp;long=-46.68839&amp;tipo=S","QRCODE")</f>
        <v>QRCODE</v>
      </c>
      <c r="C3420" t="s">
        <v>5351</v>
      </c>
      <c r="D3420" t="s">
        <v>102</v>
      </c>
      <c r="E3420" t="s">
        <v>102</v>
      </c>
      <c r="F3420" t="s">
        <v>21</v>
      </c>
      <c r="G3420" t="s">
        <v>2132</v>
      </c>
      <c r="H3420">
        <v>1</v>
      </c>
      <c r="I3420">
        <v>2</v>
      </c>
      <c r="J3420">
        <v>0</v>
      </c>
      <c r="K3420">
        <v>0</v>
      </c>
      <c r="L3420">
        <v>0</v>
      </c>
    </row>
    <row r="3421" spans="1:12">
      <c r="A3421" t="str">
        <f>HYPERLINK("http://bombeiros.sp.gov.br/hidrantes/03individual/1491.html","1491")</f>
        <v>1491</v>
      </c>
      <c r="B3421" t="str">
        <f>HYPERLINK("http://bombeiros.sp.gov.br/hidrantes/08bsg/qrcodeBSG.html?id=1491&amp;lat=-23.52395&amp;long=-46.70040&amp;tipo=S","QRCODE")</f>
        <v>QRCODE</v>
      </c>
      <c r="C3421" t="s">
        <v>5351</v>
      </c>
      <c r="D3421" t="s">
        <v>102</v>
      </c>
      <c r="E3421" t="s">
        <v>102</v>
      </c>
      <c r="F3421" t="s">
        <v>21</v>
      </c>
      <c r="G3421" t="s">
        <v>4130</v>
      </c>
      <c r="H3421">
        <v>0</v>
      </c>
      <c r="I3421">
        <v>3</v>
      </c>
      <c r="J3421">
        <v>0</v>
      </c>
      <c r="K3421">
        <v>0</v>
      </c>
      <c r="L3421">
        <v>0</v>
      </c>
    </row>
    <row r="3422" spans="1:12">
      <c r="A3422" t="str">
        <f>HYPERLINK("http://bombeiros.sp.gov.br/hidrantes/03individual/1493.html","1493")</f>
        <v>1493</v>
      </c>
      <c r="B3422" t="str">
        <f>HYPERLINK("http://bombeiros.sp.gov.br/hidrantes/08bsg/qrcodeBSG.html?id=1493&amp;lat=-23.52496&amp;long=-46.70050&amp;tipo=S","QRCODE")</f>
        <v>QRCODE</v>
      </c>
      <c r="C3422" t="s">
        <v>5351</v>
      </c>
      <c r="D3422" t="s">
        <v>102</v>
      </c>
      <c r="E3422" t="s">
        <v>102</v>
      </c>
      <c r="F3422" t="s">
        <v>21</v>
      </c>
      <c r="G3422" t="s">
        <v>1376</v>
      </c>
      <c r="H3422">
        <v>1</v>
      </c>
      <c r="I3422">
        <v>2</v>
      </c>
      <c r="J3422">
        <v>0</v>
      </c>
      <c r="K3422">
        <v>0</v>
      </c>
      <c r="L3422">
        <v>0</v>
      </c>
    </row>
    <row r="3423" spans="1:12">
      <c r="A3423" t="str">
        <f>HYPERLINK("http://bombeiros.sp.gov.br/hidrantes/03individual/1494.html","1494")</f>
        <v>1494</v>
      </c>
      <c r="B3423" t="str">
        <f>HYPERLINK("http://bombeiros.sp.gov.br/hidrantes/08bsg/qrcodeBSG.html?id=1494&amp;lat=-23.52504&amp;long=-46.69941&amp;tipo=S","QRCODE")</f>
        <v>QRCODE</v>
      </c>
      <c r="C3423" t="s">
        <v>5351</v>
      </c>
      <c r="D3423" t="s">
        <v>102</v>
      </c>
      <c r="E3423" t="s">
        <v>102</v>
      </c>
      <c r="F3423" t="s">
        <v>21</v>
      </c>
      <c r="G3423" t="s">
        <v>2714</v>
      </c>
      <c r="H3423">
        <v>0</v>
      </c>
      <c r="I3423">
        <v>2</v>
      </c>
      <c r="J3423">
        <v>0</v>
      </c>
      <c r="K3423">
        <v>0</v>
      </c>
      <c r="L3423">
        <v>0</v>
      </c>
    </row>
    <row r="3424" spans="1:12">
      <c r="A3424" t="str">
        <f>HYPERLINK("http://bombeiros.sp.gov.br/hidrantes/03individual/1513.html","1513")</f>
        <v>1513</v>
      </c>
      <c r="B3424" t="str">
        <f>HYPERLINK("http://bombeiros.sp.gov.br/hidrantes/08bsg/qrcodeBSG.html?id=1513&amp;lat=-23.52585&amp;long=-46.69797&amp;tipo=S","QRCODE")</f>
        <v>QRCODE</v>
      </c>
      <c r="C3424" t="s">
        <v>5351</v>
      </c>
      <c r="D3424" t="s">
        <v>102</v>
      </c>
      <c r="E3424" t="s">
        <v>102</v>
      </c>
      <c r="F3424" t="s">
        <v>21</v>
      </c>
      <c r="G3424" t="s">
        <v>2758</v>
      </c>
      <c r="H3424">
        <v>0</v>
      </c>
      <c r="I3424">
        <v>2</v>
      </c>
      <c r="J3424">
        <v>0</v>
      </c>
      <c r="K3424">
        <v>0</v>
      </c>
      <c r="L3424">
        <v>0</v>
      </c>
    </row>
    <row r="3425" spans="1:12">
      <c r="A3425" t="str">
        <f>HYPERLINK("http://bombeiros.sp.gov.br/hidrantes/03individual/1525.html","1525")</f>
        <v>1525</v>
      </c>
      <c r="B3425" t="str">
        <f>HYPERLINK("http://bombeiros.sp.gov.br/hidrantes/08bsg/qrcodeBSG.html?id=1525&amp;lat=-23.52510&amp;long=-46.69419&amp;tipo=S","QRCODE")</f>
        <v>QRCODE</v>
      </c>
      <c r="C3425" t="s">
        <v>5351</v>
      </c>
      <c r="D3425" t="s">
        <v>102</v>
      </c>
      <c r="E3425" t="s">
        <v>102</v>
      </c>
      <c r="F3425" t="s">
        <v>21</v>
      </c>
      <c r="G3425" t="s">
        <v>4240</v>
      </c>
      <c r="H3425">
        <v>0</v>
      </c>
      <c r="I3425">
        <v>1</v>
      </c>
      <c r="J3425">
        <v>0</v>
      </c>
      <c r="K3425">
        <v>0</v>
      </c>
      <c r="L3425">
        <v>0</v>
      </c>
    </row>
    <row r="3426" spans="1:12">
      <c r="A3426" t="str">
        <f>HYPERLINK("http://bombeiros.sp.gov.br/hidrantes/03individual/1580.html","1580")</f>
        <v>1580</v>
      </c>
      <c r="B3426" t="str">
        <f>HYPERLINK("http://bombeiros.sp.gov.br/hidrantes/08bsg/qrcodeBSG.html?id=1580&amp;lat=-23.52611&amp;long=-46.69999&amp;tipo=S","QRCODE")</f>
        <v>QRCODE</v>
      </c>
      <c r="C3426" t="s">
        <v>5351</v>
      </c>
      <c r="D3426" t="s">
        <v>102</v>
      </c>
      <c r="E3426" t="s">
        <v>102</v>
      </c>
      <c r="F3426" t="s">
        <v>21</v>
      </c>
      <c r="G3426" t="s">
        <v>4239</v>
      </c>
      <c r="H3426">
        <v>0</v>
      </c>
      <c r="I3426">
        <v>1</v>
      </c>
      <c r="J3426">
        <v>0</v>
      </c>
      <c r="K3426">
        <v>0</v>
      </c>
      <c r="L3426">
        <v>0</v>
      </c>
    </row>
    <row r="3427" spans="1:12">
      <c r="A3427" t="str">
        <f>HYPERLINK("http://bombeiros.sp.gov.br/hidrantes/03individual/2121.html","2121")</f>
        <v>2121</v>
      </c>
      <c r="B3427" t="str">
        <f>HYPERLINK("http://bombeiros.sp.gov.br/hidrantes/08bsg/qrcodeBSG.html?id=2121&amp;lat=-23.52123&amp;long=-46.70310&amp;tipo=S","QRCODE")</f>
        <v>QRCODE</v>
      </c>
      <c r="C3427" t="s">
        <v>5351</v>
      </c>
      <c r="D3427" t="s">
        <v>102</v>
      </c>
      <c r="E3427" t="s">
        <v>102</v>
      </c>
      <c r="F3427" t="s">
        <v>21</v>
      </c>
      <c r="G3427" t="s">
        <v>5130</v>
      </c>
      <c r="H3427">
        <v>0</v>
      </c>
      <c r="I3427">
        <v>1</v>
      </c>
      <c r="J3427">
        <v>0</v>
      </c>
      <c r="K3427">
        <v>0</v>
      </c>
      <c r="L3427">
        <v>0</v>
      </c>
    </row>
    <row r="3428" spans="1:12">
      <c r="A3428" t="str">
        <f>HYPERLINK("http://bombeiros.sp.gov.br/hidrantes/03individual/2162.html","2162")</f>
        <v>2162</v>
      </c>
      <c r="B3428" t="str">
        <f>HYPERLINK("http://bombeiros.sp.gov.br/hidrantes/08bsg/qrcodeBSG.html?id=2162&amp;lat=-23.52293&amp;long=-46.69899&amp;tipo=S","QRCODE")</f>
        <v>QRCODE</v>
      </c>
      <c r="C3428" t="s">
        <v>5351</v>
      </c>
      <c r="D3428" t="s">
        <v>102</v>
      </c>
      <c r="E3428" t="s">
        <v>102</v>
      </c>
      <c r="F3428" t="s">
        <v>21</v>
      </c>
      <c r="G3428" t="s">
        <v>5251</v>
      </c>
      <c r="H3428">
        <v>1</v>
      </c>
      <c r="I3428">
        <v>0</v>
      </c>
      <c r="J3428">
        <v>0</v>
      </c>
      <c r="K3428">
        <v>0</v>
      </c>
      <c r="L3428">
        <v>0</v>
      </c>
    </row>
    <row r="3429" spans="1:12">
      <c r="A3429" t="str">
        <f>HYPERLINK("http://bombeiros.sp.gov.br/hidrantes/03individual/2170.html","2170")</f>
        <v>2170</v>
      </c>
      <c r="B3429" t="str">
        <f>HYPERLINK("http://bombeiros.sp.gov.br/hidrantes/08bsg/qrcodeBSG.html?id=2170&amp;lat=-23.52480&amp;long=-46.69653&amp;tipo=S","QRCODE")</f>
        <v>QRCODE</v>
      </c>
      <c r="C3429" t="s">
        <v>5351</v>
      </c>
      <c r="D3429" t="s">
        <v>102</v>
      </c>
      <c r="E3429" t="s">
        <v>102</v>
      </c>
      <c r="F3429" t="s">
        <v>21</v>
      </c>
      <c r="G3429" t="s">
        <v>1382</v>
      </c>
      <c r="H3429">
        <v>1</v>
      </c>
      <c r="I3429">
        <v>2</v>
      </c>
      <c r="J3429">
        <v>0</v>
      </c>
      <c r="K3429">
        <v>0</v>
      </c>
      <c r="L3429">
        <v>0</v>
      </c>
    </row>
    <row r="3430" spans="1:12">
      <c r="A3430" t="str">
        <f>HYPERLINK("http://bombeiros.sp.gov.br/hidrantes/03individual/2172.html","2172")</f>
        <v>2172</v>
      </c>
      <c r="B3430" t="str">
        <f>HYPERLINK("http://bombeiros.sp.gov.br/hidrantes/08bsg/qrcodeBSG.html?id=2172&amp;lat=-23.52617&amp;long=-46.69657&amp;tipo=S","QRCODE")</f>
        <v>QRCODE</v>
      </c>
      <c r="C3430" t="s">
        <v>5351</v>
      </c>
      <c r="D3430" t="s">
        <v>102</v>
      </c>
      <c r="E3430" t="s">
        <v>102</v>
      </c>
      <c r="F3430" t="s">
        <v>21</v>
      </c>
      <c r="G3430" t="s">
        <v>2698</v>
      </c>
      <c r="H3430">
        <v>0</v>
      </c>
      <c r="I3430">
        <v>2</v>
      </c>
      <c r="J3430">
        <v>0</v>
      </c>
      <c r="K3430">
        <v>0</v>
      </c>
      <c r="L3430">
        <v>0</v>
      </c>
    </row>
    <row r="3431" spans="1:12">
      <c r="A3431" t="str">
        <f>HYPERLINK("http://bombeiros.sp.gov.br/hidrantes/03individual/2173.html","2173")</f>
        <v>2173</v>
      </c>
      <c r="B3431" t="str">
        <f>HYPERLINK("http://bombeiros.sp.gov.br/hidrantes/08bsg/qrcodeBSG.html?id=2173&amp;lat=-23.52694&amp;long=-46.69661&amp;tipo=S","QRCODE")</f>
        <v>QRCODE</v>
      </c>
      <c r="C3431" t="s">
        <v>5351</v>
      </c>
      <c r="D3431" t="s">
        <v>102</v>
      </c>
      <c r="E3431" t="s">
        <v>102</v>
      </c>
      <c r="F3431" t="s">
        <v>21</v>
      </c>
      <c r="G3431" t="s">
        <v>2697</v>
      </c>
      <c r="H3431">
        <v>0</v>
      </c>
      <c r="I3431">
        <v>2</v>
      </c>
      <c r="J3431">
        <v>0</v>
      </c>
      <c r="K3431">
        <v>0</v>
      </c>
      <c r="L3431">
        <v>0</v>
      </c>
    </row>
    <row r="3432" spans="1:12">
      <c r="A3432" t="str">
        <f>HYPERLINK("http://bombeiros.sp.gov.br/hidrantes/03individual/2180.html","2180")</f>
        <v>2180</v>
      </c>
      <c r="B3432" t="str">
        <f>HYPERLINK("http://bombeiros.sp.gov.br/hidrantes/08bsg/qrcodeBSG.html?id=2180&amp;lat=-23.52294&amp;long=-46.69671&amp;tipo=S","QRCODE")</f>
        <v>QRCODE</v>
      </c>
      <c r="C3432" t="s">
        <v>5351</v>
      </c>
      <c r="D3432" t="s">
        <v>102</v>
      </c>
      <c r="E3432" t="s">
        <v>102</v>
      </c>
      <c r="F3432" t="s">
        <v>21</v>
      </c>
      <c r="G3432" t="s">
        <v>2155</v>
      </c>
      <c r="H3432">
        <v>0</v>
      </c>
      <c r="I3432">
        <v>2</v>
      </c>
      <c r="J3432">
        <v>0</v>
      </c>
      <c r="K3432">
        <v>0</v>
      </c>
      <c r="L3432">
        <v>0</v>
      </c>
    </row>
    <row r="3433" spans="1:12">
      <c r="A3433" t="str">
        <f>HYPERLINK("http://bombeiros.sp.gov.br/hidrantes/03individual/2182.html","2182")</f>
        <v>2182</v>
      </c>
      <c r="B3433" t="str">
        <f>HYPERLINK("http://bombeiros.sp.gov.br/hidrantes/08bsg/qrcodeBSG.html?id=2182&amp;lat=-23.52592&amp;long=-46.69933&amp;tipo=S","QRCODE")</f>
        <v>QRCODE</v>
      </c>
      <c r="C3433" t="s">
        <v>5351</v>
      </c>
      <c r="D3433" t="s">
        <v>102</v>
      </c>
      <c r="E3433" t="s">
        <v>102</v>
      </c>
      <c r="F3433" t="s">
        <v>21</v>
      </c>
      <c r="G3433" t="s">
        <v>1337</v>
      </c>
      <c r="H3433">
        <v>0</v>
      </c>
      <c r="I3433">
        <v>5</v>
      </c>
      <c r="J3433">
        <v>0</v>
      </c>
      <c r="K3433">
        <v>0</v>
      </c>
      <c r="L3433">
        <v>0</v>
      </c>
    </row>
    <row r="3434" spans="1:12">
      <c r="A3434" t="str">
        <f>HYPERLINK("http://bombeiros.sp.gov.br/hidrantes/03individual/2197.html","2197")</f>
        <v>2197</v>
      </c>
      <c r="B3434" t="str">
        <f>HYPERLINK("http://bombeiros.sp.gov.br/hidrantes/08bsg/qrcodeBSG.html?id=2197&amp;lat=-23.52400&amp;long=-46.69679&amp;tipo=S","QRCODE")</f>
        <v>QRCODE</v>
      </c>
      <c r="C3434" t="s">
        <v>5351</v>
      </c>
      <c r="D3434" t="s">
        <v>102</v>
      </c>
      <c r="E3434" t="s">
        <v>102</v>
      </c>
      <c r="F3434" t="s">
        <v>21</v>
      </c>
      <c r="G3434" t="s">
        <v>1335</v>
      </c>
      <c r="H3434">
        <v>1</v>
      </c>
      <c r="I3434">
        <v>2</v>
      </c>
      <c r="J3434">
        <v>0</v>
      </c>
      <c r="K3434">
        <v>0</v>
      </c>
      <c r="L3434">
        <v>0</v>
      </c>
    </row>
    <row r="3435" spans="1:12">
      <c r="A3435" t="str">
        <f>HYPERLINK("http://bombeiros.sp.gov.br/hidrantes/03individual/2202.html","2202")</f>
        <v>2202</v>
      </c>
      <c r="B3435" t="str">
        <f>HYPERLINK("http://bombeiros.sp.gov.br/hidrantes/08bsg/qrcodeBSG.html?id=2202&amp;lat=-23.52373&amp;long=-46.69935&amp;tipo=S","QRCODE")</f>
        <v>QRCODE</v>
      </c>
      <c r="C3435" t="s">
        <v>5351</v>
      </c>
      <c r="D3435" t="s">
        <v>102</v>
      </c>
      <c r="E3435" t="s">
        <v>102</v>
      </c>
      <c r="F3435" t="s">
        <v>21</v>
      </c>
      <c r="G3435" t="s">
        <v>3193</v>
      </c>
      <c r="H3435">
        <v>0</v>
      </c>
      <c r="I3435">
        <v>2</v>
      </c>
      <c r="J3435">
        <v>0</v>
      </c>
      <c r="K3435">
        <v>0</v>
      </c>
      <c r="L3435">
        <v>0</v>
      </c>
    </row>
    <row r="3436" spans="1:12">
      <c r="A3436" t="str">
        <f>HYPERLINK("http://bombeiros.sp.gov.br/hidrantes/03individual/2203.html","2203")</f>
        <v>2203</v>
      </c>
      <c r="B3436" t="str">
        <f>HYPERLINK("http://bombeiros.sp.gov.br/hidrantes/08bsg/qrcodeBSG.html?id=2203&amp;lat=-23.52599&amp;long=-46.70057&amp;tipo=S","QRCODE")</f>
        <v>QRCODE</v>
      </c>
      <c r="C3436" t="s">
        <v>5351</v>
      </c>
      <c r="D3436" t="s">
        <v>102</v>
      </c>
      <c r="E3436" t="s">
        <v>102</v>
      </c>
      <c r="F3436" t="s">
        <v>21</v>
      </c>
      <c r="G3436" t="s">
        <v>2752</v>
      </c>
      <c r="H3436">
        <v>0</v>
      </c>
      <c r="I3436">
        <v>3</v>
      </c>
      <c r="J3436">
        <v>0</v>
      </c>
      <c r="K3436">
        <v>0</v>
      </c>
      <c r="L3436">
        <v>0</v>
      </c>
    </row>
    <row r="3437" spans="1:12">
      <c r="A3437" t="str">
        <f>HYPERLINK("http://bombeiros.sp.gov.br/hidrantes/03individual/2217.html","2217")</f>
        <v>2217</v>
      </c>
      <c r="B3437" t="str">
        <f>HYPERLINK("http://bombeiros.sp.gov.br/hidrantes/08bsg/qrcodeBSG.html?id=2217&amp;lat=-23.52614&amp;long=-46.69336&amp;tipo=S","QRCODE")</f>
        <v>QRCODE</v>
      </c>
      <c r="C3437" t="s">
        <v>5351</v>
      </c>
      <c r="D3437" t="s">
        <v>102</v>
      </c>
      <c r="E3437" t="s">
        <v>102</v>
      </c>
      <c r="F3437" t="s">
        <v>21</v>
      </c>
      <c r="G3437" t="s">
        <v>2317</v>
      </c>
      <c r="H3437">
        <v>0</v>
      </c>
      <c r="I3437">
        <v>3</v>
      </c>
      <c r="J3437">
        <v>0</v>
      </c>
      <c r="K3437">
        <v>0</v>
      </c>
      <c r="L3437">
        <v>0</v>
      </c>
    </row>
    <row r="3438" spans="1:12">
      <c r="A3438" t="str">
        <f>HYPERLINK("http://bombeiros.sp.gov.br/hidrantes/03individual/2221.html","2221")</f>
        <v>2221</v>
      </c>
      <c r="B3438" t="str">
        <f>HYPERLINK("http://bombeiros.sp.gov.br/hidrantes/08bsg/qrcodeBSG.html?id=2221&amp;lat=-23.52618&amp;long=-46.69445&amp;tipo=S","QRCODE")</f>
        <v>QRCODE</v>
      </c>
      <c r="C3438" t="s">
        <v>5351</v>
      </c>
      <c r="D3438" t="s">
        <v>102</v>
      </c>
      <c r="E3438" t="s">
        <v>102</v>
      </c>
      <c r="F3438" t="s">
        <v>21</v>
      </c>
      <c r="G3438" t="s">
        <v>2318</v>
      </c>
      <c r="H3438">
        <v>0</v>
      </c>
      <c r="I3438">
        <v>3</v>
      </c>
      <c r="J3438">
        <v>0</v>
      </c>
      <c r="K3438">
        <v>0</v>
      </c>
      <c r="L3438">
        <v>0</v>
      </c>
    </row>
    <row r="3439" spans="1:12">
      <c r="A3439" t="str">
        <f>HYPERLINK("http://bombeiros.sp.gov.br/hidrantes/03individual/2223.html","2223")</f>
        <v>2223</v>
      </c>
      <c r="B3439" t="str">
        <f>HYPERLINK("http://bombeiros.sp.gov.br/hidrantes/08bsg/qrcodeBSG.html?id=2223&amp;lat=-23.52618&amp;long=-46.69566&amp;tipo=S","QRCODE")</f>
        <v>QRCODE</v>
      </c>
      <c r="C3439" t="s">
        <v>5351</v>
      </c>
      <c r="D3439" t="s">
        <v>102</v>
      </c>
      <c r="E3439" t="s">
        <v>102</v>
      </c>
      <c r="F3439" t="s">
        <v>21</v>
      </c>
      <c r="G3439" t="s">
        <v>2756</v>
      </c>
      <c r="H3439">
        <v>0</v>
      </c>
      <c r="I3439">
        <v>2</v>
      </c>
      <c r="J3439">
        <v>0</v>
      </c>
      <c r="K3439">
        <v>0</v>
      </c>
      <c r="L3439">
        <v>0</v>
      </c>
    </row>
    <row r="3440" spans="1:12">
      <c r="A3440" t="str">
        <f>HYPERLINK("http://bombeiros.sp.gov.br/hidrantes/03individual/2232.html","2232")</f>
        <v>2232</v>
      </c>
      <c r="B3440" t="str">
        <f>HYPERLINK("http://bombeiros.sp.gov.br/hidrantes/08bsg/qrcodeBSG.html?id=2232&amp;lat=-23.52803&amp;long=-46.69692&amp;tipo=S","QRCODE")</f>
        <v>QRCODE</v>
      </c>
      <c r="C3440" t="s">
        <v>5351</v>
      </c>
      <c r="D3440" t="s">
        <v>102</v>
      </c>
      <c r="E3440" t="s">
        <v>102</v>
      </c>
      <c r="F3440" t="s">
        <v>21</v>
      </c>
      <c r="G3440" t="s">
        <v>2754</v>
      </c>
      <c r="H3440">
        <v>0</v>
      </c>
      <c r="I3440">
        <v>2</v>
      </c>
      <c r="J3440">
        <v>0</v>
      </c>
      <c r="K3440">
        <v>0</v>
      </c>
      <c r="L3440">
        <v>0</v>
      </c>
    </row>
    <row r="3441" spans="1:12">
      <c r="A3441" t="str">
        <f>HYPERLINK("http://bombeiros.sp.gov.br/hidrantes/03individual/2234.html","2234")</f>
        <v>2234</v>
      </c>
      <c r="B3441" t="str">
        <f>HYPERLINK("http://bombeiros.sp.gov.br/hidrantes/08bsg/qrcodeBSG.html?id=2234&amp;lat=-23.52802&amp;long=-46.69419&amp;tipo=S","QRCODE")</f>
        <v>QRCODE</v>
      </c>
      <c r="C3441" t="s">
        <v>5351</v>
      </c>
      <c r="D3441" t="s">
        <v>102</v>
      </c>
      <c r="E3441" t="s">
        <v>102</v>
      </c>
      <c r="F3441" t="s">
        <v>21</v>
      </c>
      <c r="G3441" t="s">
        <v>2316</v>
      </c>
      <c r="H3441">
        <v>0</v>
      </c>
      <c r="I3441">
        <v>3</v>
      </c>
      <c r="J3441">
        <v>0</v>
      </c>
      <c r="K3441">
        <v>0</v>
      </c>
      <c r="L3441">
        <v>0</v>
      </c>
    </row>
    <row r="3442" spans="1:12">
      <c r="A3442" t="str">
        <f>HYPERLINK("http://bombeiros.sp.gov.br/hidrantes/03individual/2246.html","2246")</f>
        <v>2246</v>
      </c>
      <c r="B3442" t="str">
        <f>HYPERLINK("http://bombeiros.sp.gov.br/hidrantes/08bsg/qrcodeBSG.html?id=2246&amp;lat=-23.52800&amp;long=-46.69300&amp;tipo=S","QRCODE")</f>
        <v>QRCODE</v>
      </c>
      <c r="C3442" t="s">
        <v>5351</v>
      </c>
      <c r="D3442" t="s">
        <v>102</v>
      </c>
      <c r="E3442" t="s">
        <v>102</v>
      </c>
      <c r="F3442" t="s">
        <v>21</v>
      </c>
      <c r="G3442" t="s">
        <v>1331</v>
      </c>
      <c r="H3442">
        <v>1</v>
      </c>
      <c r="I3442">
        <v>2</v>
      </c>
      <c r="J3442">
        <v>0</v>
      </c>
      <c r="K3442">
        <v>0</v>
      </c>
      <c r="L3442">
        <v>0</v>
      </c>
    </row>
    <row r="3443" spans="1:12">
      <c r="A3443" t="str">
        <f>HYPERLINK("http://bombeiros.sp.gov.br/hidrantes/03individual/2247.html","2247")</f>
        <v>2247</v>
      </c>
      <c r="B3443" t="str">
        <f>HYPERLINK("http://bombeiros.sp.gov.br/hidrantes/08bsg/qrcodeBSG.html?id=2247&amp;lat=-23.52386&amp;long=-46.69319&amp;tipo=S","QRCODE")</f>
        <v>QRCODE</v>
      </c>
      <c r="C3443" t="s">
        <v>5351</v>
      </c>
      <c r="D3443" t="s">
        <v>102</v>
      </c>
      <c r="E3443" t="s">
        <v>102</v>
      </c>
      <c r="F3443" t="s">
        <v>21</v>
      </c>
      <c r="G3443" t="s">
        <v>2898</v>
      </c>
      <c r="H3443">
        <v>0</v>
      </c>
      <c r="I3443">
        <v>2</v>
      </c>
      <c r="J3443">
        <v>0</v>
      </c>
      <c r="K3443">
        <v>0</v>
      </c>
      <c r="L3443">
        <v>0</v>
      </c>
    </row>
    <row r="3444" spans="1:12">
      <c r="A3444" t="str">
        <f>HYPERLINK("http://bombeiros.sp.gov.br/hidrantes/03individual/2248.html","2248")</f>
        <v>2248</v>
      </c>
      <c r="B3444" t="str">
        <f>HYPERLINK("http://bombeiros.sp.gov.br/hidrantes/08bsg/qrcodeBSG.html?id=2248&amp;lat=-23.52396&amp;long=-46.69309&amp;tipo=S","QRCODE")</f>
        <v>QRCODE</v>
      </c>
      <c r="C3444" t="s">
        <v>5351</v>
      </c>
      <c r="D3444" t="s">
        <v>102</v>
      </c>
      <c r="E3444" t="s">
        <v>102</v>
      </c>
      <c r="F3444" t="s">
        <v>21</v>
      </c>
      <c r="G3444" t="s">
        <v>2319</v>
      </c>
      <c r="H3444">
        <v>0</v>
      </c>
      <c r="I3444">
        <v>4</v>
      </c>
      <c r="J3444">
        <v>0</v>
      </c>
      <c r="K3444">
        <v>0</v>
      </c>
      <c r="L3444">
        <v>0</v>
      </c>
    </row>
    <row r="3445" spans="1:12">
      <c r="A3445" t="str">
        <f>HYPERLINK("http://bombeiros.sp.gov.br/hidrantes/03individual/2250.html","2250")</f>
        <v>2250</v>
      </c>
      <c r="B3445" t="str">
        <f>HYPERLINK("http://bombeiros.sp.gov.br/hidrantes/08bsg/qrcodeBSG.html?id=2250&amp;lat=-23.52197&amp;long=-46.69513&amp;tipo=S","QRCODE")</f>
        <v>QRCODE</v>
      </c>
      <c r="C3445" t="s">
        <v>5351</v>
      </c>
      <c r="D3445" t="s">
        <v>102</v>
      </c>
      <c r="E3445" t="s">
        <v>102</v>
      </c>
      <c r="F3445" t="s">
        <v>21</v>
      </c>
      <c r="G3445" t="s">
        <v>4015</v>
      </c>
      <c r="H3445">
        <v>0</v>
      </c>
      <c r="I3445">
        <v>1</v>
      </c>
      <c r="J3445">
        <v>0</v>
      </c>
      <c r="K3445">
        <v>0</v>
      </c>
      <c r="L3445">
        <v>0</v>
      </c>
    </row>
    <row r="3446" spans="1:12">
      <c r="A3446" t="str">
        <f>HYPERLINK("http://bombeiros.sp.gov.br/hidrantes/03individual/2288.html","2288")</f>
        <v>2288</v>
      </c>
      <c r="B3446" t="str">
        <f>HYPERLINK("http://bombeiros.sp.gov.br/hidrantes/08bsg/qrcodeBSG.html?id=2288&amp;lat=-23.52378&amp;long=-46.68984&amp;tipo=S","QRCODE")</f>
        <v>QRCODE</v>
      </c>
      <c r="C3446" t="s">
        <v>5351</v>
      </c>
      <c r="D3446" t="s">
        <v>102</v>
      </c>
      <c r="E3446" t="s">
        <v>102</v>
      </c>
      <c r="F3446" t="s">
        <v>21</v>
      </c>
      <c r="G3446" t="s">
        <v>2154</v>
      </c>
      <c r="H3446">
        <v>0</v>
      </c>
      <c r="I3446">
        <v>2</v>
      </c>
      <c r="J3446">
        <v>0</v>
      </c>
      <c r="K3446">
        <v>0</v>
      </c>
      <c r="L3446">
        <v>0</v>
      </c>
    </row>
    <row r="3447" spans="1:12">
      <c r="A3447" t="str">
        <f>HYPERLINK("http://bombeiros.sp.gov.br/hidrantes/03individual/2293.html","2293")</f>
        <v>2293</v>
      </c>
      <c r="B3447" t="str">
        <f>HYPERLINK("http://bombeiros.sp.gov.br/hidrantes/08bsg/qrcodeBSG.html?id=2293&amp;lat=-23.52310&amp;long=-46.68864&amp;tipo=S","QRCODE")</f>
        <v>QRCODE</v>
      </c>
      <c r="C3447" t="s">
        <v>5351</v>
      </c>
      <c r="D3447" t="s">
        <v>102</v>
      </c>
      <c r="E3447" t="s">
        <v>102</v>
      </c>
      <c r="F3447" t="s">
        <v>21</v>
      </c>
      <c r="G3447" t="s">
        <v>1518</v>
      </c>
      <c r="H3447">
        <v>1</v>
      </c>
      <c r="I3447">
        <v>2</v>
      </c>
      <c r="J3447">
        <v>0</v>
      </c>
      <c r="K3447">
        <v>0</v>
      </c>
      <c r="L3447">
        <v>0</v>
      </c>
    </row>
    <row r="3448" spans="1:12">
      <c r="A3448" t="str">
        <f>HYPERLINK("http://bombeiros.sp.gov.br/hidrantes/03individual/16545.html","16545")</f>
        <v>16545</v>
      </c>
      <c r="B3448" t="str">
        <f>HYPERLINK("http://bombeiros.sp.gov.br/hidrantes/08bsg/qrcodeBSG.html?id=16545&amp;lat=-23.52135&amp;long=-46.69646&amp;tipo=S","QRCODE")</f>
        <v>QRCODE</v>
      </c>
      <c r="C3448" t="s">
        <v>5351</v>
      </c>
      <c r="D3448" t="s">
        <v>102</v>
      </c>
      <c r="E3448" t="s">
        <v>102</v>
      </c>
      <c r="F3448" t="s">
        <v>21</v>
      </c>
      <c r="G3448" t="s">
        <v>3517</v>
      </c>
      <c r="H3448">
        <v>1</v>
      </c>
      <c r="I3448">
        <v>1</v>
      </c>
      <c r="J3448">
        <v>0</v>
      </c>
      <c r="K3448">
        <v>0</v>
      </c>
      <c r="L3448">
        <v>0</v>
      </c>
    </row>
    <row r="3449" spans="1:12">
      <c r="A3449" t="str">
        <f>HYPERLINK("http://bombeiros.sp.gov.br/hidrantes/03individual/26775.html","26775")</f>
        <v>26775</v>
      </c>
      <c r="B3449" t="str">
        <f>HYPERLINK("http://bombeiros.sp.gov.br/hidrantes/08bsg/qrcodeBSG.html?id=26775&amp;lat=-23.52159&amp;long=-46.70279&amp;tipo=S","QRCODE")</f>
        <v>QRCODE</v>
      </c>
      <c r="C3449" t="s">
        <v>5351</v>
      </c>
      <c r="D3449" t="s">
        <v>102</v>
      </c>
      <c r="E3449" t="s">
        <v>102</v>
      </c>
      <c r="F3449" t="s">
        <v>21</v>
      </c>
      <c r="G3449" t="s">
        <v>4009</v>
      </c>
      <c r="H3449">
        <v>0</v>
      </c>
      <c r="I3449">
        <v>1</v>
      </c>
      <c r="J3449">
        <v>0</v>
      </c>
      <c r="K3449">
        <v>0</v>
      </c>
      <c r="L3449">
        <v>0</v>
      </c>
    </row>
    <row r="3450" spans="1:12">
      <c r="A3450" t="str">
        <f>HYPERLINK("http://bombeiros.sp.gov.br/hidrantes/03individual/27327.html","27327")</f>
        <v>27327</v>
      </c>
      <c r="B3450" t="str">
        <f>HYPERLINK("http://bombeiros.sp.gov.br/hidrantes/08bsg/qrcodeBSG.html?id=27327&amp;lat=-23.52244&amp;long=-46.70600&amp;tipo=S","QRCODE")</f>
        <v>QRCODE</v>
      </c>
      <c r="C3450" t="s">
        <v>5351</v>
      </c>
      <c r="D3450" t="s">
        <v>102</v>
      </c>
      <c r="E3450" t="s">
        <v>102</v>
      </c>
      <c r="F3450" t="s">
        <v>21</v>
      </c>
      <c r="G3450" t="s">
        <v>5362</v>
      </c>
      <c r="H3450">
        <v>0</v>
      </c>
      <c r="I3450">
        <v>0</v>
      </c>
      <c r="J3450">
        <v>0</v>
      </c>
      <c r="K3450">
        <v>0</v>
      </c>
      <c r="L3450">
        <v>0</v>
      </c>
    </row>
    <row r="3451" spans="1:12">
      <c r="A3451" t="str">
        <f>HYPERLINK("http://bombeiros.sp.gov.br/hidrantes/03individual/1101.html","1101")</f>
        <v>1101</v>
      </c>
      <c r="B3451" t="str">
        <f>HYPERLINK("http://bombeiros.sp.gov.br/hidrantes/08bsg/qrcodeBSG.html?id=1101&amp;lat=-23.51410&amp;long=-46.70018&amp;tipo=C","QRCODE")</f>
        <v>QRCODE</v>
      </c>
      <c r="C3451" t="s">
        <v>5351</v>
      </c>
      <c r="D3451" t="s">
        <v>102</v>
      </c>
      <c r="E3451" t="s">
        <v>101</v>
      </c>
      <c r="F3451" t="s">
        <v>12</v>
      </c>
      <c r="G3451" t="s">
        <v>4133</v>
      </c>
      <c r="H3451">
        <v>1</v>
      </c>
      <c r="I3451">
        <v>1</v>
      </c>
      <c r="J3451">
        <v>0</v>
      </c>
      <c r="K3451">
        <v>0</v>
      </c>
      <c r="L3451">
        <v>0</v>
      </c>
    </row>
    <row r="3452" spans="1:12">
      <c r="A3452" t="str">
        <f>HYPERLINK("http://bombeiros.sp.gov.br/hidrantes/03individual/1471.html","1471")</f>
        <v>1471</v>
      </c>
      <c r="B3452" t="str">
        <f>HYPERLINK("http://bombeiros.sp.gov.br/hidrantes/08bsg/qrcodeBSG.html?id=1471&amp;lat=-23.51902&amp;long=-46.69985&amp;tipo=C","QRCODE")</f>
        <v>QRCODE</v>
      </c>
      <c r="C3452" t="s">
        <v>5351</v>
      </c>
      <c r="D3452" t="s">
        <v>102</v>
      </c>
      <c r="E3452" t="s">
        <v>101</v>
      </c>
      <c r="F3452" t="s">
        <v>12</v>
      </c>
      <c r="G3452" t="s">
        <v>1377</v>
      </c>
      <c r="H3452">
        <v>1</v>
      </c>
      <c r="I3452">
        <v>2</v>
      </c>
      <c r="J3452">
        <v>0</v>
      </c>
      <c r="K3452">
        <v>0</v>
      </c>
      <c r="L3452">
        <v>0</v>
      </c>
    </row>
    <row r="3453" spans="1:12">
      <c r="A3453" t="str">
        <f>HYPERLINK("http://bombeiros.sp.gov.br/hidrantes/03individual/1641.html","1641")</f>
        <v>1641</v>
      </c>
      <c r="B3453" t="str">
        <f>HYPERLINK("http://bombeiros.sp.gov.br/hidrantes/08bsg/qrcodeBSG.html?id=1641&amp;lat=-23.51863&amp;long=-46.69566&amp;tipo=C","QRCODE")</f>
        <v>QRCODE</v>
      </c>
      <c r="C3453" t="s">
        <v>5351</v>
      </c>
      <c r="D3453" t="s">
        <v>102</v>
      </c>
      <c r="E3453" t="s">
        <v>101</v>
      </c>
      <c r="F3453" t="s">
        <v>12</v>
      </c>
      <c r="G3453" t="s">
        <v>1378</v>
      </c>
      <c r="H3453">
        <v>1</v>
      </c>
      <c r="I3453">
        <v>2</v>
      </c>
      <c r="J3453">
        <v>0</v>
      </c>
      <c r="K3453">
        <v>0</v>
      </c>
      <c r="L3453">
        <v>0</v>
      </c>
    </row>
    <row r="3454" spans="1:12">
      <c r="A3454" t="str">
        <f>HYPERLINK("http://bombeiros.sp.gov.br/hidrantes/03individual/1057.html","1057")</f>
        <v>1057</v>
      </c>
      <c r="B3454" t="str">
        <f>HYPERLINK("http://bombeiros.sp.gov.br/hidrantes/08bsg/qrcodeBSG.html?id=1057&amp;lat=-23.51491&amp;long=-46.70427&amp;tipo=S","QRCODE")</f>
        <v>QRCODE</v>
      </c>
      <c r="C3454" t="s">
        <v>5351</v>
      </c>
      <c r="D3454" t="s">
        <v>102</v>
      </c>
      <c r="E3454" t="s">
        <v>101</v>
      </c>
      <c r="F3454" t="s">
        <v>21</v>
      </c>
      <c r="G3454" t="s">
        <v>2683</v>
      </c>
      <c r="H3454">
        <v>0</v>
      </c>
      <c r="I3454">
        <v>2</v>
      </c>
      <c r="J3454">
        <v>0</v>
      </c>
      <c r="K3454">
        <v>0</v>
      </c>
      <c r="L3454">
        <v>0</v>
      </c>
    </row>
    <row r="3455" spans="1:12">
      <c r="A3455" t="str">
        <f>HYPERLINK("http://bombeiros.sp.gov.br/hidrantes/03individual/1059.html","1059")</f>
        <v>1059</v>
      </c>
      <c r="B3455" t="str">
        <f>HYPERLINK("http://bombeiros.sp.gov.br/hidrantes/08bsg/qrcodeBSG.html?id=1059&amp;lat=-23.51292&amp;long=-46.70910&amp;tipo=S","QRCODE")</f>
        <v>QRCODE</v>
      </c>
      <c r="C3455" t="s">
        <v>5351</v>
      </c>
      <c r="D3455" t="s">
        <v>102</v>
      </c>
      <c r="E3455" t="s">
        <v>101</v>
      </c>
      <c r="F3455" t="s">
        <v>21</v>
      </c>
      <c r="G3455" t="s">
        <v>5206</v>
      </c>
      <c r="H3455">
        <v>1</v>
      </c>
      <c r="I3455">
        <v>0</v>
      </c>
      <c r="J3455">
        <v>0</v>
      </c>
      <c r="K3455">
        <v>0</v>
      </c>
      <c r="L3455">
        <v>0</v>
      </c>
    </row>
    <row r="3456" spans="1:12">
      <c r="A3456" t="str">
        <f>HYPERLINK("http://bombeiros.sp.gov.br/hidrantes/03individual/1063.html","1063")</f>
        <v>1063</v>
      </c>
      <c r="B3456" t="str">
        <f>HYPERLINK("http://bombeiros.sp.gov.br/hidrantes/08bsg/qrcodeBSG.html?id=1063&amp;lat=-23.51614&amp;long=-46.70480&amp;tipo=S","QRCODE")</f>
        <v>QRCODE</v>
      </c>
      <c r="C3456" t="s">
        <v>5351</v>
      </c>
      <c r="D3456" t="s">
        <v>102</v>
      </c>
      <c r="E3456" t="s">
        <v>101</v>
      </c>
      <c r="F3456" t="s">
        <v>21</v>
      </c>
      <c r="G3456" t="s">
        <v>381</v>
      </c>
      <c r="H3456">
        <v>1</v>
      </c>
      <c r="I3456">
        <v>1</v>
      </c>
      <c r="J3456">
        <v>0</v>
      </c>
      <c r="K3456">
        <v>0</v>
      </c>
      <c r="L3456">
        <v>0</v>
      </c>
    </row>
    <row r="3457" spans="1:12">
      <c r="A3457" t="str">
        <f>HYPERLINK("http://bombeiros.sp.gov.br/hidrantes/03individual/1065.html","1065")</f>
        <v>1065</v>
      </c>
      <c r="B3457" t="str">
        <f>HYPERLINK("http://bombeiros.sp.gov.br/hidrantes/08bsg/qrcodeBSG.html?id=1065&amp;lat=-23.51660&amp;long=-46.70385&amp;tipo=S","QRCODE")</f>
        <v>QRCODE</v>
      </c>
      <c r="C3457" t="s">
        <v>5351</v>
      </c>
      <c r="D3457" t="s">
        <v>102</v>
      </c>
      <c r="E3457" t="s">
        <v>101</v>
      </c>
      <c r="F3457" t="s">
        <v>21</v>
      </c>
      <c r="G3457" t="s">
        <v>2682</v>
      </c>
      <c r="H3457">
        <v>0</v>
      </c>
      <c r="I3457">
        <v>2</v>
      </c>
      <c r="J3457">
        <v>0</v>
      </c>
      <c r="K3457">
        <v>0</v>
      </c>
      <c r="L3457">
        <v>0</v>
      </c>
    </row>
    <row r="3458" spans="1:12">
      <c r="A3458" t="str">
        <f>HYPERLINK("http://bombeiros.sp.gov.br/hidrantes/03individual/1067.html","1067")</f>
        <v>1067</v>
      </c>
      <c r="B3458" t="str">
        <f>HYPERLINK("http://bombeiros.sp.gov.br/hidrantes/08bsg/qrcodeBSG.html?id=1067&amp;lat=-23.51540&amp;long=-46.70304&amp;tipo=S","QRCODE")</f>
        <v>QRCODE</v>
      </c>
      <c r="C3458" t="s">
        <v>5351</v>
      </c>
      <c r="D3458" t="s">
        <v>102</v>
      </c>
      <c r="E3458" t="s">
        <v>101</v>
      </c>
      <c r="F3458" t="s">
        <v>21</v>
      </c>
      <c r="G3458" t="s">
        <v>380</v>
      </c>
      <c r="H3458">
        <v>1</v>
      </c>
      <c r="I3458">
        <v>4</v>
      </c>
      <c r="J3458">
        <v>0</v>
      </c>
      <c r="K3458">
        <v>0</v>
      </c>
      <c r="L3458">
        <v>0</v>
      </c>
    </row>
    <row r="3459" spans="1:12">
      <c r="A3459" t="str">
        <f>HYPERLINK("http://bombeiros.sp.gov.br/hidrantes/03individual/1068.html","1068")</f>
        <v>1068</v>
      </c>
      <c r="B3459" t="str">
        <f>HYPERLINK("http://bombeiros.sp.gov.br/hidrantes/08bsg/qrcodeBSG.html?id=1068&amp;lat=-23.51547&amp;long=-46.70646&amp;tipo=S","QRCODE")</f>
        <v>QRCODE</v>
      </c>
      <c r="C3459" t="s">
        <v>5351</v>
      </c>
      <c r="D3459" t="s">
        <v>102</v>
      </c>
      <c r="E3459" t="s">
        <v>101</v>
      </c>
      <c r="F3459" t="s">
        <v>21</v>
      </c>
      <c r="G3459" t="s">
        <v>100</v>
      </c>
      <c r="H3459">
        <v>1</v>
      </c>
      <c r="I3459">
        <v>1</v>
      </c>
      <c r="J3459">
        <v>0</v>
      </c>
      <c r="K3459">
        <v>0</v>
      </c>
      <c r="L3459">
        <v>0</v>
      </c>
    </row>
    <row r="3460" spans="1:12">
      <c r="A3460" t="str">
        <f>HYPERLINK("http://bombeiros.sp.gov.br/hidrantes/03individual/1069.html","1069")</f>
        <v>1069</v>
      </c>
      <c r="B3460" t="str">
        <f>HYPERLINK("http://bombeiros.sp.gov.br/hidrantes/08bsg/qrcodeBSG.html?id=1069&amp;lat=-23.51483&amp;long=-46.70569&amp;tipo=S","QRCODE")</f>
        <v>QRCODE</v>
      </c>
      <c r="C3460" t="s">
        <v>5351</v>
      </c>
      <c r="D3460" t="s">
        <v>102</v>
      </c>
      <c r="E3460" t="s">
        <v>101</v>
      </c>
      <c r="F3460" t="s">
        <v>21</v>
      </c>
      <c r="G3460" t="s">
        <v>2705</v>
      </c>
      <c r="H3460">
        <v>0</v>
      </c>
      <c r="I3460">
        <v>2</v>
      </c>
      <c r="J3460">
        <v>0</v>
      </c>
      <c r="K3460">
        <v>0</v>
      </c>
      <c r="L3460">
        <v>0</v>
      </c>
    </row>
    <row r="3461" spans="1:12">
      <c r="A3461" t="str">
        <f>HYPERLINK("http://bombeiros.sp.gov.br/hidrantes/03individual/1099.html","1099")</f>
        <v>1099</v>
      </c>
      <c r="B3461" t="str">
        <f>HYPERLINK("http://bombeiros.sp.gov.br/hidrantes/08bsg/qrcodeBSG.html?id=1099&amp;lat=-23.51295&amp;long=-46.70028&amp;tipo=S","QRCODE")</f>
        <v>QRCODE</v>
      </c>
      <c r="C3461" t="s">
        <v>5351</v>
      </c>
      <c r="D3461" t="s">
        <v>102</v>
      </c>
      <c r="E3461" t="s">
        <v>101</v>
      </c>
      <c r="F3461" t="s">
        <v>21</v>
      </c>
      <c r="G3461" t="s">
        <v>2268</v>
      </c>
      <c r="H3461">
        <v>0</v>
      </c>
      <c r="I3461">
        <v>2</v>
      </c>
      <c r="J3461">
        <v>0</v>
      </c>
      <c r="K3461">
        <v>0</v>
      </c>
      <c r="L3461">
        <v>0</v>
      </c>
    </row>
    <row r="3462" spans="1:12">
      <c r="A3462" t="str">
        <f>HYPERLINK("http://bombeiros.sp.gov.br/hidrantes/03individual/1343.html","1343")</f>
        <v>1343</v>
      </c>
      <c r="B3462" t="str">
        <f>HYPERLINK("http://bombeiros.sp.gov.br/hidrantes/08bsg/qrcodeBSG.html?id=1343&amp;lat=-23.51442&amp;long=-46.70858&amp;tipo=S","QRCODE")</f>
        <v>QRCODE</v>
      </c>
      <c r="C3462" t="s">
        <v>5351</v>
      </c>
      <c r="D3462" t="s">
        <v>102</v>
      </c>
      <c r="E3462" t="s">
        <v>101</v>
      </c>
      <c r="F3462" t="s">
        <v>21</v>
      </c>
      <c r="G3462" t="s">
        <v>4984</v>
      </c>
      <c r="H3462">
        <v>0</v>
      </c>
      <c r="I3462">
        <v>1</v>
      </c>
      <c r="J3462">
        <v>0</v>
      </c>
      <c r="K3462">
        <v>0</v>
      </c>
      <c r="L3462">
        <v>0</v>
      </c>
    </row>
    <row r="3463" spans="1:12">
      <c r="A3463" t="str">
        <f>HYPERLINK("http://bombeiros.sp.gov.br/hidrantes/03individual/2120.html","2120")</f>
        <v>2120</v>
      </c>
      <c r="B3463" t="str">
        <f>HYPERLINK("http://bombeiros.sp.gov.br/hidrantes/08bsg/qrcodeBSG.html?id=2120&amp;lat=-23.51672&amp;long=-46.70518&amp;tipo=S","QRCODE")</f>
        <v>QRCODE</v>
      </c>
      <c r="C3463" t="s">
        <v>5351</v>
      </c>
      <c r="D3463" t="s">
        <v>102</v>
      </c>
      <c r="E3463" t="s">
        <v>101</v>
      </c>
      <c r="F3463" t="s">
        <v>21</v>
      </c>
      <c r="G3463" t="s">
        <v>1385</v>
      </c>
      <c r="H3463">
        <v>1</v>
      </c>
      <c r="I3463">
        <v>2</v>
      </c>
      <c r="J3463">
        <v>0</v>
      </c>
      <c r="K3463">
        <v>0</v>
      </c>
      <c r="L3463">
        <v>0</v>
      </c>
    </row>
    <row r="3464" spans="1:12">
      <c r="A3464" t="str">
        <f>HYPERLINK("http://bombeiros.sp.gov.br/hidrantes/03individual/2125.html","2125")</f>
        <v>2125</v>
      </c>
      <c r="B3464" t="str">
        <f>HYPERLINK("http://bombeiros.sp.gov.br/hidrantes/08bsg/qrcodeBSG.html?id=2125&amp;lat=-23.51762&amp;long=-46.70301&amp;tipo=S","QRCODE")</f>
        <v>QRCODE</v>
      </c>
      <c r="C3464" t="s">
        <v>5351</v>
      </c>
      <c r="D3464" t="s">
        <v>102</v>
      </c>
      <c r="E3464" t="s">
        <v>101</v>
      </c>
      <c r="F3464" t="s">
        <v>21</v>
      </c>
      <c r="G3464" t="s">
        <v>3231</v>
      </c>
      <c r="H3464">
        <v>0</v>
      </c>
      <c r="I3464">
        <v>2</v>
      </c>
      <c r="J3464">
        <v>0</v>
      </c>
      <c r="K3464">
        <v>0</v>
      </c>
      <c r="L3464">
        <v>0</v>
      </c>
    </row>
    <row r="3465" spans="1:12">
      <c r="A3465" t="str">
        <f>HYPERLINK("http://bombeiros.sp.gov.br/hidrantes/03individual/2181.html","2181")</f>
        <v>2181</v>
      </c>
      <c r="B3465" t="str">
        <f>HYPERLINK("http://bombeiros.sp.gov.br/hidrantes/08bsg/qrcodeBSG.html?id=2181&amp;lat=-23.51846&amp;long=-46.70107&amp;tipo=S","QRCODE")</f>
        <v>QRCODE</v>
      </c>
      <c r="C3465" t="s">
        <v>5351</v>
      </c>
      <c r="D3465" t="s">
        <v>102</v>
      </c>
      <c r="E3465" t="s">
        <v>101</v>
      </c>
      <c r="F3465" t="s">
        <v>21</v>
      </c>
      <c r="G3465" t="s">
        <v>2156</v>
      </c>
      <c r="H3465">
        <v>0</v>
      </c>
      <c r="I3465">
        <v>2</v>
      </c>
      <c r="J3465">
        <v>0</v>
      </c>
      <c r="K3465">
        <v>0</v>
      </c>
      <c r="L3465">
        <v>0</v>
      </c>
    </row>
    <row r="3466" spans="1:12">
      <c r="A3466" t="str">
        <f>HYPERLINK("http://bombeiros.sp.gov.br/hidrantes/03individual/2270.html","2270")</f>
        <v>2270</v>
      </c>
      <c r="B3466" t="str">
        <f>HYPERLINK("http://bombeiros.sp.gov.br/hidrantes/08bsg/qrcodeBSG.html?id=2270&amp;lat=-23.51611&amp;long=-46.69089&amp;tipo=S","QRCODE")</f>
        <v>QRCODE</v>
      </c>
      <c r="C3466" t="s">
        <v>5351</v>
      </c>
      <c r="D3466" t="s">
        <v>102</v>
      </c>
      <c r="E3466" t="s">
        <v>101</v>
      </c>
      <c r="F3466" t="s">
        <v>21</v>
      </c>
      <c r="G3466" t="s">
        <v>4793</v>
      </c>
      <c r="H3466">
        <v>2</v>
      </c>
      <c r="I3466">
        <v>1</v>
      </c>
      <c r="J3466">
        <v>0</v>
      </c>
      <c r="K3466">
        <v>0</v>
      </c>
      <c r="L3466">
        <v>0</v>
      </c>
    </row>
    <row r="3467" spans="1:12">
      <c r="A3467" t="str">
        <f>HYPERLINK("http://bombeiros.sp.gov.br/hidrantes/03individual/2279.html","2279")</f>
        <v>2279</v>
      </c>
      <c r="B3467" t="str">
        <f>HYPERLINK("http://bombeiros.sp.gov.br/hidrantes/08bsg/qrcodeBSG.html?id=2279&amp;lat=-23.52045&amp;long=-46.68858&amp;tipo=S","QRCODE")</f>
        <v>QRCODE</v>
      </c>
      <c r="C3467" t="s">
        <v>5351</v>
      </c>
      <c r="D3467" t="s">
        <v>102</v>
      </c>
      <c r="E3467" t="s">
        <v>101</v>
      </c>
      <c r="F3467" t="s">
        <v>21</v>
      </c>
      <c r="G3467" t="s">
        <v>1520</v>
      </c>
      <c r="H3467">
        <v>1</v>
      </c>
      <c r="I3467">
        <v>2</v>
      </c>
      <c r="J3467">
        <v>0</v>
      </c>
      <c r="K3467">
        <v>0</v>
      </c>
      <c r="L3467">
        <v>0</v>
      </c>
    </row>
    <row r="3468" spans="1:12">
      <c r="A3468" t="str">
        <f>HYPERLINK("http://bombeiros.sp.gov.br/hidrantes/03individual/26626.html","26626")</f>
        <v>26626</v>
      </c>
      <c r="B3468" t="str">
        <f>HYPERLINK("http://bombeiros.sp.gov.br/hidrantes/08bsg/qrcodeBSG.html?id=26626&amp;lat=-23.51098&amp;long=-46.70052&amp;tipo=S","QRCODE")</f>
        <v>QRCODE</v>
      </c>
      <c r="C3468" t="s">
        <v>5351</v>
      </c>
      <c r="D3468" t="s">
        <v>102</v>
      </c>
      <c r="E3468" t="s">
        <v>101</v>
      </c>
      <c r="F3468" t="s">
        <v>21</v>
      </c>
      <c r="G3468" t="s">
        <v>4010</v>
      </c>
      <c r="H3468">
        <v>0</v>
      </c>
      <c r="I3468">
        <v>1</v>
      </c>
      <c r="J3468">
        <v>0</v>
      </c>
      <c r="K3468">
        <v>0</v>
      </c>
      <c r="L3468">
        <v>0</v>
      </c>
    </row>
    <row r="3469" spans="1:12">
      <c r="A3469" t="str">
        <f>HYPERLINK("http://bombeiros.sp.gov.br/hidrantes/03individual/16588.html","16588")</f>
        <v>16588</v>
      </c>
      <c r="B3469" t="str">
        <f>HYPERLINK("http://bombeiros.sp.gov.br/hidrantes/08bsg/qrcodeBSG.html?id=16588&amp;lat=-23.52489&amp;long=-46.68546&amp;tipo=S","QRCODE")</f>
        <v>QRCODE</v>
      </c>
      <c r="C3469" t="s">
        <v>5351</v>
      </c>
      <c r="D3469" t="s">
        <v>102</v>
      </c>
      <c r="E3469" t="s">
        <v>1333</v>
      </c>
      <c r="F3469" t="s">
        <v>21</v>
      </c>
      <c r="G3469" t="s">
        <v>4894</v>
      </c>
      <c r="H3469">
        <v>1</v>
      </c>
      <c r="I3469">
        <v>1</v>
      </c>
      <c r="J3469">
        <v>0</v>
      </c>
      <c r="K3469">
        <v>0</v>
      </c>
      <c r="L3469">
        <v>0</v>
      </c>
    </row>
    <row r="3470" spans="1:12">
      <c r="A3470" t="str">
        <f>HYPERLINK("http://bombeiros.sp.gov.br/hidrantes/03individual/1071.html","1071")</f>
        <v>1071</v>
      </c>
      <c r="B3470" t="str">
        <f>HYPERLINK("http://bombeiros.sp.gov.br/hidrantes/08bsg/qrcodeBSG.html?id=1071&amp;lat=-23.51124&amp;long=-46.71465&amp;tipo=C","QRCODE")</f>
        <v>QRCODE</v>
      </c>
      <c r="C3470" t="s">
        <v>5351</v>
      </c>
      <c r="D3470" t="s">
        <v>102</v>
      </c>
      <c r="E3470" t="s">
        <v>140</v>
      </c>
      <c r="F3470" t="s">
        <v>12</v>
      </c>
      <c r="G3470" t="s">
        <v>1368</v>
      </c>
      <c r="H3470">
        <v>1</v>
      </c>
      <c r="I3470">
        <v>2</v>
      </c>
      <c r="J3470">
        <v>0</v>
      </c>
      <c r="K3470">
        <v>0</v>
      </c>
      <c r="L3470">
        <v>0</v>
      </c>
    </row>
    <row r="3471" spans="1:12">
      <c r="A3471" t="str">
        <f>HYPERLINK("http://bombeiros.sp.gov.br/hidrantes/03individual/1082.html","1082")</f>
        <v>1082</v>
      </c>
      <c r="B3471" t="str">
        <f>HYPERLINK("http://bombeiros.sp.gov.br/hidrantes/08bsg/qrcodeBSG.html?id=1082&amp;lat=-23.51707&amp;long=-46.71935&amp;tipo=C","QRCODE")</f>
        <v>QRCODE</v>
      </c>
      <c r="C3471" t="s">
        <v>5351</v>
      </c>
      <c r="D3471" t="s">
        <v>102</v>
      </c>
      <c r="E3471" t="s">
        <v>140</v>
      </c>
      <c r="F3471" t="s">
        <v>12</v>
      </c>
      <c r="G3471" t="s">
        <v>5069</v>
      </c>
      <c r="H3471">
        <v>0</v>
      </c>
      <c r="I3471">
        <v>2</v>
      </c>
      <c r="J3471">
        <v>0</v>
      </c>
      <c r="K3471">
        <v>0</v>
      </c>
      <c r="L3471">
        <v>0</v>
      </c>
    </row>
    <row r="3472" spans="1:12">
      <c r="A3472" t="str">
        <f>HYPERLINK("http://bombeiros.sp.gov.br/hidrantes/03individual/1085.html","1085")</f>
        <v>1085</v>
      </c>
      <c r="B3472" t="str">
        <f>HYPERLINK("http://bombeiros.sp.gov.br/hidrantes/08bsg/qrcodeBSG.html?id=1085&amp;lat=-23.51815&amp;long=-46.71241&amp;tipo=C","QRCODE")</f>
        <v>QRCODE</v>
      </c>
      <c r="C3472" t="s">
        <v>5351</v>
      </c>
      <c r="D3472" t="s">
        <v>102</v>
      </c>
      <c r="E3472" t="s">
        <v>140</v>
      </c>
      <c r="F3472" t="s">
        <v>12</v>
      </c>
      <c r="G3472" t="s">
        <v>1372</v>
      </c>
      <c r="H3472">
        <v>1</v>
      </c>
      <c r="I3472">
        <v>2</v>
      </c>
      <c r="J3472">
        <v>0</v>
      </c>
      <c r="K3472">
        <v>0</v>
      </c>
      <c r="L3472">
        <v>0</v>
      </c>
    </row>
    <row r="3473" spans="1:12">
      <c r="A3473" t="str">
        <f>HYPERLINK("http://bombeiros.sp.gov.br/hidrantes/03individual/1060.html","1060")</f>
        <v>1060</v>
      </c>
      <c r="B3473" t="str">
        <f>HYPERLINK("http://bombeiros.sp.gov.br/hidrantes/08bsg/qrcodeBSG.html?id=1060&amp;lat=-23.51475&amp;long=-46.71501&amp;tipo=S","QRCODE")</f>
        <v>QRCODE</v>
      </c>
      <c r="C3473" t="s">
        <v>5351</v>
      </c>
      <c r="D3473" t="s">
        <v>102</v>
      </c>
      <c r="E3473" t="s">
        <v>140</v>
      </c>
      <c r="F3473" t="s">
        <v>21</v>
      </c>
      <c r="G3473" t="s">
        <v>5085</v>
      </c>
      <c r="H3473">
        <v>0</v>
      </c>
      <c r="I3473">
        <v>3</v>
      </c>
      <c r="J3473">
        <v>0</v>
      </c>
      <c r="K3473">
        <v>0</v>
      </c>
      <c r="L3473">
        <v>0</v>
      </c>
    </row>
    <row r="3474" spans="1:12">
      <c r="A3474" t="str">
        <f>HYPERLINK("http://bombeiros.sp.gov.br/hidrantes/03individual/1062.html","1062")</f>
        <v>1062</v>
      </c>
      <c r="B3474" t="str">
        <f>HYPERLINK("http://bombeiros.sp.gov.br/hidrantes/08bsg/qrcodeBSG.html?id=1062&amp;lat=-23.51468&amp;long=-46.71586&amp;tipo=S","QRCODE")</f>
        <v>QRCODE</v>
      </c>
      <c r="C3474" t="s">
        <v>5351</v>
      </c>
      <c r="D3474" t="s">
        <v>102</v>
      </c>
      <c r="E3474" t="s">
        <v>140</v>
      </c>
      <c r="F3474" t="s">
        <v>21</v>
      </c>
      <c r="G3474" t="s">
        <v>1407</v>
      </c>
      <c r="H3474">
        <v>0</v>
      </c>
      <c r="I3474">
        <v>5</v>
      </c>
      <c r="J3474">
        <v>0</v>
      </c>
      <c r="K3474">
        <v>0</v>
      </c>
      <c r="L3474">
        <v>0</v>
      </c>
    </row>
    <row r="3475" spans="1:12">
      <c r="A3475" t="str">
        <f>HYPERLINK("http://bombeiros.sp.gov.br/hidrantes/03individual/1072.html","1072")</f>
        <v>1072</v>
      </c>
      <c r="B3475" t="str">
        <f>HYPERLINK("http://bombeiros.sp.gov.br/hidrantes/08bsg/qrcodeBSG.html?id=1072&amp;lat=-23.51176&amp;long=-46.71650&amp;tipo=S","QRCODE")</f>
        <v>QRCODE</v>
      </c>
      <c r="C3475" t="s">
        <v>5351</v>
      </c>
      <c r="D3475" t="s">
        <v>102</v>
      </c>
      <c r="E3475" t="s">
        <v>140</v>
      </c>
      <c r="F3475" t="s">
        <v>21</v>
      </c>
      <c r="G3475" t="s">
        <v>1369</v>
      </c>
      <c r="H3475">
        <v>1</v>
      </c>
      <c r="I3475">
        <v>2</v>
      </c>
      <c r="J3475">
        <v>0</v>
      </c>
      <c r="K3475">
        <v>0</v>
      </c>
      <c r="L3475">
        <v>0</v>
      </c>
    </row>
    <row r="3476" spans="1:12">
      <c r="A3476" t="str">
        <f>HYPERLINK("http://bombeiros.sp.gov.br/hidrantes/03individual/1073.html","1073")</f>
        <v>1073</v>
      </c>
      <c r="B3476" t="str">
        <f>HYPERLINK("http://bombeiros.sp.gov.br/hidrantes/08bsg/qrcodeBSG.html?id=1073&amp;lat=-23.51217&amp;long=-46.71827&amp;tipo=S","QRCODE")</f>
        <v>QRCODE</v>
      </c>
      <c r="C3476" t="s">
        <v>5351</v>
      </c>
      <c r="D3476" t="s">
        <v>102</v>
      </c>
      <c r="E3476" t="s">
        <v>140</v>
      </c>
      <c r="F3476" t="s">
        <v>21</v>
      </c>
      <c r="G3476" t="s">
        <v>1370</v>
      </c>
      <c r="H3476">
        <v>1</v>
      </c>
      <c r="I3476">
        <v>2</v>
      </c>
      <c r="J3476">
        <v>0</v>
      </c>
      <c r="K3476">
        <v>0</v>
      </c>
      <c r="L3476">
        <v>0</v>
      </c>
    </row>
    <row r="3477" spans="1:12">
      <c r="A3477" t="str">
        <f>HYPERLINK("http://bombeiros.sp.gov.br/hidrantes/03individual/1075.html","1075")</f>
        <v>1075</v>
      </c>
      <c r="B3477" t="str">
        <f>HYPERLINK("http://bombeiros.sp.gov.br/hidrantes/08bsg/qrcodeBSG.html?id=1075&amp;lat=-23.51447&amp;long=-46.71728&amp;tipo=S","QRCODE")</f>
        <v>QRCODE</v>
      </c>
      <c r="C3477" t="s">
        <v>5351</v>
      </c>
      <c r="D3477" t="s">
        <v>102</v>
      </c>
      <c r="E3477" t="s">
        <v>140</v>
      </c>
      <c r="F3477" t="s">
        <v>21</v>
      </c>
      <c r="G3477" t="s">
        <v>1371</v>
      </c>
      <c r="H3477">
        <v>1</v>
      </c>
      <c r="I3477">
        <v>2</v>
      </c>
      <c r="J3477">
        <v>0</v>
      </c>
      <c r="K3477">
        <v>0</v>
      </c>
      <c r="L3477">
        <v>0</v>
      </c>
    </row>
    <row r="3478" spans="1:12">
      <c r="A3478" t="str">
        <f>HYPERLINK("http://bombeiros.sp.gov.br/hidrantes/03individual/1077.html","1077")</f>
        <v>1077</v>
      </c>
      <c r="B3478" t="str">
        <f>HYPERLINK("http://bombeiros.sp.gov.br/hidrantes/08bsg/qrcodeBSG.html?id=1077&amp;lat=-23.51600&amp;long=-46.71802&amp;tipo=S","QRCODE")</f>
        <v>QRCODE</v>
      </c>
      <c r="C3478" t="s">
        <v>5351</v>
      </c>
      <c r="D3478" t="s">
        <v>102</v>
      </c>
      <c r="E3478" t="s">
        <v>140</v>
      </c>
      <c r="F3478" t="s">
        <v>21</v>
      </c>
      <c r="G3478" t="s">
        <v>2269</v>
      </c>
      <c r="H3478">
        <v>0</v>
      </c>
      <c r="I3478">
        <v>2</v>
      </c>
      <c r="J3478">
        <v>0</v>
      </c>
      <c r="K3478">
        <v>0</v>
      </c>
      <c r="L3478">
        <v>0</v>
      </c>
    </row>
    <row r="3479" spans="1:12">
      <c r="A3479" t="str">
        <f>HYPERLINK("http://bombeiros.sp.gov.br/hidrantes/03individual/1078.html","1078")</f>
        <v>1078</v>
      </c>
      <c r="B3479" t="str">
        <f>HYPERLINK("http://bombeiros.sp.gov.br/hidrantes/08bsg/qrcodeBSG.html?id=1078&amp;lat=-23.51329&amp;long=-46.71972&amp;tipo=S","QRCODE")</f>
        <v>QRCODE</v>
      </c>
      <c r="C3479" t="s">
        <v>5351</v>
      </c>
      <c r="D3479" t="s">
        <v>102</v>
      </c>
      <c r="E3479" t="s">
        <v>140</v>
      </c>
      <c r="F3479" t="s">
        <v>21</v>
      </c>
      <c r="G3479" t="s">
        <v>3552</v>
      </c>
      <c r="H3479">
        <v>1</v>
      </c>
      <c r="I3479">
        <v>1</v>
      </c>
      <c r="J3479">
        <v>0</v>
      </c>
      <c r="K3479">
        <v>0</v>
      </c>
      <c r="L3479">
        <v>0</v>
      </c>
    </row>
    <row r="3480" spans="1:12">
      <c r="A3480" t="str">
        <f>HYPERLINK("http://bombeiros.sp.gov.br/hidrantes/03individual/1079.html","1079")</f>
        <v>1079</v>
      </c>
      <c r="B3480" t="str">
        <f>HYPERLINK("http://bombeiros.sp.gov.br/hidrantes/08bsg/qrcodeBSG.html?id=1079&amp;lat=-23.51533&amp;long=-46.72384&amp;tipo=S","QRCODE")</f>
        <v>QRCODE</v>
      </c>
      <c r="C3480" t="s">
        <v>5351</v>
      </c>
      <c r="D3480" t="s">
        <v>102</v>
      </c>
      <c r="E3480" t="s">
        <v>140</v>
      </c>
      <c r="F3480" t="s">
        <v>21</v>
      </c>
      <c r="G3480" t="s">
        <v>3551</v>
      </c>
      <c r="H3480">
        <v>1</v>
      </c>
      <c r="I3480">
        <v>1</v>
      </c>
      <c r="J3480">
        <v>0</v>
      </c>
      <c r="K3480">
        <v>0</v>
      </c>
      <c r="L3480">
        <v>0</v>
      </c>
    </row>
    <row r="3481" spans="1:12">
      <c r="A3481" t="str">
        <f>HYPERLINK("http://bombeiros.sp.gov.br/hidrantes/03individual/1081.html","1081")</f>
        <v>1081</v>
      </c>
      <c r="B3481" t="str">
        <f>HYPERLINK("http://bombeiros.sp.gov.br/hidrantes/08bsg/qrcodeBSG.html?id=1081&amp;lat=-23.51717&amp;long=-46.72106&amp;tipo=S","QRCODE")</f>
        <v>QRCODE</v>
      </c>
      <c r="C3481" t="s">
        <v>5351</v>
      </c>
      <c r="D3481" t="s">
        <v>102</v>
      </c>
      <c r="E3481" t="s">
        <v>140</v>
      </c>
      <c r="F3481" t="s">
        <v>21</v>
      </c>
      <c r="G3481" t="s">
        <v>5068</v>
      </c>
      <c r="H3481">
        <v>0</v>
      </c>
      <c r="I3481">
        <v>2</v>
      </c>
      <c r="J3481">
        <v>0</v>
      </c>
      <c r="K3481">
        <v>0</v>
      </c>
      <c r="L3481">
        <v>0</v>
      </c>
    </row>
    <row r="3482" spans="1:12">
      <c r="A3482" t="str">
        <f>HYPERLINK("http://bombeiros.sp.gov.br/hidrantes/03individual/1312.html","1312")</f>
        <v>1312</v>
      </c>
      <c r="B3482" t="str">
        <f>HYPERLINK("http://bombeiros.sp.gov.br/hidrantes/08bsg/qrcodeBSG.html?id=1312&amp;lat=-23.51834&amp;long=-46.72441&amp;tipo=S","QRCODE")</f>
        <v>QRCODE</v>
      </c>
      <c r="C3482" t="s">
        <v>5351</v>
      </c>
      <c r="D3482" t="s">
        <v>102</v>
      </c>
      <c r="E3482" t="s">
        <v>140</v>
      </c>
      <c r="F3482" t="s">
        <v>21</v>
      </c>
      <c r="G3482" t="s">
        <v>139</v>
      </c>
      <c r="H3482">
        <v>0</v>
      </c>
      <c r="I3482">
        <v>2</v>
      </c>
      <c r="J3482">
        <v>0</v>
      </c>
      <c r="K3482">
        <v>0</v>
      </c>
      <c r="L3482">
        <v>0</v>
      </c>
    </row>
    <row r="3483" spans="1:12">
      <c r="A3483" t="str">
        <f>HYPERLINK("http://bombeiros.sp.gov.br/hidrantes/03individual/4224.html","4224")</f>
        <v>4224</v>
      </c>
      <c r="B3483" t="str">
        <f>HYPERLINK("http://bombeiros.sp.gov.br/hidrantes/08bsg/qrcodeBSG.html?id=4224&amp;lat=-23.51573&amp;long=-46.72110&amp;tipo=S","QRCODE")</f>
        <v>QRCODE</v>
      </c>
      <c r="C3483" t="s">
        <v>5351</v>
      </c>
      <c r="D3483" t="s">
        <v>102</v>
      </c>
      <c r="E3483" t="s">
        <v>140</v>
      </c>
      <c r="F3483" t="s">
        <v>21</v>
      </c>
      <c r="G3483" t="s">
        <v>184</v>
      </c>
      <c r="H3483">
        <v>0</v>
      </c>
      <c r="I3483">
        <v>4</v>
      </c>
      <c r="J3483">
        <v>0</v>
      </c>
      <c r="K3483">
        <v>0</v>
      </c>
      <c r="L3483">
        <v>0</v>
      </c>
    </row>
    <row r="3484" spans="1:12">
      <c r="A3484" t="str">
        <f>HYPERLINK("http://bombeiros.sp.gov.br/hidrantes/03individual/4225.html","4225")</f>
        <v>4225</v>
      </c>
      <c r="B3484" t="str">
        <f>HYPERLINK("http://bombeiros.sp.gov.br/hidrantes/08bsg/qrcodeBSG.html?id=4225&amp;lat=-23.51512&amp;long=-46.72259&amp;tipo=S","QRCODE")</f>
        <v>QRCODE</v>
      </c>
      <c r="C3484" t="s">
        <v>5351</v>
      </c>
      <c r="D3484" t="s">
        <v>102</v>
      </c>
      <c r="E3484" t="s">
        <v>140</v>
      </c>
      <c r="F3484" t="s">
        <v>21</v>
      </c>
      <c r="G3484" t="s">
        <v>3206</v>
      </c>
      <c r="H3484">
        <v>0</v>
      </c>
      <c r="I3484">
        <v>2</v>
      </c>
      <c r="J3484">
        <v>0</v>
      </c>
      <c r="K3484">
        <v>0</v>
      </c>
      <c r="L3484">
        <v>0</v>
      </c>
    </row>
    <row r="3485" spans="1:12">
      <c r="A3485" t="str">
        <f>HYPERLINK("http://bombeiros.sp.gov.br/hidrantes/03individual/27051.html","27051")</f>
        <v>27051</v>
      </c>
      <c r="B3485" t="str">
        <f>HYPERLINK("http://bombeiros.sp.gov.br/hidrantes/08bsg/qrcodeBSG.html?id=27051&amp;lat=-23.51585&amp;long=-46.72494&amp;tipo=S","QRCODE")</f>
        <v>QRCODE</v>
      </c>
      <c r="C3485" t="s">
        <v>5351</v>
      </c>
      <c r="D3485" t="s">
        <v>102</v>
      </c>
      <c r="E3485" t="s">
        <v>140</v>
      </c>
      <c r="F3485" t="s">
        <v>21</v>
      </c>
      <c r="G3485" t="s">
        <v>219</v>
      </c>
      <c r="H3485">
        <v>0</v>
      </c>
      <c r="I3485">
        <v>2</v>
      </c>
      <c r="J3485">
        <v>0</v>
      </c>
      <c r="K3485">
        <v>0</v>
      </c>
      <c r="L3485">
        <v>0</v>
      </c>
    </row>
    <row r="3486" spans="1:12">
      <c r="A3486" t="str">
        <f>HYPERLINK("http://bombeiros.sp.gov.br/hidrantes/03individual/27061.html","27061")</f>
        <v>27061</v>
      </c>
      <c r="B3486" t="str">
        <f>HYPERLINK("http://bombeiros.sp.gov.br/hidrantes/08bsg/qrcodeBSG.html?id=27061&amp;lat=-23.51676&amp;long=-46.72176&amp;tipo=S","QRCODE")</f>
        <v>QRCODE</v>
      </c>
      <c r="C3486" t="s">
        <v>5351</v>
      </c>
      <c r="D3486" t="s">
        <v>102</v>
      </c>
      <c r="E3486" t="s">
        <v>140</v>
      </c>
      <c r="F3486" t="s">
        <v>21</v>
      </c>
      <c r="G3486" t="s">
        <v>246</v>
      </c>
      <c r="H3486">
        <v>0</v>
      </c>
      <c r="I3486">
        <v>2</v>
      </c>
      <c r="J3486">
        <v>0</v>
      </c>
      <c r="K3486">
        <v>0</v>
      </c>
      <c r="L3486">
        <v>0</v>
      </c>
    </row>
    <row r="3487" spans="1:12">
      <c r="A3487" t="str">
        <f>HYPERLINK("http://bombeiros.sp.gov.br/hidrantes/03individual/1179.html","1179")</f>
        <v>1179</v>
      </c>
      <c r="B3487" t="str">
        <f>HYPERLINK("http://bombeiros.sp.gov.br/hidrantes/08bsg/qrcodeBSG.html?id=1179&amp;lat=-23.53295&amp;long=-46.70427&amp;tipo=C","QRCODE")</f>
        <v>QRCODE</v>
      </c>
      <c r="C3487" t="s">
        <v>5351</v>
      </c>
      <c r="D3487" t="s">
        <v>102</v>
      </c>
      <c r="E3487" t="s">
        <v>675</v>
      </c>
      <c r="F3487" t="s">
        <v>12</v>
      </c>
      <c r="G3487" t="s">
        <v>1267</v>
      </c>
      <c r="H3487">
        <v>1</v>
      </c>
      <c r="I3487">
        <v>2</v>
      </c>
      <c r="J3487">
        <v>0</v>
      </c>
      <c r="K3487">
        <v>0</v>
      </c>
      <c r="L3487">
        <v>0</v>
      </c>
    </row>
    <row r="3488" spans="1:12">
      <c r="A3488" t="str">
        <f>HYPERLINK("http://bombeiros.sp.gov.br/hidrantes/03individual/1570.html","1570")</f>
        <v>1570</v>
      </c>
      <c r="B3488" t="str">
        <f>HYPERLINK("http://bombeiros.sp.gov.br/hidrantes/08bsg/qrcodeBSG.html?id=1570&amp;lat=-23.53005&amp;long=-46.69772&amp;tipo=C","QRCODE")</f>
        <v>QRCODE</v>
      </c>
      <c r="C3488" t="s">
        <v>5351</v>
      </c>
      <c r="D3488" t="s">
        <v>102</v>
      </c>
      <c r="E3488" t="s">
        <v>675</v>
      </c>
      <c r="F3488" t="s">
        <v>12</v>
      </c>
      <c r="G3488" t="s">
        <v>2803</v>
      </c>
      <c r="H3488">
        <v>0</v>
      </c>
      <c r="I3488">
        <v>2</v>
      </c>
      <c r="J3488">
        <v>0</v>
      </c>
      <c r="K3488">
        <v>0</v>
      </c>
      <c r="L3488">
        <v>0</v>
      </c>
    </row>
    <row r="3489" spans="1:12">
      <c r="A3489" t="str">
        <f>HYPERLINK("http://bombeiros.sp.gov.br/hidrantes/03individual/1722.html","1722")</f>
        <v>1722</v>
      </c>
      <c r="B3489" t="str">
        <f>HYPERLINK("http://bombeiros.sp.gov.br/hidrantes/08bsg/qrcodeBSG.html?id=1722&amp;lat=-23.53530&amp;long=-46.69797&amp;tipo=C","QRCODE")</f>
        <v>QRCODE</v>
      </c>
      <c r="C3489" t="s">
        <v>5351</v>
      </c>
      <c r="D3489" t="s">
        <v>102</v>
      </c>
      <c r="E3489" t="s">
        <v>675</v>
      </c>
      <c r="F3489" t="s">
        <v>12</v>
      </c>
      <c r="G3489" t="s">
        <v>4243</v>
      </c>
      <c r="H3489">
        <v>0</v>
      </c>
      <c r="I3489">
        <v>1</v>
      </c>
      <c r="J3489">
        <v>0</v>
      </c>
      <c r="K3489">
        <v>0</v>
      </c>
      <c r="L3489">
        <v>0</v>
      </c>
    </row>
    <row r="3490" spans="1:12">
      <c r="A3490" t="str">
        <f>HYPERLINK("http://bombeiros.sp.gov.br/hidrantes/03individual/6677.html","6677")</f>
        <v>6677</v>
      </c>
      <c r="B3490" t="str">
        <f>HYPERLINK("http://bombeiros.sp.gov.br/hidrantes/08bsg/qrcodeBSG.html?id=6677&amp;lat=-23.53293&amp;long=-46.69765&amp;tipo=C","QRCODE")</f>
        <v>QRCODE</v>
      </c>
      <c r="C3490" t="s">
        <v>5351</v>
      </c>
      <c r="D3490" t="s">
        <v>102</v>
      </c>
      <c r="E3490" t="s">
        <v>675</v>
      </c>
      <c r="F3490" t="s">
        <v>12</v>
      </c>
      <c r="G3490" t="s">
        <v>739</v>
      </c>
      <c r="H3490">
        <v>0</v>
      </c>
      <c r="I3490">
        <v>2</v>
      </c>
      <c r="J3490">
        <v>0</v>
      </c>
      <c r="K3490">
        <v>0</v>
      </c>
      <c r="L3490">
        <v>0</v>
      </c>
    </row>
    <row r="3491" spans="1:12">
      <c r="A3491" t="str">
        <f>HYPERLINK("http://bombeiros.sp.gov.br/hidrantes/03individual/1154.html","1154")</f>
        <v>1154</v>
      </c>
      <c r="B3491" t="str">
        <f>HYPERLINK("http://bombeiros.sp.gov.br/hidrantes/08bsg/qrcodeBSG.html?id=1154&amp;lat=-23.53842&amp;long=-46.70201&amp;tipo=S","QRCODE")</f>
        <v>QRCODE</v>
      </c>
      <c r="C3491" t="s">
        <v>5351</v>
      </c>
      <c r="D3491" t="s">
        <v>102</v>
      </c>
      <c r="E3491" t="s">
        <v>675</v>
      </c>
      <c r="F3491" t="s">
        <v>21</v>
      </c>
      <c r="G3491" t="s">
        <v>4236</v>
      </c>
      <c r="H3491">
        <v>0</v>
      </c>
      <c r="I3491">
        <v>1</v>
      </c>
      <c r="J3491">
        <v>0</v>
      </c>
      <c r="K3491">
        <v>0</v>
      </c>
      <c r="L3491">
        <v>0</v>
      </c>
    </row>
    <row r="3492" spans="1:12">
      <c r="A3492" t="str">
        <f>HYPERLINK("http://bombeiros.sp.gov.br/hidrantes/03individual/1172.html","1172")</f>
        <v>1172</v>
      </c>
      <c r="B3492" t="str">
        <f>HYPERLINK("http://bombeiros.sp.gov.br/hidrantes/08bsg/qrcodeBSG.html?id=1172&amp;lat=-23.52841&amp;long=-46.70272&amp;tipo=S","QRCODE")</f>
        <v>QRCODE</v>
      </c>
      <c r="C3492" t="s">
        <v>5351</v>
      </c>
      <c r="D3492" t="s">
        <v>102</v>
      </c>
      <c r="E3492" t="s">
        <v>675</v>
      </c>
      <c r="F3492" t="s">
        <v>21</v>
      </c>
      <c r="G3492" t="s">
        <v>2646</v>
      </c>
      <c r="H3492">
        <v>0</v>
      </c>
      <c r="I3492">
        <v>2</v>
      </c>
      <c r="J3492">
        <v>0</v>
      </c>
      <c r="K3492">
        <v>0</v>
      </c>
      <c r="L3492">
        <v>0</v>
      </c>
    </row>
    <row r="3493" spans="1:12">
      <c r="A3493" t="str">
        <f>HYPERLINK("http://bombeiros.sp.gov.br/hidrantes/03individual/1173.html","1173")</f>
        <v>1173</v>
      </c>
      <c r="B3493" t="str">
        <f>HYPERLINK("http://bombeiros.sp.gov.br/hidrantes/08bsg/qrcodeBSG.html?id=1173&amp;lat=-23.53069&amp;long=-46.70353&amp;tipo=S","QRCODE")</f>
        <v>QRCODE</v>
      </c>
      <c r="C3493" t="s">
        <v>5351</v>
      </c>
      <c r="D3493" t="s">
        <v>102</v>
      </c>
      <c r="E3493" t="s">
        <v>675</v>
      </c>
      <c r="F3493" t="s">
        <v>21</v>
      </c>
      <c r="G3493" t="s">
        <v>2653</v>
      </c>
      <c r="H3493">
        <v>0</v>
      </c>
      <c r="I3493">
        <v>2</v>
      </c>
      <c r="J3493">
        <v>0</v>
      </c>
      <c r="K3493">
        <v>0</v>
      </c>
      <c r="L3493">
        <v>0</v>
      </c>
    </row>
    <row r="3494" spans="1:12">
      <c r="A3494" t="str">
        <f>HYPERLINK("http://bombeiros.sp.gov.br/hidrantes/03individual/1174.html","1174")</f>
        <v>1174</v>
      </c>
      <c r="B3494" t="str">
        <f>HYPERLINK("http://bombeiros.sp.gov.br/hidrantes/08bsg/qrcodeBSG.html?id=1174&amp;lat=-23.53076&amp;long=-46.70540&amp;tipo=S","QRCODE")</f>
        <v>QRCODE</v>
      </c>
      <c r="C3494" t="s">
        <v>5351</v>
      </c>
      <c r="D3494" t="s">
        <v>102</v>
      </c>
      <c r="E3494" t="s">
        <v>675</v>
      </c>
      <c r="F3494" t="s">
        <v>21</v>
      </c>
      <c r="G3494" t="s">
        <v>2654</v>
      </c>
      <c r="H3494">
        <v>0</v>
      </c>
      <c r="I3494">
        <v>2</v>
      </c>
      <c r="J3494">
        <v>0</v>
      </c>
      <c r="K3494">
        <v>0</v>
      </c>
      <c r="L3494">
        <v>0</v>
      </c>
    </row>
    <row r="3495" spans="1:12">
      <c r="A3495" t="str">
        <f>HYPERLINK("http://bombeiros.sp.gov.br/hidrantes/03individual/1178.html","1178")</f>
        <v>1178</v>
      </c>
      <c r="B3495" t="str">
        <f>HYPERLINK("http://bombeiros.sp.gov.br/hidrantes/08bsg/qrcodeBSG.html?id=1178&amp;lat=-23.53269&amp;long=-46.70420&amp;tipo=S","QRCODE")</f>
        <v>QRCODE</v>
      </c>
      <c r="C3495" t="s">
        <v>5351</v>
      </c>
      <c r="D3495" t="s">
        <v>102</v>
      </c>
      <c r="E3495" t="s">
        <v>675</v>
      </c>
      <c r="F3495" t="s">
        <v>21</v>
      </c>
      <c r="G3495" t="s">
        <v>2649</v>
      </c>
      <c r="H3495">
        <v>0</v>
      </c>
      <c r="I3495">
        <v>2</v>
      </c>
      <c r="J3495">
        <v>0</v>
      </c>
      <c r="K3495">
        <v>0</v>
      </c>
      <c r="L3495">
        <v>0</v>
      </c>
    </row>
    <row r="3496" spans="1:12">
      <c r="A3496" t="str">
        <f>HYPERLINK("http://bombeiros.sp.gov.br/hidrantes/03individual/1180.html","1180")</f>
        <v>1180</v>
      </c>
      <c r="B3496" t="str">
        <f>HYPERLINK("http://bombeiros.sp.gov.br/hidrantes/08bsg/qrcodeBSG.html?id=1180&amp;lat=-23.53588&amp;long=-46.70500&amp;tipo=S","QRCODE")</f>
        <v>QRCODE</v>
      </c>
      <c r="C3496" t="s">
        <v>5351</v>
      </c>
      <c r="D3496" t="s">
        <v>102</v>
      </c>
      <c r="E3496" t="s">
        <v>675</v>
      </c>
      <c r="F3496" t="s">
        <v>21</v>
      </c>
      <c r="G3496" t="s">
        <v>4234</v>
      </c>
      <c r="H3496">
        <v>0</v>
      </c>
      <c r="I3496">
        <v>1</v>
      </c>
      <c r="J3496">
        <v>0</v>
      </c>
      <c r="K3496">
        <v>0</v>
      </c>
      <c r="L3496">
        <v>0</v>
      </c>
    </row>
    <row r="3497" spans="1:12">
      <c r="A3497" t="str">
        <f>HYPERLINK("http://bombeiros.sp.gov.br/hidrantes/03individual/1585.html","1585")</f>
        <v>1585</v>
      </c>
      <c r="B3497" t="str">
        <f>HYPERLINK("http://bombeiros.sp.gov.br/hidrantes/08bsg/qrcodeBSG.html?id=1585&amp;lat=-23.53129&amp;long=-46.69788&amp;tipo=S","QRCODE")</f>
        <v>QRCODE</v>
      </c>
      <c r="C3497" t="s">
        <v>5351</v>
      </c>
      <c r="D3497" t="s">
        <v>102</v>
      </c>
      <c r="E3497" t="s">
        <v>675</v>
      </c>
      <c r="F3497" t="s">
        <v>21</v>
      </c>
      <c r="G3497" t="s">
        <v>2804</v>
      </c>
      <c r="H3497">
        <v>0</v>
      </c>
      <c r="I3497">
        <v>3</v>
      </c>
      <c r="J3497">
        <v>0</v>
      </c>
      <c r="K3497">
        <v>0</v>
      </c>
      <c r="L3497">
        <v>0</v>
      </c>
    </row>
    <row r="3498" spans="1:12">
      <c r="A3498" t="str">
        <f>HYPERLINK("http://bombeiros.sp.gov.br/hidrantes/03individual/2155.html","2155")</f>
        <v>2155</v>
      </c>
      <c r="B3498" t="str">
        <f>HYPERLINK("http://bombeiros.sp.gov.br/hidrantes/08bsg/qrcodeBSG.html?id=2155&amp;lat=-23.53652&amp;long=-46.70258&amp;tipo=S","QRCODE")</f>
        <v>QRCODE</v>
      </c>
      <c r="C3498" t="s">
        <v>5351</v>
      </c>
      <c r="D3498" t="s">
        <v>102</v>
      </c>
      <c r="E3498" t="s">
        <v>675</v>
      </c>
      <c r="F3498" t="s">
        <v>21</v>
      </c>
      <c r="G3498" t="s">
        <v>3229</v>
      </c>
      <c r="H3498">
        <v>0</v>
      </c>
      <c r="I3498">
        <v>2</v>
      </c>
      <c r="J3498">
        <v>0</v>
      </c>
      <c r="K3498">
        <v>0</v>
      </c>
      <c r="L3498">
        <v>0</v>
      </c>
    </row>
    <row r="3499" spans="1:12">
      <c r="A3499" t="str">
        <f>HYPERLINK("http://bombeiros.sp.gov.br/hidrantes/03individual/2156.html","2156")</f>
        <v>2156</v>
      </c>
      <c r="B3499" t="str">
        <f>HYPERLINK("http://bombeiros.sp.gov.br/hidrantes/08bsg/qrcodeBSG.html?id=2156&amp;lat=-23.53782&amp;long=-46.70168&amp;tipo=S","QRCODE")</f>
        <v>QRCODE</v>
      </c>
      <c r="C3499" t="s">
        <v>5351</v>
      </c>
      <c r="D3499" t="s">
        <v>102</v>
      </c>
      <c r="E3499" t="s">
        <v>675</v>
      </c>
      <c r="F3499" t="s">
        <v>21</v>
      </c>
      <c r="G3499" t="s">
        <v>1380</v>
      </c>
      <c r="H3499">
        <v>0</v>
      </c>
      <c r="I3499">
        <v>2</v>
      </c>
      <c r="J3499">
        <v>0</v>
      </c>
      <c r="K3499">
        <v>0</v>
      </c>
      <c r="L3499">
        <v>0</v>
      </c>
    </row>
    <row r="3500" spans="1:12">
      <c r="A3500" t="str">
        <f>HYPERLINK("http://bombeiros.sp.gov.br/hidrantes/03individual/2161.html","2161")</f>
        <v>2161</v>
      </c>
      <c r="B3500" t="str">
        <f>HYPERLINK("http://bombeiros.sp.gov.br/hidrantes/08bsg/qrcodeBSG.html?id=2161&amp;lat=-23.52812&amp;long=-46.70389&amp;tipo=S","QRCODE")</f>
        <v>QRCODE</v>
      </c>
      <c r="C3500" t="s">
        <v>5351</v>
      </c>
      <c r="D3500" t="s">
        <v>102</v>
      </c>
      <c r="E3500" t="s">
        <v>675</v>
      </c>
      <c r="F3500" t="s">
        <v>21</v>
      </c>
      <c r="G3500" t="s">
        <v>1381</v>
      </c>
      <c r="H3500">
        <v>0</v>
      </c>
      <c r="I3500">
        <v>3</v>
      </c>
      <c r="J3500">
        <v>0</v>
      </c>
      <c r="K3500">
        <v>0</v>
      </c>
      <c r="L3500">
        <v>0</v>
      </c>
    </row>
    <row r="3501" spans="1:12">
      <c r="A3501" t="str">
        <f>HYPERLINK("http://bombeiros.sp.gov.br/hidrantes/03individual/2174.html","2174")</f>
        <v>2174</v>
      </c>
      <c r="B3501" t="str">
        <f>HYPERLINK("http://bombeiros.sp.gov.br/hidrantes/08bsg/qrcodeBSG.html?id=2174&amp;lat=-23.53293&amp;long=-46.69907&amp;tipo=S","QRCODE")</f>
        <v>QRCODE</v>
      </c>
      <c r="C3501" t="s">
        <v>5351</v>
      </c>
      <c r="D3501" t="s">
        <v>102</v>
      </c>
      <c r="E3501" t="s">
        <v>675</v>
      </c>
      <c r="F3501" t="s">
        <v>21</v>
      </c>
      <c r="G3501" t="s">
        <v>1383</v>
      </c>
      <c r="H3501">
        <v>0</v>
      </c>
      <c r="I3501">
        <v>2</v>
      </c>
      <c r="J3501">
        <v>0</v>
      </c>
      <c r="K3501">
        <v>0</v>
      </c>
      <c r="L3501">
        <v>0</v>
      </c>
    </row>
    <row r="3502" spans="1:12">
      <c r="A3502" t="str">
        <f>HYPERLINK("http://bombeiros.sp.gov.br/hidrantes/03individual/2175.html","2175")</f>
        <v>2175</v>
      </c>
      <c r="B3502" t="str">
        <f>HYPERLINK("http://bombeiros.sp.gov.br/hidrantes/08bsg/qrcodeBSG.html?id=2175&amp;lat=-23.53442&amp;long=-46.70008&amp;tipo=S","QRCODE")</f>
        <v>QRCODE</v>
      </c>
      <c r="C3502" t="s">
        <v>5351</v>
      </c>
      <c r="D3502" t="s">
        <v>102</v>
      </c>
      <c r="E3502" t="s">
        <v>675</v>
      </c>
      <c r="F3502" t="s">
        <v>21</v>
      </c>
      <c r="G3502" t="s">
        <v>1384</v>
      </c>
      <c r="H3502">
        <v>0</v>
      </c>
      <c r="I3502">
        <v>2</v>
      </c>
      <c r="J3502">
        <v>0</v>
      </c>
      <c r="K3502">
        <v>0</v>
      </c>
      <c r="L3502">
        <v>0</v>
      </c>
    </row>
    <row r="3503" spans="1:12">
      <c r="A3503" t="str">
        <f>HYPERLINK("http://bombeiros.sp.gov.br/hidrantes/03individual/2183.html","2183")</f>
        <v>2183</v>
      </c>
      <c r="B3503" t="str">
        <f>HYPERLINK("http://bombeiros.sp.gov.br/hidrantes/08bsg/qrcodeBSG.html?id=2183&amp;lat=-23.53939&amp;long=-46.69824&amp;tipo=S","QRCODE")</f>
        <v>QRCODE</v>
      </c>
      <c r="C3503" t="s">
        <v>5351</v>
      </c>
      <c r="D3503" t="s">
        <v>102</v>
      </c>
      <c r="E3503" t="s">
        <v>675</v>
      </c>
      <c r="F3503" t="s">
        <v>21</v>
      </c>
      <c r="G3503" t="s">
        <v>674</v>
      </c>
      <c r="H3503">
        <v>1</v>
      </c>
      <c r="I3503">
        <v>2</v>
      </c>
      <c r="J3503">
        <v>0</v>
      </c>
      <c r="K3503">
        <v>0</v>
      </c>
      <c r="L3503">
        <v>0</v>
      </c>
    </row>
    <row r="3504" spans="1:12">
      <c r="A3504" t="str">
        <f>HYPERLINK("http://bombeiros.sp.gov.br/hidrantes/03individual/2199.html","2199")</f>
        <v>2199</v>
      </c>
      <c r="B3504" t="str">
        <f>HYPERLINK("http://bombeiros.sp.gov.br/hidrantes/08bsg/qrcodeBSG.html?id=2199&amp;lat=-23.53819&amp;long=-46.70173&amp;tipo=S","QRCODE")</f>
        <v>QRCODE</v>
      </c>
      <c r="C3504" t="s">
        <v>5351</v>
      </c>
      <c r="D3504" t="s">
        <v>102</v>
      </c>
      <c r="E3504" t="s">
        <v>675</v>
      </c>
      <c r="F3504" t="s">
        <v>21</v>
      </c>
      <c r="G3504" t="s">
        <v>1336</v>
      </c>
      <c r="H3504">
        <v>0</v>
      </c>
      <c r="I3504">
        <v>3</v>
      </c>
      <c r="J3504">
        <v>0</v>
      </c>
      <c r="K3504">
        <v>0</v>
      </c>
      <c r="L3504">
        <v>0</v>
      </c>
    </row>
    <row r="3505" spans="1:12">
      <c r="A3505" t="str">
        <f>HYPERLINK("http://bombeiros.sp.gov.br/hidrantes/03individual/2204.html","2204")</f>
        <v>2204</v>
      </c>
      <c r="B3505" t="str">
        <f>HYPERLINK("http://bombeiros.sp.gov.br/hidrantes/08bsg/qrcodeBSG.html?id=2204&amp;lat=-23.53123&amp;long=-46.69663&amp;tipo=S","QRCODE")</f>
        <v>QRCODE</v>
      </c>
      <c r="C3505" t="s">
        <v>5351</v>
      </c>
      <c r="D3505" t="s">
        <v>102</v>
      </c>
      <c r="E3505" t="s">
        <v>675</v>
      </c>
      <c r="F3505" t="s">
        <v>21</v>
      </c>
      <c r="G3505" t="s">
        <v>2774</v>
      </c>
      <c r="H3505">
        <v>0</v>
      </c>
      <c r="I3505">
        <v>2</v>
      </c>
      <c r="J3505">
        <v>0</v>
      </c>
      <c r="K3505">
        <v>0</v>
      </c>
      <c r="L3505">
        <v>0</v>
      </c>
    </row>
    <row r="3506" spans="1:12">
      <c r="A3506" t="str">
        <f>HYPERLINK("http://bombeiros.sp.gov.br/hidrantes/03individual/2219.html","2219")</f>
        <v>2219</v>
      </c>
      <c r="B3506" t="str">
        <f>HYPERLINK("http://bombeiros.sp.gov.br/hidrantes/08bsg/qrcodeBSG.html?id=2219&amp;lat=-23.53113&amp;long=-46.69579&amp;tipo=S","QRCODE")</f>
        <v>QRCODE</v>
      </c>
      <c r="C3506" t="s">
        <v>5351</v>
      </c>
      <c r="D3506" t="s">
        <v>102</v>
      </c>
      <c r="E3506" t="s">
        <v>675</v>
      </c>
      <c r="F3506" t="s">
        <v>21</v>
      </c>
      <c r="G3506" t="s">
        <v>4256</v>
      </c>
      <c r="H3506">
        <v>0</v>
      </c>
      <c r="I3506">
        <v>1</v>
      </c>
      <c r="J3506">
        <v>0</v>
      </c>
      <c r="K3506">
        <v>0</v>
      </c>
      <c r="L3506">
        <v>0</v>
      </c>
    </row>
    <row r="3507" spans="1:12">
      <c r="A3507" t="str">
        <f>HYPERLINK("http://bombeiros.sp.gov.br/hidrantes/03individual/2233.html","2233")</f>
        <v>2233</v>
      </c>
      <c r="B3507" t="str">
        <f>HYPERLINK("http://bombeiros.sp.gov.br/hidrantes/08bsg/qrcodeBSG.html?id=2233&amp;lat=-23.53294&amp;long=-46.69499&amp;tipo=S","QRCODE")</f>
        <v>QRCODE</v>
      </c>
      <c r="C3507" t="s">
        <v>5351</v>
      </c>
      <c r="D3507" t="s">
        <v>102</v>
      </c>
      <c r="E3507" t="s">
        <v>675</v>
      </c>
      <c r="F3507" t="s">
        <v>21</v>
      </c>
      <c r="G3507" t="s">
        <v>1334</v>
      </c>
      <c r="H3507">
        <v>0</v>
      </c>
      <c r="I3507">
        <v>2</v>
      </c>
      <c r="J3507">
        <v>0</v>
      </c>
      <c r="K3507">
        <v>0</v>
      </c>
      <c r="L3507">
        <v>0</v>
      </c>
    </row>
    <row r="3508" spans="1:12">
      <c r="A3508" t="str">
        <f>HYPERLINK("http://bombeiros.sp.gov.br/hidrantes/03individual/2945.html","2945")</f>
        <v>2945</v>
      </c>
      <c r="B3508" t="str">
        <f>HYPERLINK("http://bombeiros.sp.gov.br/hidrantes/08bsg/qrcodeBSG.html?id=2945&amp;lat=-23.53784&amp;long=-46.69961&amp;tipo=S","QRCODE")</f>
        <v>QRCODE</v>
      </c>
      <c r="C3508" t="s">
        <v>5351</v>
      </c>
      <c r="D3508" t="s">
        <v>102</v>
      </c>
      <c r="E3508" t="s">
        <v>675</v>
      </c>
      <c r="F3508" t="s">
        <v>21</v>
      </c>
      <c r="G3508" t="s">
        <v>2781</v>
      </c>
      <c r="H3508">
        <v>0</v>
      </c>
      <c r="I3508">
        <v>2</v>
      </c>
      <c r="J3508">
        <v>0</v>
      </c>
      <c r="K3508">
        <v>0</v>
      </c>
      <c r="L3508">
        <v>0</v>
      </c>
    </row>
    <row r="3509" spans="1:12">
      <c r="A3509" t="str">
        <f>HYPERLINK("http://bombeiros.sp.gov.br/hidrantes/03individual/4260.html","4260")</f>
        <v>4260</v>
      </c>
      <c r="B3509" t="str">
        <f>HYPERLINK("http://bombeiros.sp.gov.br/hidrantes/08bsg/qrcodeBSG.html?id=4260&amp;lat=-23.53597&amp;long=-46.69872&amp;tipo=S","QRCODE")</f>
        <v>QRCODE</v>
      </c>
      <c r="C3509" t="s">
        <v>5351</v>
      </c>
      <c r="D3509" t="s">
        <v>102</v>
      </c>
      <c r="E3509" t="s">
        <v>675</v>
      </c>
      <c r="F3509" t="s">
        <v>21</v>
      </c>
      <c r="G3509" t="s">
        <v>1360</v>
      </c>
      <c r="H3509">
        <v>1</v>
      </c>
      <c r="I3509">
        <v>2</v>
      </c>
      <c r="J3509">
        <v>0</v>
      </c>
      <c r="K3509">
        <v>0</v>
      </c>
      <c r="L3509">
        <v>0</v>
      </c>
    </row>
    <row r="3510" spans="1:12">
      <c r="A3510" t="str">
        <f>HYPERLINK("http://bombeiros.sp.gov.br/hidrantes/03individual/16320.html","16320")</f>
        <v>16320</v>
      </c>
      <c r="B3510" t="str">
        <f>HYPERLINK("http://bombeiros.sp.gov.br/hidrantes/08bsg/qrcodeBSG.html?id=16320&amp;lat=-23.53570&amp;long=-46.70214&amp;tipo=S","QRCODE")</f>
        <v>QRCODE</v>
      </c>
      <c r="C3510" t="s">
        <v>5351</v>
      </c>
      <c r="D3510" t="s">
        <v>102</v>
      </c>
      <c r="E3510" t="s">
        <v>675</v>
      </c>
      <c r="F3510" t="s">
        <v>21</v>
      </c>
      <c r="G3510" t="s">
        <v>3186</v>
      </c>
      <c r="H3510">
        <v>1</v>
      </c>
      <c r="I3510">
        <v>2</v>
      </c>
      <c r="J3510">
        <v>0</v>
      </c>
      <c r="K3510">
        <v>0</v>
      </c>
      <c r="L3510">
        <v>0</v>
      </c>
    </row>
    <row r="3511" spans="1:12">
      <c r="A3511" t="str">
        <f>HYPERLINK("http://bombeiros.sp.gov.br/hidrantes/03individual/16321.html","16321")</f>
        <v>16321</v>
      </c>
      <c r="B3511" t="str">
        <f>HYPERLINK("http://bombeiros.sp.gov.br/hidrantes/08bsg/qrcodeBSG.html?id=16321&amp;lat=-23.53390&amp;long=-46.70434&amp;tipo=S","QRCODE")</f>
        <v>QRCODE</v>
      </c>
      <c r="C3511" t="s">
        <v>5351</v>
      </c>
      <c r="D3511" t="s">
        <v>102</v>
      </c>
      <c r="E3511" t="s">
        <v>675</v>
      </c>
      <c r="F3511" t="s">
        <v>21</v>
      </c>
      <c r="G3511" t="s">
        <v>3184</v>
      </c>
      <c r="H3511">
        <v>1</v>
      </c>
      <c r="I3511">
        <v>2</v>
      </c>
      <c r="J3511">
        <v>0</v>
      </c>
      <c r="K3511">
        <v>0</v>
      </c>
      <c r="L3511">
        <v>0</v>
      </c>
    </row>
    <row r="3512" spans="1:12">
      <c r="A3512" t="str">
        <f>HYPERLINK("http://bombeiros.sp.gov.br/hidrantes/03individual/4436.html","4436")</f>
        <v>4436</v>
      </c>
      <c r="B3512" t="str">
        <f>HYPERLINK("http://bombeiros.sp.gov.br/hidrantes/08bsg/qrcodeBSG.html?id=4436&amp;lat=-23.60159&amp;long=-46.70987&amp;tipo=C","QRCODE")</f>
        <v>QRCODE</v>
      </c>
      <c r="C3512" t="s">
        <v>5351</v>
      </c>
      <c r="D3512" t="s">
        <v>150</v>
      </c>
      <c r="E3512" t="s">
        <v>155</v>
      </c>
      <c r="F3512" t="s">
        <v>12</v>
      </c>
      <c r="G3512" t="s">
        <v>1460</v>
      </c>
      <c r="H3512">
        <v>1</v>
      </c>
      <c r="I3512">
        <v>2</v>
      </c>
      <c r="J3512">
        <v>0</v>
      </c>
      <c r="K3512">
        <v>0</v>
      </c>
      <c r="L3512">
        <v>0</v>
      </c>
    </row>
    <row r="3513" spans="1:12">
      <c r="A3513" t="str">
        <f>HYPERLINK("http://bombeiros.sp.gov.br/hidrantes/03individual/1261.html","1261")</f>
        <v>1261</v>
      </c>
      <c r="B3513" t="str">
        <f>HYPERLINK("http://bombeiros.sp.gov.br/hidrantes/08bsg/qrcodeBSG.html?id=1261&amp;lat=-23.59642&amp;long=-46.70823&amp;tipo=S","QRCODE")</f>
        <v>QRCODE</v>
      </c>
      <c r="C3513" t="s">
        <v>5351</v>
      </c>
      <c r="D3513" t="s">
        <v>150</v>
      </c>
      <c r="E3513" t="s">
        <v>155</v>
      </c>
      <c r="F3513" t="s">
        <v>21</v>
      </c>
      <c r="G3513" t="s">
        <v>154</v>
      </c>
      <c r="H3513">
        <v>1</v>
      </c>
      <c r="I3513">
        <v>3</v>
      </c>
      <c r="J3513">
        <v>0</v>
      </c>
      <c r="K3513">
        <v>0</v>
      </c>
      <c r="L3513">
        <v>0</v>
      </c>
    </row>
    <row r="3514" spans="1:12">
      <c r="A3514" t="str">
        <f>HYPERLINK("http://bombeiros.sp.gov.br/hidrantes/03individual/2317.html","2317")</f>
        <v>2317</v>
      </c>
      <c r="B3514" t="str">
        <f>HYPERLINK("http://bombeiros.sp.gov.br/hidrantes/08bsg/qrcodeBSG.html?id=2317&amp;lat=-23.60510&amp;long=-46.70893&amp;tipo=S","QRCODE")</f>
        <v>QRCODE</v>
      </c>
      <c r="C3514" t="s">
        <v>5351</v>
      </c>
      <c r="D3514" t="s">
        <v>150</v>
      </c>
      <c r="E3514" t="s">
        <v>155</v>
      </c>
      <c r="F3514" t="s">
        <v>21</v>
      </c>
      <c r="G3514" t="s">
        <v>3623</v>
      </c>
      <c r="H3514">
        <v>1</v>
      </c>
      <c r="I3514">
        <v>1</v>
      </c>
      <c r="J3514">
        <v>0</v>
      </c>
      <c r="K3514">
        <v>0</v>
      </c>
      <c r="L3514">
        <v>0</v>
      </c>
    </row>
    <row r="3515" spans="1:12">
      <c r="A3515" t="str">
        <f>HYPERLINK("http://bombeiros.sp.gov.br/hidrantes/03individual/6692.html","6692")</f>
        <v>6692</v>
      </c>
      <c r="B3515" t="str">
        <f>HYPERLINK("http://bombeiros.sp.gov.br/hidrantes/08bsg/qrcodeBSG.html?id=6692&amp;lat=-23.60404&amp;long=-46.70672&amp;tipo=S","QRCODE")</f>
        <v>QRCODE</v>
      </c>
      <c r="C3515" t="s">
        <v>5351</v>
      </c>
      <c r="D3515" t="s">
        <v>150</v>
      </c>
      <c r="E3515" t="s">
        <v>155</v>
      </c>
      <c r="F3515" t="s">
        <v>21</v>
      </c>
      <c r="G3515" t="s">
        <v>182</v>
      </c>
      <c r="H3515">
        <v>0</v>
      </c>
      <c r="I3515">
        <v>2</v>
      </c>
      <c r="J3515">
        <v>0</v>
      </c>
      <c r="K3515">
        <v>0</v>
      </c>
      <c r="L3515">
        <v>0</v>
      </c>
    </row>
    <row r="3516" spans="1:12">
      <c r="A3516" t="str">
        <f>HYPERLINK("http://bombeiros.sp.gov.br/hidrantes/03individual/16536.html","16536")</f>
        <v>16536</v>
      </c>
      <c r="B3516" t="str">
        <f>HYPERLINK("http://bombeiros.sp.gov.br/hidrantes/08bsg/qrcodeBSG.html?id=16536&amp;lat=-23.61543&amp;long=-46.71016&amp;tipo=S","QRCODE")</f>
        <v>QRCODE</v>
      </c>
      <c r="C3516" t="s">
        <v>5351</v>
      </c>
      <c r="D3516" t="s">
        <v>150</v>
      </c>
      <c r="E3516" t="s">
        <v>155</v>
      </c>
      <c r="F3516" t="s">
        <v>21</v>
      </c>
      <c r="G3516" t="s">
        <v>3650</v>
      </c>
      <c r="H3516">
        <v>1</v>
      </c>
      <c r="I3516">
        <v>1</v>
      </c>
      <c r="J3516">
        <v>0</v>
      </c>
      <c r="K3516">
        <v>0</v>
      </c>
      <c r="L3516">
        <v>0</v>
      </c>
    </row>
    <row r="3517" spans="1:12">
      <c r="A3517" t="str">
        <f>HYPERLINK("http://bombeiros.sp.gov.br/hidrantes/03individual/16537.html","16537")</f>
        <v>16537</v>
      </c>
      <c r="B3517" t="str">
        <f>HYPERLINK("http://bombeiros.sp.gov.br/hidrantes/08bsg/qrcodeBSG.html?id=16537&amp;lat=-23.61319&amp;long=-46.70291&amp;tipo=S","QRCODE")</f>
        <v>QRCODE</v>
      </c>
      <c r="C3517" t="s">
        <v>5351</v>
      </c>
      <c r="D3517" t="s">
        <v>150</v>
      </c>
      <c r="E3517" t="s">
        <v>155</v>
      </c>
      <c r="F3517" t="s">
        <v>21</v>
      </c>
      <c r="G3517" t="s">
        <v>3651</v>
      </c>
      <c r="H3517">
        <v>1</v>
      </c>
      <c r="I3517">
        <v>1</v>
      </c>
      <c r="J3517">
        <v>0</v>
      </c>
      <c r="K3517">
        <v>0</v>
      </c>
      <c r="L3517">
        <v>0</v>
      </c>
    </row>
    <row r="3518" spans="1:12">
      <c r="A3518" t="str">
        <f>HYPERLINK("http://bombeiros.sp.gov.br/hidrantes/03individual/17760.html","17760")</f>
        <v>17760</v>
      </c>
      <c r="B3518" t="str">
        <f>HYPERLINK("http://bombeiros.sp.gov.br/hidrantes/08bsg/qrcodeBSG.html?id=17760&amp;lat=-23.59816&amp;long=-46.70361&amp;tipo=S","QRCODE")</f>
        <v>QRCODE</v>
      </c>
      <c r="C3518" t="s">
        <v>5351</v>
      </c>
      <c r="D3518" t="s">
        <v>150</v>
      </c>
      <c r="E3518" t="s">
        <v>155</v>
      </c>
      <c r="F3518" t="s">
        <v>21</v>
      </c>
      <c r="G3518" t="s">
        <v>1487</v>
      </c>
      <c r="H3518">
        <v>2</v>
      </c>
      <c r="I3518">
        <v>2</v>
      </c>
      <c r="J3518">
        <v>0</v>
      </c>
      <c r="K3518">
        <v>0</v>
      </c>
      <c r="L3518">
        <v>0</v>
      </c>
    </row>
    <row r="3519" spans="1:12">
      <c r="A3519" t="str">
        <f>HYPERLINK("http://bombeiros.sp.gov.br/hidrantes/03individual/17818.html","17818")</f>
        <v>17818</v>
      </c>
      <c r="B3519" t="str">
        <f>HYPERLINK("http://bombeiros.sp.gov.br/hidrantes/08bsg/qrcodeBSG.html?id=17818&amp;lat=-23.60621&amp;long=-46.70738&amp;tipo=S","QRCODE")</f>
        <v>QRCODE</v>
      </c>
      <c r="C3519" t="s">
        <v>5351</v>
      </c>
      <c r="D3519" t="s">
        <v>150</v>
      </c>
      <c r="E3519" t="s">
        <v>155</v>
      </c>
      <c r="F3519" t="s">
        <v>21</v>
      </c>
      <c r="G3519" t="s">
        <v>236</v>
      </c>
      <c r="H3519">
        <v>1</v>
      </c>
      <c r="I3519">
        <v>2</v>
      </c>
      <c r="J3519">
        <v>0</v>
      </c>
      <c r="K3519">
        <v>0</v>
      </c>
      <c r="L3519">
        <v>0</v>
      </c>
    </row>
    <row r="3520" spans="1:12">
      <c r="A3520" t="str">
        <f>HYPERLINK("http://bombeiros.sp.gov.br/hidrantes/03individual/25227.html","25227")</f>
        <v>25227</v>
      </c>
      <c r="B3520" t="str">
        <f>HYPERLINK("http://bombeiros.sp.gov.br/hidrantes/08bsg/qrcodeBSG.html?id=25227&amp;lat=-23.61415&amp;long=-46.71311&amp;tipo=S","QRCODE")</f>
        <v>QRCODE</v>
      </c>
      <c r="C3520" t="s">
        <v>5351</v>
      </c>
      <c r="D3520" t="s">
        <v>150</v>
      </c>
      <c r="E3520" t="s">
        <v>155</v>
      </c>
      <c r="F3520" t="s">
        <v>21</v>
      </c>
      <c r="G3520" t="s">
        <v>4007</v>
      </c>
      <c r="H3520">
        <v>0</v>
      </c>
      <c r="I3520">
        <v>1</v>
      </c>
      <c r="J3520">
        <v>0</v>
      </c>
      <c r="K3520">
        <v>0</v>
      </c>
      <c r="L3520">
        <v>0</v>
      </c>
    </row>
    <row r="3521" spans="1:12">
      <c r="A3521" t="str">
        <f>HYPERLINK("http://bombeiros.sp.gov.br/hidrantes/03individual/1350.html","1350")</f>
        <v>1350</v>
      </c>
      <c r="B3521" t="str">
        <f>HYPERLINK("http://bombeiros.sp.gov.br/hidrantes/08bsg/qrcodeBSG.html?id=1350&amp;lat=-23.59488&amp;long=-46.70450&amp;tipo=C","QRCODE")</f>
        <v>QRCODE</v>
      </c>
      <c r="C3521" t="s">
        <v>5351</v>
      </c>
      <c r="D3521" t="s">
        <v>150</v>
      </c>
      <c r="E3521" t="s">
        <v>239</v>
      </c>
      <c r="F3521" t="s">
        <v>12</v>
      </c>
      <c r="G3521" t="s">
        <v>1442</v>
      </c>
      <c r="H3521">
        <v>1</v>
      </c>
      <c r="I3521">
        <v>2</v>
      </c>
      <c r="J3521">
        <v>0</v>
      </c>
      <c r="K3521">
        <v>0</v>
      </c>
      <c r="L3521">
        <v>0</v>
      </c>
    </row>
    <row r="3522" spans="1:12">
      <c r="A3522" t="str">
        <f>HYPERLINK("http://bombeiros.sp.gov.br/hidrantes/03individual/1249.html","1249")</f>
        <v>1249</v>
      </c>
      <c r="B3522" t="str">
        <f>HYPERLINK("http://bombeiros.sp.gov.br/hidrantes/08bsg/qrcodeBSG.html?id=1249&amp;lat=-23.59594&amp;long=-46.70008&amp;tipo=S","QRCODE")</f>
        <v>QRCODE</v>
      </c>
      <c r="C3522" t="s">
        <v>5351</v>
      </c>
      <c r="D3522" t="s">
        <v>150</v>
      </c>
      <c r="E3522" t="s">
        <v>239</v>
      </c>
      <c r="F3522" t="s">
        <v>21</v>
      </c>
      <c r="G3522" t="s">
        <v>3009</v>
      </c>
      <c r="H3522">
        <v>0</v>
      </c>
      <c r="I3522">
        <v>2</v>
      </c>
      <c r="J3522">
        <v>0</v>
      </c>
      <c r="K3522">
        <v>0</v>
      </c>
      <c r="L3522">
        <v>0</v>
      </c>
    </row>
    <row r="3523" spans="1:12">
      <c r="A3523" t="str">
        <f>HYPERLINK("http://bombeiros.sp.gov.br/hidrantes/03individual/1397.html","1397")</f>
        <v>1397</v>
      </c>
      <c r="B3523" t="str">
        <f>HYPERLINK("http://bombeiros.sp.gov.br/hidrantes/08bsg/qrcodeBSG.html?id=1397&amp;lat=-23.59192&amp;long=-46.69773&amp;tipo=S","QRCODE")</f>
        <v>QRCODE</v>
      </c>
      <c r="C3523" t="s">
        <v>5351</v>
      </c>
      <c r="D3523" t="s">
        <v>150</v>
      </c>
      <c r="E3523" t="s">
        <v>239</v>
      </c>
      <c r="F3523" t="s">
        <v>21</v>
      </c>
      <c r="G3523" t="s">
        <v>1776</v>
      </c>
      <c r="H3523">
        <v>0</v>
      </c>
      <c r="I3523">
        <v>2</v>
      </c>
      <c r="J3523">
        <v>0</v>
      </c>
      <c r="K3523">
        <v>0</v>
      </c>
      <c r="L3523">
        <v>0</v>
      </c>
    </row>
    <row r="3524" spans="1:12">
      <c r="A3524" t="str">
        <f>HYPERLINK("http://bombeiros.sp.gov.br/hidrantes/03individual/1401.html","1401")</f>
        <v>1401</v>
      </c>
      <c r="B3524" t="str">
        <f>HYPERLINK("http://bombeiros.sp.gov.br/hidrantes/08bsg/qrcodeBSG.html?id=1401&amp;lat=-23.58925&amp;long=-46.69613&amp;tipo=S","QRCODE")</f>
        <v>QRCODE</v>
      </c>
      <c r="C3524" t="s">
        <v>5351</v>
      </c>
      <c r="D3524" t="s">
        <v>150</v>
      </c>
      <c r="E3524" t="s">
        <v>239</v>
      </c>
      <c r="F3524" t="s">
        <v>21</v>
      </c>
      <c r="G3524" t="s">
        <v>3594</v>
      </c>
      <c r="H3524">
        <v>1</v>
      </c>
      <c r="I3524">
        <v>1</v>
      </c>
      <c r="J3524">
        <v>0</v>
      </c>
      <c r="K3524">
        <v>0</v>
      </c>
      <c r="L3524">
        <v>0</v>
      </c>
    </row>
    <row r="3525" spans="1:12">
      <c r="A3525" t="str">
        <f>HYPERLINK("http://bombeiros.sp.gov.br/hidrantes/03individual/1402.html","1402")</f>
        <v>1402</v>
      </c>
      <c r="B3525" t="str">
        <f>HYPERLINK("http://bombeiros.sp.gov.br/hidrantes/08bsg/qrcodeBSG.html?id=1402&amp;lat=-23.58933&amp;long=-46.69806&amp;tipo=S","QRCODE")</f>
        <v>QRCODE</v>
      </c>
      <c r="C3525" t="s">
        <v>5351</v>
      </c>
      <c r="D3525" t="s">
        <v>150</v>
      </c>
      <c r="E3525" t="s">
        <v>239</v>
      </c>
      <c r="F3525" t="s">
        <v>21</v>
      </c>
      <c r="G3525" t="s">
        <v>1441</v>
      </c>
      <c r="H3525">
        <v>1</v>
      </c>
      <c r="I3525">
        <v>2</v>
      </c>
      <c r="J3525">
        <v>0</v>
      </c>
      <c r="K3525">
        <v>0</v>
      </c>
      <c r="L3525">
        <v>0</v>
      </c>
    </row>
    <row r="3526" spans="1:12">
      <c r="A3526" t="str">
        <f>HYPERLINK("http://bombeiros.sp.gov.br/hidrantes/03individual/1407.html","1407")</f>
        <v>1407</v>
      </c>
      <c r="B3526" t="str">
        <f>HYPERLINK("http://bombeiros.sp.gov.br/hidrantes/08bsg/qrcodeBSG.html?id=1407&amp;lat=-23.58695&amp;long=-46.69732&amp;tipo=S","QRCODE")</f>
        <v>QRCODE</v>
      </c>
      <c r="C3526" t="s">
        <v>5351</v>
      </c>
      <c r="D3526" t="s">
        <v>150</v>
      </c>
      <c r="E3526" t="s">
        <v>239</v>
      </c>
      <c r="F3526" t="s">
        <v>21</v>
      </c>
      <c r="G3526" t="s">
        <v>3593</v>
      </c>
      <c r="H3526">
        <v>1</v>
      </c>
      <c r="I3526">
        <v>1</v>
      </c>
      <c r="J3526">
        <v>0</v>
      </c>
      <c r="K3526">
        <v>0</v>
      </c>
      <c r="L3526">
        <v>0</v>
      </c>
    </row>
    <row r="3527" spans="1:12">
      <c r="A3527" t="str">
        <f>HYPERLINK("http://bombeiros.sp.gov.br/hidrantes/03individual/1430.html","1430")</f>
        <v>1430</v>
      </c>
      <c r="B3527" t="str">
        <f>HYPERLINK("http://bombeiros.sp.gov.br/hidrantes/08bsg/qrcodeBSG.html?id=1430&amp;lat=-23.58698&amp;long=-46.69364&amp;tipo=S","QRCODE")</f>
        <v>QRCODE</v>
      </c>
      <c r="C3527" t="s">
        <v>5351</v>
      </c>
      <c r="D3527" t="s">
        <v>150</v>
      </c>
      <c r="E3527" t="s">
        <v>239</v>
      </c>
      <c r="F3527" t="s">
        <v>21</v>
      </c>
      <c r="G3527" t="s">
        <v>1775</v>
      </c>
      <c r="H3527">
        <v>0</v>
      </c>
      <c r="I3527">
        <v>2</v>
      </c>
      <c r="J3527">
        <v>0</v>
      </c>
      <c r="K3527">
        <v>0</v>
      </c>
      <c r="L3527">
        <v>0</v>
      </c>
    </row>
    <row r="3528" spans="1:12">
      <c r="A3528" t="str">
        <f>HYPERLINK("http://bombeiros.sp.gov.br/hidrantes/03individual/1604.html","1604")</f>
        <v>1604</v>
      </c>
      <c r="B3528" t="str">
        <f>HYPERLINK("http://bombeiros.sp.gov.br/hidrantes/08bsg/qrcodeBSG.html?id=1604&amp;lat=-23.58597&amp;long=-46.69983&amp;tipo=S","QRCODE")</f>
        <v>QRCODE</v>
      </c>
      <c r="C3528" t="s">
        <v>5351</v>
      </c>
      <c r="D3528" t="s">
        <v>150</v>
      </c>
      <c r="E3528" t="s">
        <v>239</v>
      </c>
      <c r="F3528" t="s">
        <v>21</v>
      </c>
      <c r="G3528" t="s">
        <v>1777</v>
      </c>
      <c r="H3528">
        <v>0</v>
      </c>
      <c r="I3528">
        <v>2</v>
      </c>
      <c r="J3528">
        <v>0</v>
      </c>
      <c r="K3528">
        <v>0</v>
      </c>
      <c r="L3528">
        <v>0</v>
      </c>
    </row>
    <row r="3529" spans="1:12">
      <c r="A3529" t="str">
        <f>HYPERLINK("http://bombeiros.sp.gov.br/hidrantes/03individual/2295.html","2295")</f>
        <v>2295</v>
      </c>
      <c r="B3529" t="str">
        <f>HYPERLINK("http://bombeiros.sp.gov.br/hidrantes/08bsg/qrcodeBSG.html?id=2295&amp;lat=-23.58640&amp;long=-46.70520&amp;tipo=S","QRCODE")</f>
        <v>QRCODE</v>
      </c>
      <c r="C3529" t="s">
        <v>5351</v>
      </c>
      <c r="D3529" t="s">
        <v>150</v>
      </c>
      <c r="E3529" t="s">
        <v>239</v>
      </c>
      <c r="F3529" t="s">
        <v>21</v>
      </c>
      <c r="G3529" t="s">
        <v>1481</v>
      </c>
      <c r="H3529">
        <v>1</v>
      </c>
      <c r="I3529">
        <v>2</v>
      </c>
      <c r="J3529">
        <v>0</v>
      </c>
      <c r="K3529">
        <v>0</v>
      </c>
      <c r="L3529">
        <v>0</v>
      </c>
    </row>
    <row r="3530" spans="1:12">
      <c r="A3530" t="str">
        <f>HYPERLINK("http://bombeiros.sp.gov.br/hidrantes/03individual/2301.html","2301")</f>
        <v>2301</v>
      </c>
      <c r="B3530" t="str">
        <f>HYPERLINK("http://bombeiros.sp.gov.br/hidrantes/08bsg/qrcodeBSG.html?id=2301&amp;lat=-23.59552&amp;long=-46.70461&amp;tipo=S","QRCODE")</f>
        <v>QRCODE</v>
      </c>
      <c r="C3530" t="s">
        <v>5351</v>
      </c>
      <c r="D3530" t="s">
        <v>150</v>
      </c>
      <c r="E3530" t="s">
        <v>239</v>
      </c>
      <c r="F3530" t="s">
        <v>21</v>
      </c>
      <c r="G3530" t="s">
        <v>3062</v>
      </c>
      <c r="H3530">
        <v>0</v>
      </c>
      <c r="I3530">
        <v>2</v>
      </c>
      <c r="J3530">
        <v>0</v>
      </c>
      <c r="K3530">
        <v>0</v>
      </c>
      <c r="L3530">
        <v>0</v>
      </c>
    </row>
    <row r="3531" spans="1:12">
      <c r="A3531" t="str">
        <f>HYPERLINK("http://bombeiros.sp.gov.br/hidrantes/03individual/16538.html","16538")</f>
        <v>16538</v>
      </c>
      <c r="B3531" t="str">
        <f>HYPERLINK("http://bombeiros.sp.gov.br/hidrantes/08bsg/qrcodeBSG.html?id=16538&amp;lat=-23.57688&amp;long=-46.70254&amp;tipo=S","QRCODE")</f>
        <v>QRCODE</v>
      </c>
      <c r="C3531" t="s">
        <v>5351</v>
      </c>
      <c r="D3531" t="s">
        <v>150</v>
      </c>
      <c r="E3531" t="s">
        <v>239</v>
      </c>
      <c r="F3531" t="s">
        <v>21</v>
      </c>
      <c r="G3531" t="s">
        <v>2017</v>
      </c>
      <c r="H3531">
        <v>0</v>
      </c>
      <c r="I3531">
        <v>2</v>
      </c>
      <c r="J3531">
        <v>0</v>
      </c>
      <c r="K3531">
        <v>0</v>
      </c>
      <c r="L3531">
        <v>0</v>
      </c>
    </row>
    <row r="3532" spans="1:12">
      <c r="A3532" t="str">
        <f>HYPERLINK("http://bombeiros.sp.gov.br/hidrantes/03individual/16562.html","16562")</f>
        <v>16562</v>
      </c>
      <c r="B3532" t="str">
        <f>HYPERLINK("http://bombeiros.sp.gov.br/hidrantes/08bsg/qrcodeBSG.html?id=16562&amp;lat=-23.59330&amp;long=-46.69629&amp;tipo=S","QRCODE")</f>
        <v>QRCODE</v>
      </c>
      <c r="C3532" t="s">
        <v>5351</v>
      </c>
      <c r="D3532" t="s">
        <v>150</v>
      </c>
      <c r="E3532" t="s">
        <v>239</v>
      </c>
      <c r="F3532" t="s">
        <v>21</v>
      </c>
      <c r="G3532" t="s">
        <v>3990</v>
      </c>
      <c r="H3532">
        <v>1</v>
      </c>
      <c r="I3532">
        <v>1</v>
      </c>
      <c r="J3532">
        <v>0</v>
      </c>
      <c r="K3532">
        <v>0</v>
      </c>
      <c r="L3532">
        <v>0</v>
      </c>
    </row>
    <row r="3533" spans="1:12">
      <c r="A3533" t="str">
        <f>HYPERLINK("http://bombeiros.sp.gov.br/hidrantes/03individual/17761.html","17761")</f>
        <v>17761</v>
      </c>
      <c r="B3533" t="str">
        <f>HYPERLINK("http://bombeiros.sp.gov.br/hidrantes/08bsg/qrcodeBSG.html?id=17761&amp;lat=-23.59899&amp;long=-46.70353&amp;tipo=S","QRCODE")</f>
        <v>QRCODE</v>
      </c>
      <c r="C3533" t="s">
        <v>5351</v>
      </c>
      <c r="D3533" t="s">
        <v>150</v>
      </c>
      <c r="E3533" t="s">
        <v>239</v>
      </c>
      <c r="F3533" t="s">
        <v>21</v>
      </c>
      <c r="G3533" t="s">
        <v>238</v>
      </c>
      <c r="H3533">
        <v>1</v>
      </c>
      <c r="I3533">
        <v>2</v>
      </c>
      <c r="J3533">
        <v>0</v>
      </c>
      <c r="K3533">
        <v>0</v>
      </c>
      <c r="L3533">
        <v>0</v>
      </c>
    </row>
    <row r="3534" spans="1:12">
      <c r="A3534" t="str">
        <f>HYPERLINK("http://bombeiros.sp.gov.br/hidrantes/03individual/17762.html","17762")</f>
        <v>17762</v>
      </c>
      <c r="B3534" t="str">
        <f>HYPERLINK("http://bombeiros.sp.gov.br/hidrantes/08bsg/qrcodeBSG.html?id=17762&amp;lat=-23.59083&amp;long=-46.70496&amp;tipo=S","QRCODE")</f>
        <v>QRCODE</v>
      </c>
      <c r="C3534" t="s">
        <v>5351</v>
      </c>
      <c r="D3534" t="s">
        <v>150</v>
      </c>
      <c r="E3534" t="s">
        <v>239</v>
      </c>
      <c r="F3534" t="s">
        <v>21</v>
      </c>
      <c r="G3534" t="s">
        <v>240</v>
      </c>
      <c r="H3534">
        <v>0</v>
      </c>
      <c r="I3534">
        <v>2</v>
      </c>
      <c r="J3534">
        <v>0</v>
      </c>
      <c r="K3534">
        <v>0</v>
      </c>
      <c r="L3534">
        <v>0</v>
      </c>
    </row>
    <row r="3535" spans="1:12">
      <c r="A3535" t="str">
        <f>HYPERLINK("http://bombeiros.sp.gov.br/hidrantes/03individual/17763.html","17763")</f>
        <v>17763</v>
      </c>
      <c r="B3535" t="str">
        <f>HYPERLINK("http://bombeiros.sp.gov.br/hidrantes/08bsg/qrcodeBSG.html?id=17763&amp;lat=-23.58559&amp;long=-46.70274&amp;tipo=S","QRCODE")</f>
        <v>QRCODE</v>
      </c>
      <c r="C3535" t="s">
        <v>5351</v>
      </c>
      <c r="D3535" t="s">
        <v>150</v>
      </c>
      <c r="E3535" t="s">
        <v>239</v>
      </c>
      <c r="F3535" t="s">
        <v>21</v>
      </c>
      <c r="G3535" t="s">
        <v>3649</v>
      </c>
      <c r="H3535">
        <v>1</v>
      </c>
      <c r="I3535">
        <v>1</v>
      </c>
      <c r="J3535">
        <v>0</v>
      </c>
      <c r="K3535">
        <v>0</v>
      </c>
      <c r="L3535">
        <v>0</v>
      </c>
    </row>
    <row r="3536" spans="1:12">
      <c r="A3536" t="str">
        <f>HYPERLINK("http://bombeiros.sp.gov.br/hidrantes/03individual/27131.html","27131")</f>
        <v>27131</v>
      </c>
      <c r="B3536" t="str">
        <f>HYPERLINK("http://bombeiros.sp.gov.br/hidrantes/08bsg/qrcodeBSG.html?id=27131&amp;lat=-23.58000&amp;long=-46.71055&amp;tipo=C","QRCODE")</f>
        <v>QRCODE</v>
      </c>
      <c r="C3536" t="s">
        <v>5351</v>
      </c>
      <c r="D3536" t="s">
        <v>150</v>
      </c>
      <c r="E3536" t="s">
        <v>150</v>
      </c>
      <c r="F3536" t="s">
        <v>12</v>
      </c>
      <c r="G3536" t="s">
        <v>3640</v>
      </c>
      <c r="H3536">
        <v>0</v>
      </c>
      <c r="I3536">
        <v>1</v>
      </c>
      <c r="J3536">
        <v>0</v>
      </c>
      <c r="K3536">
        <v>0</v>
      </c>
      <c r="L3536">
        <v>0</v>
      </c>
    </row>
    <row r="3537" spans="1:12">
      <c r="A3537" t="str">
        <f>HYPERLINK("http://bombeiros.sp.gov.br/hidrantes/03individual/1195.html","1195")</f>
        <v>1195</v>
      </c>
      <c r="B3537" t="str">
        <f>HYPERLINK("http://bombeiros.sp.gov.br/hidrantes/08bsg/qrcodeBSG.html?id=1195&amp;lat=-23.58600&amp;long=-46.71654&amp;tipo=S","QRCODE")</f>
        <v>QRCODE</v>
      </c>
      <c r="C3537" t="s">
        <v>5351</v>
      </c>
      <c r="D3537" t="s">
        <v>150</v>
      </c>
      <c r="E3537" t="s">
        <v>150</v>
      </c>
      <c r="F3537" t="s">
        <v>21</v>
      </c>
      <c r="G3537" t="s">
        <v>4663</v>
      </c>
      <c r="H3537">
        <v>1</v>
      </c>
      <c r="I3537">
        <v>1</v>
      </c>
      <c r="J3537">
        <v>0</v>
      </c>
      <c r="K3537">
        <v>0</v>
      </c>
      <c r="L3537">
        <v>0</v>
      </c>
    </row>
    <row r="3538" spans="1:12">
      <c r="A3538" t="str">
        <f>HYPERLINK("http://bombeiros.sp.gov.br/hidrantes/03individual/1231.html","1231")</f>
        <v>1231</v>
      </c>
      <c r="B3538" t="str">
        <f>HYPERLINK("http://bombeiros.sp.gov.br/hidrantes/08bsg/qrcodeBSG.html?id=1231&amp;lat=-23.59210&amp;long=-46.71930&amp;tipo=S","QRCODE")</f>
        <v>QRCODE</v>
      </c>
      <c r="C3538" t="s">
        <v>5351</v>
      </c>
      <c r="D3538" t="s">
        <v>150</v>
      </c>
      <c r="E3538" t="s">
        <v>150</v>
      </c>
      <c r="F3538" t="s">
        <v>21</v>
      </c>
      <c r="G3538" t="s">
        <v>1789</v>
      </c>
      <c r="H3538">
        <v>0</v>
      </c>
      <c r="I3538">
        <v>2</v>
      </c>
      <c r="J3538">
        <v>0</v>
      </c>
      <c r="K3538">
        <v>0</v>
      </c>
      <c r="L3538">
        <v>0</v>
      </c>
    </row>
    <row r="3539" spans="1:12">
      <c r="A3539" t="str">
        <f>HYPERLINK("http://bombeiros.sp.gov.br/hidrantes/03individual/1238.html","1238")</f>
        <v>1238</v>
      </c>
      <c r="B3539" t="str">
        <f>HYPERLINK("http://bombeiros.sp.gov.br/hidrantes/08bsg/qrcodeBSG.html?id=1238&amp;lat=-23.59690&amp;long=-46.71939&amp;tipo=S","QRCODE")</f>
        <v>QRCODE</v>
      </c>
      <c r="C3539" t="s">
        <v>5351</v>
      </c>
      <c r="D3539" t="s">
        <v>150</v>
      </c>
      <c r="E3539" t="s">
        <v>150</v>
      </c>
      <c r="F3539" t="s">
        <v>21</v>
      </c>
      <c r="G3539" t="s">
        <v>149</v>
      </c>
      <c r="H3539">
        <v>1</v>
      </c>
      <c r="I3539">
        <v>2</v>
      </c>
      <c r="J3539">
        <v>0</v>
      </c>
      <c r="K3539">
        <v>0</v>
      </c>
      <c r="L3539">
        <v>0</v>
      </c>
    </row>
    <row r="3540" spans="1:12">
      <c r="A3540" t="str">
        <f>HYPERLINK("http://bombeiros.sp.gov.br/hidrantes/03individual/1240.html","1240")</f>
        <v>1240</v>
      </c>
      <c r="B3540" t="str">
        <f>HYPERLINK("http://bombeiros.sp.gov.br/hidrantes/08bsg/qrcodeBSG.html?id=1240&amp;lat=-23.59474&amp;long=-46.71714&amp;tipo=S","QRCODE")</f>
        <v>QRCODE</v>
      </c>
      <c r="C3540" t="s">
        <v>5351</v>
      </c>
      <c r="D3540" t="s">
        <v>150</v>
      </c>
      <c r="E3540" t="s">
        <v>150</v>
      </c>
      <c r="F3540" t="s">
        <v>21</v>
      </c>
      <c r="G3540" t="s">
        <v>3005</v>
      </c>
      <c r="H3540">
        <v>0</v>
      </c>
      <c r="I3540">
        <v>2</v>
      </c>
      <c r="J3540">
        <v>0</v>
      </c>
      <c r="K3540">
        <v>0</v>
      </c>
      <c r="L3540">
        <v>0</v>
      </c>
    </row>
    <row r="3541" spans="1:12">
      <c r="A3541" t="str">
        <f>HYPERLINK("http://bombeiros.sp.gov.br/hidrantes/03individual/1271.html","1271")</f>
        <v>1271</v>
      </c>
      <c r="B3541" t="str">
        <f>HYPERLINK("http://bombeiros.sp.gov.br/hidrantes/08bsg/qrcodeBSG.html?id=1271&amp;lat=-23.59277&amp;long=-46.70747&amp;tipo=S","QRCODE")</f>
        <v>QRCODE</v>
      </c>
      <c r="C3541" t="s">
        <v>5351</v>
      </c>
      <c r="D3541" t="s">
        <v>150</v>
      </c>
      <c r="E3541" t="s">
        <v>150</v>
      </c>
      <c r="F3541" t="s">
        <v>21</v>
      </c>
      <c r="G3541" t="s">
        <v>3006</v>
      </c>
      <c r="H3541">
        <v>0</v>
      </c>
      <c r="I3541">
        <v>2</v>
      </c>
      <c r="J3541">
        <v>0</v>
      </c>
      <c r="K3541">
        <v>0</v>
      </c>
      <c r="L3541">
        <v>0</v>
      </c>
    </row>
    <row r="3542" spans="1:12">
      <c r="A3542" t="str">
        <f>HYPERLINK("http://bombeiros.sp.gov.br/hidrantes/03individual/2266.html","2266")</f>
        <v>2266</v>
      </c>
      <c r="B3542" t="str">
        <f>HYPERLINK("http://bombeiros.sp.gov.br/hidrantes/08bsg/qrcodeBSG.html?id=2266&amp;lat=-23.58644&amp;long=-46.70772&amp;tipo=S","QRCODE")</f>
        <v>QRCODE</v>
      </c>
      <c r="C3542" t="s">
        <v>5351</v>
      </c>
      <c r="D3542" t="s">
        <v>150</v>
      </c>
      <c r="E3542" t="s">
        <v>150</v>
      </c>
      <c r="F3542" t="s">
        <v>21</v>
      </c>
      <c r="G3542" t="s">
        <v>3622</v>
      </c>
      <c r="H3542">
        <v>1</v>
      </c>
      <c r="I3542">
        <v>1</v>
      </c>
      <c r="J3542">
        <v>0</v>
      </c>
      <c r="K3542">
        <v>0</v>
      </c>
      <c r="L3542">
        <v>0</v>
      </c>
    </row>
    <row r="3543" spans="1:12">
      <c r="A3543" t="str">
        <f>HYPERLINK("http://bombeiros.sp.gov.br/hidrantes/03individual/2273.html","2273")</f>
        <v>2273</v>
      </c>
      <c r="B3543" t="str">
        <f>HYPERLINK("http://bombeiros.sp.gov.br/hidrantes/08bsg/qrcodeBSG.html?id=2273&amp;lat=-23.58769&amp;long=-46.71684&amp;tipo=S","QRCODE")</f>
        <v>QRCODE</v>
      </c>
      <c r="C3543" t="s">
        <v>5351</v>
      </c>
      <c r="D3543" t="s">
        <v>150</v>
      </c>
      <c r="E3543" t="s">
        <v>150</v>
      </c>
      <c r="F3543" t="s">
        <v>21</v>
      </c>
      <c r="G3543" t="s">
        <v>1824</v>
      </c>
      <c r="H3543">
        <v>0</v>
      </c>
      <c r="I3543">
        <v>2</v>
      </c>
      <c r="J3543">
        <v>0</v>
      </c>
      <c r="K3543">
        <v>0</v>
      </c>
      <c r="L3543">
        <v>0</v>
      </c>
    </row>
    <row r="3544" spans="1:12">
      <c r="A3544" t="str">
        <f>HYPERLINK("http://bombeiros.sp.gov.br/hidrantes/03individual/2275.html","2275")</f>
        <v>2275</v>
      </c>
      <c r="B3544" t="str">
        <f>HYPERLINK("http://bombeiros.sp.gov.br/hidrantes/08bsg/qrcodeBSG.html?id=2275&amp;lat=-23.58660&amp;long=-46.71242&amp;tipo=S","QRCODE")</f>
        <v>QRCODE</v>
      </c>
      <c r="C3544" t="s">
        <v>5351</v>
      </c>
      <c r="D3544" t="s">
        <v>150</v>
      </c>
      <c r="E3544" t="s">
        <v>150</v>
      </c>
      <c r="F3544" t="s">
        <v>21</v>
      </c>
      <c r="G3544" t="s">
        <v>1825</v>
      </c>
      <c r="H3544">
        <v>0</v>
      </c>
      <c r="I3544">
        <v>2</v>
      </c>
      <c r="J3544">
        <v>0</v>
      </c>
      <c r="K3544">
        <v>0</v>
      </c>
      <c r="L3544">
        <v>0</v>
      </c>
    </row>
    <row r="3545" spans="1:12">
      <c r="A3545" t="str">
        <f>HYPERLINK("http://bombeiros.sp.gov.br/hidrantes/03individual/2324.html","2324")</f>
        <v>2324</v>
      </c>
      <c r="B3545" t="str">
        <f>HYPERLINK("http://bombeiros.sp.gov.br/hidrantes/08bsg/qrcodeBSG.html?id=2324&amp;lat=-23.58149&amp;long=-46.70816&amp;tipo=S","QRCODE")</f>
        <v>QRCODE</v>
      </c>
      <c r="C3545" t="s">
        <v>5351</v>
      </c>
      <c r="D3545" t="s">
        <v>150</v>
      </c>
      <c r="E3545" t="s">
        <v>150</v>
      </c>
      <c r="F3545" t="s">
        <v>21</v>
      </c>
      <c r="G3545" t="s">
        <v>2315</v>
      </c>
      <c r="H3545">
        <v>0</v>
      </c>
      <c r="I3545">
        <v>2</v>
      </c>
      <c r="J3545">
        <v>0</v>
      </c>
      <c r="K3545">
        <v>0</v>
      </c>
      <c r="L3545">
        <v>0</v>
      </c>
    </row>
    <row r="3546" spans="1:12">
      <c r="A3546" t="str">
        <f>HYPERLINK("http://bombeiros.sp.gov.br/hidrantes/03individual/16628.html","16628")</f>
        <v>16628</v>
      </c>
      <c r="B3546" t="str">
        <f>HYPERLINK("http://bombeiros.sp.gov.br/hidrantes/08bsg/qrcodeBSG.html?id=16628&amp;lat=-23.59294&amp;long=-46.72110&amp;tipo=S","QRCODE")</f>
        <v>QRCODE</v>
      </c>
      <c r="C3546" t="s">
        <v>5351</v>
      </c>
      <c r="D3546" t="s">
        <v>150</v>
      </c>
      <c r="E3546" t="s">
        <v>150</v>
      </c>
      <c r="F3546" t="s">
        <v>21</v>
      </c>
      <c r="G3546" t="s">
        <v>1837</v>
      </c>
      <c r="H3546">
        <v>1</v>
      </c>
      <c r="I3546">
        <v>2</v>
      </c>
      <c r="J3546">
        <v>0</v>
      </c>
      <c r="K3546">
        <v>0</v>
      </c>
      <c r="L3546">
        <v>0</v>
      </c>
    </row>
    <row r="3547" spans="1:12">
      <c r="A3547" t="str">
        <f>HYPERLINK("http://bombeiros.sp.gov.br/hidrantes/03individual/25226.html","25226")</f>
        <v>25226</v>
      </c>
      <c r="B3547" t="str">
        <f>HYPERLINK("http://bombeiros.sp.gov.br/hidrantes/08bsg/qrcodeBSG.html?id=25226&amp;lat=-23.58437&amp;long=-46.71298&amp;tipo=S","QRCODE")</f>
        <v>QRCODE</v>
      </c>
      <c r="C3547" t="s">
        <v>5351</v>
      </c>
      <c r="D3547" t="s">
        <v>150</v>
      </c>
      <c r="E3547" t="s">
        <v>150</v>
      </c>
      <c r="F3547" t="s">
        <v>21</v>
      </c>
      <c r="G3547" t="s">
        <v>4711</v>
      </c>
      <c r="H3547">
        <v>1</v>
      </c>
      <c r="I3547">
        <v>1</v>
      </c>
      <c r="J3547">
        <v>0</v>
      </c>
      <c r="K3547">
        <v>0</v>
      </c>
      <c r="L3547">
        <v>0</v>
      </c>
    </row>
    <row r="3548" spans="1:12">
      <c r="A3548" t="str">
        <f>HYPERLINK("http://bombeiros.sp.gov.br/hidrantes/03individual/2264.html","2264")</f>
        <v>2264</v>
      </c>
      <c r="B3548" t="str">
        <f>HYPERLINK("http://bombeiros.sp.gov.br/hidrantes/08bsg/qrcodeBSG.html?id=2264&amp;lat=-23.60392&amp;long=-46.71241&amp;tipo=C","QRCODE")</f>
        <v>QRCODE</v>
      </c>
      <c r="C3548" t="s">
        <v>5351</v>
      </c>
      <c r="D3548" t="s">
        <v>150</v>
      </c>
      <c r="E3548" t="s">
        <v>221</v>
      </c>
      <c r="F3548" t="s">
        <v>12</v>
      </c>
      <c r="G3548" t="s">
        <v>5250</v>
      </c>
      <c r="H3548">
        <v>1</v>
      </c>
      <c r="I3548">
        <v>0</v>
      </c>
      <c r="J3548">
        <v>0</v>
      </c>
      <c r="K3548">
        <v>0</v>
      </c>
      <c r="L3548">
        <v>0</v>
      </c>
    </row>
    <row r="3549" spans="1:12">
      <c r="A3549" t="str">
        <f>HYPERLINK("http://bombeiros.sp.gov.br/hidrantes/03individual/15122.html","15122")</f>
        <v>15122</v>
      </c>
      <c r="B3549" t="str">
        <f>HYPERLINK("http://bombeiros.sp.gov.br/hidrantes/08bsg/qrcodeBSG.html?id=15122&amp;lat=-23.60159&amp;long=-46.71109&amp;tipo=C","QRCODE")</f>
        <v>QRCODE</v>
      </c>
      <c r="C3549" t="s">
        <v>5351</v>
      </c>
      <c r="D3549" t="s">
        <v>150</v>
      </c>
      <c r="E3549" t="s">
        <v>221</v>
      </c>
      <c r="F3549" t="s">
        <v>12</v>
      </c>
      <c r="G3549" t="s">
        <v>4090</v>
      </c>
      <c r="H3549">
        <v>0</v>
      </c>
      <c r="I3549">
        <v>1</v>
      </c>
      <c r="J3549">
        <v>0</v>
      </c>
      <c r="K3549">
        <v>0</v>
      </c>
      <c r="L3549">
        <v>0</v>
      </c>
    </row>
    <row r="3550" spans="1:12">
      <c r="A3550" t="str">
        <f>HYPERLINK("http://bombeiros.sp.gov.br/hidrantes/03individual/16307.html","16307")</f>
        <v>16307</v>
      </c>
      <c r="B3550" t="str">
        <f>HYPERLINK("http://bombeiros.sp.gov.br/hidrantes/08bsg/qrcodeBSG.html?id=16307&amp;lat=-23.60410&amp;long=-46.71908&amp;tipo=C","QRCODE")</f>
        <v>QRCODE</v>
      </c>
      <c r="C3550" t="s">
        <v>5351</v>
      </c>
      <c r="D3550" t="s">
        <v>150</v>
      </c>
      <c r="E3550" t="s">
        <v>221</v>
      </c>
      <c r="F3550" t="s">
        <v>12</v>
      </c>
      <c r="G3550" t="s">
        <v>3655</v>
      </c>
      <c r="H3550">
        <v>1</v>
      </c>
      <c r="I3550">
        <v>1</v>
      </c>
      <c r="J3550">
        <v>0</v>
      </c>
      <c r="K3550">
        <v>0</v>
      </c>
      <c r="L3550">
        <v>0</v>
      </c>
    </row>
    <row r="3551" spans="1:12">
      <c r="A3551" t="str">
        <f>HYPERLINK("http://bombeiros.sp.gov.br/hidrantes/03individual/27056.html","27056")</f>
        <v>27056</v>
      </c>
      <c r="B3551" t="str">
        <f>HYPERLINK("http://bombeiros.sp.gov.br/hidrantes/08bsg/qrcodeBSG.html?id=27056&amp;lat=-23.60587&amp;long=-46.71340&amp;tipo=C","QRCODE")</f>
        <v>QRCODE</v>
      </c>
      <c r="C3551" t="s">
        <v>5351</v>
      </c>
      <c r="D3551" t="s">
        <v>150</v>
      </c>
      <c r="E3551" t="s">
        <v>221</v>
      </c>
      <c r="F3551" t="s">
        <v>12</v>
      </c>
      <c r="G3551" t="s">
        <v>220</v>
      </c>
      <c r="H3551">
        <v>0</v>
      </c>
      <c r="I3551">
        <v>2</v>
      </c>
      <c r="J3551">
        <v>0</v>
      </c>
      <c r="K3551">
        <v>0</v>
      </c>
      <c r="L3551">
        <v>0</v>
      </c>
    </row>
    <row r="3552" spans="1:12">
      <c r="A3552" t="str">
        <f>HYPERLINK("http://bombeiros.sp.gov.br/hidrantes/03individual/2277.html","2277")</f>
        <v>2277</v>
      </c>
      <c r="B3552" t="str">
        <f>HYPERLINK("http://bombeiros.sp.gov.br/hidrantes/08bsg/qrcodeBSG.html?id=2277&amp;lat=-23.60495&amp;long=-46.71634&amp;tipo=S","QRCODE")</f>
        <v>QRCODE</v>
      </c>
      <c r="C3552" t="s">
        <v>5351</v>
      </c>
      <c r="D3552" t="s">
        <v>150</v>
      </c>
      <c r="E3552" t="s">
        <v>221</v>
      </c>
      <c r="F3552" t="s">
        <v>21</v>
      </c>
      <c r="G3552" t="s">
        <v>1480</v>
      </c>
      <c r="H3552">
        <v>1</v>
      </c>
      <c r="I3552">
        <v>2</v>
      </c>
      <c r="J3552">
        <v>0</v>
      </c>
      <c r="K3552">
        <v>0</v>
      </c>
      <c r="L3552">
        <v>0</v>
      </c>
    </row>
    <row r="3553" spans="1:12">
      <c r="A3553" t="str">
        <f>HYPERLINK("http://bombeiros.sp.gov.br/hidrantes/03individual/2280.html","2280")</f>
        <v>2280</v>
      </c>
      <c r="B3553" t="str">
        <f>HYPERLINK("http://bombeiros.sp.gov.br/hidrantes/08bsg/qrcodeBSG.html?id=2280&amp;lat=-23.60433&amp;long=-46.71738&amp;tipo=S","QRCODE")</f>
        <v>QRCODE</v>
      </c>
      <c r="C3553" t="s">
        <v>5351</v>
      </c>
      <c r="D3553" t="s">
        <v>150</v>
      </c>
      <c r="E3553" t="s">
        <v>221</v>
      </c>
      <c r="F3553" t="s">
        <v>21</v>
      </c>
      <c r="G3553" t="s">
        <v>1479</v>
      </c>
      <c r="H3553">
        <v>1</v>
      </c>
      <c r="I3553">
        <v>2</v>
      </c>
      <c r="J3553">
        <v>0</v>
      </c>
      <c r="K3553">
        <v>0</v>
      </c>
      <c r="L3553">
        <v>0</v>
      </c>
    </row>
    <row r="3554" spans="1:12">
      <c r="A3554" t="str">
        <f>HYPERLINK("http://bombeiros.sp.gov.br/hidrantes/03individual/4031.html","4031")</f>
        <v>4031</v>
      </c>
      <c r="B3554" t="str">
        <f>HYPERLINK("http://bombeiros.sp.gov.br/hidrantes/08bsg/qrcodeBSG.html?id=4031&amp;lat=-23.60109&amp;long=-46.71826&amp;tipo=S","QRCODE")</f>
        <v>QRCODE</v>
      </c>
      <c r="C3554" t="s">
        <v>5351</v>
      </c>
      <c r="D3554" t="s">
        <v>150</v>
      </c>
      <c r="E3554" t="s">
        <v>221</v>
      </c>
      <c r="F3554" t="s">
        <v>21</v>
      </c>
      <c r="G3554" t="s">
        <v>1464</v>
      </c>
      <c r="H3554">
        <v>0</v>
      </c>
      <c r="I3554">
        <v>2</v>
      </c>
      <c r="J3554">
        <v>0</v>
      </c>
      <c r="K3554">
        <v>0</v>
      </c>
      <c r="L3554">
        <v>0</v>
      </c>
    </row>
    <row r="3555" spans="1:12">
      <c r="A3555" t="str">
        <f>HYPERLINK("http://bombeiros.sp.gov.br/hidrantes/03individual/4035.html","4035")</f>
        <v>4035</v>
      </c>
      <c r="B3555" t="str">
        <f>HYPERLINK("http://bombeiros.sp.gov.br/hidrantes/08bsg/qrcodeBSG.html?id=4035&amp;lat=-23.60892&amp;long=-46.72123&amp;tipo=S","QRCODE")</f>
        <v>QRCODE</v>
      </c>
      <c r="C3555" t="s">
        <v>5351</v>
      </c>
      <c r="D3555" t="s">
        <v>150</v>
      </c>
      <c r="E3555" t="s">
        <v>221</v>
      </c>
      <c r="F3555" t="s">
        <v>21</v>
      </c>
      <c r="G3555" t="s">
        <v>3609</v>
      </c>
      <c r="H3555">
        <v>1</v>
      </c>
      <c r="I3555">
        <v>1</v>
      </c>
      <c r="J3555">
        <v>0</v>
      </c>
      <c r="K3555">
        <v>0</v>
      </c>
      <c r="L3555">
        <v>0</v>
      </c>
    </row>
    <row r="3556" spans="1:12">
      <c r="A3556" t="str">
        <f>HYPERLINK("http://bombeiros.sp.gov.br/hidrantes/03individual/4038.html","4038")</f>
        <v>4038</v>
      </c>
      <c r="B3556" t="str">
        <f>HYPERLINK("http://bombeiros.sp.gov.br/hidrantes/08bsg/qrcodeBSG.html?id=4038&amp;lat=-23.61164&amp;long=-46.72543&amp;tipo=S","QRCODE")</f>
        <v>QRCODE</v>
      </c>
      <c r="C3556" t="s">
        <v>5351</v>
      </c>
      <c r="D3556" t="s">
        <v>150</v>
      </c>
      <c r="E3556" t="s">
        <v>221</v>
      </c>
      <c r="F3556" t="s">
        <v>21</v>
      </c>
      <c r="G3556" t="s">
        <v>4038</v>
      </c>
      <c r="H3556">
        <v>0</v>
      </c>
      <c r="I3556">
        <v>2</v>
      </c>
      <c r="J3556">
        <v>0</v>
      </c>
      <c r="K3556">
        <v>0</v>
      </c>
      <c r="L3556">
        <v>0</v>
      </c>
    </row>
    <row r="3557" spans="1:12">
      <c r="A3557" t="str">
        <f>HYPERLINK("http://bombeiros.sp.gov.br/hidrantes/03individual/4155.html","4155")</f>
        <v>4155</v>
      </c>
      <c r="B3557" t="str">
        <f>HYPERLINK("http://bombeiros.sp.gov.br/hidrantes/08bsg/qrcodeBSG.html?id=4155&amp;lat=-23.61117&amp;long=-46.71969&amp;tipo=S","QRCODE")</f>
        <v>QRCODE</v>
      </c>
      <c r="C3557" t="s">
        <v>5351</v>
      </c>
      <c r="D3557" t="s">
        <v>150</v>
      </c>
      <c r="E3557" t="s">
        <v>221</v>
      </c>
      <c r="F3557" t="s">
        <v>21</v>
      </c>
      <c r="G3557" t="s">
        <v>2287</v>
      </c>
      <c r="H3557">
        <v>1</v>
      </c>
      <c r="I3557">
        <v>2</v>
      </c>
      <c r="J3557">
        <v>0</v>
      </c>
      <c r="K3557">
        <v>0</v>
      </c>
      <c r="L3557">
        <v>0</v>
      </c>
    </row>
    <row r="3558" spans="1:12">
      <c r="A3558" t="str">
        <f>HYPERLINK("http://bombeiros.sp.gov.br/hidrantes/03individual/4167.html","4167")</f>
        <v>4167</v>
      </c>
      <c r="B3558" t="str">
        <f>HYPERLINK("http://bombeiros.sp.gov.br/hidrantes/08bsg/qrcodeBSG.html?id=4167&amp;lat=-23.61184&amp;long=-46.72335&amp;tipo=S","QRCODE")</f>
        <v>QRCODE</v>
      </c>
      <c r="C3558" t="s">
        <v>5351</v>
      </c>
      <c r="D3558" t="s">
        <v>150</v>
      </c>
      <c r="E3558" t="s">
        <v>221</v>
      </c>
      <c r="F3558" t="s">
        <v>21</v>
      </c>
      <c r="G3558" t="s">
        <v>4276</v>
      </c>
      <c r="H3558">
        <v>0</v>
      </c>
      <c r="I3558">
        <v>1</v>
      </c>
      <c r="J3558">
        <v>0</v>
      </c>
      <c r="K3558">
        <v>0</v>
      </c>
      <c r="L3558">
        <v>0</v>
      </c>
    </row>
    <row r="3559" spans="1:12">
      <c r="A3559" t="str">
        <f>HYPERLINK("http://bombeiros.sp.gov.br/hidrantes/03individual/16627.html","16627")</f>
        <v>16627</v>
      </c>
      <c r="B3559" t="str">
        <f>HYPERLINK("http://bombeiros.sp.gov.br/hidrantes/08bsg/qrcodeBSG.html?id=16627&amp;lat=-23.60912&amp;long=-46.71587&amp;tipo=S","QRCODE")</f>
        <v>QRCODE</v>
      </c>
      <c r="C3559" t="s">
        <v>5351</v>
      </c>
      <c r="D3559" t="s">
        <v>150</v>
      </c>
      <c r="E3559" t="s">
        <v>221</v>
      </c>
      <c r="F3559" t="s">
        <v>21</v>
      </c>
      <c r="G3559" t="s">
        <v>3652</v>
      </c>
      <c r="H3559">
        <v>1</v>
      </c>
      <c r="I3559">
        <v>1</v>
      </c>
      <c r="J3559">
        <v>0</v>
      </c>
      <c r="K3559">
        <v>0</v>
      </c>
      <c r="L3559">
        <v>0</v>
      </c>
    </row>
    <row r="3560" spans="1:12">
      <c r="A3560" t="str">
        <f>HYPERLINK("http://bombeiros.sp.gov.br/hidrantes/03individual/252.html","252")</f>
        <v>252</v>
      </c>
      <c r="B3560" t="str">
        <f>HYPERLINK("http://bombeiros.sp.gov.br/hidrantes/08bsg/qrcodeBSG.html?id=252&amp;lat=-23.53637&amp;long=-46.66696&amp;tipo=C","QRCODE")</f>
        <v>QRCODE</v>
      </c>
      <c r="C3560" t="s">
        <v>5351</v>
      </c>
      <c r="D3560" t="s">
        <v>1148</v>
      </c>
      <c r="E3560" t="s">
        <v>736</v>
      </c>
      <c r="F3560" t="s">
        <v>12</v>
      </c>
      <c r="G3560" t="s">
        <v>785</v>
      </c>
      <c r="H3560">
        <v>0</v>
      </c>
      <c r="I3560">
        <v>2</v>
      </c>
      <c r="J3560">
        <v>0</v>
      </c>
      <c r="K3560">
        <v>0</v>
      </c>
      <c r="L3560">
        <v>0</v>
      </c>
    </row>
    <row r="3561" spans="1:12">
      <c r="A3561" t="str">
        <f>HYPERLINK("http://bombeiros.sp.gov.br/hidrantes/03individual/160.html","160")</f>
        <v>160</v>
      </c>
      <c r="B3561" t="str">
        <f>HYPERLINK("http://bombeiros.sp.gov.br/hidrantes/08bsg/qrcodeBSG.html?id=160&amp;lat=-23.53495&amp;long=-46.66592&amp;tipo=S","QRCODE")</f>
        <v>QRCODE</v>
      </c>
      <c r="C3561" t="s">
        <v>5351</v>
      </c>
      <c r="D3561" t="s">
        <v>1148</v>
      </c>
      <c r="E3561" t="s">
        <v>736</v>
      </c>
      <c r="F3561" t="s">
        <v>21</v>
      </c>
      <c r="G3561" t="s">
        <v>2819</v>
      </c>
      <c r="H3561">
        <v>0</v>
      </c>
      <c r="I3561">
        <v>2</v>
      </c>
      <c r="J3561">
        <v>0</v>
      </c>
      <c r="K3561">
        <v>0</v>
      </c>
      <c r="L3561">
        <v>0</v>
      </c>
    </row>
    <row r="3562" spans="1:12">
      <c r="A3562" t="str">
        <f>HYPERLINK("http://bombeiros.sp.gov.br/hidrantes/03individual/195.html","195")</f>
        <v>195</v>
      </c>
      <c r="B3562" t="str">
        <f>HYPERLINK("http://bombeiros.sp.gov.br/hidrantes/08bsg/qrcodeBSG.html?id=195&amp;lat=-23.53406&amp;long=-46.66521&amp;tipo=S","QRCODE")</f>
        <v>QRCODE</v>
      </c>
      <c r="C3562" t="s">
        <v>5351</v>
      </c>
      <c r="D3562" t="s">
        <v>1148</v>
      </c>
      <c r="E3562" t="s">
        <v>736</v>
      </c>
      <c r="F3562" t="s">
        <v>21</v>
      </c>
      <c r="G3562" t="s">
        <v>781</v>
      </c>
      <c r="H3562">
        <v>0</v>
      </c>
      <c r="I3562">
        <v>3</v>
      </c>
      <c r="J3562">
        <v>0</v>
      </c>
      <c r="K3562">
        <v>0</v>
      </c>
      <c r="L3562">
        <v>0</v>
      </c>
    </row>
    <row r="3563" spans="1:12">
      <c r="A3563" t="str">
        <f>HYPERLINK("http://bombeiros.sp.gov.br/hidrantes/03individual/230.html","230")</f>
        <v>230</v>
      </c>
      <c r="B3563" t="str">
        <f>HYPERLINK("http://bombeiros.sp.gov.br/hidrantes/08bsg/qrcodeBSG.html?id=230&amp;lat=-23.53852&amp;long=-46.66504&amp;tipo=S","QRCODE")</f>
        <v>QRCODE</v>
      </c>
      <c r="C3563" t="s">
        <v>5351</v>
      </c>
      <c r="D3563" t="s">
        <v>1148</v>
      </c>
      <c r="E3563" t="s">
        <v>736</v>
      </c>
      <c r="F3563" t="s">
        <v>21</v>
      </c>
      <c r="G3563" t="s">
        <v>2254</v>
      </c>
      <c r="H3563">
        <v>0</v>
      </c>
      <c r="I3563">
        <v>2</v>
      </c>
      <c r="J3563">
        <v>0</v>
      </c>
      <c r="K3563">
        <v>0</v>
      </c>
      <c r="L3563">
        <v>0</v>
      </c>
    </row>
    <row r="3564" spans="1:12">
      <c r="A3564" t="str">
        <f>HYPERLINK("http://bombeiros.sp.gov.br/hidrantes/03individual/2744.html","2744")</f>
        <v>2744</v>
      </c>
      <c r="B3564" t="str">
        <f>HYPERLINK("http://bombeiros.sp.gov.br/hidrantes/08bsg/qrcodeBSG.html?id=2744&amp;lat=-23.53572&amp;long=-46.66401&amp;tipo=S","QRCODE")</f>
        <v>QRCODE</v>
      </c>
      <c r="C3564" t="s">
        <v>5351</v>
      </c>
      <c r="D3564" t="s">
        <v>1148</v>
      </c>
      <c r="E3564" t="s">
        <v>736</v>
      </c>
      <c r="F3564" t="s">
        <v>21</v>
      </c>
      <c r="G3564" t="s">
        <v>1475</v>
      </c>
      <c r="H3564">
        <v>1</v>
      </c>
      <c r="I3564">
        <v>2</v>
      </c>
      <c r="J3564">
        <v>0</v>
      </c>
      <c r="K3564">
        <v>0</v>
      </c>
      <c r="L3564">
        <v>0</v>
      </c>
    </row>
    <row r="3565" spans="1:12">
      <c r="A3565" t="str">
        <f>HYPERLINK("http://bombeiros.sp.gov.br/hidrantes/03individual/2925.html","2925")</f>
        <v>2925</v>
      </c>
      <c r="B3565" t="str">
        <f>HYPERLINK("http://bombeiros.sp.gov.br/hidrantes/08bsg/qrcodeBSG.html?id=2925&amp;lat=-23.54335&amp;long=-46.66931&amp;tipo=S","QRCODE")</f>
        <v>QRCODE</v>
      </c>
      <c r="C3565" t="s">
        <v>5351</v>
      </c>
      <c r="D3565" t="s">
        <v>1148</v>
      </c>
      <c r="E3565" t="s">
        <v>736</v>
      </c>
      <c r="F3565" t="s">
        <v>21</v>
      </c>
      <c r="G3565" t="s">
        <v>974</v>
      </c>
      <c r="H3565">
        <v>1</v>
      </c>
      <c r="I3565">
        <v>2</v>
      </c>
      <c r="J3565">
        <v>0</v>
      </c>
      <c r="K3565">
        <v>0</v>
      </c>
      <c r="L3565">
        <v>0</v>
      </c>
    </row>
    <row r="3566" spans="1:12">
      <c r="A3566" t="str">
        <f>HYPERLINK("http://bombeiros.sp.gov.br/hidrantes/03individual/4261.html","4261")</f>
        <v>4261</v>
      </c>
      <c r="B3566" t="str">
        <f>HYPERLINK("http://bombeiros.sp.gov.br/hidrantes/08bsg/qrcodeBSG.html?id=4261&amp;lat=-23.54578&amp;long=-46.66913&amp;tipo=S","QRCODE")</f>
        <v>QRCODE</v>
      </c>
      <c r="C3566" t="s">
        <v>5351</v>
      </c>
      <c r="D3566" t="s">
        <v>1148</v>
      </c>
      <c r="E3566" t="s">
        <v>736</v>
      </c>
      <c r="F3566" t="s">
        <v>21</v>
      </c>
      <c r="G3566" t="s">
        <v>1000</v>
      </c>
      <c r="H3566">
        <v>0</v>
      </c>
      <c r="I3566">
        <v>3</v>
      </c>
      <c r="J3566">
        <v>0</v>
      </c>
      <c r="K3566">
        <v>0</v>
      </c>
      <c r="L3566">
        <v>0</v>
      </c>
    </row>
    <row r="3567" spans="1:12">
      <c r="A3567" t="str">
        <f>HYPERLINK("http://bombeiros.sp.gov.br/hidrantes/03individual/4283.html","4283")</f>
        <v>4283</v>
      </c>
      <c r="B3567" t="str">
        <f>HYPERLINK("http://bombeiros.sp.gov.br/hidrantes/08bsg/qrcodeBSG.html?id=4283&amp;lat=-23.53981&amp;long=-46.66432&amp;tipo=S","QRCODE")</f>
        <v>QRCODE</v>
      </c>
      <c r="C3567" t="s">
        <v>5351</v>
      </c>
      <c r="D3567" t="s">
        <v>1148</v>
      </c>
      <c r="E3567" t="s">
        <v>736</v>
      </c>
      <c r="F3567" t="s">
        <v>21</v>
      </c>
      <c r="G3567" t="s">
        <v>735</v>
      </c>
      <c r="H3567">
        <v>1</v>
      </c>
      <c r="I3567">
        <v>1</v>
      </c>
      <c r="J3567">
        <v>0</v>
      </c>
      <c r="K3567">
        <v>0</v>
      </c>
      <c r="L3567">
        <v>0</v>
      </c>
    </row>
    <row r="3568" spans="1:12">
      <c r="A3568" t="str">
        <f>HYPERLINK("http://bombeiros.sp.gov.br/hidrantes/03individual/16585.html","16585")</f>
        <v>16585</v>
      </c>
      <c r="B3568" t="str">
        <f>HYPERLINK("http://bombeiros.sp.gov.br/hidrantes/08bsg/qrcodeBSG.html?id=16585&amp;lat=-23.54055&amp;long=-46.66600&amp;tipo=S","QRCODE")</f>
        <v>QRCODE</v>
      </c>
      <c r="C3568" t="s">
        <v>5351</v>
      </c>
      <c r="D3568" t="s">
        <v>1148</v>
      </c>
      <c r="E3568" t="s">
        <v>736</v>
      </c>
      <c r="F3568" t="s">
        <v>21</v>
      </c>
      <c r="G3568" t="s">
        <v>928</v>
      </c>
      <c r="H3568">
        <v>0</v>
      </c>
      <c r="I3568">
        <v>2</v>
      </c>
      <c r="J3568">
        <v>0</v>
      </c>
      <c r="K3568">
        <v>0</v>
      </c>
      <c r="L3568">
        <v>0</v>
      </c>
    </row>
    <row r="3569" spans="1:12">
      <c r="A3569" t="str">
        <f>HYPERLINK("http://bombeiros.sp.gov.br/hidrantes/03individual/26625.html","26625")</f>
        <v>26625</v>
      </c>
      <c r="B3569" t="str">
        <f>HYPERLINK("http://bombeiros.sp.gov.br/hidrantes/08bsg/qrcodeBSG.html?id=26625&amp;lat=-23.54219&amp;long=-46.66899&amp;tipo=S","QRCODE")</f>
        <v>QRCODE</v>
      </c>
      <c r="C3569" t="s">
        <v>5351</v>
      </c>
      <c r="D3569" t="s">
        <v>1148</v>
      </c>
      <c r="E3569" t="s">
        <v>736</v>
      </c>
      <c r="F3569" t="s">
        <v>21</v>
      </c>
      <c r="G3569" t="s">
        <v>2182</v>
      </c>
      <c r="H3569">
        <v>0</v>
      </c>
      <c r="I3569">
        <v>2</v>
      </c>
      <c r="J3569">
        <v>0</v>
      </c>
      <c r="K3569">
        <v>0</v>
      </c>
      <c r="L3569">
        <v>0</v>
      </c>
    </row>
    <row r="3570" spans="1:12">
      <c r="A3570" t="str">
        <f>HYPERLINK("http://bombeiros.sp.gov.br/hidrantes/03individual/1628.html","1628")</f>
        <v>1628</v>
      </c>
      <c r="B3570" t="str">
        <f>HYPERLINK("http://bombeiros.sp.gov.br/hidrantes/08bsg/qrcodeBSG.html?id=1628&amp;lat=-23.52955&amp;long=-46.68291&amp;tipo=C","QRCODE")</f>
        <v>QRCODE</v>
      </c>
      <c r="C3570" t="s">
        <v>5351</v>
      </c>
      <c r="D3570" t="s">
        <v>1148</v>
      </c>
      <c r="E3570" t="s">
        <v>1148</v>
      </c>
      <c r="F3570" t="s">
        <v>12</v>
      </c>
      <c r="G3570" t="s">
        <v>4961</v>
      </c>
      <c r="H3570">
        <v>0</v>
      </c>
      <c r="I3570">
        <v>1</v>
      </c>
      <c r="J3570">
        <v>0</v>
      </c>
      <c r="K3570">
        <v>0</v>
      </c>
      <c r="L3570">
        <v>0</v>
      </c>
    </row>
    <row r="3571" spans="1:12">
      <c r="A3571" t="str">
        <f>HYPERLINK("http://bombeiros.sp.gov.br/hidrantes/03individual/1630.html","1630")</f>
        <v>1630</v>
      </c>
      <c r="B3571" t="str">
        <f>HYPERLINK("http://bombeiros.sp.gov.br/hidrantes/08bsg/qrcodeBSG.html?id=1630&amp;lat=-23.53080&amp;long=-46.68381&amp;tipo=C","QRCODE")</f>
        <v>QRCODE</v>
      </c>
      <c r="C3571" t="s">
        <v>5351</v>
      </c>
      <c r="D3571" t="s">
        <v>1148</v>
      </c>
      <c r="E3571" t="s">
        <v>1148</v>
      </c>
      <c r="F3571" t="s">
        <v>12</v>
      </c>
      <c r="G3571" t="s">
        <v>5063</v>
      </c>
      <c r="H3571">
        <v>0</v>
      </c>
      <c r="I3571">
        <v>1</v>
      </c>
      <c r="J3571">
        <v>0</v>
      </c>
      <c r="K3571">
        <v>0</v>
      </c>
      <c r="L3571">
        <v>0</v>
      </c>
    </row>
    <row r="3572" spans="1:12">
      <c r="A3572" t="str">
        <f>HYPERLINK("http://bombeiros.sp.gov.br/hidrantes/03individual/2207.html","2207")</f>
        <v>2207</v>
      </c>
      <c r="B3572" t="str">
        <f>HYPERLINK("http://bombeiros.sp.gov.br/hidrantes/08bsg/qrcodeBSG.html?id=2207&amp;lat=-23.53525&amp;long=-46.68838&amp;tipo=C","QRCODE")</f>
        <v>QRCODE</v>
      </c>
      <c r="C3572" t="s">
        <v>5351</v>
      </c>
      <c r="D3572" t="s">
        <v>1148</v>
      </c>
      <c r="E3572" t="s">
        <v>1148</v>
      </c>
      <c r="F3572" t="s">
        <v>12</v>
      </c>
      <c r="G3572" t="s">
        <v>3194</v>
      </c>
      <c r="H3572">
        <v>0</v>
      </c>
      <c r="I3572">
        <v>2</v>
      </c>
      <c r="J3572">
        <v>0</v>
      </c>
      <c r="K3572">
        <v>0</v>
      </c>
      <c r="L3572">
        <v>0</v>
      </c>
    </row>
    <row r="3573" spans="1:12">
      <c r="A3573" t="str">
        <f>HYPERLINK("http://bombeiros.sp.gov.br/hidrantes/03individual/2212.html","2212")</f>
        <v>2212</v>
      </c>
      <c r="B3573" t="str">
        <f>HYPERLINK("http://bombeiros.sp.gov.br/hidrantes/08bsg/qrcodeBSG.html?id=2212&amp;lat=-23.53385&amp;long=-46.68193&amp;tipo=C","QRCODE")</f>
        <v>QRCODE</v>
      </c>
      <c r="C3573" t="s">
        <v>5351</v>
      </c>
      <c r="D3573" t="s">
        <v>1148</v>
      </c>
      <c r="E3573" t="s">
        <v>1148</v>
      </c>
      <c r="F3573" t="s">
        <v>12</v>
      </c>
      <c r="G3573" t="s">
        <v>5165</v>
      </c>
      <c r="H3573">
        <v>0</v>
      </c>
      <c r="I3573">
        <v>1</v>
      </c>
      <c r="J3573">
        <v>0</v>
      </c>
      <c r="K3573">
        <v>0</v>
      </c>
      <c r="L3573">
        <v>0</v>
      </c>
    </row>
    <row r="3574" spans="1:12">
      <c r="A3574" t="str">
        <f>HYPERLINK("http://bombeiros.sp.gov.br/hidrantes/03individual/2213.html","2213")</f>
        <v>2213</v>
      </c>
      <c r="B3574" t="str">
        <f>HYPERLINK("http://bombeiros.sp.gov.br/hidrantes/08bsg/qrcodeBSG.html?id=2213&amp;lat=-23.53690&amp;long=-46.67697&amp;tipo=C","QRCODE")</f>
        <v>QRCODE</v>
      </c>
      <c r="C3574" t="s">
        <v>5351</v>
      </c>
      <c r="D3574" t="s">
        <v>1148</v>
      </c>
      <c r="E3574" t="s">
        <v>1148</v>
      </c>
      <c r="F3574" t="s">
        <v>12</v>
      </c>
      <c r="G3574" t="s">
        <v>2897</v>
      </c>
      <c r="H3574">
        <v>0</v>
      </c>
      <c r="I3574">
        <v>2</v>
      </c>
      <c r="J3574">
        <v>0</v>
      </c>
      <c r="K3574">
        <v>0</v>
      </c>
      <c r="L3574">
        <v>0</v>
      </c>
    </row>
    <row r="3575" spans="1:12">
      <c r="A3575" t="str">
        <f>HYPERLINK("http://bombeiros.sp.gov.br/hidrantes/03individual/1692.html","1692")</f>
        <v>1692</v>
      </c>
      <c r="B3575" t="str">
        <f>HYPERLINK("http://bombeiros.sp.gov.br/hidrantes/08bsg/qrcodeBSG.html?id=1692&amp;lat=-23.52971&amp;long=-46.67783&amp;tipo=S","QRCODE")</f>
        <v>QRCODE</v>
      </c>
      <c r="C3575" t="s">
        <v>5351</v>
      </c>
      <c r="D3575" t="s">
        <v>1148</v>
      </c>
      <c r="E3575" t="s">
        <v>1148</v>
      </c>
      <c r="F3575" t="s">
        <v>21</v>
      </c>
      <c r="G3575" t="s">
        <v>1200</v>
      </c>
      <c r="H3575">
        <v>1</v>
      </c>
      <c r="I3575">
        <v>4</v>
      </c>
      <c r="J3575">
        <v>0</v>
      </c>
      <c r="K3575">
        <v>0</v>
      </c>
      <c r="L3575">
        <v>0</v>
      </c>
    </row>
    <row r="3576" spans="1:12">
      <c r="A3576" t="str">
        <f>HYPERLINK("http://bombeiros.sp.gov.br/hidrantes/03individual/2205.html","2205")</f>
        <v>2205</v>
      </c>
      <c r="B3576" t="str">
        <f>HYPERLINK("http://bombeiros.sp.gov.br/hidrantes/08bsg/qrcodeBSG.html?id=2205&amp;lat=-23.53251&amp;long=-46.68643&amp;tipo=S","QRCODE")</f>
        <v>QRCODE</v>
      </c>
      <c r="C3576" t="s">
        <v>5351</v>
      </c>
      <c r="D3576" t="s">
        <v>1148</v>
      </c>
      <c r="E3576" t="s">
        <v>1148</v>
      </c>
      <c r="F3576" t="s">
        <v>21</v>
      </c>
      <c r="G3576" t="s">
        <v>3191</v>
      </c>
      <c r="H3576">
        <v>0</v>
      </c>
      <c r="I3576">
        <v>2</v>
      </c>
      <c r="J3576">
        <v>0</v>
      </c>
      <c r="K3576">
        <v>0</v>
      </c>
      <c r="L3576">
        <v>0</v>
      </c>
    </row>
    <row r="3577" spans="1:12">
      <c r="A3577" t="str">
        <f>HYPERLINK("http://bombeiros.sp.gov.br/hidrantes/03individual/2206.html","2206")</f>
        <v>2206</v>
      </c>
      <c r="B3577" t="str">
        <f>HYPERLINK("http://bombeiros.sp.gov.br/hidrantes/08bsg/qrcodeBSG.html?id=2206&amp;lat=-23.53378&amp;long=-46.68629&amp;tipo=S","QRCODE")</f>
        <v>QRCODE</v>
      </c>
      <c r="C3577" t="s">
        <v>5351</v>
      </c>
      <c r="D3577" t="s">
        <v>1148</v>
      </c>
      <c r="E3577" t="s">
        <v>1148</v>
      </c>
      <c r="F3577" t="s">
        <v>21</v>
      </c>
      <c r="G3577" t="s">
        <v>3192</v>
      </c>
      <c r="H3577">
        <v>0</v>
      </c>
      <c r="I3577">
        <v>2</v>
      </c>
      <c r="J3577">
        <v>0</v>
      </c>
      <c r="K3577">
        <v>0</v>
      </c>
      <c r="L3577">
        <v>0</v>
      </c>
    </row>
    <row r="3578" spans="1:12">
      <c r="A3578" t="str">
        <f>HYPERLINK("http://bombeiros.sp.gov.br/hidrantes/03individual/2211.html","2211")</f>
        <v>2211</v>
      </c>
      <c r="B3578" t="str">
        <f>HYPERLINK("http://bombeiros.sp.gov.br/hidrantes/08bsg/qrcodeBSG.html?id=2211&amp;lat=-23.53422&amp;long=-46.68376&amp;tipo=S","QRCODE")</f>
        <v>QRCODE</v>
      </c>
      <c r="C3578" t="s">
        <v>5351</v>
      </c>
      <c r="D3578" t="s">
        <v>1148</v>
      </c>
      <c r="E3578" t="s">
        <v>1148</v>
      </c>
      <c r="F3578" t="s">
        <v>21</v>
      </c>
      <c r="G3578" t="s">
        <v>4255</v>
      </c>
      <c r="H3578">
        <v>0</v>
      </c>
      <c r="I3578">
        <v>1</v>
      </c>
      <c r="J3578">
        <v>0</v>
      </c>
      <c r="K3578">
        <v>0</v>
      </c>
      <c r="L3578">
        <v>0</v>
      </c>
    </row>
    <row r="3579" spans="1:12">
      <c r="A3579" t="str">
        <f>HYPERLINK("http://bombeiros.sp.gov.br/hidrantes/03individual/2215.html","2215")</f>
        <v>2215</v>
      </c>
      <c r="B3579" t="str">
        <f>HYPERLINK("http://bombeiros.sp.gov.br/hidrantes/08bsg/qrcodeBSG.html?id=2215&amp;lat=-23.53875&amp;long=-46.67770&amp;tipo=S","QRCODE")</f>
        <v>QRCODE</v>
      </c>
      <c r="C3579" t="s">
        <v>5351</v>
      </c>
      <c r="D3579" t="s">
        <v>1148</v>
      </c>
      <c r="E3579" t="s">
        <v>1148</v>
      </c>
      <c r="F3579" t="s">
        <v>21</v>
      </c>
      <c r="G3579" t="s">
        <v>1147</v>
      </c>
      <c r="H3579">
        <v>1</v>
      </c>
      <c r="I3579">
        <v>2</v>
      </c>
      <c r="J3579">
        <v>0</v>
      </c>
      <c r="K3579">
        <v>0</v>
      </c>
      <c r="L3579">
        <v>0</v>
      </c>
    </row>
    <row r="3580" spans="1:12">
      <c r="A3580" t="str">
        <f>HYPERLINK("http://bombeiros.sp.gov.br/hidrantes/03individual/2312.html","2312")</f>
        <v>2312</v>
      </c>
      <c r="B3580" t="str">
        <f>HYPERLINK("http://bombeiros.sp.gov.br/hidrantes/08bsg/qrcodeBSG.html?id=2312&amp;lat=-23.53036&amp;long=-46.68112&amp;tipo=S","QRCODE")</f>
        <v>QRCODE</v>
      </c>
      <c r="C3580" t="s">
        <v>5351</v>
      </c>
      <c r="D3580" t="s">
        <v>1148</v>
      </c>
      <c r="E3580" t="s">
        <v>1148</v>
      </c>
      <c r="F3580" t="s">
        <v>21</v>
      </c>
      <c r="G3580" t="s">
        <v>1483</v>
      </c>
      <c r="H3580">
        <v>0</v>
      </c>
      <c r="I3580">
        <v>2</v>
      </c>
      <c r="J3580">
        <v>0</v>
      </c>
      <c r="K3580">
        <v>0</v>
      </c>
      <c r="L3580">
        <v>0</v>
      </c>
    </row>
    <row r="3581" spans="1:12">
      <c r="A3581" t="str">
        <f>HYPERLINK("http://bombeiros.sp.gov.br/hidrantes/03individual/2314.html","2314")</f>
        <v>2314</v>
      </c>
      <c r="B3581" t="str">
        <f>HYPERLINK("http://bombeiros.sp.gov.br/hidrantes/08bsg/qrcodeBSG.html?id=2314&amp;lat=-23.53212&amp;long=-46.67890&amp;tipo=S","QRCODE")</f>
        <v>QRCODE</v>
      </c>
      <c r="C3581" t="s">
        <v>5351</v>
      </c>
      <c r="D3581" t="s">
        <v>1148</v>
      </c>
      <c r="E3581" t="s">
        <v>1148</v>
      </c>
      <c r="F3581" t="s">
        <v>21</v>
      </c>
      <c r="G3581" t="s">
        <v>3339</v>
      </c>
      <c r="H3581">
        <v>1</v>
      </c>
      <c r="I3581">
        <v>1</v>
      </c>
      <c r="J3581">
        <v>0</v>
      </c>
      <c r="K3581">
        <v>0</v>
      </c>
      <c r="L3581">
        <v>0</v>
      </c>
    </row>
    <row r="3582" spans="1:12">
      <c r="A3582" t="str">
        <f>HYPERLINK("http://bombeiros.sp.gov.br/hidrantes/03individual/2321.html","2321")</f>
        <v>2321</v>
      </c>
      <c r="B3582" t="str">
        <f>HYPERLINK("http://bombeiros.sp.gov.br/hidrantes/08bsg/qrcodeBSG.html?id=2321&amp;lat=-23.54045&amp;long=-46.67706&amp;tipo=S","QRCODE")</f>
        <v>QRCODE</v>
      </c>
      <c r="C3582" t="s">
        <v>5351</v>
      </c>
      <c r="D3582" t="s">
        <v>1148</v>
      </c>
      <c r="E3582" t="s">
        <v>1148</v>
      </c>
      <c r="F3582" t="s">
        <v>21</v>
      </c>
      <c r="G3582" t="s">
        <v>2906</v>
      </c>
      <c r="H3582">
        <v>0</v>
      </c>
      <c r="I3582">
        <v>2</v>
      </c>
      <c r="J3582">
        <v>0</v>
      </c>
      <c r="K3582">
        <v>0</v>
      </c>
      <c r="L3582">
        <v>0</v>
      </c>
    </row>
    <row r="3583" spans="1:12">
      <c r="A3583" t="str">
        <f>HYPERLINK("http://bombeiros.sp.gov.br/hidrantes/03individual/2323.html","2323")</f>
        <v>2323</v>
      </c>
      <c r="B3583" t="str">
        <f>HYPERLINK("http://bombeiros.sp.gov.br/hidrantes/08bsg/qrcodeBSG.html?id=2323&amp;lat=-23.53625&amp;long=-46.68054&amp;tipo=S","QRCODE")</f>
        <v>QRCODE</v>
      </c>
      <c r="C3583" t="s">
        <v>5351</v>
      </c>
      <c r="D3583" t="s">
        <v>1148</v>
      </c>
      <c r="E3583" t="s">
        <v>1148</v>
      </c>
      <c r="F3583" t="s">
        <v>21</v>
      </c>
      <c r="G3583" t="s">
        <v>2905</v>
      </c>
      <c r="H3583">
        <v>0</v>
      </c>
      <c r="I3583">
        <v>2</v>
      </c>
      <c r="J3583">
        <v>0</v>
      </c>
      <c r="K3583">
        <v>0</v>
      </c>
      <c r="L3583">
        <v>0</v>
      </c>
    </row>
    <row r="3584" spans="1:12">
      <c r="A3584" t="str">
        <f>HYPERLINK("http://bombeiros.sp.gov.br/hidrantes/03individual/16587.html","16587")</f>
        <v>16587</v>
      </c>
      <c r="B3584" t="str">
        <f>HYPERLINK("http://bombeiros.sp.gov.br/hidrantes/08bsg/qrcodeBSG.html?id=16587&amp;lat=-23.52856&amp;long=-46.67954&amp;tipo=S","QRCODE")</f>
        <v>QRCODE</v>
      </c>
      <c r="C3584" t="s">
        <v>5351</v>
      </c>
      <c r="D3584" t="s">
        <v>1148</v>
      </c>
      <c r="E3584" t="s">
        <v>1148</v>
      </c>
      <c r="F3584" t="s">
        <v>21</v>
      </c>
      <c r="G3584" t="s">
        <v>1494</v>
      </c>
      <c r="H3584">
        <v>1</v>
      </c>
      <c r="I3584">
        <v>2</v>
      </c>
      <c r="J3584">
        <v>0</v>
      </c>
      <c r="K3584">
        <v>0</v>
      </c>
      <c r="L3584">
        <v>0</v>
      </c>
    </row>
    <row r="3585" spans="1:12">
      <c r="A3585" t="str">
        <f>HYPERLINK("http://bombeiros.sp.gov.br/hidrantes/03individual/17655.html","17655")</f>
        <v>17655</v>
      </c>
      <c r="B3585" t="str">
        <f>HYPERLINK("http://bombeiros.sp.gov.br/hidrantes/08bsg/qrcodeBSG.html?id=17655&amp;lat=-23.52887&amp;long=-46.68110&amp;tipo=S","QRCODE")</f>
        <v>QRCODE</v>
      </c>
      <c r="C3585" t="s">
        <v>5351</v>
      </c>
      <c r="D3585" t="s">
        <v>1148</v>
      </c>
      <c r="E3585" t="s">
        <v>1148</v>
      </c>
      <c r="F3585" t="s">
        <v>21</v>
      </c>
      <c r="G3585" t="s">
        <v>4897</v>
      </c>
      <c r="H3585">
        <v>1</v>
      </c>
      <c r="I3585">
        <v>1</v>
      </c>
      <c r="J3585">
        <v>0</v>
      </c>
      <c r="K3585">
        <v>0</v>
      </c>
      <c r="L3585">
        <v>0</v>
      </c>
    </row>
    <row r="3586" spans="1:12">
      <c r="A3586" t="str">
        <f>HYPERLINK("http://bombeiros.sp.gov.br/hidrantes/03individual/1625.html","1625")</f>
        <v>1625</v>
      </c>
      <c r="B3586" t="str">
        <f>HYPERLINK("http://bombeiros.sp.gov.br/hidrantes/08bsg/qrcodeBSG.html?id=1625&amp;lat=-23.52716&amp;long=-46.68685&amp;tipo=C","QRCODE")</f>
        <v>QRCODE</v>
      </c>
      <c r="C3586" t="s">
        <v>5351</v>
      </c>
      <c r="D3586" t="s">
        <v>1148</v>
      </c>
      <c r="E3586" t="s">
        <v>1333</v>
      </c>
      <c r="F3586" t="s">
        <v>12</v>
      </c>
      <c r="G3586" t="s">
        <v>1437</v>
      </c>
      <c r="H3586">
        <v>0</v>
      </c>
      <c r="I3586">
        <v>2</v>
      </c>
      <c r="J3586">
        <v>0</v>
      </c>
      <c r="K3586">
        <v>0</v>
      </c>
      <c r="L3586">
        <v>0</v>
      </c>
    </row>
    <row r="3587" spans="1:12">
      <c r="A3587" t="str">
        <f>HYPERLINK("http://bombeiros.sp.gov.br/hidrantes/03individual/2209.html","2209")</f>
        <v>2209</v>
      </c>
      <c r="B3587" t="str">
        <f>HYPERLINK("http://bombeiros.sp.gov.br/hidrantes/08bsg/qrcodeBSG.html?id=2209&amp;lat=-23.53505&amp;long=-46.69106&amp;tipo=S","QRCODE")</f>
        <v>QRCODE</v>
      </c>
      <c r="C3587" t="s">
        <v>5351</v>
      </c>
      <c r="D3587" t="s">
        <v>1148</v>
      </c>
      <c r="E3587" t="s">
        <v>1333</v>
      </c>
      <c r="F3587" t="s">
        <v>21</v>
      </c>
      <c r="G3587" t="s">
        <v>4254</v>
      </c>
      <c r="H3587">
        <v>0</v>
      </c>
      <c r="I3587">
        <v>1</v>
      </c>
      <c r="J3587">
        <v>0</v>
      </c>
      <c r="K3587">
        <v>0</v>
      </c>
      <c r="L3587">
        <v>0</v>
      </c>
    </row>
    <row r="3588" spans="1:12">
      <c r="A3588" t="str">
        <f>HYPERLINK("http://bombeiros.sp.gov.br/hidrantes/03individual/2271.html","2271")</f>
        <v>2271</v>
      </c>
      <c r="B3588" t="str">
        <f>HYPERLINK("http://bombeiros.sp.gov.br/hidrantes/08bsg/qrcodeBSG.html?id=2271&amp;lat=-23.53382&amp;long=-46.68776&amp;tipo=S","QRCODE")</f>
        <v>QRCODE</v>
      </c>
      <c r="C3588" t="s">
        <v>5351</v>
      </c>
      <c r="D3588" t="s">
        <v>1148</v>
      </c>
      <c r="E3588" t="s">
        <v>1333</v>
      </c>
      <c r="F3588" t="s">
        <v>21</v>
      </c>
      <c r="G3588" t="s">
        <v>1332</v>
      </c>
      <c r="H3588">
        <v>1</v>
      </c>
      <c r="I3588">
        <v>2</v>
      </c>
      <c r="J3588">
        <v>0</v>
      </c>
      <c r="K3588">
        <v>0</v>
      </c>
      <c r="L3588">
        <v>0</v>
      </c>
    </row>
    <row r="3589" spans="1:12">
      <c r="A3589" t="str">
        <f>HYPERLINK("http://bombeiros.sp.gov.br/hidrantes/03individual/2337.html","2337")</f>
        <v>2337</v>
      </c>
      <c r="B3589" t="str">
        <f>HYPERLINK("http://bombeiros.sp.gov.br/hidrantes/08bsg/qrcodeBSG.html?id=2337&amp;lat=-23.52880&amp;long=-46.68419&amp;tipo=S","QRCODE")</f>
        <v>QRCODE</v>
      </c>
      <c r="C3589" t="s">
        <v>5351</v>
      </c>
      <c r="D3589" t="s">
        <v>1148</v>
      </c>
      <c r="E3589" t="s">
        <v>1333</v>
      </c>
      <c r="F3589" t="s">
        <v>21</v>
      </c>
      <c r="G3589" t="s">
        <v>3526</v>
      </c>
      <c r="H3589">
        <v>1</v>
      </c>
      <c r="I3589">
        <v>1</v>
      </c>
      <c r="J3589">
        <v>0</v>
      </c>
      <c r="K3589">
        <v>0</v>
      </c>
      <c r="L3589">
        <v>0</v>
      </c>
    </row>
    <row r="3590" spans="1:12">
      <c r="A3590" t="str">
        <f>HYPERLINK("http://bombeiros.sp.gov.br/hidrantes/03individual/27164.html","27164")</f>
        <v>27164</v>
      </c>
      <c r="B3590" t="str">
        <f>HYPERLINK("http://bombeiros.sp.gov.br/hidrantes/08bsg/qrcodeBSG.html?id=27164&amp;lat=-23.52826&amp;long=-46.68759&amp;tipo=S","QRCODE")</f>
        <v>QRCODE</v>
      </c>
      <c r="C3590" t="s">
        <v>5351</v>
      </c>
      <c r="D3590" t="s">
        <v>1148</v>
      </c>
      <c r="E3590" t="s">
        <v>1333</v>
      </c>
      <c r="F3590" t="s">
        <v>21</v>
      </c>
      <c r="G3590" t="s">
        <v>3409</v>
      </c>
      <c r="H3590">
        <v>0</v>
      </c>
      <c r="I3590">
        <v>1</v>
      </c>
      <c r="J3590">
        <v>0</v>
      </c>
      <c r="K3590">
        <v>0</v>
      </c>
      <c r="L3590">
        <v>0</v>
      </c>
    </row>
    <row r="3591" spans="1:12">
      <c r="A3591" t="str">
        <f>HYPERLINK("http://bombeiros.sp.gov.br/hidrantes/03individual/97.html","97")</f>
        <v>97</v>
      </c>
      <c r="B3591" t="str">
        <f>HYPERLINK("http://bombeiros.sp.gov.br/hidrantes/08bsg/qrcodeBSG.html?id=97&amp;lat=-23.54115&amp;long=-46.67099&amp;tipo=C","QRCODE")</f>
        <v>QRCODE</v>
      </c>
      <c r="C3591" t="s">
        <v>5351</v>
      </c>
      <c r="D3591" t="s">
        <v>1148</v>
      </c>
      <c r="E3591" t="s">
        <v>677</v>
      </c>
      <c r="F3591" t="s">
        <v>12</v>
      </c>
      <c r="G3591" t="s">
        <v>5253</v>
      </c>
      <c r="H3591">
        <v>1</v>
      </c>
      <c r="I3591">
        <v>0</v>
      </c>
      <c r="J3591">
        <v>0</v>
      </c>
      <c r="K3591">
        <v>0</v>
      </c>
      <c r="L3591">
        <v>0</v>
      </c>
    </row>
    <row r="3592" spans="1:12">
      <c r="A3592" t="str">
        <f>HYPERLINK("http://bombeiros.sp.gov.br/hidrantes/03individual/2216.html","2216")</f>
        <v>2216</v>
      </c>
      <c r="B3592" t="str">
        <f>HYPERLINK("http://bombeiros.sp.gov.br/hidrantes/08bsg/qrcodeBSG.html?id=2216&amp;lat=-23.53495&amp;long=-46.67177&amp;tipo=C","QRCODE")</f>
        <v>QRCODE</v>
      </c>
      <c r="C3592" t="s">
        <v>5351</v>
      </c>
      <c r="D3592" t="s">
        <v>1148</v>
      </c>
      <c r="E3592" t="s">
        <v>677</v>
      </c>
      <c r="F3592" t="s">
        <v>12</v>
      </c>
      <c r="G3592" t="s">
        <v>1149</v>
      </c>
      <c r="H3592">
        <v>1</v>
      </c>
      <c r="I3592">
        <v>3</v>
      </c>
      <c r="J3592">
        <v>0</v>
      </c>
      <c r="K3592">
        <v>0</v>
      </c>
      <c r="L3592">
        <v>0</v>
      </c>
    </row>
    <row r="3593" spans="1:12">
      <c r="A3593" t="str">
        <f>HYPERLINK("http://bombeiros.sp.gov.br/hidrantes/03individual/53.html","53")</f>
        <v>53</v>
      </c>
      <c r="B3593" t="str">
        <f>HYPERLINK("http://bombeiros.sp.gov.br/hidrantes/08bsg/qrcodeBSG.html?id=53&amp;lat=-23.53379&amp;long=-46.67088&amp;tipo=S","QRCODE")</f>
        <v>QRCODE</v>
      </c>
      <c r="C3593" t="s">
        <v>5351</v>
      </c>
      <c r="D3593" t="s">
        <v>1148</v>
      </c>
      <c r="E3593" t="s">
        <v>677</v>
      </c>
      <c r="F3593" t="s">
        <v>21</v>
      </c>
      <c r="G3593" t="s">
        <v>2816</v>
      </c>
      <c r="H3593">
        <v>0</v>
      </c>
      <c r="I3593">
        <v>2</v>
      </c>
      <c r="J3593">
        <v>0</v>
      </c>
      <c r="K3593">
        <v>0</v>
      </c>
      <c r="L3593">
        <v>0</v>
      </c>
    </row>
    <row r="3594" spans="1:12">
      <c r="A3594" t="str">
        <f>HYPERLINK("http://bombeiros.sp.gov.br/hidrantes/03individual/228.html","228")</f>
        <v>228</v>
      </c>
      <c r="B3594" t="str">
        <f>HYPERLINK("http://bombeiros.sp.gov.br/hidrantes/08bsg/qrcodeBSG.html?id=228&amp;lat=-23.54062&amp;long=-46.67397&amp;tipo=S","QRCODE")</f>
        <v>QRCODE</v>
      </c>
      <c r="C3594" t="s">
        <v>5351</v>
      </c>
      <c r="D3594" t="s">
        <v>1148</v>
      </c>
      <c r="E3594" t="s">
        <v>677</v>
      </c>
      <c r="F3594" t="s">
        <v>21</v>
      </c>
      <c r="G3594" t="s">
        <v>2253</v>
      </c>
      <c r="H3594">
        <v>1</v>
      </c>
      <c r="I3594">
        <v>2</v>
      </c>
      <c r="J3594">
        <v>0</v>
      </c>
      <c r="K3594">
        <v>0</v>
      </c>
      <c r="L3594">
        <v>0</v>
      </c>
    </row>
    <row r="3595" spans="1:12">
      <c r="A3595" t="str">
        <f>HYPERLINK("http://bombeiros.sp.gov.br/hidrantes/03individual/229.html","229")</f>
        <v>229</v>
      </c>
      <c r="B3595" t="str">
        <f>HYPERLINK("http://bombeiros.sp.gov.br/hidrantes/08bsg/qrcodeBSG.html?id=229&amp;lat=-23.53317&amp;long=-46.66919&amp;tipo=S","QRCODE")</f>
        <v>QRCODE</v>
      </c>
      <c r="C3595" t="s">
        <v>5351</v>
      </c>
      <c r="D3595" t="s">
        <v>1148</v>
      </c>
      <c r="E3595" t="s">
        <v>677</v>
      </c>
      <c r="F3595" t="s">
        <v>21</v>
      </c>
      <c r="G3595" t="s">
        <v>2821</v>
      </c>
      <c r="H3595">
        <v>0</v>
      </c>
      <c r="I3595">
        <v>2</v>
      </c>
      <c r="J3595">
        <v>0</v>
      </c>
      <c r="K3595">
        <v>0</v>
      </c>
      <c r="L3595">
        <v>0</v>
      </c>
    </row>
    <row r="3596" spans="1:12">
      <c r="A3596" t="str">
        <f>HYPERLINK("http://bombeiros.sp.gov.br/hidrantes/03individual/263.html","263")</f>
        <v>263</v>
      </c>
      <c r="B3596" t="str">
        <f>HYPERLINK("http://bombeiros.sp.gov.br/hidrantes/08bsg/qrcodeBSG.html?id=263&amp;lat=-23.53423&amp;long=-46.67291&amp;tipo=S","QRCODE")</f>
        <v>QRCODE</v>
      </c>
      <c r="C3596" t="s">
        <v>5351</v>
      </c>
      <c r="D3596" t="s">
        <v>1148</v>
      </c>
      <c r="E3596" t="s">
        <v>677</v>
      </c>
      <c r="F3596" t="s">
        <v>21</v>
      </c>
      <c r="G3596" t="s">
        <v>2822</v>
      </c>
      <c r="H3596">
        <v>0</v>
      </c>
      <c r="I3596">
        <v>2</v>
      </c>
      <c r="J3596">
        <v>0</v>
      </c>
      <c r="K3596">
        <v>0</v>
      </c>
      <c r="L3596">
        <v>0</v>
      </c>
    </row>
    <row r="3597" spans="1:12">
      <c r="A3597" t="str">
        <f>HYPERLINK("http://bombeiros.sp.gov.br/hidrantes/03individual/264.html","264")</f>
        <v>264</v>
      </c>
      <c r="B3597" t="str">
        <f>HYPERLINK("http://bombeiros.sp.gov.br/hidrantes/08bsg/qrcodeBSG.html?id=264&amp;lat=-23.53255&amp;long=-46.67178&amp;tipo=S","QRCODE")</f>
        <v>QRCODE</v>
      </c>
      <c r="C3597" t="s">
        <v>5351</v>
      </c>
      <c r="D3597" t="s">
        <v>1148</v>
      </c>
      <c r="E3597" t="s">
        <v>677</v>
      </c>
      <c r="F3597" t="s">
        <v>21</v>
      </c>
      <c r="G3597" t="s">
        <v>2823</v>
      </c>
      <c r="H3597">
        <v>0</v>
      </c>
      <c r="I3597">
        <v>2</v>
      </c>
      <c r="J3597">
        <v>0</v>
      </c>
      <c r="K3597">
        <v>0</v>
      </c>
      <c r="L3597">
        <v>0</v>
      </c>
    </row>
    <row r="3598" spans="1:12">
      <c r="A3598" t="str">
        <f>HYPERLINK("http://bombeiros.sp.gov.br/hidrantes/03individual/1242.html","1242")</f>
        <v>1242</v>
      </c>
      <c r="B3598" t="str">
        <f>HYPERLINK("http://bombeiros.sp.gov.br/hidrantes/08bsg/qrcodeBSG.html?id=1242&amp;lat=-23.53389&amp;long=-46.66720&amp;tipo=S","QRCODE")</f>
        <v>QRCODE</v>
      </c>
      <c r="C3598" t="s">
        <v>5351</v>
      </c>
      <c r="D3598" t="s">
        <v>1148</v>
      </c>
      <c r="E3598" t="s">
        <v>677</v>
      </c>
      <c r="F3598" t="s">
        <v>21</v>
      </c>
      <c r="G3598" t="s">
        <v>3556</v>
      </c>
      <c r="H3598">
        <v>1</v>
      </c>
      <c r="I3598">
        <v>1</v>
      </c>
      <c r="J3598">
        <v>0</v>
      </c>
      <c r="K3598">
        <v>0</v>
      </c>
      <c r="L3598">
        <v>0</v>
      </c>
    </row>
    <row r="3599" spans="1:12">
      <c r="A3599" t="str">
        <f>HYPERLINK("http://bombeiros.sp.gov.br/hidrantes/03individual/2218.html","2218")</f>
        <v>2218</v>
      </c>
      <c r="B3599" t="str">
        <f>HYPERLINK("http://bombeiros.sp.gov.br/hidrantes/08bsg/qrcodeBSG.html?id=2218&amp;lat=-23.53464&amp;long=-46.66960&amp;tipo=S","QRCODE")</f>
        <v>QRCODE</v>
      </c>
      <c r="C3599" t="s">
        <v>5351</v>
      </c>
      <c r="D3599" t="s">
        <v>1148</v>
      </c>
      <c r="E3599" t="s">
        <v>677</v>
      </c>
      <c r="F3599" t="s">
        <v>21</v>
      </c>
      <c r="G3599" t="s">
        <v>1875</v>
      </c>
      <c r="H3599">
        <v>0</v>
      </c>
      <c r="I3599">
        <v>2</v>
      </c>
      <c r="J3599">
        <v>0</v>
      </c>
      <c r="K3599">
        <v>0</v>
      </c>
      <c r="L3599">
        <v>0</v>
      </c>
    </row>
    <row r="3600" spans="1:12">
      <c r="A3600" t="str">
        <f>HYPERLINK("http://bombeiros.sp.gov.br/hidrantes/03individual/2222.html","2222")</f>
        <v>2222</v>
      </c>
      <c r="B3600" t="str">
        <f>HYPERLINK("http://bombeiros.sp.gov.br/hidrantes/08bsg/qrcodeBSG.html?id=2222&amp;lat=-23.53531&amp;long=-46.66812&amp;tipo=S","QRCODE")</f>
        <v>QRCODE</v>
      </c>
      <c r="C3600" t="s">
        <v>5351</v>
      </c>
      <c r="D3600" t="s">
        <v>1148</v>
      </c>
      <c r="E3600" t="s">
        <v>677</v>
      </c>
      <c r="F3600" t="s">
        <v>21</v>
      </c>
      <c r="G3600" t="s">
        <v>3529</v>
      </c>
      <c r="H3600">
        <v>1</v>
      </c>
      <c r="I3600">
        <v>1</v>
      </c>
      <c r="J3600">
        <v>0</v>
      </c>
      <c r="K3600">
        <v>0</v>
      </c>
      <c r="L3600">
        <v>0</v>
      </c>
    </row>
    <row r="3601" spans="1:12">
      <c r="A3601" t="str">
        <f>HYPERLINK("http://bombeiros.sp.gov.br/hidrantes/03individual/2224.html","2224")</f>
        <v>2224</v>
      </c>
      <c r="B3601" t="str">
        <f>HYPERLINK("http://bombeiros.sp.gov.br/hidrantes/08bsg/qrcodeBSG.html?id=2224&amp;lat=-23.53723&amp;long=-46.66796&amp;tipo=S","QRCODE")</f>
        <v>QRCODE</v>
      </c>
      <c r="C3601" t="s">
        <v>5351</v>
      </c>
      <c r="D3601" t="s">
        <v>1148</v>
      </c>
      <c r="E3601" t="s">
        <v>677</v>
      </c>
      <c r="F3601" t="s">
        <v>21</v>
      </c>
      <c r="G3601" t="s">
        <v>676</v>
      </c>
      <c r="H3601">
        <v>0</v>
      </c>
      <c r="I3601">
        <v>2</v>
      </c>
      <c r="J3601">
        <v>0</v>
      </c>
      <c r="K3601">
        <v>0</v>
      </c>
      <c r="L3601">
        <v>0</v>
      </c>
    </row>
    <row r="3602" spans="1:12">
      <c r="A3602" t="str">
        <f>HYPERLINK("http://bombeiros.sp.gov.br/hidrantes/03individual/2709.html","2709")</f>
        <v>2709</v>
      </c>
      <c r="B3602" t="str">
        <f>HYPERLINK("http://bombeiros.sp.gov.br/hidrantes/08bsg/qrcodeBSG.html?id=2709&amp;lat=-23.53844&amp;long=-46.66890&amp;tipo=S","QRCODE")</f>
        <v>QRCODE</v>
      </c>
      <c r="C3602" t="s">
        <v>5351</v>
      </c>
      <c r="D3602" t="s">
        <v>1148</v>
      </c>
      <c r="E3602" t="s">
        <v>677</v>
      </c>
      <c r="F3602" t="s">
        <v>21</v>
      </c>
      <c r="G3602" t="s">
        <v>2203</v>
      </c>
      <c r="H3602">
        <v>0</v>
      </c>
      <c r="I3602">
        <v>2</v>
      </c>
      <c r="J3602">
        <v>0</v>
      </c>
      <c r="K3602">
        <v>0</v>
      </c>
      <c r="L3602">
        <v>0</v>
      </c>
    </row>
    <row r="3603" spans="1:12">
      <c r="A3603" t="str">
        <f>HYPERLINK("http://bombeiros.sp.gov.br/hidrantes/03individual/2731.html","2731")</f>
        <v>2731</v>
      </c>
      <c r="B3603" t="str">
        <f>HYPERLINK("http://bombeiros.sp.gov.br/hidrantes/08bsg/qrcodeBSG.html?id=2731&amp;lat=-23.53652&amp;long=-46.66904&amp;tipo=S","QRCODE")</f>
        <v>QRCODE</v>
      </c>
      <c r="C3603" t="s">
        <v>5351</v>
      </c>
      <c r="D3603" t="s">
        <v>1148</v>
      </c>
      <c r="E3603" t="s">
        <v>677</v>
      </c>
      <c r="F3603" t="s">
        <v>21</v>
      </c>
      <c r="G3603" t="s">
        <v>3673</v>
      </c>
      <c r="H3603">
        <v>1</v>
      </c>
      <c r="I3603">
        <v>2</v>
      </c>
      <c r="J3603">
        <v>0</v>
      </c>
      <c r="K3603">
        <v>0</v>
      </c>
      <c r="L3603">
        <v>0</v>
      </c>
    </row>
    <row r="3604" spans="1:12">
      <c r="A3604" t="str">
        <f>HYPERLINK("http://bombeiros.sp.gov.br/hidrantes/03individual/2735.html","2735")</f>
        <v>2735</v>
      </c>
      <c r="B3604" t="str">
        <f>HYPERLINK("http://bombeiros.sp.gov.br/hidrantes/08bsg/qrcodeBSG.html?id=2735&amp;lat=-23.53600&amp;long=-46.67030&amp;tipo=S","QRCODE")</f>
        <v>QRCODE</v>
      </c>
      <c r="C3604" t="s">
        <v>5351</v>
      </c>
      <c r="D3604" t="s">
        <v>1148</v>
      </c>
      <c r="E3604" t="s">
        <v>677</v>
      </c>
      <c r="F3604" t="s">
        <v>21</v>
      </c>
      <c r="G3604" t="s">
        <v>2775</v>
      </c>
      <c r="H3604">
        <v>0</v>
      </c>
      <c r="I3604">
        <v>2</v>
      </c>
      <c r="J3604">
        <v>0</v>
      </c>
      <c r="K3604">
        <v>0</v>
      </c>
      <c r="L3604">
        <v>0</v>
      </c>
    </row>
    <row r="3605" spans="1:12">
      <c r="A3605" t="str">
        <f>HYPERLINK("http://bombeiros.sp.gov.br/hidrantes/03individual/2103.html","2103")</f>
        <v>2103</v>
      </c>
      <c r="B3605" t="str">
        <f>HYPERLINK("http://bombeiros.sp.gov.br/hidrantes/08bsg/qrcodeBSG.html?id=2103&amp;lat=-23.54272&amp;long=-46.68242&amp;tipo=C","QRCODE")</f>
        <v>QRCODE</v>
      </c>
      <c r="C3605" t="s">
        <v>5351</v>
      </c>
      <c r="D3605" t="s">
        <v>1148</v>
      </c>
      <c r="E3605" t="s">
        <v>1306</v>
      </c>
      <c r="F3605" t="s">
        <v>12</v>
      </c>
      <c r="G3605" t="s">
        <v>1379</v>
      </c>
      <c r="H3605">
        <v>1</v>
      </c>
      <c r="I3605">
        <v>2</v>
      </c>
      <c r="J3605">
        <v>0</v>
      </c>
      <c r="K3605">
        <v>0</v>
      </c>
      <c r="L3605">
        <v>0</v>
      </c>
    </row>
    <row r="3606" spans="1:12">
      <c r="A3606" t="str">
        <f>HYPERLINK("http://bombeiros.sp.gov.br/hidrantes/03individual/2244.html","2244")</f>
        <v>2244</v>
      </c>
      <c r="B3606" t="str">
        <f>HYPERLINK("http://bombeiros.sp.gov.br/hidrantes/08bsg/qrcodeBSG.html?id=2244&amp;lat=-23.54738&amp;long=-46.68099&amp;tipo=C","QRCODE")</f>
        <v>QRCODE</v>
      </c>
      <c r="C3606" t="s">
        <v>5351</v>
      </c>
      <c r="D3606" t="s">
        <v>1148</v>
      </c>
      <c r="E3606" t="s">
        <v>1306</v>
      </c>
      <c r="F3606" t="s">
        <v>12</v>
      </c>
      <c r="G3606" t="s">
        <v>1305</v>
      </c>
      <c r="H3606">
        <v>1</v>
      </c>
      <c r="I3606">
        <v>2</v>
      </c>
      <c r="J3606">
        <v>0</v>
      </c>
      <c r="K3606">
        <v>0</v>
      </c>
      <c r="L3606">
        <v>0</v>
      </c>
    </row>
    <row r="3607" spans="1:12">
      <c r="A3607" t="str">
        <f>HYPERLINK("http://bombeiros.sp.gov.br/hidrantes/03individual/1943.html","1943")</f>
        <v>1943</v>
      </c>
      <c r="B3607" t="str">
        <f>HYPERLINK("http://bombeiros.sp.gov.br/hidrantes/08bsg/qrcodeBSG.html?id=1943&amp;lat=-23.54336&amp;long=-46.68426&amp;tipo=S","QRCODE")</f>
        <v>QRCODE</v>
      </c>
      <c r="C3607" t="s">
        <v>5351</v>
      </c>
      <c r="D3607" t="s">
        <v>1148</v>
      </c>
      <c r="E3607" t="s">
        <v>1306</v>
      </c>
      <c r="F3607" t="s">
        <v>21</v>
      </c>
      <c r="G3607" t="s">
        <v>1386</v>
      </c>
      <c r="H3607">
        <v>2</v>
      </c>
      <c r="I3607">
        <v>2</v>
      </c>
      <c r="J3607">
        <v>0</v>
      </c>
      <c r="K3607">
        <v>0</v>
      </c>
      <c r="L3607">
        <v>0</v>
      </c>
    </row>
    <row r="3608" spans="1:12">
      <c r="A3608" t="str">
        <f>HYPERLINK("http://bombeiros.sp.gov.br/hidrantes/03individual/1945.html","1945")</f>
        <v>1945</v>
      </c>
      <c r="B3608" t="str">
        <f>HYPERLINK("http://bombeiros.sp.gov.br/hidrantes/08bsg/qrcodeBSG.html?id=1945&amp;lat=-23.54318&amp;long=-46.68446&amp;tipo=S","QRCODE")</f>
        <v>QRCODE</v>
      </c>
      <c r="C3608" t="s">
        <v>5351</v>
      </c>
      <c r="D3608" t="s">
        <v>1148</v>
      </c>
      <c r="E3608" t="s">
        <v>1306</v>
      </c>
      <c r="F3608" t="s">
        <v>21</v>
      </c>
      <c r="G3608" t="s">
        <v>1387</v>
      </c>
      <c r="H3608">
        <v>1</v>
      </c>
      <c r="I3608">
        <v>2</v>
      </c>
      <c r="J3608">
        <v>0</v>
      </c>
      <c r="K3608">
        <v>0</v>
      </c>
      <c r="L3608">
        <v>0</v>
      </c>
    </row>
    <row r="3609" spans="1:12">
      <c r="A3609" t="str">
        <f>HYPERLINK("http://bombeiros.sp.gov.br/hidrantes/03individual/2142.html","2142")</f>
        <v>2142</v>
      </c>
      <c r="B3609" t="str">
        <f>HYPERLINK("http://bombeiros.sp.gov.br/hidrantes/08bsg/qrcodeBSG.html?id=2142&amp;lat=-23.54324&amp;long=-46.68981&amp;tipo=S","QRCODE")</f>
        <v>QRCODE</v>
      </c>
      <c r="C3609" t="s">
        <v>5351</v>
      </c>
      <c r="D3609" t="s">
        <v>1148</v>
      </c>
      <c r="E3609" t="s">
        <v>1306</v>
      </c>
      <c r="F3609" t="s">
        <v>21</v>
      </c>
      <c r="G3609" t="s">
        <v>2807</v>
      </c>
      <c r="H3609">
        <v>0</v>
      </c>
      <c r="I3609">
        <v>2</v>
      </c>
      <c r="J3609">
        <v>0</v>
      </c>
      <c r="K3609">
        <v>0</v>
      </c>
      <c r="L3609">
        <v>0</v>
      </c>
    </row>
    <row r="3610" spans="1:12">
      <c r="A3610" t="str">
        <f>HYPERLINK("http://bombeiros.sp.gov.br/hidrantes/03individual/2239.html","2239")</f>
        <v>2239</v>
      </c>
      <c r="B3610" t="str">
        <f>HYPERLINK("http://bombeiros.sp.gov.br/hidrantes/08bsg/qrcodeBSG.html?id=2239&amp;lat=-23.54861&amp;long=-46.68055&amp;tipo=S","QRCODE")</f>
        <v>QRCODE</v>
      </c>
      <c r="C3610" t="s">
        <v>5351</v>
      </c>
      <c r="D3610" t="s">
        <v>1148</v>
      </c>
      <c r="E3610" t="s">
        <v>1306</v>
      </c>
      <c r="F3610" t="s">
        <v>21</v>
      </c>
      <c r="G3610" t="s">
        <v>4957</v>
      </c>
      <c r="H3610">
        <v>0</v>
      </c>
      <c r="I3610">
        <v>1</v>
      </c>
      <c r="J3610">
        <v>0</v>
      </c>
      <c r="K3610">
        <v>0</v>
      </c>
      <c r="L3610">
        <v>0</v>
      </c>
    </row>
    <row r="3611" spans="1:12">
      <c r="A3611" t="str">
        <f>HYPERLINK("http://bombeiros.sp.gov.br/hidrantes/03individual/2290.html","2290")</f>
        <v>2290</v>
      </c>
      <c r="B3611" t="str">
        <f>HYPERLINK("http://bombeiros.sp.gov.br/hidrantes/08bsg/qrcodeBSG.html?id=2290&amp;lat=-23.53836&amp;long=-46.69002&amp;tipo=S","QRCODE")</f>
        <v>QRCODE</v>
      </c>
      <c r="C3611" t="s">
        <v>5351</v>
      </c>
      <c r="D3611" t="s">
        <v>1148</v>
      </c>
      <c r="E3611" t="s">
        <v>1306</v>
      </c>
      <c r="F3611" t="s">
        <v>21</v>
      </c>
      <c r="G3611" t="s">
        <v>5164</v>
      </c>
      <c r="H3611">
        <v>0</v>
      </c>
      <c r="I3611">
        <v>1</v>
      </c>
      <c r="J3611">
        <v>0</v>
      </c>
      <c r="K3611">
        <v>0</v>
      </c>
      <c r="L3611">
        <v>0</v>
      </c>
    </row>
    <row r="3612" spans="1:12">
      <c r="A3612" t="str">
        <f>HYPERLINK("http://bombeiros.sp.gov.br/hidrantes/03individual/2923.html","2923")</f>
        <v>2923</v>
      </c>
      <c r="B3612" t="str">
        <f>HYPERLINK("http://bombeiros.sp.gov.br/hidrantes/08bsg/qrcodeBSG.html?id=2923&amp;lat=-23.53772&amp;long=-46.68740&amp;tipo=S","QRCODE")</f>
        <v>QRCODE</v>
      </c>
      <c r="C3612" t="s">
        <v>5351</v>
      </c>
      <c r="D3612" t="s">
        <v>1148</v>
      </c>
      <c r="E3612" t="s">
        <v>1306</v>
      </c>
      <c r="F3612" t="s">
        <v>21</v>
      </c>
      <c r="G3612" t="s">
        <v>3201</v>
      </c>
      <c r="H3612">
        <v>1</v>
      </c>
      <c r="I3612">
        <v>2</v>
      </c>
      <c r="J3612">
        <v>0</v>
      </c>
      <c r="K3612">
        <v>0</v>
      </c>
      <c r="L3612">
        <v>0</v>
      </c>
    </row>
    <row r="3613" spans="1:12">
      <c r="A3613" t="str">
        <f>HYPERLINK("http://bombeiros.sp.gov.br/hidrantes/03individual/2929.html","2929")</f>
        <v>2929</v>
      </c>
      <c r="B3613" t="str">
        <f>HYPERLINK("http://bombeiros.sp.gov.br/hidrantes/08bsg/qrcodeBSG.html?id=2929&amp;lat=-23.53847&amp;long=-46.68793&amp;tipo=S","QRCODE")</f>
        <v>QRCODE</v>
      </c>
      <c r="C3613" t="s">
        <v>5351</v>
      </c>
      <c r="D3613" t="s">
        <v>1148</v>
      </c>
      <c r="E3613" t="s">
        <v>1306</v>
      </c>
      <c r="F3613" t="s">
        <v>21</v>
      </c>
      <c r="G3613" t="s">
        <v>2884</v>
      </c>
      <c r="H3613">
        <v>0</v>
      </c>
      <c r="I3613">
        <v>2</v>
      </c>
      <c r="J3613">
        <v>0</v>
      </c>
      <c r="K3613">
        <v>0</v>
      </c>
      <c r="L3613">
        <v>0</v>
      </c>
    </row>
    <row r="3614" spans="1:12">
      <c r="A3614" t="str">
        <f>HYPERLINK("http://bombeiros.sp.gov.br/hidrantes/03individual/4285.html","4285")</f>
        <v>4285</v>
      </c>
      <c r="B3614" t="str">
        <f>HYPERLINK("http://bombeiros.sp.gov.br/hidrantes/08bsg/qrcodeBSG.html?id=4285&amp;lat=-23.53566&amp;long=-46.69165&amp;tipo=C","QRCODE")</f>
        <v>QRCODE</v>
      </c>
      <c r="C3614" t="s">
        <v>5351</v>
      </c>
      <c r="D3614" t="s">
        <v>1148</v>
      </c>
      <c r="E3614" t="s">
        <v>667</v>
      </c>
      <c r="F3614" t="s">
        <v>12</v>
      </c>
      <c r="G3614" t="s">
        <v>3207</v>
      </c>
      <c r="H3614">
        <v>0</v>
      </c>
      <c r="I3614">
        <v>2</v>
      </c>
      <c r="J3614">
        <v>0</v>
      </c>
      <c r="K3614">
        <v>0</v>
      </c>
      <c r="L3614">
        <v>0</v>
      </c>
    </row>
    <row r="3615" spans="1:12">
      <c r="A3615" t="str">
        <f>HYPERLINK("http://bombeiros.sp.gov.br/hidrantes/03individual/1734.html","1734")</f>
        <v>1734</v>
      </c>
      <c r="B3615" t="str">
        <f>HYPERLINK("http://bombeiros.sp.gov.br/hidrantes/08bsg/qrcodeBSG.html?id=1734&amp;lat=-23.53698&amp;long=-46.69645&amp;tipo=S","QRCODE")</f>
        <v>QRCODE</v>
      </c>
      <c r="C3615" t="s">
        <v>5351</v>
      </c>
      <c r="D3615" t="s">
        <v>1148</v>
      </c>
      <c r="E3615" t="s">
        <v>667</v>
      </c>
      <c r="F3615" t="s">
        <v>21</v>
      </c>
      <c r="G3615" t="s">
        <v>2812</v>
      </c>
      <c r="H3615">
        <v>0</v>
      </c>
      <c r="I3615">
        <v>3</v>
      </c>
      <c r="J3615">
        <v>0</v>
      </c>
      <c r="K3615">
        <v>0</v>
      </c>
      <c r="L3615">
        <v>0</v>
      </c>
    </row>
    <row r="3616" spans="1:12">
      <c r="A3616" t="str">
        <f>HYPERLINK("http://bombeiros.sp.gov.br/hidrantes/03individual/2252.html","2252")</f>
        <v>2252</v>
      </c>
      <c r="B3616" t="str">
        <f>HYPERLINK("http://bombeiros.sp.gov.br/hidrantes/08bsg/qrcodeBSG.html?id=2252&amp;lat=-23.53744&amp;long=-46.69464&amp;tipo=S","QRCODE")</f>
        <v>QRCODE</v>
      </c>
      <c r="C3616" t="s">
        <v>5351</v>
      </c>
      <c r="D3616" t="s">
        <v>1148</v>
      </c>
      <c r="E3616" t="s">
        <v>667</v>
      </c>
      <c r="F3616" t="s">
        <v>21</v>
      </c>
      <c r="G3616" t="s">
        <v>2773</v>
      </c>
      <c r="H3616">
        <v>0</v>
      </c>
      <c r="I3616">
        <v>2</v>
      </c>
      <c r="J3616">
        <v>0</v>
      </c>
      <c r="K3616">
        <v>0</v>
      </c>
      <c r="L3616">
        <v>0</v>
      </c>
    </row>
    <row r="3617" spans="1:12">
      <c r="A3617" t="str">
        <f>HYPERLINK("http://bombeiros.sp.gov.br/hidrantes/03individual/2711.html","2711")</f>
        <v>2711</v>
      </c>
      <c r="B3617" t="str">
        <f>HYPERLINK("http://bombeiros.sp.gov.br/hidrantes/08bsg/qrcodeBSG.html?id=2711&amp;lat=-23.54181&amp;long=-46.69236&amp;tipo=S","QRCODE")</f>
        <v>QRCODE</v>
      </c>
      <c r="C3617" t="s">
        <v>5351</v>
      </c>
      <c r="D3617" t="s">
        <v>1148</v>
      </c>
      <c r="E3617" t="s">
        <v>667</v>
      </c>
      <c r="F3617" t="s">
        <v>21</v>
      </c>
      <c r="G3617" t="s">
        <v>2777</v>
      </c>
      <c r="H3617">
        <v>0</v>
      </c>
      <c r="I3617">
        <v>2</v>
      </c>
      <c r="J3617">
        <v>0</v>
      </c>
      <c r="K3617">
        <v>0</v>
      </c>
      <c r="L3617">
        <v>0</v>
      </c>
    </row>
    <row r="3618" spans="1:12">
      <c r="A3618" t="str">
        <f>HYPERLINK("http://bombeiros.sp.gov.br/hidrantes/03individual/2932.html","2932")</f>
        <v>2932</v>
      </c>
      <c r="B3618" t="str">
        <f>HYPERLINK("http://bombeiros.sp.gov.br/hidrantes/08bsg/qrcodeBSG.html?id=2932&amp;lat=-23.54330&amp;long=-46.69213&amp;tipo=S","QRCODE")</f>
        <v>QRCODE</v>
      </c>
      <c r="C3618" t="s">
        <v>5351</v>
      </c>
      <c r="D3618" t="s">
        <v>1148</v>
      </c>
      <c r="E3618" t="s">
        <v>667</v>
      </c>
      <c r="F3618" t="s">
        <v>21</v>
      </c>
      <c r="G3618" t="s">
        <v>2784</v>
      </c>
      <c r="H3618">
        <v>0</v>
      </c>
      <c r="I3618">
        <v>2</v>
      </c>
      <c r="J3618">
        <v>0</v>
      </c>
      <c r="K3618">
        <v>0</v>
      </c>
      <c r="L3618">
        <v>0</v>
      </c>
    </row>
    <row r="3619" spans="1:12">
      <c r="A3619" t="str">
        <f>HYPERLINK("http://bombeiros.sp.gov.br/hidrantes/03individual/17704.html","17704")</f>
        <v>17704</v>
      </c>
      <c r="B3619" t="str">
        <f>HYPERLINK("http://bombeiros.sp.gov.br/hidrantes/08bsg/qrcodeBSG.html?id=17704&amp;lat=-23.54200&amp;long=-46.69388&amp;tipo=S","QRCODE")</f>
        <v>QRCODE</v>
      </c>
      <c r="C3619" t="s">
        <v>5351</v>
      </c>
      <c r="D3619" t="s">
        <v>1148</v>
      </c>
      <c r="E3619" t="s">
        <v>667</v>
      </c>
      <c r="F3619" t="s">
        <v>21</v>
      </c>
      <c r="G3619" t="s">
        <v>3911</v>
      </c>
      <c r="H3619">
        <v>1</v>
      </c>
      <c r="I3619">
        <v>1</v>
      </c>
      <c r="J3619">
        <v>0</v>
      </c>
      <c r="K3619">
        <v>0</v>
      </c>
      <c r="L3619">
        <v>0</v>
      </c>
    </row>
    <row r="3620" spans="1:12">
      <c r="A3620" t="str">
        <f>HYPERLINK("http://bombeiros.sp.gov.br/hidrantes/03individual/17778.html","17778")</f>
        <v>17778</v>
      </c>
      <c r="B3620" t="str">
        <f>HYPERLINK("http://bombeiros.sp.gov.br/hidrantes/08bsg/qrcodeBSG.html?id=17778&amp;lat=-23.54106&amp;long=-46.69521&amp;tipo=S","QRCODE")</f>
        <v>QRCODE</v>
      </c>
      <c r="C3620" t="s">
        <v>5351</v>
      </c>
      <c r="D3620" t="s">
        <v>1148</v>
      </c>
      <c r="E3620" t="s">
        <v>667</v>
      </c>
      <c r="F3620" t="s">
        <v>21</v>
      </c>
      <c r="G3620" t="s">
        <v>666</v>
      </c>
      <c r="H3620">
        <v>1</v>
      </c>
      <c r="I3620">
        <v>2</v>
      </c>
      <c r="J3620">
        <v>0</v>
      </c>
      <c r="K3620">
        <v>0</v>
      </c>
      <c r="L3620">
        <v>0</v>
      </c>
    </row>
    <row r="3621" spans="1:12">
      <c r="A3621" t="str">
        <f>HYPERLINK("http://bombeiros.sp.gov.br/hidrantes/03individual/1539.html","1539")</f>
        <v>1539</v>
      </c>
      <c r="B3621" t="str">
        <f>HYPERLINK("http://bombeiros.sp.gov.br/hidrantes/08bsg/qrcodeBSG.html?id=1539&amp;lat=-23.54500&amp;long=-46.67407&amp;tipo=C","QRCODE")</f>
        <v>QRCODE</v>
      </c>
      <c r="C3621" t="s">
        <v>5351</v>
      </c>
      <c r="D3621" t="s">
        <v>1148</v>
      </c>
      <c r="E3621" t="s">
        <v>1142</v>
      </c>
      <c r="F3621" t="s">
        <v>12</v>
      </c>
      <c r="G3621" t="s">
        <v>2637</v>
      </c>
      <c r="H3621">
        <v>0</v>
      </c>
      <c r="I3621">
        <v>3</v>
      </c>
      <c r="J3621">
        <v>0</v>
      </c>
      <c r="K3621">
        <v>0</v>
      </c>
      <c r="L3621">
        <v>0</v>
      </c>
    </row>
    <row r="3622" spans="1:12">
      <c r="A3622" t="str">
        <f>HYPERLINK("http://bombeiros.sp.gov.br/hidrantes/03individual/159.html","159")</f>
        <v>159</v>
      </c>
      <c r="B3622" t="str">
        <f>HYPERLINK("http://bombeiros.sp.gov.br/hidrantes/08bsg/qrcodeBSG.html?id=159&amp;lat=-23.54892&amp;long=-46.67505&amp;tipo=S","QRCODE")</f>
        <v>QRCODE</v>
      </c>
      <c r="C3622" t="s">
        <v>5351</v>
      </c>
      <c r="D3622" t="s">
        <v>1148</v>
      </c>
      <c r="E3622" t="s">
        <v>1142</v>
      </c>
      <c r="F3622" t="s">
        <v>21</v>
      </c>
      <c r="G3622" t="s">
        <v>1241</v>
      </c>
      <c r="H3622">
        <v>0</v>
      </c>
      <c r="I3622">
        <v>4</v>
      </c>
      <c r="J3622">
        <v>0</v>
      </c>
      <c r="K3622">
        <v>0</v>
      </c>
      <c r="L3622">
        <v>0</v>
      </c>
    </row>
    <row r="3623" spans="1:12">
      <c r="A3623" t="str">
        <f>HYPERLINK("http://bombeiros.sp.gov.br/hidrantes/03individual/231.html","231")</f>
        <v>231</v>
      </c>
      <c r="B3623" t="str">
        <f>HYPERLINK("http://bombeiros.sp.gov.br/hidrantes/08bsg/qrcodeBSG.html?id=231&amp;lat=-23.54500&amp;long=-46.67370&amp;tipo=S","QRCODE")</f>
        <v>QRCODE</v>
      </c>
      <c r="C3623" t="s">
        <v>5351</v>
      </c>
      <c r="D3623" t="s">
        <v>1148</v>
      </c>
      <c r="E3623" t="s">
        <v>1142</v>
      </c>
      <c r="F3623" t="s">
        <v>21</v>
      </c>
      <c r="G3623" t="s">
        <v>1223</v>
      </c>
      <c r="H3623">
        <v>0</v>
      </c>
      <c r="I3623">
        <v>3</v>
      </c>
      <c r="J3623">
        <v>0</v>
      </c>
      <c r="K3623">
        <v>0</v>
      </c>
      <c r="L3623">
        <v>0</v>
      </c>
    </row>
    <row r="3624" spans="1:12">
      <c r="A3624" t="str">
        <f>HYPERLINK("http://bombeiros.sp.gov.br/hidrantes/03individual/1572.html","1572")</f>
        <v>1572</v>
      </c>
      <c r="B3624" t="str">
        <f>HYPERLINK("http://bombeiros.sp.gov.br/hidrantes/08bsg/qrcodeBSG.html?id=1572&amp;lat=-23.54410&amp;long=-46.67336&amp;tipo=S","QRCODE")</f>
        <v>QRCODE</v>
      </c>
      <c r="C3624" t="s">
        <v>5351</v>
      </c>
      <c r="D3624" t="s">
        <v>1148</v>
      </c>
      <c r="E3624" t="s">
        <v>1142</v>
      </c>
      <c r="F3624" t="s">
        <v>21</v>
      </c>
      <c r="G3624" t="s">
        <v>2873</v>
      </c>
      <c r="H3624">
        <v>0</v>
      </c>
      <c r="I3624">
        <v>3</v>
      </c>
      <c r="J3624">
        <v>0</v>
      </c>
      <c r="K3624">
        <v>0</v>
      </c>
      <c r="L3624">
        <v>0</v>
      </c>
    </row>
    <row r="3625" spans="1:12">
      <c r="A3625" t="str">
        <f>HYPERLINK("http://bombeiros.sp.gov.br/hidrantes/03individual/2260.html","2260")</f>
        <v>2260</v>
      </c>
      <c r="B3625" t="str">
        <f>HYPERLINK("http://bombeiros.sp.gov.br/hidrantes/08bsg/qrcodeBSG.html?id=2260&amp;lat=-23.54824&amp;long=-46.67337&amp;tipo=S","QRCODE")</f>
        <v>QRCODE</v>
      </c>
      <c r="C3625" t="s">
        <v>5351</v>
      </c>
      <c r="D3625" t="s">
        <v>1148</v>
      </c>
      <c r="E3625" t="s">
        <v>1142</v>
      </c>
      <c r="F3625" t="s">
        <v>21</v>
      </c>
      <c r="G3625" t="s">
        <v>1141</v>
      </c>
      <c r="H3625">
        <v>0</v>
      </c>
      <c r="I3625">
        <v>3</v>
      </c>
      <c r="J3625">
        <v>0</v>
      </c>
      <c r="K3625">
        <v>0</v>
      </c>
      <c r="L3625">
        <v>0</v>
      </c>
    </row>
    <row r="3626" spans="1:12">
      <c r="A3626" t="str">
        <f>HYPERLINK("http://bombeiros.sp.gov.br/hidrantes/03individual/5641.html","5641")</f>
        <v>5641</v>
      </c>
      <c r="B3626" t="str">
        <f>HYPERLINK("http://bombeiros.sp.gov.br/hidrantes/08bsg/qrcodeBSG.html?id=5641&amp;lat=-23.54787&amp;long=-46.67405&amp;tipo=S","QRCODE")</f>
        <v>QRCODE</v>
      </c>
      <c r="C3626" t="s">
        <v>5351</v>
      </c>
      <c r="D3626" t="s">
        <v>1148</v>
      </c>
      <c r="E3626" t="s">
        <v>1142</v>
      </c>
      <c r="F3626" t="s">
        <v>21</v>
      </c>
      <c r="G3626" t="s">
        <v>2213</v>
      </c>
      <c r="H3626">
        <v>0</v>
      </c>
      <c r="I3626">
        <v>2</v>
      </c>
      <c r="J3626">
        <v>0</v>
      </c>
      <c r="K3626">
        <v>0</v>
      </c>
      <c r="L3626">
        <v>0</v>
      </c>
    </row>
    <row r="3627" spans="1:12">
      <c r="A3627" t="str">
        <f>HYPERLINK("http://bombeiros.sp.gov.br/hidrantes/03individual/1643.html","1643")</f>
        <v>1643</v>
      </c>
      <c r="B3627" t="str">
        <f>HYPERLINK("http://bombeiros.sp.gov.br/hidrantes/08bsg/qrcodeBSG.html?id=1643&amp;lat=-23.57761&amp;long=-46.68695&amp;tipo=C","QRCODE")</f>
        <v>QRCODE</v>
      </c>
      <c r="C3627" t="s">
        <v>5351</v>
      </c>
      <c r="D3627" t="s">
        <v>1514</v>
      </c>
      <c r="E3627" t="s">
        <v>1139</v>
      </c>
      <c r="F3627" t="s">
        <v>12</v>
      </c>
      <c r="G3627" t="s">
        <v>1209</v>
      </c>
      <c r="H3627">
        <v>0</v>
      </c>
      <c r="I3627">
        <v>2</v>
      </c>
      <c r="J3627">
        <v>0</v>
      </c>
      <c r="K3627">
        <v>0</v>
      </c>
      <c r="L3627">
        <v>0</v>
      </c>
    </row>
    <row r="3628" spans="1:12">
      <c r="A3628" t="str">
        <f>HYPERLINK("http://bombeiros.sp.gov.br/hidrantes/03individual/1651.html","1651")</f>
        <v>1651</v>
      </c>
      <c r="B3628" t="str">
        <f>HYPERLINK("http://bombeiros.sp.gov.br/hidrantes/08bsg/qrcodeBSG.html?id=1651&amp;lat=-23.57691&amp;long=-46.68742&amp;tipo=C","QRCODE")</f>
        <v>QRCODE</v>
      </c>
      <c r="C3628" t="s">
        <v>5351</v>
      </c>
      <c r="D3628" t="s">
        <v>1514</v>
      </c>
      <c r="E3628" t="s">
        <v>1139</v>
      </c>
      <c r="F3628" t="s">
        <v>12</v>
      </c>
      <c r="G3628" t="s">
        <v>1975</v>
      </c>
      <c r="H3628">
        <v>0</v>
      </c>
      <c r="I3628">
        <v>2</v>
      </c>
      <c r="J3628">
        <v>0</v>
      </c>
      <c r="K3628">
        <v>0</v>
      </c>
      <c r="L3628">
        <v>0</v>
      </c>
    </row>
    <row r="3629" spans="1:12">
      <c r="A3629" t="str">
        <f>HYPERLINK("http://bombeiros.sp.gov.br/hidrantes/03individual/1667.html","1667")</f>
        <v>1667</v>
      </c>
      <c r="B3629" t="str">
        <f>HYPERLINK("http://bombeiros.sp.gov.br/hidrantes/08bsg/qrcodeBSG.html?id=1667&amp;lat=-23.57636&amp;long=-46.68716&amp;tipo=C","QRCODE")</f>
        <v>QRCODE</v>
      </c>
      <c r="C3629" t="s">
        <v>5351</v>
      </c>
      <c r="D3629" t="s">
        <v>1514</v>
      </c>
      <c r="E3629" t="s">
        <v>1139</v>
      </c>
      <c r="F3629" t="s">
        <v>12</v>
      </c>
      <c r="G3629" t="s">
        <v>2814</v>
      </c>
      <c r="H3629">
        <v>0</v>
      </c>
      <c r="I3629">
        <v>2</v>
      </c>
      <c r="J3629">
        <v>0</v>
      </c>
      <c r="K3629">
        <v>0</v>
      </c>
      <c r="L3629">
        <v>0</v>
      </c>
    </row>
    <row r="3630" spans="1:12">
      <c r="A3630" t="str">
        <f>HYPERLINK("http://bombeiros.sp.gov.br/hidrantes/03individual/1669.html","1669")</f>
        <v>1669</v>
      </c>
      <c r="B3630" t="str">
        <f>HYPERLINK("http://bombeiros.sp.gov.br/hidrantes/08bsg/qrcodeBSG.html?id=1669&amp;lat=-23.57637&amp;long=-46.68828&amp;tipo=C","QRCODE")</f>
        <v>QRCODE</v>
      </c>
      <c r="C3630" t="s">
        <v>5351</v>
      </c>
      <c r="D3630" t="s">
        <v>1514</v>
      </c>
      <c r="E3630" t="s">
        <v>1139</v>
      </c>
      <c r="F3630" t="s">
        <v>12</v>
      </c>
      <c r="G3630" t="s">
        <v>4244</v>
      </c>
      <c r="H3630">
        <v>0</v>
      </c>
      <c r="I3630">
        <v>1</v>
      </c>
      <c r="J3630">
        <v>0</v>
      </c>
      <c r="K3630">
        <v>0</v>
      </c>
      <c r="L3630">
        <v>0</v>
      </c>
    </row>
    <row r="3631" spans="1:12">
      <c r="A3631" t="str">
        <f>HYPERLINK("http://bombeiros.sp.gov.br/hidrantes/03individual/1686.html","1686")</f>
        <v>1686</v>
      </c>
      <c r="B3631" t="str">
        <f>HYPERLINK("http://bombeiros.sp.gov.br/hidrantes/08bsg/qrcodeBSG.html?id=1686&amp;lat=-23.57493&amp;long=-46.68848&amp;tipo=C","QRCODE")</f>
        <v>QRCODE</v>
      </c>
      <c r="C3631" t="s">
        <v>5351</v>
      </c>
      <c r="D3631" t="s">
        <v>1514</v>
      </c>
      <c r="E3631" t="s">
        <v>1139</v>
      </c>
      <c r="F3631" t="s">
        <v>12</v>
      </c>
      <c r="G3631" t="s">
        <v>4242</v>
      </c>
      <c r="H3631">
        <v>0</v>
      </c>
      <c r="I3631">
        <v>1</v>
      </c>
      <c r="J3631">
        <v>0</v>
      </c>
      <c r="K3631">
        <v>0</v>
      </c>
      <c r="L3631">
        <v>0</v>
      </c>
    </row>
    <row r="3632" spans="1:12">
      <c r="A3632" t="str">
        <f>HYPERLINK("http://bombeiros.sp.gov.br/hidrantes/03individual/1688.html","1688")</f>
        <v>1688</v>
      </c>
      <c r="B3632" t="str">
        <f>HYPERLINK("http://bombeiros.sp.gov.br/hidrantes/08bsg/qrcodeBSG.html?id=1688&amp;lat=-23.57278&amp;long=-46.68930&amp;tipo=C","QRCODE")</f>
        <v>QRCODE</v>
      </c>
      <c r="C3632" t="s">
        <v>5351</v>
      </c>
      <c r="D3632" t="s">
        <v>1514</v>
      </c>
      <c r="E3632" t="s">
        <v>1139</v>
      </c>
      <c r="F3632" t="s">
        <v>12</v>
      </c>
      <c r="G3632" t="s">
        <v>4053</v>
      </c>
      <c r="H3632">
        <v>0</v>
      </c>
      <c r="I3632">
        <v>1</v>
      </c>
      <c r="J3632">
        <v>0</v>
      </c>
      <c r="K3632">
        <v>0</v>
      </c>
      <c r="L3632">
        <v>0</v>
      </c>
    </row>
    <row r="3633" spans="1:12">
      <c r="A3633" t="str">
        <f>HYPERLINK("http://bombeiros.sp.gov.br/hidrantes/03individual/1786.html","1786")</f>
        <v>1786</v>
      </c>
      <c r="B3633" t="str">
        <f>HYPERLINK("http://bombeiros.sp.gov.br/hidrantes/08bsg/qrcodeBSG.html?id=1786&amp;lat=-23.57656&amp;long=-46.67112&amp;tipo=C","QRCODE")</f>
        <v>QRCODE</v>
      </c>
      <c r="C3633" t="s">
        <v>5351</v>
      </c>
      <c r="D3633" t="s">
        <v>1514</v>
      </c>
      <c r="E3633" t="s">
        <v>1139</v>
      </c>
      <c r="F3633" t="s">
        <v>12</v>
      </c>
      <c r="G3633" t="s">
        <v>2809</v>
      </c>
      <c r="H3633">
        <v>0</v>
      </c>
      <c r="I3633">
        <v>2</v>
      </c>
      <c r="J3633">
        <v>0</v>
      </c>
      <c r="K3633">
        <v>0</v>
      </c>
      <c r="L3633">
        <v>0</v>
      </c>
    </row>
    <row r="3634" spans="1:12">
      <c r="A3634" t="str">
        <f>HYPERLINK("http://bombeiros.sp.gov.br/hidrantes/03individual/1455.html","1455")</f>
        <v>1455</v>
      </c>
      <c r="B3634" t="str">
        <f>HYPERLINK("http://bombeiros.sp.gov.br/hidrantes/08bsg/qrcodeBSG.html?id=1455&amp;lat=-23.58229&amp;long=-46.69036&amp;tipo=S","QRCODE")</f>
        <v>QRCODE</v>
      </c>
      <c r="C3634" t="s">
        <v>5351</v>
      </c>
      <c r="D3634" t="s">
        <v>1514</v>
      </c>
      <c r="E3634" t="s">
        <v>1139</v>
      </c>
      <c r="F3634" t="s">
        <v>21</v>
      </c>
      <c r="G3634" t="s">
        <v>3590</v>
      </c>
      <c r="H3634">
        <v>2</v>
      </c>
      <c r="I3634">
        <v>1</v>
      </c>
      <c r="J3634">
        <v>0</v>
      </c>
      <c r="K3634">
        <v>0</v>
      </c>
      <c r="L3634">
        <v>0</v>
      </c>
    </row>
    <row r="3635" spans="1:12">
      <c r="A3635" t="str">
        <f>HYPERLINK("http://bombeiros.sp.gov.br/hidrantes/03individual/1623.html","1623")</f>
        <v>1623</v>
      </c>
      <c r="B3635" t="str">
        <f>HYPERLINK("http://bombeiros.sp.gov.br/hidrantes/08bsg/qrcodeBSG.html?id=1623&amp;lat=-23.57816&amp;long=-46.67694&amp;tipo=S","QRCODE")</f>
        <v>QRCODE</v>
      </c>
      <c r="C3635" t="s">
        <v>5351</v>
      </c>
      <c r="D3635" t="s">
        <v>1514</v>
      </c>
      <c r="E3635" t="s">
        <v>1139</v>
      </c>
      <c r="F3635" t="s">
        <v>21</v>
      </c>
      <c r="G3635" t="s">
        <v>2813</v>
      </c>
      <c r="H3635">
        <v>0</v>
      </c>
      <c r="I3635">
        <v>2</v>
      </c>
      <c r="J3635">
        <v>0</v>
      </c>
      <c r="K3635">
        <v>0</v>
      </c>
      <c r="L3635">
        <v>0</v>
      </c>
    </row>
    <row r="3636" spans="1:12">
      <c r="A3636" t="str">
        <f>HYPERLINK("http://bombeiros.sp.gov.br/hidrantes/03individual/1797.html","1797")</f>
        <v>1797</v>
      </c>
      <c r="B3636" t="str">
        <f>HYPERLINK("http://bombeiros.sp.gov.br/hidrantes/08bsg/qrcodeBSG.html?id=1797&amp;lat=-23.57594&amp;long=-46.67467&amp;tipo=S","QRCODE")</f>
        <v>QRCODE</v>
      </c>
      <c r="C3636" t="s">
        <v>5351</v>
      </c>
      <c r="D3636" t="s">
        <v>1514</v>
      </c>
      <c r="E3636" t="s">
        <v>1139</v>
      </c>
      <c r="F3636" t="s">
        <v>21</v>
      </c>
      <c r="G3636" t="s">
        <v>1215</v>
      </c>
      <c r="H3636">
        <v>1</v>
      </c>
      <c r="I3636">
        <v>2</v>
      </c>
      <c r="J3636">
        <v>0</v>
      </c>
      <c r="K3636">
        <v>0</v>
      </c>
      <c r="L3636">
        <v>0</v>
      </c>
    </row>
    <row r="3637" spans="1:12">
      <c r="A3637" t="str">
        <f>HYPERLINK("http://bombeiros.sp.gov.br/hidrantes/03individual/2097.html","2097")</f>
        <v>2097</v>
      </c>
      <c r="B3637" t="str">
        <f>HYPERLINK("http://bombeiros.sp.gov.br/hidrantes/08bsg/qrcodeBSG.html?id=2097&amp;lat=-23.56776&amp;long=-46.67862&amp;tipo=S","QRCODE")</f>
        <v>QRCODE</v>
      </c>
      <c r="C3637" t="s">
        <v>5351</v>
      </c>
      <c r="D3637" t="s">
        <v>1514</v>
      </c>
      <c r="E3637" t="s">
        <v>1139</v>
      </c>
      <c r="F3637" t="s">
        <v>21</v>
      </c>
      <c r="G3637" t="s">
        <v>2053</v>
      </c>
      <c r="H3637">
        <v>0</v>
      </c>
      <c r="I3637">
        <v>2</v>
      </c>
      <c r="J3637">
        <v>0</v>
      </c>
      <c r="K3637">
        <v>0</v>
      </c>
      <c r="L3637">
        <v>0</v>
      </c>
    </row>
    <row r="3638" spans="1:12">
      <c r="A3638" t="str">
        <f>HYPERLINK("http://bombeiros.sp.gov.br/hidrantes/03individual/2284.html","2284")</f>
        <v>2284</v>
      </c>
      <c r="B3638" t="str">
        <f>HYPERLINK("http://bombeiros.sp.gov.br/hidrantes/08bsg/qrcodeBSG.html?id=2284&amp;lat=-23.56958&amp;long=-46.68607&amp;tipo=S","QRCODE")</f>
        <v>QRCODE</v>
      </c>
      <c r="C3638" t="s">
        <v>5351</v>
      </c>
      <c r="D3638" t="s">
        <v>1514</v>
      </c>
      <c r="E3638" t="s">
        <v>1139</v>
      </c>
      <c r="F3638" t="s">
        <v>21</v>
      </c>
      <c r="G3638" t="s">
        <v>5088</v>
      </c>
      <c r="H3638">
        <v>0</v>
      </c>
      <c r="I3638">
        <v>1</v>
      </c>
      <c r="J3638">
        <v>0</v>
      </c>
      <c r="K3638">
        <v>0</v>
      </c>
      <c r="L3638">
        <v>0</v>
      </c>
    </row>
    <row r="3639" spans="1:12">
      <c r="A3639" t="str">
        <f>HYPERLINK("http://bombeiros.sp.gov.br/hidrantes/03individual/2319.html","2319")</f>
        <v>2319</v>
      </c>
      <c r="B3639" t="str">
        <f>HYPERLINK("http://bombeiros.sp.gov.br/hidrantes/08bsg/qrcodeBSG.html?id=2319&amp;lat=-23.57095&amp;long=-46.67688&amp;tipo=S","QRCODE")</f>
        <v>QRCODE</v>
      </c>
      <c r="C3639" t="s">
        <v>5351</v>
      </c>
      <c r="D3639" t="s">
        <v>1514</v>
      </c>
      <c r="E3639" t="s">
        <v>1139</v>
      </c>
      <c r="F3639" t="s">
        <v>21</v>
      </c>
      <c r="G3639" t="s">
        <v>4253</v>
      </c>
      <c r="H3639">
        <v>0</v>
      </c>
      <c r="I3639">
        <v>1</v>
      </c>
      <c r="J3639">
        <v>0</v>
      </c>
      <c r="K3639">
        <v>0</v>
      </c>
      <c r="L3639">
        <v>0</v>
      </c>
    </row>
    <row r="3640" spans="1:12">
      <c r="A3640" t="str">
        <f>HYPERLINK("http://bombeiros.sp.gov.br/hidrantes/03individual/2331.html","2331")</f>
        <v>2331</v>
      </c>
      <c r="B3640" t="str">
        <f>HYPERLINK("http://bombeiros.sp.gov.br/hidrantes/08bsg/qrcodeBSG.html?id=2331&amp;lat=-23.57122&amp;long=-46.67566&amp;tipo=S","QRCODE")</f>
        <v>QRCODE</v>
      </c>
      <c r="C3640" t="s">
        <v>5351</v>
      </c>
      <c r="D3640" t="s">
        <v>1514</v>
      </c>
      <c r="E3640" t="s">
        <v>1139</v>
      </c>
      <c r="F3640" t="s">
        <v>21</v>
      </c>
      <c r="G3640" t="s">
        <v>1309</v>
      </c>
      <c r="H3640">
        <v>1</v>
      </c>
      <c r="I3640">
        <v>2</v>
      </c>
      <c r="J3640">
        <v>0</v>
      </c>
      <c r="K3640">
        <v>0</v>
      </c>
      <c r="L3640">
        <v>0</v>
      </c>
    </row>
    <row r="3641" spans="1:12">
      <c r="A3641" t="str">
        <f>HYPERLINK("http://bombeiros.sp.gov.br/hidrantes/03individual/2333.html","2333")</f>
        <v>2333</v>
      </c>
      <c r="B3641" t="str">
        <f>HYPERLINK("http://bombeiros.sp.gov.br/hidrantes/08bsg/qrcodeBSG.html?id=2333&amp;lat=-23.57770&amp;long=-46.68220&amp;tipo=S","QRCODE")</f>
        <v>QRCODE</v>
      </c>
      <c r="C3641" t="s">
        <v>5351</v>
      </c>
      <c r="D3641" t="s">
        <v>1514</v>
      </c>
      <c r="E3641" t="s">
        <v>1139</v>
      </c>
      <c r="F3641" t="s">
        <v>21</v>
      </c>
      <c r="G3641" t="s">
        <v>1138</v>
      </c>
      <c r="H3641">
        <v>0</v>
      </c>
      <c r="I3641">
        <v>3</v>
      </c>
      <c r="J3641">
        <v>0</v>
      </c>
      <c r="K3641">
        <v>0</v>
      </c>
      <c r="L3641">
        <v>0</v>
      </c>
    </row>
    <row r="3642" spans="1:12">
      <c r="A3642" t="str">
        <f>HYPERLINK("http://bombeiros.sp.gov.br/hidrantes/03individual/4259.html","4259")</f>
        <v>4259</v>
      </c>
      <c r="B3642" t="str">
        <f>HYPERLINK("http://bombeiros.sp.gov.br/hidrantes/08bsg/qrcodeBSG.html?id=4259&amp;lat=-23.57693&amp;long=-46.68037&amp;tipo=S","QRCODE")</f>
        <v>QRCODE</v>
      </c>
      <c r="C3642" t="s">
        <v>5351</v>
      </c>
      <c r="D3642" t="s">
        <v>1514</v>
      </c>
      <c r="E3642" t="s">
        <v>1139</v>
      </c>
      <c r="F3642" t="s">
        <v>21</v>
      </c>
      <c r="G3642" t="s">
        <v>1180</v>
      </c>
      <c r="H3642">
        <v>1</v>
      </c>
      <c r="I3642">
        <v>2</v>
      </c>
      <c r="J3642">
        <v>0</v>
      </c>
      <c r="K3642">
        <v>0</v>
      </c>
      <c r="L3642">
        <v>0</v>
      </c>
    </row>
    <row r="3643" spans="1:12">
      <c r="A3643" t="str">
        <f>HYPERLINK("http://bombeiros.sp.gov.br/hidrantes/03individual/5376.html","5376")</f>
        <v>5376</v>
      </c>
      <c r="B3643" t="str">
        <f>HYPERLINK("http://bombeiros.sp.gov.br/hidrantes/08bsg/qrcodeBSG.html?id=5376&amp;lat=-23.58322&amp;long=-46.69138&amp;tipo=S","QRCODE")</f>
        <v>QRCODE</v>
      </c>
      <c r="C3643" t="s">
        <v>5351</v>
      </c>
      <c r="D3643" t="s">
        <v>1514</v>
      </c>
      <c r="E3643" t="s">
        <v>1139</v>
      </c>
      <c r="F3643" t="s">
        <v>21</v>
      </c>
      <c r="G3643" t="s">
        <v>5078</v>
      </c>
      <c r="H3643">
        <v>0</v>
      </c>
      <c r="I3643">
        <v>2</v>
      </c>
      <c r="J3643">
        <v>0</v>
      </c>
      <c r="K3643">
        <v>0</v>
      </c>
      <c r="L3643">
        <v>0</v>
      </c>
    </row>
    <row r="3644" spans="1:12">
      <c r="A3644" t="str">
        <f>HYPERLINK("http://bombeiros.sp.gov.br/hidrantes/03individual/5377.html","5377")</f>
        <v>5377</v>
      </c>
      <c r="B3644" t="str">
        <f>HYPERLINK("http://bombeiros.sp.gov.br/hidrantes/08bsg/qrcodeBSG.html?id=5377&amp;lat=-23.58224&amp;long=-46.68671&amp;tipo=S","QRCODE")</f>
        <v>QRCODE</v>
      </c>
      <c r="C3644" t="s">
        <v>5351</v>
      </c>
      <c r="D3644" t="s">
        <v>1514</v>
      </c>
      <c r="E3644" t="s">
        <v>1139</v>
      </c>
      <c r="F3644" t="s">
        <v>21</v>
      </c>
      <c r="G3644" t="s">
        <v>3330</v>
      </c>
      <c r="H3644">
        <v>0</v>
      </c>
      <c r="I3644">
        <v>2</v>
      </c>
      <c r="J3644">
        <v>0</v>
      </c>
      <c r="K3644">
        <v>0</v>
      </c>
      <c r="L3644">
        <v>0</v>
      </c>
    </row>
    <row r="3645" spans="1:12">
      <c r="A3645" t="str">
        <f>HYPERLINK("http://bombeiros.sp.gov.br/hidrantes/03individual/6685.html","6685")</f>
        <v>6685</v>
      </c>
      <c r="B3645" t="str">
        <f>HYPERLINK("http://bombeiros.sp.gov.br/hidrantes/08bsg/qrcodeBSG.html?id=6685&amp;lat=-23.57937&amp;long=-46.68301&amp;tipo=S","QRCODE")</f>
        <v>QRCODE</v>
      </c>
      <c r="C3645" t="s">
        <v>5351</v>
      </c>
      <c r="D3645" t="s">
        <v>1514</v>
      </c>
      <c r="E3645" t="s">
        <v>1139</v>
      </c>
      <c r="F3645" t="s">
        <v>21</v>
      </c>
      <c r="G3645" t="s">
        <v>2787</v>
      </c>
      <c r="H3645">
        <v>0</v>
      </c>
      <c r="I3645">
        <v>2</v>
      </c>
      <c r="J3645">
        <v>0</v>
      </c>
      <c r="K3645">
        <v>0</v>
      </c>
      <c r="L3645">
        <v>0</v>
      </c>
    </row>
    <row r="3646" spans="1:12">
      <c r="A3646" t="str">
        <f>HYPERLINK("http://bombeiros.sp.gov.br/hidrantes/03individual/6686.html","6686")</f>
        <v>6686</v>
      </c>
      <c r="B3646" t="str">
        <f>HYPERLINK("http://bombeiros.sp.gov.br/hidrantes/08bsg/qrcodeBSG.html?id=6686&amp;lat=-23.57725&amp;long=-46.68330&amp;tipo=S","QRCODE")</f>
        <v>QRCODE</v>
      </c>
      <c r="C3646" t="s">
        <v>5351</v>
      </c>
      <c r="D3646" t="s">
        <v>1514</v>
      </c>
      <c r="E3646" t="s">
        <v>1139</v>
      </c>
      <c r="F3646" t="s">
        <v>21</v>
      </c>
      <c r="G3646" t="s">
        <v>2788</v>
      </c>
      <c r="H3646">
        <v>0</v>
      </c>
      <c r="I3646">
        <v>2</v>
      </c>
      <c r="J3646">
        <v>0</v>
      </c>
      <c r="K3646">
        <v>0</v>
      </c>
      <c r="L3646">
        <v>0</v>
      </c>
    </row>
    <row r="3647" spans="1:12">
      <c r="A3647" t="str">
        <f>HYPERLINK("http://bombeiros.sp.gov.br/hidrantes/03individual/16593.html","16593")</f>
        <v>16593</v>
      </c>
      <c r="B3647" t="str">
        <f>HYPERLINK("http://bombeiros.sp.gov.br/hidrantes/08bsg/qrcodeBSG.html?id=16593&amp;lat=-23.57115&amp;long=-46.68108&amp;tipo=S","QRCODE")</f>
        <v>QRCODE</v>
      </c>
      <c r="C3647" t="s">
        <v>5351</v>
      </c>
      <c r="D3647" t="s">
        <v>1514</v>
      </c>
      <c r="E3647" t="s">
        <v>1139</v>
      </c>
      <c r="F3647" t="s">
        <v>21</v>
      </c>
      <c r="G3647" t="s">
        <v>1315</v>
      </c>
      <c r="H3647">
        <v>1</v>
      </c>
      <c r="I3647">
        <v>2</v>
      </c>
      <c r="J3647">
        <v>0</v>
      </c>
      <c r="K3647">
        <v>0</v>
      </c>
      <c r="L3647">
        <v>0</v>
      </c>
    </row>
    <row r="3648" spans="1:12">
      <c r="A3648" t="str">
        <f>HYPERLINK("http://bombeiros.sp.gov.br/hidrantes/03individual/1893.html","1893")</f>
        <v>1893</v>
      </c>
      <c r="B3648" t="str">
        <f>HYPERLINK("http://bombeiros.sp.gov.br/hidrantes/08bsg/qrcodeBSG.html?id=1893&amp;lat=-23.56687&amp;long=-46.68902&amp;tipo=C","QRCODE")</f>
        <v>QRCODE</v>
      </c>
      <c r="C3648" t="s">
        <v>5351</v>
      </c>
      <c r="D3648" t="s">
        <v>1514</v>
      </c>
      <c r="E3648" t="s">
        <v>1145</v>
      </c>
      <c r="F3648" t="s">
        <v>12</v>
      </c>
      <c r="G3648" t="s">
        <v>1559</v>
      </c>
      <c r="H3648">
        <v>1</v>
      </c>
      <c r="I3648">
        <v>2</v>
      </c>
      <c r="J3648">
        <v>0</v>
      </c>
      <c r="K3648">
        <v>0</v>
      </c>
      <c r="L3648">
        <v>0</v>
      </c>
    </row>
    <row r="3649" spans="1:12">
      <c r="A3649" t="str">
        <f>HYPERLINK("http://bombeiros.sp.gov.br/hidrantes/03individual/1907.html","1907")</f>
        <v>1907</v>
      </c>
      <c r="B3649" t="str">
        <f>HYPERLINK("http://bombeiros.sp.gov.br/hidrantes/08bsg/qrcodeBSG.html?id=1907&amp;lat=-23.56416&amp;long=-46.68831&amp;tipo=C","QRCODE")</f>
        <v>QRCODE</v>
      </c>
      <c r="C3649" t="s">
        <v>5351</v>
      </c>
      <c r="D3649" t="s">
        <v>1514</v>
      </c>
      <c r="E3649" t="s">
        <v>1145</v>
      </c>
      <c r="F3649" t="s">
        <v>12</v>
      </c>
      <c r="G3649" t="s">
        <v>1573</v>
      </c>
      <c r="H3649">
        <v>1</v>
      </c>
      <c r="I3649">
        <v>2</v>
      </c>
      <c r="J3649">
        <v>0</v>
      </c>
      <c r="K3649">
        <v>0</v>
      </c>
      <c r="L3649">
        <v>0</v>
      </c>
    </row>
    <row r="3650" spans="1:12">
      <c r="A3650" t="str">
        <f>HYPERLINK("http://bombeiros.sp.gov.br/hidrantes/03individual/1917.html","1917")</f>
        <v>1917</v>
      </c>
      <c r="B3650" t="str">
        <f>HYPERLINK("http://bombeiros.sp.gov.br/hidrantes/08bsg/qrcodeBSG.html?id=1917&amp;lat=-23.56238&amp;long=-46.68548&amp;tipo=C","QRCODE")</f>
        <v>QRCODE</v>
      </c>
      <c r="C3650" t="s">
        <v>5351</v>
      </c>
      <c r="D3650" t="s">
        <v>1514</v>
      </c>
      <c r="E3650" t="s">
        <v>1145</v>
      </c>
      <c r="F3650" t="s">
        <v>12</v>
      </c>
      <c r="G3650" t="s">
        <v>1572</v>
      </c>
      <c r="H3650">
        <v>1</v>
      </c>
      <c r="I3650">
        <v>3</v>
      </c>
      <c r="J3650">
        <v>0</v>
      </c>
      <c r="K3650">
        <v>0</v>
      </c>
      <c r="L3650">
        <v>0</v>
      </c>
    </row>
    <row r="3651" spans="1:12">
      <c r="A3651" t="str">
        <f>HYPERLINK("http://bombeiros.sp.gov.br/hidrantes/03individual/2147.html","2147")</f>
        <v>2147</v>
      </c>
      <c r="B3651" t="str">
        <f>HYPERLINK("http://bombeiros.sp.gov.br/hidrantes/08bsg/qrcodeBSG.html?id=2147&amp;lat=-23.56475&amp;long=-46.68543&amp;tipo=C","QRCODE")</f>
        <v>QRCODE</v>
      </c>
      <c r="C3651" t="s">
        <v>5351</v>
      </c>
      <c r="D3651" t="s">
        <v>1514</v>
      </c>
      <c r="E3651" t="s">
        <v>1145</v>
      </c>
      <c r="F3651" t="s">
        <v>12</v>
      </c>
      <c r="G3651" t="s">
        <v>1258</v>
      </c>
      <c r="H3651">
        <v>0</v>
      </c>
      <c r="I3651">
        <v>3</v>
      </c>
      <c r="J3651">
        <v>0</v>
      </c>
      <c r="K3651">
        <v>0</v>
      </c>
      <c r="L3651">
        <v>0</v>
      </c>
    </row>
    <row r="3652" spans="1:12">
      <c r="A3652" t="str">
        <f>HYPERLINK("http://bombeiros.sp.gov.br/hidrantes/03individual/2243.html","2243")</f>
        <v>2243</v>
      </c>
      <c r="B3652" t="str">
        <f>HYPERLINK("http://bombeiros.sp.gov.br/hidrantes/08bsg/qrcodeBSG.html?id=2243&amp;lat=-23.56530&amp;long=-46.69014&amp;tipo=C","QRCODE")</f>
        <v>QRCODE</v>
      </c>
      <c r="C3652" t="s">
        <v>5351</v>
      </c>
      <c r="D3652" t="s">
        <v>1514</v>
      </c>
      <c r="E3652" t="s">
        <v>1145</v>
      </c>
      <c r="F3652" t="s">
        <v>12</v>
      </c>
      <c r="G3652" t="s">
        <v>4794</v>
      </c>
      <c r="H3652">
        <v>1</v>
      </c>
      <c r="I3652">
        <v>1</v>
      </c>
      <c r="J3652">
        <v>0</v>
      </c>
      <c r="K3652">
        <v>0</v>
      </c>
      <c r="L3652">
        <v>0</v>
      </c>
    </row>
    <row r="3653" spans="1:12">
      <c r="A3653" t="str">
        <f>HYPERLINK("http://bombeiros.sp.gov.br/hidrantes/03individual/2391.html","2391")</f>
        <v>2391</v>
      </c>
      <c r="B3653" t="str">
        <f>HYPERLINK("http://bombeiros.sp.gov.br/hidrantes/08bsg/qrcodeBSG.html?id=2391&amp;lat=-23.56366&amp;long=-46.69135&amp;tipo=C","QRCODE")</f>
        <v>QRCODE</v>
      </c>
      <c r="C3653" t="s">
        <v>5351</v>
      </c>
      <c r="D3653" t="s">
        <v>1514</v>
      </c>
      <c r="E3653" t="s">
        <v>1145</v>
      </c>
      <c r="F3653" t="s">
        <v>12</v>
      </c>
      <c r="G3653" t="s">
        <v>2190</v>
      </c>
      <c r="H3653">
        <v>0</v>
      </c>
      <c r="I3653">
        <v>2</v>
      </c>
      <c r="J3653">
        <v>0</v>
      </c>
      <c r="K3653">
        <v>0</v>
      </c>
      <c r="L3653">
        <v>0</v>
      </c>
    </row>
    <row r="3654" spans="1:12">
      <c r="A3654" t="str">
        <f>HYPERLINK("http://bombeiros.sp.gov.br/hidrantes/03individual/2403.html","2403")</f>
        <v>2403</v>
      </c>
      <c r="B3654" t="str">
        <f>HYPERLINK("http://bombeiros.sp.gov.br/hidrantes/08bsg/qrcodeBSG.html?id=2403&amp;lat=-23.56135&amp;long=-46.68757&amp;tipo=C","QRCODE")</f>
        <v>QRCODE</v>
      </c>
      <c r="C3654" t="s">
        <v>5351</v>
      </c>
      <c r="D3654" t="s">
        <v>1514</v>
      </c>
      <c r="E3654" t="s">
        <v>1145</v>
      </c>
      <c r="F3654" t="s">
        <v>12</v>
      </c>
      <c r="G3654" t="s">
        <v>2191</v>
      </c>
      <c r="H3654">
        <v>0</v>
      </c>
      <c r="I3654">
        <v>2</v>
      </c>
      <c r="J3654">
        <v>0</v>
      </c>
      <c r="K3654">
        <v>0</v>
      </c>
      <c r="L3654">
        <v>0</v>
      </c>
    </row>
    <row r="3655" spans="1:12">
      <c r="A3655" t="str">
        <f>HYPERLINK("http://bombeiros.sp.gov.br/hidrantes/03individual/2407.html","2407")</f>
        <v>2407</v>
      </c>
      <c r="B3655" t="str">
        <f>HYPERLINK("http://bombeiros.sp.gov.br/hidrantes/08bsg/qrcodeBSG.html?id=2407&amp;lat=-23.55931&amp;long=-46.68418&amp;tipo=C","QRCODE")</f>
        <v>QRCODE</v>
      </c>
      <c r="C3655" t="s">
        <v>5351</v>
      </c>
      <c r="D3655" t="s">
        <v>1514</v>
      </c>
      <c r="E3655" t="s">
        <v>1145</v>
      </c>
      <c r="F3655" t="s">
        <v>12</v>
      </c>
      <c r="G3655" t="s">
        <v>2193</v>
      </c>
      <c r="H3655">
        <v>0</v>
      </c>
      <c r="I3655">
        <v>2</v>
      </c>
      <c r="J3655">
        <v>0</v>
      </c>
      <c r="K3655">
        <v>0</v>
      </c>
      <c r="L3655">
        <v>0</v>
      </c>
    </row>
    <row r="3656" spans="1:12">
      <c r="A3656" t="str">
        <f>HYPERLINK("http://bombeiros.sp.gov.br/hidrantes/03individual/2448.html","2448")</f>
        <v>2448</v>
      </c>
      <c r="B3656" t="str">
        <f>HYPERLINK("http://bombeiros.sp.gov.br/hidrantes/08bsg/qrcodeBSG.html?id=2448&amp;lat=-23.56236&amp;long=-46.68156&amp;tipo=C","QRCODE")</f>
        <v>QRCODE</v>
      </c>
      <c r="C3656" t="s">
        <v>5351</v>
      </c>
      <c r="D3656" t="s">
        <v>1514</v>
      </c>
      <c r="E3656" t="s">
        <v>1145</v>
      </c>
      <c r="F3656" t="s">
        <v>12</v>
      </c>
      <c r="G3656" t="s">
        <v>1526</v>
      </c>
      <c r="H3656">
        <v>1</v>
      </c>
      <c r="I3656">
        <v>2</v>
      </c>
      <c r="J3656">
        <v>0</v>
      </c>
      <c r="K3656">
        <v>0</v>
      </c>
      <c r="L3656">
        <v>0</v>
      </c>
    </row>
    <row r="3657" spans="1:12">
      <c r="A3657" t="str">
        <f>HYPERLINK("http://bombeiros.sp.gov.br/hidrantes/03individual/2654.html","2654")</f>
        <v>2654</v>
      </c>
      <c r="B3657" t="str">
        <f>HYPERLINK("http://bombeiros.sp.gov.br/hidrantes/08bsg/qrcodeBSG.html?id=2654&amp;lat=-23.55914&amp;long=-46.69232&amp;tipo=C","QRCODE")</f>
        <v>QRCODE</v>
      </c>
      <c r="C3657" t="s">
        <v>5351</v>
      </c>
      <c r="D3657" t="s">
        <v>1514</v>
      </c>
      <c r="E3657" t="s">
        <v>1145</v>
      </c>
      <c r="F3657" t="s">
        <v>12</v>
      </c>
      <c r="G3657" t="s">
        <v>4194</v>
      </c>
      <c r="H3657">
        <v>0</v>
      </c>
      <c r="I3657">
        <v>1</v>
      </c>
      <c r="J3657">
        <v>0</v>
      </c>
      <c r="K3657">
        <v>0</v>
      </c>
      <c r="L3657">
        <v>0</v>
      </c>
    </row>
    <row r="3658" spans="1:12">
      <c r="A3658" t="str">
        <f>HYPERLINK("http://bombeiros.sp.gov.br/hidrantes/03individual/27067.html","27067")</f>
        <v>27067</v>
      </c>
      <c r="B3658" t="str">
        <f>HYPERLINK("http://bombeiros.sp.gov.br/hidrantes/08bsg/qrcodeBSG.html?id=27067&amp;lat=-23.56797&amp;long=-46.68548&amp;tipo=C","QRCODE")</f>
        <v>QRCODE</v>
      </c>
      <c r="C3658" t="s">
        <v>5351</v>
      </c>
      <c r="D3658" t="s">
        <v>1514</v>
      </c>
      <c r="E3658" t="s">
        <v>1145</v>
      </c>
      <c r="F3658" t="s">
        <v>12</v>
      </c>
      <c r="G3658" t="s">
        <v>4091</v>
      </c>
      <c r="H3658">
        <v>0</v>
      </c>
      <c r="I3658">
        <v>1</v>
      </c>
      <c r="J3658">
        <v>0</v>
      </c>
      <c r="K3658">
        <v>0</v>
      </c>
      <c r="L3658">
        <v>0</v>
      </c>
    </row>
    <row r="3659" spans="1:12">
      <c r="A3659" t="str">
        <f>HYPERLINK("http://bombeiros.sp.gov.br/hidrantes/03individual/27417.html","27417")</f>
        <v>27417</v>
      </c>
      <c r="B3659" t="str">
        <f>HYPERLINK("http://bombeiros.sp.gov.br/hidrantes/08bsg/qrcodeBSG.html?id=27417&amp;lat=-23.56517&amp;long=-46.68079&amp;tipo=C","QRCODE")</f>
        <v>QRCODE</v>
      </c>
      <c r="C3659" t="s">
        <v>5351</v>
      </c>
      <c r="D3659" t="s">
        <v>1514</v>
      </c>
      <c r="E3659" t="s">
        <v>1145</v>
      </c>
      <c r="F3659" t="s">
        <v>12</v>
      </c>
      <c r="G3659" t="s">
        <v>5363</v>
      </c>
      <c r="H3659">
        <v>0</v>
      </c>
      <c r="I3659">
        <v>0</v>
      </c>
      <c r="J3659">
        <v>0</v>
      </c>
      <c r="K3659">
        <v>0</v>
      </c>
      <c r="L3659">
        <v>0</v>
      </c>
    </row>
    <row r="3660" spans="1:12">
      <c r="A3660" t="str">
        <f>HYPERLINK("http://bombeiros.sp.gov.br/hidrantes/03individual/1876.html","1876")</f>
        <v>1876</v>
      </c>
      <c r="B3660" t="str">
        <f>HYPERLINK("http://bombeiros.sp.gov.br/hidrantes/08bsg/qrcodeBSG.html?id=1876&amp;lat=-23.56910&amp;long=-46.68743&amp;tipo=S","QRCODE")</f>
        <v>QRCODE</v>
      </c>
      <c r="C3660" t="s">
        <v>5351</v>
      </c>
      <c r="D3660" t="s">
        <v>1514</v>
      </c>
      <c r="E3660" t="s">
        <v>1145</v>
      </c>
      <c r="F3660" t="s">
        <v>21</v>
      </c>
      <c r="G3660" t="s">
        <v>1263</v>
      </c>
      <c r="H3660">
        <v>1</v>
      </c>
      <c r="I3660">
        <v>2</v>
      </c>
      <c r="J3660">
        <v>0</v>
      </c>
      <c r="K3660">
        <v>0</v>
      </c>
      <c r="L3660">
        <v>0</v>
      </c>
    </row>
    <row r="3661" spans="1:12">
      <c r="A3661" t="str">
        <f>HYPERLINK("http://bombeiros.sp.gov.br/hidrantes/03individual/1903.html","1903")</f>
        <v>1903</v>
      </c>
      <c r="B3661" t="str">
        <f>HYPERLINK("http://bombeiros.sp.gov.br/hidrantes/08bsg/qrcodeBSG.html?id=1903&amp;lat=-23.56456&amp;long=-46.68939&amp;tipo=S","QRCODE")</f>
        <v>QRCODE</v>
      </c>
      <c r="C3661" t="s">
        <v>5351</v>
      </c>
      <c r="D3661" t="s">
        <v>1514</v>
      </c>
      <c r="E3661" t="s">
        <v>1145</v>
      </c>
      <c r="F3661" t="s">
        <v>21</v>
      </c>
      <c r="G3661" t="s">
        <v>3475</v>
      </c>
      <c r="H3661">
        <v>1</v>
      </c>
      <c r="I3661">
        <v>1</v>
      </c>
      <c r="J3661">
        <v>0</v>
      </c>
      <c r="K3661">
        <v>0</v>
      </c>
      <c r="L3661">
        <v>0</v>
      </c>
    </row>
    <row r="3662" spans="1:12">
      <c r="A3662" t="str">
        <f>HYPERLINK("http://bombeiros.sp.gov.br/hidrantes/03individual/1911.html","1911")</f>
        <v>1911</v>
      </c>
      <c r="B3662" t="str">
        <f>HYPERLINK("http://bombeiros.sp.gov.br/hidrantes/08bsg/qrcodeBSG.html?id=1911&amp;lat=-23.56349&amp;long=-46.68765&amp;tipo=S","QRCODE")</f>
        <v>QRCODE</v>
      </c>
      <c r="C3662" t="s">
        <v>5351</v>
      </c>
      <c r="D3662" t="s">
        <v>1514</v>
      </c>
      <c r="E3662" t="s">
        <v>1145</v>
      </c>
      <c r="F3662" t="s">
        <v>21</v>
      </c>
      <c r="G3662" t="s">
        <v>1571</v>
      </c>
      <c r="H3662">
        <v>1</v>
      </c>
      <c r="I3662">
        <v>2</v>
      </c>
      <c r="J3662">
        <v>0</v>
      </c>
      <c r="K3662">
        <v>0</v>
      </c>
      <c r="L3662">
        <v>0</v>
      </c>
    </row>
    <row r="3663" spans="1:12">
      <c r="A3663" t="str">
        <f>HYPERLINK("http://bombeiros.sp.gov.br/hidrantes/03individual/2108.html","2108")</f>
        <v>2108</v>
      </c>
      <c r="B3663" t="str">
        <f>HYPERLINK("http://bombeiros.sp.gov.br/hidrantes/08bsg/qrcodeBSG.html?id=2108&amp;lat=-23.56662&amp;long=-46.68536&amp;tipo=S","QRCODE")</f>
        <v>QRCODE</v>
      </c>
      <c r="C3663" t="s">
        <v>5351</v>
      </c>
      <c r="D3663" t="s">
        <v>1514</v>
      </c>
      <c r="E3663" t="s">
        <v>1145</v>
      </c>
      <c r="F3663" t="s">
        <v>21</v>
      </c>
      <c r="G3663" t="s">
        <v>1259</v>
      </c>
      <c r="H3663">
        <v>1</v>
      </c>
      <c r="I3663">
        <v>2</v>
      </c>
      <c r="J3663">
        <v>0</v>
      </c>
      <c r="K3663">
        <v>0</v>
      </c>
      <c r="L3663">
        <v>0</v>
      </c>
    </row>
    <row r="3664" spans="1:12">
      <c r="A3664" t="str">
        <f>HYPERLINK("http://bombeiros.sp.gov.br/hidrantes/03individual/2240.html","2240")</f>
        <v>2240</v>
      </c>
      <c r="B3664" t="str">
        <f>HYPERLINK("http://bombeiros.sp.gov.br/hidrantes/08bsg/qrcodeBSG.html?id=2240&amp;lat=-23.56042&amp;long=-46.69141&amp;tipo=S","QRCODE")</f>
        <v>QRCODE</v>
      </c>
      <c r="C3664" t="s">
        <v>5351</v>
      </c>
      <c r="D3664" t="s">
        <v>1514</v>
      </c>
      <c r="E3664" t="s">
        <v>1145</v>
      </c>
      <c r="F3664" t="s">
        <v>21</v>
      </c>
      <c r="G3664" t="s">
        <v>1303</v>
      </c>
      <c r="H3664">
        <v>1</v>
      </c>
      <c r="I3664">
        <v>2</v>
      </c>
      <c r="J3664">
        <v>0</v>
      </c>
      <c r="K3664">
        <v>0</v>
      </c>
      <c r="L3664">
        <v>0</v>
      </c>
    </row>
    <row r="3665" spans="1:12">
      <c r="A3665" t="str">
        <f>HYPERLINK("http://bombeiros.sp.gov.br/hidrantes/03individual/2268.html","2268")</f>
        <v>2268</v>
      </c>
      <c r="B3665" t="str">
        <f>HYPERLINK("http://bombeiros.sp.gov.br/hidrantes/08bsg/qrcodeBSG.html?id=2268&amp;lat=-23.56367&amp;long=-46.68332&amp;tipo=S","QRCODE")</f>
        <v>QRCODE</v>
      </c>
      <c r="C3665" t="s">
        <v>5351</v>
      </c>
      <c r="D3665" t="s">
        <v>1514</v>
      </c>
      <c r="E3665" t="s">
        <v>1145</v>
      </c>
      <c r="F3665" t="s">
        <v>21</v>
      </c>
      <c r="G3665" t="s">
        <v>1144</v>
      </c>
      <c r="H3665">
        <v>1</v>
      </c>
      <c r="I3665">
        <v>2</v>
      </c>
      <c r="J3665">
        <v>0</v>
      </c>
      <c r="K3665">
        <v>0</v>
      </c>
      <c r="L3665">
        <v>0</v>
      </c>
    </row>
    <row r="3666" spans="1:12">
      <c r="A3666" t="str">
        <f>HYPERLINK("http://bombeiros.sp.gov.br/hidrantes/03individual/2285.html","2285")</f>
        <v>2285</v>
      </c>
      <c r="B3666" t="str">
        <f>HYPERLINK("http://bombeiros.sp.gov.br/hidrantes/08bsg/qrcodeBSG.html?id=2285&amp;lat=-23.55975&amp;long=-46.68501&amp;tipo=S","QRCODE")</f>
        <v>QRCODE</v>
      </c>
      <c r="C3666" t="s">
        <v>5351</v>
      </c>
      <c r="D3666" t="s">
        <v>1514</v>
      </c>
      <c r="E3666" t="s">
        <v>1145</v>
      </c>
      <c r="F3666" t="s">
        <v>21</v>
      </c>
      <c r="G3666" t="s">
        <v>1521</v>
      </c>
      <c r="H3666">
        <v>0</v>
      </c>
      <c r="I3666">
        <v>3</v>
      </c>
      <c r="J3666">
        <v>0</v>
      </c>
      <c r="K3666">
        <v>0</v>
      </c>
      <c r="L3666">
        <v>0</v>
      </c>
    </row>
    <row r="3667" spans="1:12">
      <c r="A3667" t="str">
        <f>HYPERLINK("http://bombeiros.sp.gov.br/hidrantes/03individual/2287.html","2287")</f>
        <v>2287</v>
      </c>
      <c r="B3667" t="str">
        <f>HYPERLINK("http://bombeiros.sp.gov.br/hidrantes/08bsg/qrcodeBSG.html?id=2287&amp;lat=-23.56188&amp;long=-46.68484&amp;tipo=S","QRCODE")</f>
        <v>QRCODE</v>
      </c>
      <c r="C3667" t="s">
        <v>5351</v>
      </c>
      <c r="D3667" t="s">
        <v>1514</v>
      </c>
      <c r="E3667" t="s">
        <v>1145</v>
      </c>
      <c r="F3667" t="s">
        <v>21</v>
      </c>
      <c r="G3667" t="s">
        <v>1519</v>
      </c>
      <c r="H3667">
        <v>1</v>
      </c>
      <c r="I3667">
        <v>3</v>
      </c>
      <c r="J3667">
        <v>0</v>
      </c>
      <c r="K3667">
        <v>0</v>
      </c>
      <c r="L3667">
        <v>0</v>
      </c>
    </row>
    <row r="3668" spans="1:12">
      <c r="A3668" t="str">
        <f>HYPERLINK("http://bombeiros.sp.gov.br/hidrantes/03individual/2401.html","2401")</f>
        <v>2401</v>
      </c>
      <c r="B3668" t="str">
        <f>HYPERLINK("http://bombeiros.sp.gov.br/hidrantes/08bsg/qrcodeBSG.html?id=2401&amp;lat=-23.56192&amp;long=-46.68853&amp;tipo=S","QRCODE")</f>
        <v>QRCODE</v>
      </c>
      <c r="C3668" t="s">
        <v>5351</v>
      </c>
      <c r="D3668" t="s">
        <v>1514</v>
      </c>
      <c r="E3668" t="s">
        <v>1145</v>
      </c>
      <c r="F3668" t="s">
        <v>21</v>
      </c>
      <c r="G3668" t="s">
        <v>2192</v>
      </c>
      <c r="H3668">
        <v>0</v>
      </c>
      <c r="I3668">
        <v>2</v>
      </c>
      <c r="J3668">
        <v>0</v>
      </c>
      <c r="K3668">
        <v>0</v>
      </c>
      <c r="L3668">
        <v>0</v>
      </c>
    </row>
    <row r="3669" spans="1:12">
      <c r="A3669" t="str">
        <f>HYPERLINK("http://bombeiros.sp.gov.br/hidrantes/03individual/2443.html","2443")</f>
        <v>2443</v>
      </c>
      <c r="B3669" t="str">
        <f>HYPERLINK("http://bombeiros.sp.gov.br/hidrantes/08bsg/qrcodeBSG.html?id=2443&amp;lat=-23.56164&amp;long=-46.67999&amp;tipo=S","QRCODE")</f>
        <v>QRCODE</v>
      </c>
      <c r="C3669" t="s">
        <v>5351</v>
      </c>
      <c r="D3669" t="s">
        <v>1514</v>
      </c>
      <c r="E3669" t="s">
        <v>1145</v>
      </c>
      <c r="F3669" t="s">
        <v>21</v>
      </c>
      <c r="G3669" t="s">
        <v>5209</v>
      </c>
      <c r="H3669">
        <v>1</v>
      </c>
      <c r="I3669">
        <v>0</v>
      </c>
      <c r="J3669">
        <v>0</v>
      </c>
      <c r="K3669">
        <v>0</v>
      </c>
      <c r="L3669">
        <v>0</v>
      </c>
    </row>
    <row r="3670" spans="1:12">
      <c r="A3670" t="str">
        <f>HYPERLINK("http://bombeiros.sp.gov.br/hidrantes/03individual/2444.html","2444")</f>
        <v>2444</v>
      </c>
      <c r="B3670" t="str">
        <f>HYPERLINK("http://bombeiros.sp.gov.br/hidrantes/08bsg/qrcodeBSG.html?id=2444&amp;lat=-23.56194&amp;long=-46.68086&amp;tipo=S","QRCODE")</f>
        <v>QRCODE</v>
      </c>
      <c r="C3670" t="s">
        <v>5351</v>
      </c>
      <c r="D3670" t="s">
        <v>1514</v>
      </c>
      <c r="E3670" t="s">
        <v>1145</v>
      </c>
      <c r="F3670" t="s">
        <v>21</v>
      </c>
      <c r="G3670" t="s">
        <v>1525</v>
      </c>
      <c r="H3670">
        <v>1</v>
      </c>
      <c r="I3670">
        <v>2</v>
      </c>
      <c r="J3670">
        <v>0</v>
      </c>
      <c r="K3670">
        <v>0</v>
      </c>
      <c r="L3670">
        <v>0</v>
      </c>
    </row>
    <row r="3671" spans="1:12">
      <c r="A3671" t="str">
        <f>HYPERLINK("http://bombeiros.sp.gov.br/hidrantes/03individual/2496.html","2496")</f>
        <v>2496</v>
      </c>
      <c r="B3671" t="str">
        <f>HYPERLINK("http://bombeiros.sp.gov.br/hidrantes/08bsg/qrcodeBSG.html?id=2496&amp;lat=-23.55818&amp;long=-46.68231&amp;tipo=S","QRCODE")</f>
        <v>QRCODE</v>
      </c>
      <c r="C3671" t="s">
        <v>5351</v>
      </c>
      <c r="D3671" t="s">
        <v>1514</v>
      </c>
      <c r="E3671" t="s">
        <v>1145</v>
      </c>
      <c r="F3671" t="s">
        <v>21</v>
      </c>
      <c r="G3671" t="s">
        <v>2201</v>
      </c>
      <c r="H3671">
        <v>0</v>
      </c>
      <c r="I3671">
        <v>2</v>
      </c>
      <c r="J3671">
        <v>0</v>
      </c>
      <c r="K3671">
        <v>0</v>
      </c>
      <c r="L3671">
        <v>0</v>
      </c>
    </row>
    <row r="3672" spans="1:12">
      <c r="A3672" t="str">
        <f>HYPERLINK("http://bombeiros.sp.gov.br/hidrantes/03individual/4264.html","4264")</f>
        <v>4264</v>
      </c>
      <c r="B3672" t="str">
        <f>HYPERLINK("http://bombeiros.sp.gov.br/hidrantes/08bsg/qrcodeBSG.html?id=4264&amp;lat=-23.56500&amp;long=-46.68092&amp;tipo=S","QRCODE")</f>
        <v>QRCODE</v>
      </c>
      <c r="C3672" t="s">
        <v>5351</v>
      </c>
      <c r="D3672" t="s">
        <v>1514</v>
      </c>
      <c r="E3672" t="s">
        <v>1145</v>
      </c>
      <c r="F3672" t="s">
        <v>21</v>
      </c>
      <c r="G3672" t="s">
        <v>4199</v>
      </c>
      <c r="H3672">
        <v>0</v>
      </c>
      <c r="I3672">
        <v>1</v>
      </c>
      <c r="J3672">
        <v>0</v>
      </c>
      <c r="K3672">
        <v>0</v>
      </c>
      <c r="L3672">
        <v>0</v>
      </c>
    </row>
    <row r="3673" spans="1:12">
      <c r="A3673" t="str">
        <f>HYPERLINK("http://bombeiros.sp.gov.br/hidrantes/03individual/4265.html","4265")</f>
        <v>4265</v>
      </c>
      <c r="B3673" t="str">
        <f>HYPERLINK("http://bombeiros.sp.gov.br/hidrantes/08bsg/qrcodeBSG.html?id=4265&amp;lat=-23.56497&amp;long=-46.67973&amp;tipo=S","QRCODE")</f>
        <v>QRCODE</v>
      </c>
      <c r="C3673" t="s">
        <v>5351</v>
      </c>
      <c r="D3673" t="s">
        <v>1514</v>
      </c>
      <c r="E3673" t="s">
        <v>1145</v>
      </c>
      <c r="F3673" t="s">
        <v>21</v>
      </c>
      <c r="G3673" t="s">
        <v>4791</v>
      </c>
      <c r="H3673">
        <v>1</v>
      </c>
      <c r="I3673">
        <v>1</v>
      </c>
      <c r="J3673">
        <v>0</v>
      </c>
      <c r="K3673">
        <v>0</v>
      </c>
      <c r="L3673">
        <v>0</v>
      </c>
    </row>
    <row r="3674" spans="1:12">
      <c r="A3674" t="str">
        <f>HYPERLINK("http://bombeiros.sp.gov.br/hidrantes/03individual/1831.html","1831")</f>
        <v>1831</v>
      </c>
      <c r="B3674" t="str">
        <f>HYPERLINK("http://bombeiros.sp.gov.br/hidrantes/08bsg/qrcodeBSG.html?id=1831&amp;lat=-23.57212&amp;long=-46.67476&amp;tipo=S","QRCODE")</f>
        <v>QRCODE</v>
      </c>
      <c r="C3674" t="s">
        <v>5351</v>
      </c>
      <c r="D3674" t="s">
        <v>1514</v>
      </c>
      <c r="E3674" t="s">
        <v>937</v>
      </c>
      <c r="F3674" t="s">
        <v>21</v>
      </c>
      <c r="G3674" t="s">
        <v>1264</v>
      </c>
      <c r="H3674">
        <v>1</v>
      </c>
      <c r="I3674">
        <v>2</v>
      </c>
      <c r="J3674">
        <v>0</v>
      </c>
      <c r="K3674">
        <v>0</v>
      </c>
      <c r="L3674">
        <v>0</v>
      </c>
    </row>
    <row r="3675" spans="1:12">
      <c r="A3675" t="str">
        <f>HYPERLINK("http://bombeiros.sp.gov.br/hidrantes/03individual/1800.html","1800")</f>
        <v>1800</v>
      </c>
      <c r="B3675" t="str">
        <f>HYPERLINK("http://bombeiros.sp.gov.br/hidrantes/08bsg/qrcodeBSG.html?id=1800&amp;lat=-23.57367&amp;long=-46.69596&amp;tipo=C","QRCODE")</f>
        <v>QRCODE</v>
      </c>
      <c r="C3675" t="s">
        <v>5351</v>
      </c>
      <c r="D3675" t="s">
        <v>1514</v>
      </c>
      <c r="E3675" t="s">
        <v>1514</v>
      </c>
      <c r="F3675" t="s">
        <v>12</v>
      </c>
      <c r="G3675" t="s">
        <v>5207</v>
      </c>
      <c r="H3675">
        <v>1</v>
      </c>
      <c r="I3675">
        <v>0</v>
      </c>
      <c r="J3675">
        <v>0</v>
      </c>
      <c r="K3675">
        <v>0</v>
      </c>
      <c r="L3675">
        <v>0</v>
      </c>
    </row>
    <row r="3676" spans="1:12">
      <c r="A3676" t="str">
        <f>HYPERLINK("http://bombeiros.sp.gov.br/hidrantes/03individual/1804.html","1804")</f>
        <v>1804</v>
      </c>
      <c r="B3676" t="str">
        <f>HYPERLINK("http://bombeiros.sp.gov.br/hidrantes/08bsg/qrcodeBSG.html?id=1804&amp;lat=-23.57139&amp;long=-46.69101&amp;tipo=C","QRCODE")</f>
        <v>QRCODE</v>
      </c>
      <c r="C3676" t="s">
        <v>5351</v>
      </c>
      <c r="D3676" t="s">
        <v>1514</v>
      </c>
      <c r="E3676" t="s">
        <v>1514</v>
      </c>
      <c r="F3676" t="s">
        <v>12</v>
      </c>
      <c r="G3676" t="s">
        <v>3476</v>
      </c>
      <c r="H3676">
        <v>1</v>
      </c>
      <c r="I3676">
        <v>1</v>
      </c>
      <c r="J3676">
        <v>0</v>
      </c>
      <c r="K3676">
        <v>0</v>
      </c>
      <c r="L3676">
        <v>0</v>
      </c>
    </row>
    <row r="3677" spans="1:12">
      <c r="A3677" t="str">
        <f>HYPERLINK("http://bombeiros.sp.gov.br/hidrantes/03individual/2153.html","2153")</f>
        <v>2153</v>
      </c>
      <c r="B3677" t="str">
        <f>HYPERLINK("http://bombeiros.sp.gov.br/hidrantes/08bsg/qrcodeBSG.html?id=2153&amp;lat=-23.56756&amp;long=-46.69917&amp;tipo=C","QRCODE")</f>
        <v>QRCODE</v>
      </c>
      <c r="C3677" t="s">
        <v>5351</v>
      </c>
      <c r="D3677" t="s">
        <v>1514</v>
      </c>
      <c r="E3677" t="s">
        <v>1514</v>
      </c>
      <c r="F3677" t="s">
        <v>12</v>
      </c>
      <c r="G3677" t="s">
        <v>4055</v>
      </c>
      <c r="H3677">
        <v>0</v>
      </c>
      <c r="I3677">
        <v>1</v>
      </c>
      <c r="J3677">
        <v>0</v>
      </c>
      <c r="K3677">
        <v>0</v>
      </c>
      <c r="L3677">
        <v>0</v>
      </c>
    </row>
    <row r="3678" spans="1:12">
      <c r="A3678" t="str">
        <f>HYPERLINK("http://bombeiros.sp.gov.br/hidrantes/03individual/2159.html","2159")</f>
        <v>2159</v>
      </c>
      <c r="B3678" t="str">
        <f>HYPERLINK("http://bombeiros.sp.gov.br/hidrantes/08bsg/qrcodeBSG.html?id=2159&amp;lat=-23.56750&amp;long=-46.69542&amp;tipo=C","QRCODE")</f>
        <v>QRCODE</v>
      </c>
      <c r="C3678" t="s">
        <v>5351</v>
      </c>
      <c r="D3678" t="s">
        <v>1514</v>
      </c>
      <c r="E3678" t="s">
        <v>1514</v>
      </c>
      <c r="F3678" t="s">
        <v>12</v>
      </c>
      <c r="G3678" t="s">
        <v>3472</v>
      </c>
      <c r="H3678">
        <v>1</v>
      </c>
      <c r="I3678">
        <v>1</v>
      </c>
      <c r="J3678">
        <v>0</v>
      </c>
      <c r="K3678">
        <v>0</v>
      </c>
      <c r="L3678">
        <v>0</v>
      </c>
    </row>
    <row r="3679" spans="1:12">
      <c r="A3679" t="str">
        <f>HYPERLINK("http://bombeiros.sp.gov.br/hidrantes/03individual/2377.html","2377")</f>
        <v>2377</v>
      </c>
      <c r="B3679" t="str">
        <f>HYPERLINK("http://bombeiros.sp.gov.br/hidrantes/08bsg/qrcodeBSG.html?id=2377&amp;lat=-23.56251&amp;long=-46.69932&amp;tipo=C","QRCODE")</f>
        <v>QRCODE</v>
      </c>
      <c r="C3679" t="s">
        <v>5351</v>
      </c>
      <c r="D3679" t="s">
        <v>1514</v>
      </c>
      <c r="E3679" t="s">
        <v>1514</v>
      </c>
      <c r="F3679" t="s">
        <v>12</v>
      </c>
      <c r="G3679" t="s">
        <v>2310</v>
      </c>
      <c r="H3679">
        <v>0</v>
      </c>
      <c r="I3679">
        <v>2</v>
      </c>
      <c r="J3679">
        <v>0</v>
      </c>
      <c r="K3679">
        <v>0</v>
      </c>
      <c r="L3679">
        <v>0</v>
      </c>
    </row>
    <row r="3680" spans="1:12">
      <c r="A3680" t="str">
        <f>HYPERLINK("http://bombeiros.sp.gov.br/hidrantes/03individual/2381.html","2381")</f>
        <v>2381</v>
      </c>
      <c r="B3680" t="str">
        <f>HYPERLINK("http://bombeiros.sp.gov.br/hidrantes/08bsg/qrcodeBSG.html?id=2381&amp;lat=-23.55932&amp;long=-46.69772&amp;tipo=C","QRCODE")</f>
        <v>QRCODE</v>
      </c>
      <c r="C3680" t="s">
        <v>5351</v>
      </c>
      <c r="D3680" t="s">
        <v>1514</v>
      </c>
      <c r="E3680" t="s">
        <v>1514</v>
      </c>
      <c r="F3680" t="s">
        <v>12</v>
      </c>
      <c r="G3680" t="s">
        <v>2309</v>
      </c>
      <c r="H3680">
        <v>0</v>
      </c>
      <c r="I3680">
        <v>2</v>
      </c>
      <c r="J3680">
        <v>0</v>
      </c>
      <c r="K3680">
        <v>0</v>
      </c>
      <c r="L3680">
        <v>0</v>
      </c>
    </row>
    <row r="3681" spans="1:12">
      <c r="A3681" t="str">
        <f>HYPERLINK("http://bombeiros.sp.gov.br/hidrantes/03individual/2825.html","2825")</f>
        <v>2825</v>
      </c>
      <c r="B3681" t="str">
        <f>HYPERLINK("http://bombeiros.sp.gov.br/hidrantes/08bsg/qrcodeBSG.html?id=2825&amp;lat=-23.56499&amp;long=-46.70040&amp;tipo=C","QRCODE")</f>
        <v>QRCODE</v>
      </c>
      <c r="C3681" t="s">
        <v>5351</v>
      </c>
      <c r="D3681" t="s">
        <v>1514</v>
      </c>
      <c r="E3681" t="s">
        <v>1514</v>
      </c>
      <c r="F3681" t="s">
        <v>12</v>
      </c>
      <c r="G3681" t="s">
        <v>1524</v>
      </c>
      <c r="H3681">
        <v>1</v>
      </c>
      <c r="I3681">
        <v>2</v>
      </c>
      <c r="J3681">
        <v>0</v>
      </c>
      <c r="K3681">
        <v>0</v>
      </c>
      <c r="L3681">
        <v>0</v>
      </c>
    </row>
    <row r="3682" spans="1:12">
      <c r="A3682" t="str">
        <f>HYPERLINK("http://bombeiros.sp.gov.br/hidrantes/03individual/4266.html","4266")</f>
        <v>4266</v>
      </c>
      <c r="B3682" t="str">
        <f>HYPERLINK("http://bombeiros.sp.gov.br/hidrantes/08bsg/qrcodeBSG.html?id=4266&amp;lat=-23.56733&amp;long=-46.69573&amp;tipo=C","QRCODE")</f>
        <v>QRCODE</v>
      </c>
      <c r="C3682" t="s">
        <v>5351</v>
      </c>
      <c r="D3682" t="s">
        <v>1514</v>
      </c>
      <c r="E3682" t="s">
        <v>1514</v>
      </c>
      <c r="F3682" t="s">
        <v>12</v>
      </c>
      <c r="G3682" t="s">
        <v>1549</v>
      </c>
      <c r="H3682">
        <v>2</v>
      </c>
      <c r="I3682">
        <v>2</v>
      </c>
      <c r="J3682">
        <v>0</v>
      </c>
      <c r="K3682">
        <v>0</v>
      </c>
      <c r="L3682">
        <v>0</v>
      </c>
    </row>
    <row r="3683" spans="1:12">
      <c r="A3683" t="str">
        <f>HYPERLINK("http://bombeiros.sp.gov.br/hidrantes/03individual/1813.html","1813")</f>
        <v>1813</v>
      </c>
      <c r="B3683" t="str">
        <f>HYPERLINK("http://bombeiros.sp.gov.br/hidrantes/08bsg/qrcodeBSG.html?id=1813&amp;lat=-23.57246&amp;long=-46.69750&amp;tipo=S","QRCODE")</f>
        <v>QRCODE</v>
      </c>
      <c r="C3683" t="s">
        <v>5351</v>
      </c>
      <c r="D3683" t="s">
        <v>1514</v>
      </c>
      <c r="E3683" t="s">
        <v>1514</v>
      </c>
      <c r="F3683" t="s">
        <v>21</v>
      </c>
      <c r="G3683" t="s">
        <v>4241</v>
      </c>
      <c r="H3683">
        <v>0</v>
      </c>
      <c r="I3683">
        <v>1</v>
      </c>
      <c r="J3683">
        <v>0</v>
      </c>
      <c r="K3683">
        <v>0</v>
      </c>
      <c r="L3683">
        <v>0</v>
      </c>
    </row>
    <row r="3684" spans="1:12">
      <c r="A3684" t="str">
        <f>HYPERLINK("http://bombeiros.sp.gov.br/hidrantes/03individual/1886.html","1886")</f>
        <v>1886</v>
      </c>
      <c r="B3684" t="str">
        <f>HYPERLINK("http://bombeiros.sp.gov.br/hidrantes/08bsg/qrcodeBSG.html?id=1886&amp;lat=-23.56820&amp;long=-46.68902&amp;tipo=S","QRCODE")</f>
        <v>QRCODE</v>
      </c>
      <c r="C3684" t="s">
        <v>5351</v>
      </c>
      <c r="D3684" t="s">
        <v>1514</v>
      </c>
      <c r="E3684" t="s">
        <v>1514</v>
      </c>
      <c r="F3684" t="s">
        <v>21</v>
      </c>
      <c r="G3684" t="s">
        <v>1973</v>
      </c>
      <c r="H3684">
        <v>0</v>
      </c>
      <c r="I3684">
        <v>2</v>
      </c>
      <c r="J3684">
        <v>0</v>
      </c>
      <c r="K3684">
        <v>0</v>
      </c>
      <c r="L3684">
        <v>0</v>
      </c>
    </row>
    <row r="3685" spans="1:12">
      <c r="A3685" t="str">
        <f>HYPERLINK("http://bombeiros.sp.gov.br/hidrantes/03individual/2143.html","2143")</f>
        <v>2143</v>
      </c>
      <c r="B3685" t="str">
        <f>HYPERLINK("http://bombeiros.sp.gov.br/hidrantes/08bsg/qrcodeBSG.html?id=2143&amp;lat=-23.56399&amp;long=-46.69641&amp;tipo=S","QRCODE")</f>
        <v>QRCODE</v>
      </c>
      <c r="C3685" t="s">
        <v>5351</v>
      </c>
      <c r="D3685" t="s">
        <v>1514</v>
      </c>
      <c r="E3685" t="s">
        <v>1514</v>
      </c>
      <c r="F3685" t="s">
        <v>21</v>
      </c>
      <c r="G3685" t="s">
        <v>4054</v>
      </c>
      <c r="H3685">
        <v>0</v>
      </c>
      <c r="I3685">
        <v>1</v>
      </c>
      <c r="J3685">
        <v>0</v>
      </c>
      <c r="K3685">
        <v>0</v>
      </c>
      <c r="L3685">
        <v>0</v>
      </c>
    </row>
    <row r="3686" spans="1:12">
      <c r="A3686" t="str">
        <f>HYPERLINK("http://bombeiros.sp.gov.br/hidrantes/03individual/2160.html","2160")</f>
        <v>2160</v>
      </c>
      <c r="B3686" t="str">
        <f>HYPERLINK("http://bombeiros.sp.gov.br/hidrantes/08bsg/qrcodeBSG.html?id=2160&amp;lat=-23.56421&amp;long=-46.69240&amp;tipo=S","QRCODE")</f>
        <v>QRCODE</v>
      </c>
      <c r="C3686" t="s">
        <v>5351</v>
      </c>
      <c r="D3686" t="s">
        <v>1514</v>
      </c>
      <c r="E3686" t="s">
        <v>1514</v>
      </c>
      <c r="F3686" t="s">
        <v>21</v>
      </c>
      <c r="G3686" t="s">
        <v>2265</v>
      </c>
      <c r="H3686">
        <v>0</v>
      </c>
      <c r="I3686">
        <v>2</v>
      </c>
      <c r="J3686">
        <v>0</v>
      </c>
      <c r="K3686">
        <v>0</v>
      </c>
      <c r="L3686">
        <v>0</v>
      </c>
    </row>
    <row r="3687" spans="1:12">
      <c r="A3687" t="str">
        <f>HYPERLINK("http://bombeiros.sp.gov.br/hidrantes/03individual/4242.html","4242")</f>
        <v>4242</v>
      </c>
      <c r="B3687" t="str">
        <f>HYPERLINK("http://bombeiros.sp.gov.br/hidrantes/08bsg/qrcodeBSG.html?id=4242&amp;lat=-23.56188&amp;long=-46.70251&amp;tipo=S","QRCODE")</f>
        <v>QRCODE</v>
      </c>
      <c r="C3687" t="s">
        <v>5351</v>
      </c>
      <c r="D3687" t="s">
        <v>1514</v>
      </c>
      <c r="E3687" t="s">
        <v>1514</v>
      </c>
      <c r="F3687" t="s">
        <v>21</v>
      </c>
      <c r="G3687" t="s">
        <v>4201</v>
      </c>
      <c r="H3687">
        <v>0</v>
      </c>
      <c r="I3687">
        <v>1</v>
      </c>
      <c r="J3687">
        <v>0</v>
      </c>
      <c r="K3687">
        <v>0</v>
      </c>
      <c r="L3687">
        <v>0</v>
      </c>
    </row>
    <row r="3688" spans="1:12">
      <c r="A3688" t="str">
        <f>HYPERLINK("http://bombeiros.sp.gov.br/hidrantes/03individual/4262.html","4262")</f>
        <v>4262</v>
      </c>
      <c r="B3688" t="str">
        <f>HYPERLINK("http://bombeiros.sp.gov.br/hidrantes/08bsg/qrcodeBSG.html?id=4262&amp;lat=-23.57228&amp;long=-46.69498&amp;tipo=S","QRCODE")</f>
        <v>QRCODE</v>
      </c>
      <c r="C3688" t="s">
        <v>5351</v>
      </c>
      <c r="D3688" t="s">
        <v>1514</v>
      </c>
      <c r="E3688" t="s">
        <v>1514</v>
      </c>
      <c r="F3688" t="s">
        <v>21</v>
      </c>
      <c r="G3688" t="s">
        <v>5000</v>
      </c>
      <c r="H3688">
        <v>0</v>
      </c>
      <c r="I3688">
        <v>1</v>
      </c>
      <c r="J3688">
        <v>0</v>
      </c>
      <c r="K3688">
        <v>0</v>
      </c>
      <c r="L3688">
        <v>0</v>
      </c>
    </row>
    <row r="3689" spans="1:12">
      <c r="A3689" t="str">
        <f>HYPERLINK("http://bombeiros.sp.gov.br/hidrantes/03individual/4263.html","4263")</f>
        <v>4263</v>
      </c>
      <c r="B3689" t="str">
        <f>HYPERLINK("http://bombeiros.sp.gov.br/hidrantes/08bsg/qrcodeBSG.html?id=4263&amp;lat=-23.57014&amp;long=-46.69985&amp;tipo=S","QRCODE")</f>
        <v>QRCODE</v>
      </c>
      <c r="C3689" t="s">
        <v>5351</v>
      </c>
      <c r="D3689" t="s">
        <v>1514</v>
      </c>
      <c r="E3689" t="s">
        <v>1514</v>
      </c>
      <c r="F3689" t="s">
        <v>21</v>
      </c>
      <c r="G3689" t="s">
        <v>4063</v>
      </c>
      <c r="H3689">
        <v>0</v>
      </c>
      <c r="I3689">
        <v>1</v>
      </c>
      <c r="J3689">
        <v>0</v>
      </c>
      <c r="K3689">
        <v>0</v>
      </c>
      <c r="L3689">
        <v>0</v>
      </c>
    </row>
    <row r="3690" spans="1:12">
      <c r="A3690" t="str">
        <f>HYPERLINK("http://bombeiros.sp.gov.br/hidrantes/03individual/16544.html","16544")</f>
        <v>16544</v>
      </c>
      <c r="B3690" t="str">
        <f>HYPERLINK("http://bombeiros.sp.gov.br/hidrantes/08bsg/qrcodeBSG.html?id=16544&amp;lat=-23.57048&amp;long=-46.69420&amp;tipo=S","QRCODE")</f>
        <v>QRCODE</v>
      </c>
      <c r="C3690" t="s">
        <v>5351</v>
      </c>
      <c r="D3690" t="s">
        <v>1514</v>
      </c>
      <c r="E3690" t="s">
        <v>1514</v>
      </c>
      <c r="F3690" t="s">
        <v>21</v>
      </c>
      <c r="G3690" t="s">
        <v>1513</v>
      </c>
      <c r="H3690">
        <v>1</v>
      </c>
      <c r="I3690">
        <v>2</v>
      </c>
      <c r="J3690">
        <v>0</v>
      </c>
      <c r="K3690">
        <v>0</v>
      </c>
      <c r="L3690">
        <v>0</v>
      </c>
    </row>
    <row r="3691" spans="1:12">
      <c r="A3691" t="str">
        <f>HYPERLINK("http://bombeiros.sp.gov.br/hidrantes/03individual/17753.html","17753")</f>
        <v>17753</v>
      </c>
      <c r="B3691" t="str">
        <f>HYPERLINK("http://bombeiros.sp.gov.br/hidrantes/08bsg/qrcodeBSG.html?id=17753&amp;lat=-23.57306&amp;long=-46.69858&amp;tipo=S","QRCODE")</f>
        <v>QRCODE</v>
      </c>
      <c r="C3691" t="s">
        <v>5351</v>
      </c>
      <c r="D3691" t="s">
        <v>1514</v>
      </c>
      <c r="E3691" t="s">
        <v>1514</v>
      </c>
      <c r="F3691" t="s">
        <v>21</v>
      </c>
      <c r="G3691" t="s">
        <v>3648</v>
      </c>
      <c r="H3691">
        <v>1</v>
      </c>
      <c r="I3691">
        <v>1</v>
      </c>
      <c r="J3691">
        <v>0</v>
      </c>
      <c r="K3691">
        <v>0</v>
      </c>
      <c r="L3691">
        <v>0</v>
      </c>
    </row>
    <row r="3692" spans="1:12">
      <c r="A3692" t="str">
        <f>HYPERLINK("http://bombeiros.sp.gov.br/hidrantes/03individual/2141.html","2141")</f>
        <v>2141</v>
      </c>
      <c r="B3692" t="str">
        <f>HYPERLINK("http://bombeiros.sp.gov.br/hidrantes/08bsg/qrcodeBSG.html?id=2141&amp;lat=-23.55493&amp;long=-46.69676&amp;tipo=S","QRCODE")</f>
        <v>QRCODE</v>
      </c>
      <c r="C3692" t="s">
        <v>5351</v>
      </c>
      <c r="D3692" t="s">
        <v>1514</v>
      </c>
      <c r="E3692" t="s">
        <v>1257</v>
      </c>
      <c r="F3692" t="s">
        <v>21</v>
      </c>
      <c r="G3692" t="s">
        <v>3230</v>
      </c>
      <c r="H3692">
        <v>0</v>
      </c>
      <c r="I3692">
        <v>2</v>
      </c>
      <c r="J3692">
        <v>0</v>
      </c>
      <c r="K3692">
        <v>0</v>
      </c>
      <c r="L3692">
        <v>0</v>
      </c>
    </row>
    <row r="3693" spans="1:12">
      <c r="A3693" t="str">
        <f>HYPERLINK("http://bombeiros.sp.gov.br/hidrantes/03individual/2152.html","2152")</f>
        <v>2152</v>
      </c>
      <c r="B3693" t="str">
        <f>HYPERLINK("http://bombeiros.sp.gov.br/hidrantes/08bsg/qrcodeBSG.html?id=2152&amp;lat=-23.54570&amp;long=-46.69190&amp;tipo=S","QRCODE")</f>
        <v>QRCODE</v>
      </c>
      <c r="C3693" t="s">
        <v>5351</v>
      </c>
      <c r="D3693" t="s">
        <v>1514</v>
      </c>
      <c r="E3693" t="s">
        <v>1257</v>
      </c>
      <c r="F3693" t="s">
        <v>21</v>
      </c>
      <c r="G3693" t="s">
        <v>4956</v>
      </c>
      <c r="H3693">
        <v>1</v>
      </c>
      <c r="I3693">
        <v>1</v>
      </c>
      <c r="J3693">
        <v>0</v>
      </c>
      <c r="K3693">
        <v>0</v>
      </c>
      <c r="L3693">
        <v>0</v>
      </c>
    </row>
    <row r="3694" spans="1:12">
      <c r="A3694" t="str">
        <f>HYPERLINK("http://bombeiros.sp.gov.br/hidrantes/03individual/2157.html","2157")</f>
        <v>2157</v>
      </c>
      <c r="B3694" t="str">
        <f>HYPERLINK("http://bombeiros.sp.gov.br/hidrantes/08bsg/qrcodeBSG.html?id=2157&amp;lat=-23.54641&amp;long=-46.69222&amp;tipo=S","QRCODE")</f>
        <v>QRCODE</v>
      </c>
      <c r="C3694" t="s">
        <v>5351</v>
      </c>
      <c r="D3694" t="s">
        <v>1514</v>
      </c>
      <c r="E3694" t="s">
        <v>1257</v>
      </c>
      <c r="F3694" t="s">
        <v>21</v>
      </c>
      <c r="G3694" t="s">
        <v>1256</v>
      </c>
      <c r="H3694">
        <v>1</v>
      </c>
      <c r="I3694">
        <v>2</v>
      </c>
      <c r="J3694">
        <v>0</v>
      </c>
      <c r="K3694">
        <v>0</v>
      </c>
      <c r="L3694">
        <v>0</v>
      </c>
    </row>
    <row r="3695" spans="1:12">
      <c r="A3695" t="str">
        <f>HYPERLINK("http://bombeiros.sp.gov.br/hidrantes/03individual/2229.html","2229")</f>
        <v>2229</v>
      </c>
      <c r="B3695" t="str">
        <f>HYPERLINK("http://bombeiros.sp.gov.br/hidrantes/08bsg/qrcodeBSG.html?id=2229&amp;lat=-23.55528&amp;long=-46.68811&amp;tipo=S","QRCODE")</f>
        <v>QRCODE</v>
      </c>
      <c r="C3695" t="s">
        <v>5351</v>
      </c>
      <c r="D3695" t="s">
        <v>1514</v>
      </c>
      <c r="E3695" t="s">
        <v>1257</v>
      </c>
      <c r="F3695" t="s">
        <v>21</v>
      </c>
      <c r="G3695" t="s">
        <v>2157</v>
      </c>
      <c r="H3695">
        <v>0</v>
      </c>
      <c r="I3695">
        <v>2</v>
      </c>
      <c r="J3695">
        <v>0</v>
      </c>
      <c r="K3695">
        <v>0</v>
      </c>
      <c r="L3695">
        <v>0</v>
      </c>
    </row>
    <row r="3696" spans="1:12">
      <c r="A3696" t="str">
        <f>HYPERLINK("http://bombeiros.sp.gov.br/hidrantes/03individual/2242.html","2242")</f>
        <v>2242</v>
      </c>
      <c r="B3696" t="str">
        <f>HYPERLINK("http://bombeiros.sp.gov.br/hidrantes/08bsg/qrcodeBSG.html?id=2242&amp;lat=-23.55170&amp;long=-46.69165&amp;tipo=S","QRCODE")</f>
        <v>QRCODE</v>
      </c>
      <c r="C3696" t="s">
        <v>5351</v>
      </c>
      <c r="D3696" t="s">
        <v>1514</v>
      </c>
      <c r="E3696" t="s">
        <v>1257</v>
      </c>
      <c r="F3696" t="s">
        <v>21</v>
      </c>
      <c r="G3696" t="s">
        <v>1304</v>
      </c>
      <c r="H3696">
        <v>1</v>
      </c>
      <c r="I3696">
        <v>2</v>
      </c>
      <c r="J3696">
        <v>0</v>
      </c>
      <c r="K3696">
        <v>0</v>
      </c>
      <c r="L3696">
        <v>0</v>
      </c>
    </row>
    <row r="3697" spans="1:12">
      <c r="A3697" t="str">
        <f>HYPERLINK("http://bombeiros.sp.gov.br/hidrantes/03individual/2282.html","2282")</f>
        <v>2282</v>
      </c>
      <c r="B3697" t="str">
        <f>HYPERLINK("http://bombeiros.sp.gov.br/hidrantes/08bsg/qrcodeBSG.html?id=2282&amp;lat=-23.54981&amp;long=-46.68459&amp;tipo=S","QRCODE")</f>
        <v>QRCODE</v>
      </c>
      <c r="C3697" t="s">
        <v>5351</v>
      </c>
      <c r="D3697" t="s">
        <v>1514</v>
      </c>
      <c r="E3697" t="s">
        <v>1257</v>
      </c>
      <c r="F3697" t="s">
        <v>21</v>
      </c>
      <c r="G3697" t="s">
        <v>5163</v>
      </c>
      <c r="H3697">
        <v>0</v>
      </c>
      <c r="I3697">
        <v>1</v>
      </c>
      <c r="J3697">
        <v>0</v>
      </c>
      <c r="K3697">
        <v>0</v>
      </c>
      <c r="L3697">
        <v>0</v>
      </c>
    </row>
    <row r="3698" spans="1:12">
      <c r="A3698" t="str">
        <f>HYPERLINK("http://bombeiros.sp.gov.br/hidrantes/03individual/2286.html","2286")</f>
        <v>2286</v>
      </c>
      <c r="B3698" t="str">
        <f>HYPERLINK("http://bombeiros.sp.gov.br/hidrantes/08bsg/qrcodeBSG.html?id=2286&amp;lat=-23.55142&amp;long=-46.68484&amp;tipo=S","QRCODE")</f>
        <v>QRCODE</v>
      </c>
      <c r="C3698" t="s">
        <v>5351</v>
      </c>
      <c r="D3698" t="s">
        <v>1514</v>
      </c>
      <c r="E3698" t="s">
        <v>1257</v>
      </c>
      <c r="F3698" t="s">
        <v>21</v>
      </c>
      <c r="G3698" t="s">
        <v>1308</v>
      </c>
      <c r="H3698">
        <v>0</v>
      </c>
      <c r="I3698">
        <v>3</v>
      </c>
      <c r="J3698">
        <v>0</v>
      </c>
      <c r="K3698">
        <v>0</v>
      </c>
      <c r="L3698">
        <v>0</v>
      </c>
    </row>
    <row r="3699" spans="1:12">
      <c r="A3699" t="str">
        <f>HYPERLINK("http://bombeiros.sp.gov.br/hidrantes/03individual/2685.html","2685")</f>
        <v>2685</v>
      </c>
      <c r="B3699" t="str">
        <f>HYPERLINK("http://bombeiros.sp.gov.br/hidrantes/08bsg/qrcodeBSG.html?id=2685&amp;lat=-23.55334&amp;long=-46.69054&amp;tipo=S","QRCODE")</f>
        <v>QRCODE</v>
      </c>
      <c r="C3699" t="s">
        <v>5351</v>
      </c>
      <c r="D3699" t="s">
        <v>1514</v>
      </c>
      <c r="E3699" t="s">
        <v>1257</v>
      </c>
      <c r="F3699" t="s">
        <v>21</v>
      </c>
      <c r="G3699" t="s">
        <v>4948</v>
      </c>
      <c r="H3699">
        <v>0</v>
      </c>
      <c r="I3699">
        <v>1</v>
      </c>
      <c r="J3699">
        <v>0</v>
      </c>
      <c r="K3699">
        <v>0</v>
      </c>
      <c r="L3699">
        <v>0</v>
      </c>
    </row>
    <row r="3700" spans="1:12">
      <c r="A3700" t="str">
        <f>HYPERLINK("http://bombeiros.sp.gov.br/hidrantes/03individual/2690.html","2690")</f>
        <v>2690</v>
      </c>
      <c r="B3700" t="str">
        <f>HYPERLINK("http://bombeiros.sp.gov.br/hidrantes/08bsg/qrcodeBSG.html?id=2690&amp;lat=-23.55068&amp;long=-46.68297&amp;tipo=S","QRCODE")</f>
        <v>QRCODE</v>
      </c>
      <c r="C3700" t="s">
        <v>5351</v>
      </c>
      <c r="D3700" t="s">
        <v>1514</v>
      </c>
      <c r="E3700" t="s">
        <v>1257</v>
      </c>
      <c r="F3700" t="s">
        <v>21</v>
      </c>
      <c r="G3700" t="s">
        <v>3197</v>
      </c>
      <c r="H3700">
        <v>1</v>
      </c>
      <c r="I3700">
        <v>1</v>
      </c>
      <c r="J3700">
        <v>0</v>
      </c>
      <c r="K3700">
        <v>0</v>
      </c>
      <c r="L3700">
        <v>0</v>
      </c>
    </row>
    <row r="3701" spans="1:12">
      <c r="A3701" t="str">
        <f>HYPERLINK("http://bombeiros.sp.gov.br/hidrantes/03individual/2692.html","2692")</f>
        <v>2692</v>
      </c>
      <c r="B3701" t="str">
        <f>HYPERLINK("http://bombeiros.sp.gov.br/hidrantes/08bsg/qrcodeBSG.html?id=2692&amp;lat=-23.55129&amp;long=-46.68536&amp;tipo=S","QRCODE")</f>
        <v>QRCODE</v>
      </c>
      <c r="C3701" t="s">
        <v>5351</v>
      </c>
      <c r="D3701" t="s">
        <v>1514</v>
      </c>
      <c r="E3701" t="s">
        <v>1257</v>
      </c>
      <c r="F3701" t="s">
        <v>21</v>
      </c>
      <c r="G3701" t="s">
        <v>1289</v>
      </c>
      <c r="H3701">
        <v>1</v>
      </c>
      <c r="I3701">
        <v>2</v>
      </c>
      <c r="J3701">
        <v>0</v>
      </c>
      <c r="K3701">
        <v>0</v>
      </c>
      <c r="L3701">
        <v>0</v>
      </c>
    </row>
    <row r="3702" spans="1:12">
      <c r="A3702" t="str">
        <f>HYPERLINK("http://bombeiros.sp.gov.br/hidrantes/03individual/2694.html","2694")</f>
        <v>2694</v>
      </c>
      <c r="B3702" t="str">
        <f>HYPERLINK("http://bombeiros.sp.gov.br/hidrantes/08bsg/qrcodeBSG.html?id=2694&amp;lat=-23.55201&amp;long=-46.68558&amp;tipo=S","QRCODE")</f>
        <v>QRCODE</v>
      </c>
      <c r="C3702" t="s">
        <v>5351</v>
      </c>
      <c r="D3702" t="s">
        <v>1514</v>
      </c>
      <c r="E3702" t="s">
        <v>1257</v>
      </c>
      <c r="F3702" t="s">
        <v>21</v>
      </c>
      <c r="G3702" t="s">
        <v>5166</v>
      </c>
      <c r="H3702">
        <v>0</v>
      </c>
      <c r="I3702">
        <v>1</v>
      </c>
      <c r="J3702">
        <v>0</v>
      </c>
      <c r="K3702">
        <v>0</v>
      </c>
      <c r="L3702">
        <v>0</v>
      </c>
    </row>
    <row r="3703" spans="1:12">
      <c r="A3703" t="str">
        <f>HYPERLINK("http://bombeiros.sp.gov.br/hidrantes/03individual/4272.html","4272")</f>
        <v>4272</v>
      </c>
      <c r="B3703" t="str">
        <f>HYPERLINK("http://bombeiros.sp.gov.br/hidrantes/08bsg/qrcodeBSG.html?id=4272&amp;lat=-23.55687&amp;long=-46.69480&amp;tipo=S","QRCODE")</f>
        <v>QRCODE</v>
      </c>
      <c r="C3703" t="s">
        <v>5351</v>
      </c>
      <c r="D3703" t="s">
        <v>1514</v>
      </c>
      <c r="E3703" t="s">
        <v>1257</v>
      </c>
      <c r="F3703" t="s">
        <v>21</v>
      </c>
      <c r="G3703" t="s">
        <v>4200</v>
      </c>
      <c r="H3703">
        <v>0</v>
      </c>
      <c r="I3703">
        <v>1</v>
      </c>
      <c r="J3703">
        <v>0</v>
      </c>
      <c r="K3703">
        <v>0</v>
      </c>
      <c r="L3703">
        <v>0</v>
      </c>
    </row>
    <row r="3704" spans="1:12">
      <c r="A3704" t="str">
        <f>HYPERLINK("http://bombeiros.sp.gov.br/hidrantes/03individual/4273.html","4273")</f>
        <v>4273</v>
      </c>
      <c r="B3704" t="str">
        <f>HYPERLINK("http://bombeiros.sp.gov.br/hidrantes/08bsg/qrcodeBSG.html?id=4273&amp;lat=-23.55036&amp;long=-46.69408&amp;tipo=S","QRCODE")</f>
        <v>QRCODE</v>
      </c>
      <c r="C3704" t="s">
        <v>5351</v>
      </c>
      <c r="D3704" t="s">
        <v>1514</v>
      </c>
      <c r="E3704" t="s">
        <v>1257</v>
      </c>
      <c r="F3704" t="s">
        <v>21</v>
      </c>
      <c r="G3704" t="s">
        <v>1268</v>
      </c>
      <c r="H3704">
        <v>1</v>
      </c>
      <c r="I3704">
        <v>2</v>
      </c>
      <c r="J3704">
        <v>0</v>
      </c>
      <c r="K3704">
        <v>0</v>
      </c>
      <c r="L3704">
        <v>0</v>
      </c>
    </row>
    <row r="3705" spans="1:12">
      <c r="A3705" t="str">
        <f>HYPERLINK("http://bombeiros.sp.gov.br/hidrantes/03individual/16576.html","16576")</f>
        <v>16576</v>
      </c>
      <c r="B3705" t="str">
        <f>HYPERLINK("http://bombeiros.sp.gov.br/hidrantes/08bsg/qrcodeBSG.html?id=16576&amp;lat=-23.55964&amp;long=-46.69433&amp;tipo=S","QRCODE")</f>
        <v>QRCODE</v>
      </c>
      <c r="C3705" t="s">
        <v>5351</v>
      </c>
      <c r="D3705" t="s">
        <v>1514</v>
      </c>
      <c r="E3705" t="s">
        <v>1257</v>
      </c>
      <c r="F3705" t="s">
        <v>21</v>
      </c>
      <c r="G3705" t="s">
        <v>5214</v>
      </c>
      <c r="H3705">
        <v>1</v>
      </c>
      <c r="I3705">
        <v>0</v>
      </c>
      <c r="J3705">
        <v>0</v>
      </c>
      <c r="K3705">
        <v>0</v>
      </c>
      <c r="L3705">
        <v>0</v>
      </c>
    </row>
    <row r="3706" spans="1:12">
      <c r="A3706" t="str">
        <f>HYPERLINK("http://bombeiros.sp.gov.br/hidrantes/03individual/16577.html","16577")</f>
        <v>16577</v>
      </c>
      <c r="B3706" t="str">
        <f>HYPERLINK("http://bombeiros.sp.gov.br/hidrantes/08bsg/qrcodeBSG.html?id=16577&amp;lat=-23.55512&amp;long=-46.69354&amp;tipo=S","QRCODE")</f>
        <v>QRCODE</v>
      </c>
      <c r="C3706" t="s">
        <v>5351</v>
      </c>
      <c r="D3706" t="s">
        <v>1514</v>
      </c>
      <c r="E3706" t="s">
        <v>1257</v>
      </c>
      <c r="F3706" t="s">
        <v>21</v>
      </c>
      <c r="G3706" t="s">
        <v>1312</v>
      </c>
      <c r="H3706">
        <v>1</v>
      </c>
      <c r="I3706">
        <v>2</v>
      </c>
      <c r="J3706">
        <v>0</v>
      </c>
      <c r="K3706">
        <v>0</v>
      </c>
      <c r="L3706">
        <v>0</v>
      </c>
    </row>
    <row r="3707" spans="1:12">
      <c r="A3707" t="str">
        <f>HYPERLINK("http://bombeiros.sp.gov.br/hidrantes/03individual/17652.html","17652")</f>
        <v>17652</v>
      </c>
      <c r="B3707" t="str">
        <f>HYPERLINK("http://bombeiros.sp.gov.br/hidrantes/08bsg/qrcodeBSG.html?id=17652&amp;lat=-23.55874&amp;long=-46.69668&amp;tipo=S","QRCODE")</f>
        <v>QRCODE</v>
      </c>
      <c r="C3707" t="s">
        <v>5351</v>
      </c>
      <c r="D3707" t="s">
        <v>1514</v>
      </c>
      <c r="E3707" t="s">
        <v>1257</v>
      </c>
      <c r="F3707" t="s">
        <v>21</v>
      </c>
      <c r="G3707" t="s">
        <v>4896</v>
      </c>
      <c r="H3707">
        <v>1</v>
      </c>
      <c r="I3707">
        <v>1</v>
      </c>
      <c r="J3707">
        <v>0</v>
      </c>
      <c r="K3707">
        <v>0</v>
      </c>
      <c r="L3707">
        <v>0</v>
      </c>
    </row>
    <row r="3708" spans="1:12">
      <c r="A3708" t="str">
        <f>HYPERLINK("http://bombeiros.sp.gov.br/hidrantes/03individual/17653.html","17653")</f>
        <v>17653</v>
      </c>
      <c r="B3708" t="str">
        <f>HYPERLINK("http://bombeiros.sp.gov.br/hidrantes/08bsg/qrcodeBSG.html?id=17653&amp;lat=-23.54933&amp;long=-46.68757&amp;tipo=S","QRCODE")</f>
        <v>QRCODE</v>
      </c>
      <c r="C3708" t="s">
        <v>5351</v>
      </c>
      <c r="D3708" t="s">
        <v>1514</v>
      </c>
      <c r="E3708" t="s">
        <v>1257</v>
      </c>
      <c r="F3708" t="s">
        <v>21</v>
      </c>
      <c r="G3708" t="s">
        <v>1319</v>
      </c>
      <c r="H3708">
        <v>1</v>
      </c>
      <c r="I3708">
        <v>2</v>
      </c>
      <c r="J3708">
        <v>0</v>
      </c>
      <c r="K3708">
        <v>0</v>
      </c>
      <c r="L3708">
        <v>0</v>
      </c>
    </row>
    <row r="3709" spans="1:12">
      <c r="A3709" t="str">
        <f>HYPERLINK("http://bombeiros.sp.gov.br/hidrantes/03individual/17654.html","17654")</f>
        <v>17654</v>
      </c>
      <c r="B3709" t="str">
        <f>HYPERLINK("http://bombeiros.sp.gov.br/hidrantes/08bsg/qrcodeBSG.html?id=17654&amp;lat=-23.54786&amp;long=-46.68691&amp;tipo=S","QRCODE")</f>
        <v>QRCODE</v>
      </c>
      <c r="C3709" t="s">
        <v>5351</v>
      </c>
      <c r="D3709" t="s">
        <v>1514</v>
      </c>
      <c r="E3709" t="s">
        <v>1257</v>
      </c>
      <c r="F3709" t="s">
        <v>21</v>
      </c>
      <c r="G3709" t="s">
        <v>1320</v>
      </c>
      <c r="H3709">
        <v>1</v>
      </c>
      <c r="I3709">
        <v>2</v>
      </c>
      <c r="J3709">
        <v>0</v>
      </c>
      <c r="K3709">
        <v>0</v>
      </c>
      <c r="L3709">
        <v>0</v>
      </c>
    </row>
    <row r="3710" spans="1:12">
      <c r="A3710" t="str">
        <f>HYPERLINK("http://bombeiros.sp.gov.br/hidrantes/03individual/17716.html","17716")</f>
        <v>17716</v>
      </c>
      <c r="B3710" t="str">
        <f>HYPERLINK("http://bombeiros.sp.gov.br/hidrantes/08bsg/qrcodeBSG.html?id=17716&amp;lat=-23.56093&amp;long=-46.69357&amp;tipo=S","QRCODE")</f>
        <v>QRCODE</v>
      </c>
      <c r="C3710" t="s">
        <v>5351</v>
      </c>
      <c r="D3710" t="s">
        <v>1514</v>
      </c>
      <c r="E3710" t="s">
        <v>1257</v>
      </c>
      <c r="F3710" t="s">
        <v>21</v>
      </c>
      <c r="G3710" t="s">
        <v>5221</v>
      </c>
      <c r="H3710">
        <v>1</v>
      </c>
      <c r="I3710">
        <v>0</v>
      </c>
      <c r="J3710">
        <v>0</v>
      </c>
      <c r="K3710">
        <v>0</v>
      </c>
      <c r="L3710">
        <v>0</v>
      </c>
    </row>
    <row r="3711" spans="1:12">
      <c r="A3711" t="str">
        <f>HYPERLINK("http://bombeiros.sp.gov.br/hidrantes/03individual/27301.html","27301")</f>
        <v>27301</v>
      </c>
      <c r="B3711" t="str">
        <f>HYPERLINK("http://bombeiros.sp.gov.br/hidrantes/08bsg/qrcodeBSG.html?id=27301&amp;lat=-23.55557&amp;long=-46.69032&amp;tipo=S","QRCODE")</f>
        <v>QRCODE</v>
      </c>
      <c r="C3711" t="s">
        <v>5351</v>
      </c>
      <c r="D3711" t="s">
        <v>1514</v>
      </c>
      <c r="E3711" t="s">
        <v>1257</v>
      </c>
      <c r="F3711" t="s">
        <v>21</v>
      </c>
      <c r="G3711" t="s">
        <v>1322</v>
      </c>
      <c r="H3711">
        <v>0</v>
      </c>
      <c r="I3711">
        <v>1</v>
      </c>
      <c r="J3711">
        <v>0</v>
      </c>
      <c r="K3711">
        <v>0</v>
      </c>
      <c r="L3711">
        <v>0</v>
      </c>
    </row>
    <row r="3712" spans="1:12">
      <c r="A3712" t="str">
        <f>HYPERLINK("http://bombeiros.sp.gov.br/hidrantes/03individual/27396.html","27396")</f>
        <v>27396</v>
      </c>
      <c r="B3712" t="str">
        <f>HYPERLINK("http://bombeiros.sp.gov.br/hidrantes/08bsg/qrcodeBSG.html?id=27396&amp;lat=-23.55688&amp;long=-46.69214&amp;tipo=S","QRCODE")</f>
        <v>QRCODE</v>
      </c>
      <c r="C3712" t="s">
        <v>5351</v>
      </c>
      <c r="D3712" t="s">
        <v>1514</v>
      </c>
      <c r="E3712" t="s">
        <v>1257</v>
      </c>
      <c r="F3712" t="s">
        <v>21</v>
      </c>
      <c r="G3712" t="s">
        <v>5364</v>
      </c>
      <c r="H3712">
        <v>0</v>
      </c>
      <c r="I3712">
        <v>0</v>
      </c>
      <c r="J3712">
        <v>0</v>
      </c>
      <c r="K3712">
        <v>0</v>
      </c>
      <c r="L3712">
        <v>0</v>
      </c>
    </row>
    <row r="3713" spans="1:12">
      <c r="A3713" t="str">
        <f>HYPERLINK("http://bombeiros.sp.gov.br/hidrantes/03individual/1161.html","1161")</f>
        <v>1161</v>
      </c>
      <c r="B3713" t="str">
        <f>HYPERLINK("http://bombeiros.sp.gov.br/hidrantes/08bsg/qrcodeBSG.html?id=1161&amp;lat=-23.58885&amp;long=-46.78077&amp;tipo=C","QRCODE")</f>
        <v>QRCODE</v>
      </c>
      <c r="C3713" t="s">
        <v>5351</v>
      </c>
      <c r="D3713" t="s">
        <v>79</v>
      </c>
      <c r="E3713" t="s">
        <v>163</v>
      </c>
      <c r="F3713" t="s">
        <v>12</v>
      </c>
      <c r="G3713" t="s">
        <v>164</v>
      </c>
      <c r="H3713">
        <v>1</v>
      </c>
      <c r="I3713">
        <v>2</v>
      </c>
      <c r="J3713">
        <v>0</v>
      </c>
      <c r="K3713">
        <v>0</v>
      </c>
      <c r="L3713">
        <v>0</v>
      </c>
    </row>
    <row r="3714" spans="1:12">
      <c r="A3714" t="str">
        <f>HYPERLINK("http://bombeiros.sp.gov.br/hidrantes/03individual/1168.html","1168")</f>
        <v>1168</v>
      </c>
      <c r="B3714" t="str">
        <f>HYPERLINK("http://bombeiros.sp.gov.br/hidrantes/08bsg/qrcodeBSG.html?id=1168&amp;lat=-23.59851&amp;long=-46.76934&amp;tipo=C","QRCODE")</f>
        <v>QRCODE</v>
      </c>
      <c r="C3714" t="s">
        <v>5351</v>
      </c>
      <c r="D3714" t="s">
        <v>79</v>
      </c>
      <c r="E3714" t="s">
        <v>163</v>
      </c>
      <c r="F3714" t="s">
        <v>12</v>
      </c>
      <c r="G3714" t="s">
        <v>167</v>
      </c>
      <c r="H3714">
        <v>1</v>
      </c>
      <c r="I3714">
        <v>2</v>
      </c>
      <c r="J3714">
        <v>0</v>
      </c>
      <c r="K3714">
        <v>0</v>
      </c>
      <c r="L3714">
        <v>0</v>
      </c>
    </row>
    <row r="3715" spans="1:12">
      <c r="A3715" t="str">
        <f>HYPERLINK("http://bombeiros.sp.gov.br/hidrantes/03individual/1158.html","1158")</f>
        <v>1158</v>
      </c>
      <c r="B3715" t="str">
        <f>HYPERLINK("http://bombeiros.sp.gov.br/hidrantes/08bsg/qrcodeBSG.html?id=1158&amp;lat=-23.59154&amp;long=-46.77000&amp;tipo=S","QRCODE")</f>
        <v>QRCODE</v>
      </c>
      <c r="C3715" t="s">
        <v>5351</v>
      </c>
      <c r="D3715" t="s">
        <v>79</v>
      </c>
      <c r="E3715" t="s">
        <v>163</v>
      </c>
      <c r="F3715" t="s">
        <v>21</v>
      </c>
      <c r="G3715" t="s">
        <v>162</v>
      </c>
      <c r="H3715">
        <v>1</v>
      </c>
      <c r="I3715">
        <v>2</v>
      </c>
      <c r="J3715">
        <v>0</v>
      </c>
      <c r="K3715">
        <v>0</v>
      </c>
      <c r="L3715">
        <v>0</v>
      </c>
    </row>
    <row r="3716" spans="1:12">
      <c r="A3716" t="str">
        <f>HYPERLINK("http://bombeiros.sp.gov.br/hidrantes/03individual/1165.html","1165")</f>
        <v>1165</v>
      </c>
      <c r="B3716" t="str">
        <f>HYPERLINK("http://bombeiros.sp.gov.br/hidrantes/08bsg/qrcodeBSG.html?id=1165&amp;lat=-23.59684&amp;long=-46.76860&amp;tipo=S","QRCODE")</f>
        <v>QRCODE</v>
      </c>
      <c r="C3716" t="s">
        <v>5351</v>
      </c>
      <c r="D3716" t="s">
        <v>79</v>
      </c>
      <c r="E3716" t="s">
        <v>163</v>
      </c>
      <c r="F3716" t="s">
        <v>21</v>
      </c>
      <c r="G3716" t="s">
        <v>165</v>
      </c>
      <c r="H3716">
        <v>1</v>
      </c>
      <c r="I3716">
        <v>2</v>
      </c>
      <c r="J3716">
        <v>0</v>
      </c>
      <c r="K3716">
        <v>0</v>
      </c>
      <c r="L3716">
        <v>0</v>
      </c>
    </row>
    <row r="3717" spans="1:12">
      <c r="A3717" t="str">
        <f>HYPERLINK("http://bombeiros.sp.gov.br/hidrantes/03individual/1092.html","1092")</f>
        <v>1092</v>
      </c>
      <c r="B3717" t="str">
        <f>HYPERLINK("http://bombeiros.sp.gov.br/hidrantes/08bsg/qrcodeBSG.html?id=1092&amp;lat=-23.58949&amp;long=-46.79494&amp;tipo=C","QRCODE")</f>
        <v>QRCODE</v>
      </c>
      <c r="C3717" t="s">
        <v>5351</v>
      </c>
      <c r="D3717" t="s">
        <v>79</v>
      </c>
      <c r="E3717" t="s">
        <v>161</v>
      </c>
      <c r="F3717" t="s">
        <v>12</v>
      </c>
      <c r="G3717" t="s">
        <v>170</v>
      </c>
      <c r="H3717">
        <v>0</v>
      </c>
      <c r="I3717">
        <v>2</v>
      </c>
      <c r="J3717">
        <v>0</v>
      </c>
      <c r="K3717">
        <v>0</v>
      </c>
      <c r="L3717">
        <v>0</v>
      </c>
    </row>
    <row r="3718" spans="1:12">
      <c r="A3718" t="str">
        <f>HYPERLINK("http://bombeiros.sp.gov.br/hidrantes/03individual/1130.html","1130")</f>
        <v>1130</v>
      </c>
      <c r="B3718" t="str">
        <f>HYPERLINK("http://bombeiros.sp.gov.br/hidrantes/08bsg/qrcodeBSG.html?id=1130&amp;lat=-23.59372&amp;long=-46.79232&amp;tipo=C","QRCODE")</f>
        <v>QRCODE</v>
      </c>
      <c r="C3718" t="s">
        <v>5351</v>
      </c>
      <c r="D3718" t="s">
        <v>79</v>
      </c>
      <c r="E3718" t="s">
        <v>161</v>
      </c>
      <c r="F3718" t="s">
        <v>12</v>
      </c>
      <c r="G3718" t="s">
        <v>169</v>
      </c>
      <c r="H3718">
        <v>0</v>
      </c>
      <c r="I3718">
        <v>4</v>
      </c>
      <c r="J3718">
        <v>0</v>
      </c>
      <c r="K3718">
        <v>0</v>
      </c>
      <c r="L3718">
        <v>0</v>
      </c>
    </row>
    <row r="3719" spans="1:12">
      <c r="A3719" t="str">
        <f>HYPERLINK("http://bombeiros.sp.gov.br/hidrantes/03individual/1157.html","1157")</f>
        <v>1157</v>
      </c>
      <c r="B3719" t="str">
        <f>HYPERLINK("http://bombeiros.sp.gov.br/hidrantes/08bsg/qrcodeBSG.html?id=1157&amp;lat=-23.59593&amp;long=-46.78619&amp;tipo=C","QRCODE")</f>
        <v>QRCODE</v>
      </c>
      <c r="C3719" t="s">
        <v>5351</v>
      </c>
      <c r="D3719" t="s">
        <v>79</v>
      </c>
      <c r="E3719" t="s">
        <v>161</v>
      </c>
      <c r="F3719" t="s">
        <v>12</v>
      </c>
      <c r="G3719" t="s">
        <v>160</v>
      </c>
      <c r="H3719">
        <v>0</v>
      </c>
      <c r="I3719">
        <v>2</v>
      </c>
      <c r="J3719">
        <v>0</v>
      </c>
      <c r="K3719">
        <v>0</v>
      </c>
      <c r="L3719">
        <v>0</v>
      </c>
    </row>
    <row r="3720" spans="1:12">
      <c r="A3720" t="str">
        <f>HYPERLINK("http://bombeiros.sp.gov.br/hidrantes/03individual/4409.html","4409")</f>
        <v>4409</v>
      </c>
      <c r="B3720" t="str">
        <f>HYPERLINK("http://bombeiros.sp.gov.br/hidrantes/08bsg/qrcodeBSG.html?id=4409&amp;lat=-23.58660&amp;long=-46.78978&amp;tipo=C","QRCODE")</f>
        <v>QRCODE</v>
      </c>
      <c r="C3720" t="s">
        <v>5351</v>
      </c>
      <c r="D3720" t="s">
        <v>79</v>
      </c>
      <c r="E3720" t="s">
        <v>161</v>
      </c>
      <c r="F3720" t="s">
        <v>12</v>
      </c>
      <c r="G3720" t="s">
        <v>183</v>
      </c>
      <c r="H3720">
        <v>0</v>
      </c>
      <c r="I3720">
        <v>4</v>
      </c>
      <c r="J3720">
        <v>0</v>
      </c>
      <c r="K3720">
        <v>0</v>
      </c>
      <c r="L3720">
        <v>0</v>
      </c>
    </row>
    <row r="3721" spans="1:12">
      <c r="A3721" t="str">
        <f>HYPERLINK("http://bombeiros.sp.gov.br/hidrantes/03individual/27320.html","27320")</f>
        <v>27320</v>
      </c>
      <c r="B3721" t="str">
        <f>HYPERLINK("http://bombeiros.sp.gov.br/hidrantes/08bsg/qrcodeBSG.html?id=27320&amp;lat=-23.60058&amp;long=-46.80164&amp;tipo=C","QRCODE")</f>
        <v>QRCODE</v>
      </c>
      <c r="C3721" t="s">
        <v>5351</v>
      </c>
      <c r="D3721" t="s">
        <v>79</v>
      </c>
      <c r="E3721" t="s">
        <v>161</v>
      </c>
      <c r="F3721" t="s">
        <v>12</v>
      </c>
      <c r="G3721" t="s">
        <v>5365</v>
      </c>
      <c r="H3721">
        <v>0</v>
      </c>
      <c r="I3721">
        <v>0</v>
      </c>
      <c r="J3721">
        <v>0</v>
      </c>
      <c r="K3721">
        <v>0</v>
      </c>
      <c r="L3721">
        <v>0</v>
      </c>
    </row>
    <row r="3722" spans="1:12">
      <c r="A3722" t="str">
        <f>HYPERLINK("http://bombeiros.sp.gov.br/hidrantes/03individual/27321.html","27321")</f>
        <v>27321</v>
      </c>
      <c r="B3722" t="str">
        <f>HYPERLINK("http://bombeiros.sp.gov.br/hidrantes/08bsg/qrcodeBSG.html?id=27321&amp;lat=-23.59606&amp;long=-46.79624&amp;tipo=C","QRCODE")</f>
        <v>QRCODE</v>
      </c>
      <c r="C3722" t="s">
        <v>5351</v>
      </c>
      <c r="D3722" t="s">
        <v>79</v>
      </c>
      <c r="E3722" t="s">
        <v>161</v>
      </c>
      <c r="F3722" t="s">
        <v>12</v>
      </c>
      <c r="G3722" t="s">
        <v>5366</v>
      </c>
      <c r="H3722">
        <v>0</v>
      </c>
      <c r="I3722">
        <v>0</v>
      </c>
      <c r="J3722">
        <v>0</v>
      </c>
      <c r="K3722">
        <v>0</v>
      </c>
      <c r="L3722">
        <v>0</v>
      </c>
    </row>
    <row r="3723" spans="1:12">
      <c r="A3723" t="str">
        <f>HYPERLINK("http://bombeiros.sp.gov.br/hidrantes/03individual/27322.html","27322")</f>
        <v>27322</v>
      </c>
      <c r="B3723" t="str">
        <f>HYPERLINK("http://bombeiros.sp.gov.br/hidrantes/08bsg/qrcodeBSG.html?id=27322&amp;lat=-23.59492&amp;long=-46.78958&amp;tipo=C","QRCODE")</f>
        <v>QRCODE</v>
      </c>
      <c r="C3723" t="s">
        <v>5351</v>
      </c>
      <c r="D3723" t="s">
        <v>79</v>
      </c>
      <c r="E3723" t="s">
        <v>161</v>
      </c>
      <c r="F3723" t="s">
        <v>12</v>
      </c>
      <c r="G3723" t="s">
        <v>5367</v>
      </c>
      <c r="H3723">
        <v>0</v>
      </c>
      <c r="I3723">
        <v>0</v>
      </c>
      <c r="J3723">
        <v>0</v>
      </c>
      <c r="K3723">
        <v>0</v>
      </c>
      <c r="L3723">
        <v>0</v>
      </c>
    </row>
    <row r="3724" spans="1:12">
      <c r="A3724" t="str">
        <f>HYPERLINK("http://bombeiros.sp.gov.br/hidrantes/03individual/6689.html","6689")</f>
        <v>6689</v>
      </c>
      <c r="B3724" t="str">
        <f>HYPERLINK("http://bombeiros.sp.gov.br/hidrantes/08bsg/qrcodeBSG.html?id=6689&amp;lat=-23.60470&amp;long=-46.79910&amp;tipo=S","QRCODE")</f>
        <v>QRCODE</v>
      </c>
      <c r="C3724" t="s">
        <v>5351</v>
      </c>
      <c r="D3724" t="s">
        <v>79</v>
      </c>
      <c r="E3724" t="s">
        <v>161</v>
      </c>
      <c r="F3724" t="s">
        <v>21</v>
      </c>
      <c r="G3724" t="s">
        <v>3977</v>
      </c>
      <c r="H3724">
        <v>0</v>
      </c>
      <c r="I3724">
        <v>1</v>
      </c>
      <c r="J3724">
        <v>0</v>
      </c>
      <c r="K3724">
        <v>0</v>
      </c>
      <c r="L3724">
        <v>0</v>
      </c>
    </row>
    <row r="3725" spans="1:12">
      <c r="A3725" t="str">
        <f>HYPERLINK("http://bombeiros.sp.gov.br/hidrantes/03individual/1183.html","1183")</f>
        <v>1183</v>
      </c>
      <c r="B3725" t="str">
        <f>HYPERLINK("http://bombeiros.sp.gov.br/hidrantes/08bsg/qrcodeBSG.html?id=1183&amp;lat=-23.58669&amp;long=-46.80038&amp;tipo=C","QRCODE")</f>
        <v>QRCODE</v>
      </c>
      <c r="C3725" t="s">
        <v>5351</v>
      </c>
      <c r="D3725" t="s">
        <v>79</v>
      </c>
      <c r="E3725" t="s">
        <v>79</v>
      </c>
      <c r="F3725" t="s">
        <v>12</v>
      </c>
      <c r="G3725" t="s">
        <v>95</v>
      </c>
      <c r="H3725">
        <v>0</v>
      </c>
      <c r="I3725">
        <v>2</v>
      </c>
      <c r="J3725">
        <v>0</v>
      </c>
      <c r="K3725">
        <v>0</v>
      </c>
      <c r="L3725">
        <v>0</v>
      </c>
    </row>
    <row r="3726" spans="1:12">
      <c r="A3726" t="str">
        <f>HYPERLINK("http://bombeiros.sp.gov.br/hidrantes/03individual/4244.html","4244")</f>
        <v>4244</v>
      </c>
      <c r="B3726" t="str">
        <f>HYPERLINK("http://bombeiros.sp.gov.br/hidrantes/08bsg/qrcodeBSG.html?id=4244&amp;lat=-23.58543&amp;long=-46.78914&amp;tipo=C","QRCODE")</f>
        <v>QRCODE</v>
      </c>
      <c r="C3726" t="s">
        <v>5351</v>
      </c>
      <c r="D3726" t="s">
        <v>79</v>
      </c>
      <c r="E3726" t="s">
        <v>79</v>
      </c>
      <c r="F3726" t="s">
        <v>12</v>
      </c>
      <c r="G3726" t="s">
        <v>80</v>
      </c>
      <c r="H3726">
        <v>1</v>
      </c>
      <c r="I3726">
        <v>2</v>
      </c>
      <c r="J3726">
        <v>0</v>
      </c>
      <c r="K3726">
        <v>0</v>
      </c>
      <c r="L3726">
        <v>0</v>
      </c>
    </row>
    <row r="3727" spans="1:12">
      <c r="A3727" t="str">
        <f>HYPERLINK("http://bombeiros.sp.gov.br/hidrantes/03individual/6658.html","6658")</f>
        <v>6658</v>
      </c>
      <c r="B3727" t="str">
        <f>HYPERLINK("http://bombeiros.sp.gov.br/hidrantes/08bsg/qrcodeBSG.html?id=6658&amp;lat=-23.58491&amp;long=-46.78938&amp;tipo=C","QRCODE")</f>
        <v>QRCODE</v>
      </c>
      <c r="C3727" t="s">
        <v>5351</v>
      </c>
      <c r="D3727" t="s">
        <v>79</v>
      </c>
      <c r="E3727" t="s">
        <v>79</v>
      </c>
      <c r="F3727" t="s">
        <v>12</v>
      </c>
      <c r="G3727" t="s">
        <v>83</v>
      </c>
      <c r="H3727">
        <v>1</v>
      </c>
      <c r="I3727">
        <v>2</v>
      </c>
      <c r="J3727">
        <v>0</v>
      </c>
      <c r="K3727">
        <v>0</v>
      </c>
      <c r="L3727">
        <v>0</v>
      </c>
    </row>
    <row r="3728" spans="1:12">
      <c r="A3728" t="str">
        <f>HYPERLINK("http://bombeiros.sp.gov.br/hidrantes/03individual/1106.html","1106")</f>
        <v>1106</v>
      </c>
      <c r="B3728" t="str">
        <f>HYPERLINK("http://bombeiros.sp.gov.br/hidrantes/08bsg/qrcodeBSG.html?id=1106&amp;lat=-23.58267&amp;long=-46.78890&amp;tipo=S","QRCODE")</f>
        <v>QRCODE</v>
      </c>
      <c r="C3728" t="s">
        <v>5351</v>
      </c>
      <c r="D3728" t="s">
        <v>79</v>
      </c>
      <c r="E3728" t="s">
        <v>79</v>
      </c>
      <c r="F3728" t="s">
        <v>21</v>
      </c>
      <c r="G3728" t="s">
        <v>94</v>
      </c>
      <c r="H3728">
        <v>0</v>
      </c>
      <c r="I3728">
        <v>3</v>
      </c>
      <c r="J3728">
        <v>0</v>
      </c>
      <c r="K3728">
        <v>0</v>
      </c>
      <c r="L3728">
        <v>0</v>
      </c>
    </row>
    <row r="3729" spans="1:12">
      <c r="A3729" t="str">
        <f>HYPERLINK("http://bombeiros.sp.gov.br/hidrantes/03individual/4208.html","4208")</f>
        <v>4208</v>
      </c>
      <c r="B3729" t="str">
        <f>HYPERLINK("http://bombeiros.sp.gov.br/hidrantes/08bsg/qrcodeBSG.html?id=4208&amp;lat=-23.57794&amp;long=-46.79133&amp;tipo=S","QRCODE")</f>
        <v>QRCODE</v>
      </c>
      <c r="C3729" t="s">
        <v>5351</v>
      </c>
      <c r="D3729" t="s">
        <v>79</v>
      </c>
      <c r="E3729" t="s">
        <v>79</v>
      </c>
      <c r="F3729" t="s">
        <v>21</v>
      </c>
      <c r="G3729" t="s">
        <v>78</v>
      </c>
      <c r="H3729">
        <v>0</v>
      </c>
      <c r="I3729">
        <v>4</v>
      </c>
      <c r="J3729">
        <v>0</v>
      </c>
      <c r="K3729">
        <v>0</v>
      </c>
      <c r="L3729">
        <v>0</v>
      </c>
    </row>
    <row r="3730" spans="1:12">
      <c r="A3730" t="str">
        <f>HYPERLINK("http://bombeiros.sp.gov.br/hidrantes/03individual/3375.html","3375")</f>
        <v>3375</v>
      </c>
      <c r="B3730" t="str">
        <f>HYPERLINK("http://bombeiros.sp.gov.br/hidrantes/08bsg/qrcodeBSG.html?id=3375&amp;lat=-23.55888&amp;long=-46.75487&amp;tipo=C","QRCODE")</f>
        <v>QRCODE</v>
      </c>
      <c r="C3730" t="s">
        <v>5351</v>
      </c>
      <c r="D3730" t="s">
        <v>1553</v>
      </c>
      <c r="E3730" t="s">
        <v>142</v>
      </c>
      <c r="F3730" t="s">
        <v>12</v>
      </c>
      <c r="G3730" t="s">
        <v>212</v>
      </c>
      <c r="H3730">
        <v>1</v>
      </c>
      <c r="I3730">
        <v>2</v>
      </c>
      <c r="J3730">
        <v>0</v>
      </c>
      <c r="K3730">
        <v>0</v>
      </c>
      <c r="L3730">
        <v>0</v>
      </c>
    </row>
    <row r="3731" spans="1:12">
      <c r="A3731" t="str">
        <f>HYPERLINK("http://bombeiros.sp.gov.br/hidrantes/03individual/6656.html","6656")</f>
        <v>6656</v>
      </c>
      <c r="B3731" t="str">
        <f>HYPERLINK("http://bombeiros.sp.gov.br/hidrantes/08bsg/qrcodeBSG.html?id=6656&amp;lat=-23.55990&amp;long=-46.75709&amp;tipo=C","QRCODE")</f>
        <v>QRCODE</v>
      </c>
      <c r="C3731" t="s">
        <v>5351</v>
      </c>
      <c r="D3731" t="s">
        <v>1553</v>
      </c>
      <c r="E3731" t="s">
        <v>142</v>
      </c>
      <c r="F3731" t="s">
        <v>12</v>
      </c>
      <c r="G3731" t="s">
        <v>179</v>
      </c>
      <c r="H3731">
        <v>0</v>
      </c>
      <c r="I3731">
        <v>4</v>
      </c>
      <c r="J3731">
        <v>0</v>
      </c>
      <c r="K3731">
        <v>0</v>
      </c>
      <c r="L3731">
        <v>0</v>
      </c>
    </row>
    <row r="3732" spans="1:12">
      <c r="A3732" t="str">
        <f>HYPERLINK("http://bombeiros.sp.gov.br/hidrantes/03individual/6657.html","6657")</f>
        <v>6657</v>
      </c>
      <c r="B3732" t="str">
        <f>HYPERLINK("http://bombeiros.sp.gov.br/hidrantes/08bsg/qrcodeBSG.html?id=6657&amp;lat=-23.56249&amp;long=-46.75617&amp;tipo=C","QRCODE")</f>
        <v>QRCODE</v>
      </c>
      <c r="C3732" t="s">
        <v>5351</v>
      </c>
      <c r="D3732" t="s">
        <v>1553</v>
      </c>
      <c r="E3732" t="s">
        <v>142</v>
      </c>
      <c r="F3732" t="s">
        <v>12</v>
      </c>
      <c r="G3732" t="s">
        <v>180</v>
      </c>
      <c r="H3732">
        <v>1</v>
      </c>
      <c r="I3732">
        <v>2</v>
      </c>
      <c r="J3732">
        <v>0</v>
      </c>
      <c r="K3732">
        <v>0</v>
      </c>
      <c r="L3732">
        <v>0</v>
      </c>
    </row>
    <row r="3733" spans="1:12">
      <c r="A3733" t="str">
        <f>HYPERLINK("http://bombeiros.sp.gov.br/hidrantes/03individual/6680.html","6680")</f>
        <v>6680</v>
      </c>
      <c r="B3733" t="str">
        <f>HYPERLINK("http://bombeiros.sp.gov.br/hidrantes/08bsg/qrcodeBSG.html?id=6680&amp;lat=-23.57352&amp;long=-46.77632&amp;tipo=C","QRCODE")</f>
        <v>QRCODE</v>
      </c>
      <c r="C3733" t="s">
        <v>5351</v>
      </c>
      <c r="D3733" t="s">
        <v>1553</v>
      </c>
      <c r="E3733" t="s">
        <v>142</v>
      </c>
      <c r="F3733" t="s">
        <v>12</v>
      </c>
      <c r="G3733" t="s">
        <v>3851</v>
      </c>
      <c r="H3733">
        <v>1</v>
      </c>
      <c r="I3733">
        <v>1</v>
      </c>
      <c r="J3733">
        <v>0</v>
      </c>
      <c r="K3733">
        <v>0</v>
      </c>
      <c r="L3733">
        <v>0</v>
      </c>
    </row>
    <row r="3734" spans="1:12">
      <c r="A3734" t="str">
        <f>HYPERLINK("http://bombeiros.sp.gov.br/hidrantes/03individual/27054.html","27054")</f>
        <v>27054</v>
      </c>
      <c r="B3734" t="str">
        <f>HYPERLINK("http://bombeiros.sp.gov.br/hidrantes/08bsg/qrcodeBSG.html?id=27054&amp;lat=-23.57444&amp;long=-46.76539&amp;tipo=C","QRCODE")</f>
        <v>QRCODE</v>
      </c>
      <c r="C3734" t="s">
        <v>5351</v>
      </c>
      <c r="D3734" t="s">
        <v>1553</v>
      </c>
      <c r="E3734" t="s">
        <v>142</v>
      </c>
      <c r="F3734" t="s">
        <v>12</v>
      </c>
      <c r="G3734" t="s">
        <v>3082</v>
      </c>
      <c r="H3734">
        <v>0</v>
      </c>
      <c r="I3734">
        <v>1</v>
      </c>
      <c r="J3734">
        <v>0</v>
      </c>
      <c r="K3734">
        <v>0</v>
      </c>
      <c r="L3734">
        <v>0</v>
      </c>
    </row>
    <row r="3735" spans="1:12">
      <c r="A3735" t="str">
        <f>HYPERLINK("http://bombeiros.sp.gov.br/hidrantes/03individual/1234.html","1234")</f>
        <v>1234</v>
      </c>
      <c r="B3735" t="str">
        <f>HYPERLINK("http://bombeiros.sp.gov.br/hidrantes/08bsg/qrcodeBSG.html?id=1234&amp;lat=-23.56924&amp;long=-46.76454&amp;tipo=S","QRCODE")</f>
        <v>QRCODE</v>
      </c>
      <c r="C3735" t="s">
        <v>5351</v>
      </c>
      <c r="D3735" t="s">
        <v>1553</v>
      </c>
      <c r="E3735" t="s">
        <v>142</v>
      </c>
      <c r="F3735" t="s">
        <v>21</v>
      </c>
      <c r="G3735" t="s">
        <v>3135</v>
      </c>
      <c r="H3735">
        <v>0</v>
      </c>
      <c r="I3735">
        <v>2</v>
      </c>
      <c r="J3735">
        <v>0</v>
      </c>
      <c r="K3735">
        <v>0</v>
      </c>
      <c r="L3735">
        <v>0</v>
      </c>
    </row>
    <row r="3736" spans="1:12">
      <c r="A3736" t="str">
        <f>HYPERLINK("http://bombeiros.sp.gov.br/hidrantes/03individual/1237.html","1237")</f>
        <v>1237</v>
      </c>
      <c r="B3736" t="str">
        <f>HYPERLINK("http://bombeiros.sp.gov.br/hidrantes/08bsg/qrcodeBSG.html?id=1237&amp;lat=-23.56617&amp;long=-46.76273&amp;tipo=S","QRCODE")</f>
        <v>QRCODE</v>
      </c>
      <c r="C3736" t="s">
        <v>5351</v>
      </c>
      <c r="D3736" t="s">
        <v>1553</v>
      </c>
      <c r="E3736" t="s">
        <v>142</v>
      </c>
      <c r="F3736" t="s">
        <v>21</v>
      </c>
      <c r="G3736" t="s">
        <v>3136</v>
      </c>
      <c r="H3736">
        <v>0</v>
      </c>
      <c r="I3736">
        <v>2</v>
      </c>
      <c r="J3736">
        <v>0</v>
      </c>
      <c r="K3736">
        <v>0</v>
      </c>
      <c r="L3736">
        <v>0</v>
      </c>
    </row>
    <row r="3737" spans="1:12">
      <c r="A3737" t="str">
        <f>HYPERLINK("http://bombeiros.sp.gov.br/hidrantes/03individual/1294.html","1294")</f>
        <v>1294</v>
      </c>
      <c r="B3737" t="str">
        <f>HYPERLINK("http://bombeiros.sp.gov.br/hidrantes/08bsg/qrcodeBSG.html?id=1294&amp;lat=-23.55664&amp;long=-46.75855&amp;tipo=S","QRCODE")</f>
        <v>QRCODE</v>
      </c>
      <c r="C3737" t="s">
        <v>5351</v>
      </c>
      <c r="D3737" t="s">
        <v>1553</v>
      </c>
      <c r="E3737" t="s">
        <v>142</v>
      </c>
      <c r="F3737" t="s">
        <v>21</v>
      </c>
      <c r="G3737" t="s">
        <v>141</v>
      </c>
      <c r="H3737">
        <v>1</v>
      </c>
      <c r="I3737">
        <v>2</v>
      </c>
      <c r="J3737">
        <v>0</v>
      </c>
      <c r="K3737">
        <v>0</v>
      </c>
      <c r="L3737">
        <v>0</v>
      </c>
    </row>
    <row r="3738" spans="1:12">
      <c r="A3738" t="str">
        <f>HYPERLINK("http://bombeiros.sp.gov.br/hidrantes/03individual/2778.html","2778")</f>
        <v>2778</v>
      </c>
      <c r="B3738" t="str">
        <f>HYPERLINK("http://bombeiros.sp.gov.br/hidrantes/08bsg/qrcodeBSG.html?id=2778&amp;lat=-23.57112&amp;long=-46.77780&amp;tipo=S","QRCODE")</f>
        <v>QRCODE</v>
      </c>
      <c r="C3738" t="s">
        <v>5351</v>
      </c>
      <c r="D3738" t="s">
        <v>1553</v>
      </c>
      <c r="E3738" t="s">
        <v>142</v>
      </c>
      <c r="F3738" t="s">
        <v>21</v>
      </c>
      <c r="G3738" t="s">
        <v>3849</v>
      </c>
      <c r="H3738">
        <v>1</v>
      </c>
      <c r="I3738">
        <v>1</v>
      </c>
      <c r="J3738">
        <v>0</v>
      </c>
      <c r="K3738">
        <v>0</v>
      </c>
      <c r="L3738">
        <v>0</v>
      </c>
    </row>
    <row r="3739" spans="1:12">
      <c r="A3739" t="str">
        <f>HYPERLINK("http://bombeiros.sp.gov.br/hidrantes/03individual/4230.html","4230")</f>
        <v>4230</v>
      </c>
      <c r="B3739" t="str">
        <f>HYPERLINK("http://bombeiros.sp.gov.br/hidrantes/08bsg/qrcodeBSG.html?id=4230&amp;lat=-23.57698&amp;long=-46.77605&amp;tipo=S","QRCODE")</f>
        <v>QRCODE</v>
      </c>
      <c r="C3739" t="s">
        <v>5351</v>
      </c>
      <c r="D3739" t="s">
        <v>1553</v>
      </c>
      <c r="E3739" t="s">
        <v>142</v>
      </c>
      <c r="F3739" t="s">
        <v>21</v>
      </c>
      <c r="G3739" t="s">
        <v>5081</v>
      </c>
      <c r="H3739">
        <v>0</v>
      </c>
      <c r="I3739">
        <v>1</v>
      </c>
      <c r="J3739">
        <v>0</v>
      </c>
      <c r="K3739">
        <v>0</v>
      </c>
      <c r="L3739">
        <v>0</v>
      </c>
    </row>
    <row r="3740" spans="1:12">
      <c r="A3740" t="str">
        <f>HYPERLINK("http://bombeiros.sp.gov.br/hidrantes/03individual/4232.html","4232")</f>
        <v>4232</v>
      </c>
      <c r="B3740" t="str">
        <f>HYPERLINK("http://bombeiros.sp.gov.br/hidrantes/08bsg/qrcodeBSG.html?id=4232&amp;lat=-23.56253&amp;long=-46.75058&amp;tipo=S","QRCODE")</f>
        <v>QRCODE</v>
      </c>
      <c r="C3740" t="s">
        <v>5351</v>
      </c>
      <c r="D3740" t="s">
        <v>1553</v>
      </c>
      <c r="E3740" t="s">
        <v>142</v>
      </c>
      <c r="F3740" t="s">
        <v>21</v>
      </c>
      <c r="G3740" t="s">
        <v>3114</v>
      </c>
      <c r="H3740">
        <v>0</v>
      </c>
      <c r="I3740">
        <v>2</v>
      </c>
      <c r="J3740">
        <v>0</v>
      </c>
      <c r="K3740">
        <v>0</v>
      </c>
      <c r="L3740">
        <v>0</v>
      </c>
    </row>
    <row r="3741" spans="1:12">
      <c r="A3741" t="str">
        <f>HYPERLINK("http://bombeiros.sp.gov.br/hidrantes/03individual/17766.html","17766")</f>
        <v>17766</v>
      </c>
      <c r="B3741" t="str">
        <f>HYPERLINK("http://bombeiros.sp.gov.br/hidrantes/08bsg/qrcodeBSG.html?id=17766&amp;lat=-23.56308&amp;long=-46.76482&amp;tipo=S","QRCODE")</f>
        <v>QRCODE</v>
      </c>
      <c r="C3741" t="s">
        <v>5351</v>
      </c>
      <c r="D3741" t="s">
        <v>1553</v>
      </c>
      <c r="E3741" t="s">
        <v>142</v>
      </c>
      <c r="F3741" t="s">
        <v>21</v>
      </c>
      <c r="G3741" t="s">
        <v>241</v>
      </c>
      <c r="H3741">
        <v>1</v>
      </c>
      <c r="I3741">
        <v>3</v>
      </c>
      <c r="J3741">
        <v>0</v>
      </c>
      <c r="K3741">
        <v>0</v>
      </c>
      <c r="L3741">
        <v>0</v>
      </c>
    </row>
    <row r="3742" spans="1:12">
      <c r="A3742" t="str">
        <f>HYPERLINK("http://bombeiros.sp.gov.br/hidrantes/03individual/27055.html","27055")</f>
        <v>27055</v>
      </c>
      <c r="B3742" t="str">
        <f>HYPERLINK("http://bombeiros.sp.gov.br/hidrantes/08bsg/qrcodeBSG.html?id=27055&amp;lat=-23.58090&amp;long=-46.77382&amp;tipo=S","QRCODE")</f>
        <v>QRCODE</v>
      </c>
      <c r="C3742" t="s">
        <v>5351</v>
      </c>
      <c r="D3742" t="s">
        <v>1553</v>
      </c>
      <c r="E3742" t="s">
        <v>142</v>
      </c>
      <c r="F3742" t="s">
        <v>21</v>
      </c>
      <c r="G3742" t="s">
        <v>3757</v>
      </c>
      <c r="H3742">
        <v>0</v>
      </c>
      <c r="I3742">
        <v>1</v>
      </c>
      <c r="J3742">
        <v>0</v>
      </c>
      <c r="K3742">
        <v>0</v>
      </c>
      <c r="L3742">
        <v>0</v>
      </c>
    </row>
    <row r="3743" spans="1:12">
      <c r="A3743" t="str">
        <f>HYPERLINK("http://bombeiros.sp.gov.br/hidrantes/03individual/27422.html","27422")</f>
        <v>27422</v>
      </c>
      <c r="B3743" t="str">
        <f>HYPERLINK("http://bombeiros.sp.gov.br/hidrantes/08bsg/qrcodeBSG.html?id=27422&amp;lat=-23.57963&amp;long=-46.75731&amp;tipo=C","QRCODE")</f>
        <v>QRCODE</v>
      </c>
      <c r="C3743" t="s">
        <v>5351</v>
      </c>
      <c r="D3743" t="s">
        <v>1553</v>
      </c>
      <c r="E3743" t="s">
        <v>545</v>
      </c>
      <c r="F3743" t="s">
        <v>12</v>
      </c>
      <c r="G3743" t="s">
        <v>5368</v>
      </c>
      <c r="H3743">
        <v>0</v>
      </c>
      <c r="I3743">
        <v>0</v>
      </c>
      <c r="J3743">
        <v>0</v>
      </c>
      <c r="K3743">
        <v>0</v>
      </c>
      <c r="L3743">
        <v>0</v>
      </c>
    </row>
    <row r="3744" spans="1:12">
      <c r="A3744" t="str">
        <f>HYPERLINK("http://bombeiros.sp.gov.br/hidrantes/03individual/1243.html","1243")</f>
        <v>1243</v>
      </c>
      <c r="B3744" t="str">
        <f>HYPERLINK("http://bombeiros.sp.gov.br/hidrantes/08bsg/qrcodeBSG.html?id=1243&amp;lat=-23.58485&amp;long=-46.75595&amp;tipo=S","QRCODE")</f>
        <v>QRCODE</v>
      </c>
      <c r="C3744" t="s">
        <v>5351</v>
      </c>
      <c r="D3744" t="s">
        <v>1553</v>
      </c>
      <c r="E3744" t="s">
        <v>545</v>
      </c>
      <c r="F3744" t="s">
        <v>21</v>
      </c>
      <c r="G3744" t="s">
        <v>3715</v>
      </c>
      <c r="H3744">
        <v>1</v>
      </c>
      <c r="I3744">
        <v>1</v>
      </c>
      <c r="J3744">
        <v>0</v>
      </c>
      <c r="K3744">
        <v>0</v>
      </c>
      <c r="L3744">
        <v>0</v>
      </c>
    </row>
    <row r="3745" spans="1:12">
      <c r="A3745" t="str">
        <f>HYPERLINK("http://bombeiros.sp.gov.br/hidrantes/03individual/1245.html","1245")</f>
        <v>1245</v>
      </c>
      <c r="B3745" t="str">
        <f>HYPERLINK("http://bombeiros.sp.gov.br/hidrantes/08bsg/qrcodeBSG.html?id=1245&amp;lat=-23.58473&amp;long=-46.75785&amp;tipo=S","QRCODE")</f>
        <v>QRCODE</v>
      </c>
      <c r="C3745" t="s">
        <v>5351</v>
      </c>
      <c r="D3745" t="s">
        <v>1553</v>
      </c>
      <c r="E3745" t="s">
        <v>545</v>
      </c>
      <c r="F3745" t="s">
        <v>21</v>
      </c>
      <c r="G3745" t="s">
        <v>3862</v>
      </c>
      <c r="H3745">
        <v>0</v>
      </c>
      <c r="I3745">
        <v>2</v>
      </c>
      <c r="J3745">
        <v>0</v>
      </c>
      <c r="K3745">
        <v>0</v>
      </c>
      <c r="L3745">
        <v>0</v>
      </c>
    </row>
    <row r="3746" spans="1:12">
      <c r="A3746" t="str">
        <f>HYPERLINK("http://bombeiros.sp.gov.br/hidrantes/03individual/1254.html","1254")</f>
        <v>1254</v>
      </c>
      <c r="B3746" t="str">
        <f>HYPERLINK("http://bombeiros.sp.gov.br/hidrantes/08bsg/qrcodeBSG.html?id=1254&amp;lat=-23.58172&amp;long=-46.75441&amp;tipo=S","QRCODE")</f>
        <v>QRCODE</v>
      </c>
      <c r="C3746" t="s">
        <v>5351</v>
      </c>
      <c r="D3746" t="s">
        <v>1553</v>
      </c>
      <c r="E3746" t="s">
        <v>545</v>
      </c>
      <c r="F3746" t="s">
        <v>21</v>
      </c>
      <c r="G3746" t="s">
        <v>3718</v>
      </c>
      <c r="H3746">
        <v>1</v>
      </c>
      <c r="I3746">
        <v>1</v>
      </c>
      <c r="J3746">
        <v>0</v>
      </c>
      <c r="K3746">
        <v>0</v>
      </c>
      <c r="L3746">
        <v>0</v>
      </c>
    </row>
    <row r="3747" spans="1:12">
      <c r="A3747" t="str">
        <f>HYPERLINK("http://bombeiros.sp.gov.br/hidrantes/03individual/5381.html","5381")</f>
        <v>5381</v>
      </c>
      <c r="B3747" t="str">
        <f>HYPERLINK("http://bombeiros.sp.gov.br/hidrantes/08bsg/qrcodeBSG.html?id=5381&amp;lat=-23.57107&amp;long=-46.75996&amp;tipo=S","QRCODE")</f>
        <v>QRCODE</v>
      </c>
      <c r="C3747" t="s">
        <v>5351</v>
      </c>
      <c r="D3747" t="s">
        <v>1553</v>
      </c>
      <c r="E3747" t="s">
        <v>545</v>
      </c>
      <c r="F3747" t="s">
        <v>21</v>
      </c>
      <c r="G3747" t="s">
        <v>544</v>
      </c>
      <c r="H3747">
        <v>1</v>
      </c>
      <c r="I3747">
        <v>2</v>
      </c>
      <c r="J3747">
        <v>0</v>
      </c>
      <c r="K3747">
        <v>0</v>
      </c>
      <c r="L3747">
        <v>0</v>
      </c>
    </row>
    <row r="3748" spans="1:12">
      <c r="A3748" t="str">
        <f>HYPERLINK("http://bombeiros.sp.gov.br/hidrantes/03individual/17767.html","17767")</f>
        <v>17767</v>
      </c>
      <c r="B3748" t="str">
        <f>HYPERLINK("http://bombeiros.sp.gov.br/hidrantes/08bsg/qrcodeBSG.html?id=17767&amp;lat=-23.58322&amp;long=-46.76095&amp;tipo=S","QRCODE")</f>
        <v>QRCODE</v>
      </c>
      <c r="C3748" t="s">
        <v>5351</v>
      </c>
      <c r="D3748" t="s">
        <v>1553</v>
      </c>
      <c r="E3748" t="s">
        <v>545</v>
      </c>
      <c r="F3748" t="s">
        <v>21</v>
      </c>
      <c r="G3748" t="s">
        <v>3768</v>
      </c>
      <c r="H3748">
        <v>1</v>
      </c>
      <c r="I3748">
        <v>1</v>
      </c>
      <c r="J3748">
        <v>0</v>
      </c>
      <c r="K3748">
        <v>0</v>
      </c>
      <c r="L3748">
        <v>0</v>
      </c>
    </row>
    <row r="3749" spans="1:12">
      <c r="A3749" t="str">
        <f>HYPERLINK("http://bombeiros.sp.gov.br/hidrantes/03individual/17768.html","17768")</f>
        <v>17768</v>
      </c>
      <c r="B3749" t="str">
        <f>HYPERLINK("http://bombeiros.sp.gov.br/hidrantes/08bsg/qrcodeBSG.html?id=17768&amp;lat=-23.57788&amp;long=-46.76152&amp;tipo=S","QRCODE")</f>
        <v>QRCODE</v>
      </c>
      <c r="C3749" t="s">
        <v>5351</v>
      </c>
      <c r="D3749" t="s">
        <v>1553</v>
      </c>
      <c r="E3749" t="s">
        <v>545</v>
      </c>
      <c r="F3749" t="s">
        <v>21</v>
      </c>
      <c r="G3749" t="s">
        <v>3769</v>
      </c>
      <c r="H3749">
        <v>1</v>
      </c>
      <c r="I3749">
        <v>1</v>
      </c>
      <c r="J3749">
        <v>0</v>
      </c>
      <c r="K3749">
        <v>0</v>
      </c>
      <c r="L3749">
        <v>0</v>
      </c>
    </row>
    <row r="3750" spans="1:12">
      <c r="A3750" t="str">
        <f>HYPERLINK("http://bombeiros.sp.gov.br/hidrantes/03individual/17808.html","17808")</f>
        <v>17808</v>
      </c>
      <c r="B3750" t="str">
        <f>HYPERLINK("http://bombeiros.sp.gov.br/hidrantes/08bsg/qrcodeBSG.html?id=17808&amp;lat=-23.58450&amp;long=-46.75298&amp;tipo=S","QRCODE")</f>
        <v>QRCODE</v>
      </c>
      <c r="C3750" t="s">
        <v>5351</v>
      </c>
      <c r="D3750" t="s">
        <v>1553</v>
      </c>
      <c r="E3750" t="s">
        <v>545</v>
      </c>
      <c r="F3750" t="s">
        <v>21</v>
      </c>
      <c r="G3750" t="s">
        <v>3751</v>
      </c>
      <c r="H3750">
        <v>1</v>
      </c>
      <c r="I3750">
        <v>1</v>
      </c>
      <c r="J3750">
        <v>0</v>
      </c>
      <c r="K3750">
        <v>0</v>
      </c>
      <c r="L3750">
        <v>0</v>
      </c>
    </row>
    <row r="3751" spans="1:12">
      <c r="A3751" t="str">
        <f>HYPERLINK("http://bombeiros.sp.gov.br/hidrantes/03individual/1223.html","1223")</f>
        <v>1223</v>
      </c>
      <c r="B3751" t="str">
        <f>HYPERLINK("http://bombeiros.sp.gov.br/hidrantes/08bsg/qrcodeBSG.html?id=1223&amp;lat=-23.56685&amp;long=-46.74356&amp;tipo=C","QRCODE")</f>
        <v>QRCODE</v>
      </c>
      <c r="C3751" t="s">
        <v>5351</v>
      </c>
      <c r="D3751" t="s">
        <v>1553</v>
      </c>
      <c r="E3751" t="s">
        <v>1553</v>
      </c>
      <c r="F3751" t="s">
        <v>12</v>
      </c>
      <c r="G3751" t="s">
        <v>4131</v>
      </c>
      <c r="H3751">
        <v>0</v>
      </c>
      <c r="I3751">
        <v>1</v>
      </c>
      <c r="J3751">
        <v>0</v>
      </c>
      <c r="K3751">
        <v>0</v>
      </c>
      <c r="L3751">
        <v>0</v>
      </c>
    </row>
    <row r="3752" spans="1:12">
      <c r="A3752" t="str">
        <f>HYPERLINK("http://bombeiros.sp.gov.br/hidrantes/03individual/1225.html","1225")</f>
        <v>1225</v>
      </c>
      <c r="B3752" t="str">
        <f>HYPERLINK("http://bombeiros.sp.gov.br/hidrantes/08bsg/qrcodeBSG.html?id=1225&amp;lat=-23.56309&amp;long=-46.74664&amp;tipo=C","QRCODE")</f>
        <v>QRCODE</v>
      </c>
      <c r="C3752" t="s">
        <v>5351</v>
      </c>
      <c r="D3752" t="s">
        <v>1553</v>
      </c>
      <c r="E3752" t="s">
        <v>1553</v>
      </c>
      <c r="F3752" t="s">
        <v>12</v>
      </c>
      <c r="G3752" t="s">
        <v>1981</v>
      </c>
      <c r="H3752">
        <v>0</v>
      </c>
      <c r="I3752">
        <v>3</v>
      </c>
      <c r="J3752">
        <v>0</v>
      </c>
      <c r="K3752">
        <v>0</v>
      </c>
      <c r="L3752">
        <v>0</v>
      </c>
    </row>
    <row r="3753" spans="1:12">
      <c r="A3753" t="str">
        <f>HYPERLINK("http://bombeiros.sp.gov.br/hidrantes/03individual/4236.html","4236")</f>
        <v>4236</v>
      </c>
      <c r="B3753" t="str">
        <f>HYPERLINK("http://bombeiros.sp.gov.br/hidrantes/08bsg/qrcodeBSG.html?id=4236&amp;lat=-23.56332&amp;long=-46.74416&amp;tipo=C","QRCODE")</f>
        <v>QRCODE</v>
      </c>
      <c r="C3753" t="s">
        <v>5351</v>
      </c>
      <c r="D3753" t="s">
        <v>1553</v>
      </c>
      <c r="E3753" t="s">
        <v>1553</v>
      </c>
      <c r="F3753" t="s">
        <v>12</v>
      </c>
      <c r="G3753" t="s">
        <v>1899</v>
      </c>
      <c r="H3753">
        <v>0</v>
      </c>
      <c r="I3753">
        <v>2</v>
      </c>
      <c r="J3753">
        <v>0</v>
      </c>
      <c r="K3753">
        <v>0</v>
      </c>
      <c r="L3753">
        <v>0</v>
      </c>
    </row>
    <row r="3754" spans="1:12">
      <c r="A3754" t="str">
        <f>HYPERLINK("http://bombeiros.sp.gov.br/hidrantes/03individual/15285.html","15285")</f>
        <v>15285</v>
      </c>
      <c r="B3754" t="str">
        <f>HYPERLINK("http://bombeiros.sp.gov.br/hidrantes/08bsg/qrcodeBSG.html?id=15285&amp;lat=-23.56405&amp;long=-46.74420&amp;tipo=C","QRCODE")</f>
        <v>QRCODE</v>
      </c>
      <c r="C3754" t="s">
        <v>5351</v>
      </c>
      <c r="D3754" t="s">
        <v>1553</v>
      </c>
      <c r="E3754" t="s">
        <v>1553</v>
      </c>
      <c r="F3754" t="s">
        <v>12</v>
      </c>
      <c r="G3754" t="s">
        <v>3185</v>
      </c>
      <c r="H3754">
        <v>1</v>
      </c>
      <c r="I3754">
        <v>2</v>
      </c>
      <c r="J3754">
        <v>0</v>
      </c>
      <c r="K3754">
        <v>0</v>
      </c>
      <c r="L3754">
        <v>0</v>
      </c>
    </row>
    <row r="3755" spans="1:12">
      <c r="A3755" t="str">
        <f>HYPERLINK("http://bombeiros.sp.gov.br/hidrantes/03individual/1113.html","1113")</f>
        <v>1113</v>
      </c>
      <c r="B3755" t="str">
        <f>HYPERLINK("http://bombeiros.sp.gov.br/hidrantes/08bsg/qrcodeBSG.html?id=1113&amp;lat=-23.57637&amp;long=-46.74482&amp;tipo=S","QRCODE")</f>
        <v>QRCODE</v>
      </c>
      <c r="C3755" t="s">
        <v>5351</v>
      </c>
      <c r="D3755" t="s">
        <v>1553</v>
      </c>
      <c r="E3755" t="s">
        <v>1553</v>
      </c>
      <c r="F3755" t="s">
        <v>21</v>
      </c>
      <c r="G3755" t="s">
        <v>1552</v>
      </c>
      <c r="H3755">
        <v>1</v>
      </c>
      <c r="I3755">
        <v>2</v>
      </c>
      <c r="J3755">
        <v>0</v>
      </c>
      <c r="K3755">
        <v>0</v>
      </c>
      <c r="L3755">
        <v>0</v>
      </c>
    </row>
    <row r="3756" spans="1:12">
      <c r="A3756" t="str">
        <f>HYPERLINK("http://bombeiros.sp.gov.br/hidrantes/03individual/1247.html","1247")</f>
        <v>1247</v>
      </c>
      <c r="B3756" t="str">
        <f>HYPERLINK("http://bombeiros.sp.gov.br/hidrantes/08bsg/qrcodeBSG.html?id=1247&amp;lat=-23.57725&amp;long=-46.74328&amp;tipo=S","QRCODE")</f>
        <v>QRCODE</v>
      </c>
      <c r="C3756" t="s">
        <v>5351</v>
      </c>
      <c r="D3756" t="s">
        <v>1553</v>
      </c>
      <c r="E3756" t="s">
        <v>1553</v>
      </c>
      <c r="F3756" t="s">
        <v>21</v>
      </c>
      <c r="G3756" t="s">
        <v>3134</v>
      </c>
      <c r="H3756">
        <v>0</v>
      </c>
      <c r="I3756">
        <v>2</v>
      </c>
      <c r="J3756">
        <v>0</v>
      </c>
      <c r="K3756">
        <v>0</v>
      </c>
      <c r="L3756">
        <v>0</v>
      </c>
    </row>
    <row r="3757" spans="1:12">
      <c r="A3757" t="str">
        <f>HYPERLINK("http://bombeiros.sp.gov.br/hidrantes/03individual/4233.html","4233")</f>
        <v>4233</v>
      </c>
      <c r="B3757" t="str">
        <f>HYPERLINK("http://bombeiros.sp.gov.br/hidrantes/08bsg/qrcodeBSG.html?id=4233&amp;lat=-23.56787&amp;long=-46.74526&amp;tipo=S","QRCODE")</f>
        <v>QRCODE</v>
      </c>
      <c r="C3757" t="s">
        <v>5351</v>
      </c>
      <c r="D3757" t="s">
        <v>1553</v>
      </c>
      <c r="E3757" t="s">
        <v>1553</v>
      </c>
      <c r="F3757" t="s">
        <v>21</v>
      </c>
      <c r="G3757" t="s">
        <v>1985</v>
      </c>
      <c r="H3757">
        <v>0</v>
      </c>
      <c r="I3757">
        <v>2</v>
      </c>
      <c r="J3757">
        <v>0</v>
      </c>
      <c r="K3757">
        <v>0</v>
      </c>
      <c r="L3757">
        <v>0</v>
      </c>
    </row>
    <row r="3758" spans="1:12">
      <c r="A3758" t="str">
        <f>HYPERLINK("http://bombeiros.sp.gov.br/hidrantes/03individual/17759.html","17759")</f>
        <v>17759</v>
      </c>
      <c r="B3758" t="str">
        <f>HYPERLINK("http://bombeiros.sp.gov.br/hidrantes/08bsg/qrcodeBSG.html?id=17759&amp;lat=-23.57583&amp;long=-46.74310&amp;tipo=S","QRCODE")</f>
        <v>QRCODE</v>
      </c>
      <c r="C3758" t="s">
        <v>5351</v>
      </c>
      <c r="D3758" t="s">
        <v>1553</v>
      </c>
      <c r="E3758" t="s">
        <v>1553</v>
      </c>
      <c r="F3758" t="s">
        <v>21</v>
      </c>
      <c r="G3758" t="s">
        <v>3079</v>
      </c>
      <c r="H3758">
        <v>0</v>
      </c>
      <c r="I3758">
        <v>2</v>
      </c>
      <c r="J3758">
        <v>0</v>
      </c>
      <c r="K3758">
        <v>0</v>
      </c>
      <c r="L3758">
        <v>0</v>
      </c>
    </row>
    <row r="3759" spans="1:12">
      <c r="A3759" t="str">
        <f>HYPERLINK("http://bombeiros.sp.gov.br/hidrantes/03individual/17765.html","17765")</f>
        <v>17765</v>
      </c>
      <c r="B3759" t="str">
        <f>HYPERLINK("http://bombeiros.sp.gov.br/hidrantes/08bsg/qrcodeBSG.html?id=17765&amp;lat=-23.57353&amp;long=-46.74762&amp;tipo=S","QRCODE")</f>
        <v>QRCODE</v>
      </c>
      <c r="C3759" t="s">
        <v>5351</v>
      </c>
      <c r="D3759" t="s">
        <v>1553</v>
      </c>
      <c r="E3759" t="s">
        <v>1553</v>
      </c>
      <c r="F3759" t="s">
        <v>21</v>
      </c>
      <c r="G3759" t="s">
        <v>3080</v>
      </c>
      <c r="H3759">
        <v>2</v>
      </c>
      <c r="I3759">
        <v>2</v>
      </c>
      <c r="J3759">
        <v>0</v>
      </c>
      <c r="K3759">
        <v>0</v>
      </c>
      <c r="L3759">
        <v>0</v>
      </c>
    </row>
    <row r="3760" spans="1:12">
      <c r="A3760" t="str">
        <f>HYPERLINK("http://bombeiros.sp.gov.br/hidrantes/03individual/17797.html","17797")</f>
        <v>17797</v>
      </c>
      <c r="B3760" t="str">
        <f>HYPERLINK("http://bombeiros.sp.gov.br/hidrantes/08bsg/qrcodeBSG.html?id=17797&amp;lat=-23.57108&amp;long=-46.74436&amp;tipo=S","QRCODE")</f>
        <v>QRCODE</v>
      </c>
      <c r="C3760" t="s">
        <v>5351</v>
      </c>
      <c r="D3760" t="s">
        <v>1553</v>
      </c>
      <c r="E3760" t="s">
        <v>1553</v>
      </c>
      <c r="F3760" t="s">
        <v>21</v>
      </c>
      <c r="G3760" t="s">
        <v>3183</v>
      </c>
      <c r="H3760">
        <v>1</v>
      </c>
      <c r="I3760">
        <v>2</v>
      </c>
      <c r="J3760">
        <v>0</v>
      </c>
      <c r="K3760">
        <v>0</v>
      </c>
      <c r="L3760">
        <v>0</v>
      </c>
    </row>
    <row r="3761" spans="1:12">
      <c r="A3761" t="str">
        <f>HYPERLINK("http://bombeiros.sp.gov.br/hidrantes/03individual/17814.html","17814")</f>
        <v>17814</v>
      </c>
      <c r="B3761" t="str">
        <f>HYPERLINK("http://bombeiros.sp.gov.br/hidrantes/08bsg/qrcodeBSG.html?id=17814&amp;lat=-23.57037&amp;long=-46.75344&amp;tipo=S","QRCODE")</f>
        <v>QRCODE</v>
      </c>
      <c r="C3761" t="s">
        <v>5351</v>
      </c>
      <c r="D3761" t="s">
        <v>1553</v>
      </c>
      <c r="E3761" t="s">
        <v>1553</v>
      </c>
      <c r="F3761" t="s">
        <v>21</v>
      </c>
      <c r="G3761" t="s">
        <v>4533</v>
      </c>
      <c r="H3761">
        <v>1</v>
      </c>
      <c r="I3761">
        <v>2</v>
      </c>
      <c r="J3761">
        <v>0</v>
      </c>
      <c r="K3761">
        <v>0</v>
      </c>
      <c r="L3761">
        <v>0</v>
      </c>
    </row>
    <row r="3762" spans="1:12">
      <c r="A3762" t="str">
        <f>HYPERLINK("http://bombeiros.sp.gov.br/hidrantes/03individual/17815.html","17815")</f>
        <v>17815</v>
      </c>
      <c r="B3762" t="str">
        <f>HYPERLINK("http://bombeiros.sp.gov.br/hidrantes/08bsg/qrcodeBSG.html?id=17815&amp;lat=-23.56327&amp;long=-46.74782&amp;tipo=S","QRCODE")</f>
        <v>QRCODE</v>
      </c>
      <c r="C3762" t="s">
        <v>5351</v>
      </c>
      <c r="D3762" t="s">
        <v>1553</v>
      </c>
      <c r="E3762" t="s">
        <v>1553</v>
      </c>
      <c r="F3762" t="s">
        <v>21</v>
      </c>
      <c r="G3762" t="s">
        <v>5066</v>
      </c>
      <c r="H3762">
        <v>0</v>
      </c>
      <c r="I3762">
        <v>1</v>
      </c>
      <c r="J3762">
        <v>0</v>
      </c>
      <c r="K3762">
        <v>0</v>
      </c>
      <c r="L3762">
        <v>0</v>
      </c>
    </row>
    <row r="3763" spans="1:12">
      <c r="A3763" t="str">
        <f>HYPERLINK("http://bombeiros.sp.gov.br/hidrantes/03individual/23051.html","23051")</f>
        <v>23051</v>
      </c>
      <c r="B3763" t="str">
        <f>HYPERLINK("http://bombeiros.sp.gov.br/hidrantes/08bsg/qrcodeBSG.html?id=23051&amp;lat=-23.56581&amp;long=-46.74454&amp;tipo=S","QRCODE")</f>
        <v>QRCODE</v>
      </c>
      <c r="C3763" t="s">
        <v>5351</v>
      </c>
      <c r="D3763" t="s">
        <v>1553</v>
      </c>
      <c r="E3763" t="s">
        <v>1553</v>
      </c>
      <c r="F3763" t="s">
        <v>21</v>
      </c>
      <c r="G3763" t="s">
        <v>3180</v>
      </c>
      <c r="H3763">
        <v>1</v>
      </c>
      <c r="I3763">
        <v>2</v>
      </c>
      <c r="J3763">
        <v>0</v>
      </c>
      <c r="K3763">
        <v>0</v>
      </c>
      <c r="L3763">
        <v>0</v>
      </c>
    </row>
    <row r="3764" spans="1:12">
      <c r="A3764" t="str">
        <f>HYPERLINK("http://bombeiros.sp.gov.br/hidrantes/03individual/24103.html","24103")</f>
        <v>24103</v>
      </c>
      <c r="B3764" t="str">
        <f>HYPERLINK("http://bombeiros.sp.gov.br/hidrantes/08bsg/qrcodeBSG.html?id=24103&amp;lat=-23.57648&amp;long=-46.74448&amp;tipo=S","QRCODE")</f>
        <v>QRCODE</v>
      </c>
      <c r="C3764" t="s">
        <v>5351</v>
      </c>
      <c r="D3764" t="s">
        <v>1553</v>
      </c>
      <c r="E3764" t="s">
        <v>1553</v>
      </c>
      <c r="F3764" t="s">
        <v>21</v>
      </c>
      <c r="G3764" t="s">
        <v>3181</v>
      </c>
      <c r="H3764">
        <v>1</v>
      </c>
      <c r="I3764">
        <v>1</v>
      </c>
      <c r="J3764">
        <v>0</v>
      </c>
      <c r="K3764">
        <v>0</v>
      </c>
      <c r="L3764">
        <v>0</v>
      </c>
    </row>
    <row r="3765" spans="1:12">
      <c r="A3765" t="str">
        <f>HYPERLINK("http://bombeiros.sp.gov.br/hidrantes/03individual/1144.html","1144")</f>
        <v>1144</v>
      </c>
      <c r="B3765" t="str">
        <f>HYPERLINK("http://bombeiros.sp.gov.br/hidrantes/08bsg/qrcodeBSG.html?id=1144&amp;lat=-23.52120&amp;long=-46.72680&amp;tipo=S","QRCODE")</f>
        <v>QRCODE</v>
      </c>
      <c r="C3765" t="s">
        <v>5351</v>
      </c>
      <c r="D3765" t="s">
        <v>660</v>
      </c>
      <c r="E3765" t="s">
        <v>1485</v>
      </c>
      <c r="F3765" t="s">
        <v>21</v>
      </c>
      <c r="G3765" t="s">
        <v>1900</v>
      </c>
      <c r="H3765">
        <v>0</v>
      </c>
      <c r="I3765">
        <v>2</v>
      </c>
      <c r="J3765">
        <v>0</v>
      </c>
      <c r="K3765">
        <v>0</v>
      </c>
      <c r="L3765">
        <v>0</v>
      </c>
    </row>
    <row r="3766" spans="1:12">
      <c r="A3766" t="str">
        <f>HYPERLINK("http://bombeiros.sp.gov.br/hidrantes/03individual/1156.html","1156")</f>
        <v>1156</v>
      </c>
      <c r="B3766" t="str">
        <f>HYPERLINK("http://bombeiros.sp.gov.br/hidrantes/08bsg/qrcodeBSG.html?id=1156&amp;lat=-23.52313&amp;long=-46.72643&amp;tipo=S","QRCODE")</f>
        <v>QRCODE</v>
      </c>
      <c r="C3766" t="s">
        <v>5351</v>
      </c>
      <c r="D3766" t="s">
        <v>660</v>
      </c>
      <c r="E3766" t="s">
        <v>1485</v>
      </c>
      <c r="F3766" t="s">
        <v>21</v>
      </c>
      <c r="G3766" t="s">
        <v>5062</v>
      </c>
      <c r="H3766">
        <v>0</v>
      </c>
      <c r="I3766">
        <v>1</v>
      </c>
      <c r="J3766">
        <v>0</v>
      </c>
      <c r="K3766">
        <v>0</v>
      </c>
      <c r="L3766">
        <v>0</v>
      </c>
    </row>
    <row r="3767" spans="1:12">
      <c r="A3767" t="str">
        <f>HYPERLINK("http://bombeiros.sp.gov.br/hidrantes/03individual/17707.html","17707")</f>
        <v>17707</v>
      </c>
      <c r="B3767" t="str">
        <f>HYPERLINK("http://bombeiros.sp.gov.br/hidrantes/08bsg/qrcodeBSG.html?id=17707&amp;lat=-23.52469&amp;long=-46.72368&amp;tipo=S","QRCODE")</f>
        <v>QRCODE</v>
      </c>
      <c r="C3767" t="s">
        <v>5351</v>
      </c>
      <c r="D3767" t="s">
        <v>660</v>
      </c>
      <c r="E3767" t="s">
        <v>1485</v>
      </c>
      <c r="F3767" t="s">
        <v>21</v>
      </c>
      <c r="G3767" t="s">
        <v>1484</v>
      </c>
      <c r="H3767">
        <v>1</v>
      </c>
      <c r="I3767">
        <v>2</v>
      </c>
      <c r="J3767">
        <v>0</v>
      </c>
      <c r="K3767">
        <v>0</v>
      </c>
      <c r="L3767">
        <v>0</v>
      </c>
    </row>
    <row r="3768" spans="1:12">
      <c r="A3768" t="str">
        <f>HYPERLINK("http://bombeiros.sp.gov.br/hidrantes/03individual/26887.html","26887")</f>
        <v>26887</v>
      </c>
      <c r="B3768" t="str">
        <f>HYPERLINK("http://bombeiros.sp.gov.br/hidrantes/08bsg/qrcodeBSG.html?id=26887&amp;lat=-23.52473&amp;long=-46.72436&amp;tipo=S","QRCODE")</f>
        <v>QRCODE</v>
      </c>
      <c r="C3768" t="s">
        <v>5351</v>
      </c>
      <c r="D3768" t="s">
        <v>660</v>
      </c>
      <c r="E3768" t="s">
        <v>1485</v>
      </c>
      <c r="F3768" t="s">
        <v>21</v>
      </c>
      <c r="G3768" t="s">
        <v>3760</v>
      </c>
      <c r="H3768">
        <v>0</v>
      </c>
      <c r="I3768">
        <v>1</v>
      </c>
      <c r="J3768">
        <v>0</v>
      </c>
      <c r="K3768">
        <v>0</v>
      </c>
      <c r="L3768">
        <v>0</v>
      </c>
    </row>
    <row r="3769" spans="1:12">
      <c r="A3769" t="str">
        <f>HYPERLINK("http://bombeiros.sp.gov.br/hidrantes/03individual/896.html","896")</f>
        <v>896</v>
      </c>
      <c r="B3769" t="str">
        <f>HYPERLINK("http://bombeiros.sp.gov.br/hidrantes/08bsg/qrcodeBSG.html?id=896&amp;lat=-23.54013&amp;long=-46.73276&amp;tipo=C","QRCODE")</f>
        <v>QRCODE</v>
      </c>
      <c r="C3769" t="s">
        <v>5351</v>
      </c>
      <c r="D3769" t="s">
        <v>660</v>
      </c>
      <c r="E3769" t="s">
        <v>413</v>
      </c>
      <c r="F3769" t="s">
        <v>12</v>
      </c>
      <c r="G3769" t="s">
        <v>591</v>
      </c>
      <c r="H3769">
        <v>0</v>
      </c>
      <c r="I3769">
        <v>2</v>
      </c>
      <c r="J3769">
        <v>0</v>
      </c>
      <c r="K3769">
        <v>0</v>
      </c>
      <c r="L3769">
        <v>0</v>
      </c>
    </row>
    <row r="3770" spans="1:12">
      <c r="A3770" t="str">
        <f>HYPERLINK("http://bombeiros.sp.gov.br/hidrantes/03individual/6659.html","6659")</f>
        <v>6659</v>
      </c>
      <c r="B3770" t="str">
        <f>HYPERLINK("http://bombeiros.sp.gov.br/hidrantes/08bsg/qrcodeBSG.html?id=6659&amp;lat=-23.53410&amp;long=-46.73697&amp;tipo=C","QRCODE")</f>
        <v>QRCODE</v>
      </c>
      <c r="C3770" t="s">
        <v>5351</v>
      </c>
      <c r="D3770" t="s">
        <v>660</v>
      </c>
      <c r="E3770" t="s">
        <v>413</v>
      </c>
      <c r="F3770" t="s">
        <v>12</v>
      </c>
      <c r="G3770" t="s">
        <v>4249</v>
      </c>
      <c r="H3770">
        <v>0</v>
      </c>
      <c r="I3770">
        <v>1</v>
      </c>
      <c r="J3770">
        <v>0</v>
      </c>
      <c r="K3770">
        <v>0</v>
      </c>
      <c r="L3770">
        <v>0</v>
      </c>
    </row>
    <row r="3771" spans="1:12">
      <c r="A3771" t="str">
        <f>HYPERLINK("http://bombeiros.sp.gov.br/hidrantes/03individual/6660.html","6660")</f>
        <v>6660</v>
      </c>
      <c r="B3771" t="str">
        <f>HYPERLINK("http://bombeiros.sp.gov.br/hidrantes/08bsg/qrcodeBSG.html?id=6660&amp;lat=-23.53418&amp;long=-46.73596&amp;tipo=C","QRCODE")</f>
        <v>QRCODE</v>
      </c>
      <c r="C3771" t="s">
        <v>5351</v>
      </c>
      <c r="D3771" t="s">
        <v>660</v>
      </c>
      <c r="E3771" t="s">
        <v>413</v>
      </c>
      <c r="F3771" t="s">
        <v>12</v>
      </c>
      <c r="G3771" t="s">
        <v>547</v>
      </c>
      <c r="H3771">
        <v>1</v>
      </c>
      <c r="I3771">
        <v>1</v>
      </c>
      <c r="J3771">
        <v>0</v>
      </c>
      <c r="K3771">
        <v>0</v>
      </c>
      <c r="L3771">
        <v>0</v>
      </c>
    </row>
    <row r="3772" spans="1:12">
      <c r="A3772" t="str">
        <f>HYPERLINK("http://bombeiros.sp.gov.br/hidrantes/03individual/6742.html","6742")</f>
        <v>6742</v>
      </c>
      <c r="B3772" t="str">
        <f>HYPERLINK("http://bombeiros.sp.gov.br/hidrantes/08bsg/qrcodeBSG.html?id=6742&amp;lat=-23.53348&amp;long=-46.73639&amp;tipo=C","QRCODE")</f>
        <v>QRCODE</v>
      </c>
      <c r="C3772" t="s">
        <v>5351</v>
      </c>
      <c r="D3772" t="s">
        <v>660</v>
      </c>
      <c r="E3772" t="s">
        <v>413</v>
      </c>
      <c r="F3772" t="s">
        <v>12</v>
      </c>
      <c r="G3772" t="s">
        <v>3735</v>
      </c>
      <c r="H3772">
        <v>1</v>
      </c>
      <c r="I3772">
        <v>1</v>
      </c>
      <c r="J3772">
        <v>0</v>
      </c>
      <c r="K3772">
        <v>0</v>
      </c>
      <c r="L3772">
        <v>0</v>
      </c>
    </row>
    <row r="3773" spans="1:12">
      <c r="A3773" t="str">
        <f>HYPERLINK("http://bombeiros.sp.gov.br/hidrantes/03individual/6743.html","6743")</f>
        <v>6743</v>
      </c>
      <c r="B3773" t="str">
        <f>HYPERLINK("http://bombeiros.sp.gov.br/hidrantes/08bsg/qrcodeBSG.html?id=6743&amp;lat=-23.53296&amp;long=-46.73746&amp;tipo=C","QRCODE")</f>
        <v>QRCODE</v>
      </c>
      <c r="C3773" t="s">
        <v>5351</v>
      </c>
      <c r="D3773" t="s">
        <v>660</v>
      </c>
      <c r="E3773" t="s">
        <v>413</v>
      </c>
      <c r="F3773" t="s">
        <v>12</v>
      </c>
      <c r="G3773" t="s">
        <v>3044</v>
      </c>
      <c r="H3773">
        <v>0</v>
      </c>
      <c r="I3773">
        <v>2</v>
      </c>
      <c r="J3773">
        <v>0</v>
      </c>
      <c r="K3773">
        <v>0</v>
      </c>
      <c r="L3773">
        <v>0</v>
      </c>
    </row>
    <row r="3774" spans="1:12">
      <c r="A3774" t="str">
        <f>HYPERLINK("http://bombeiros.sp.gov.br/hidrantes/03individual/6746.html","6746")</f>
        <v>6746</v>
      </c>
      <c r="B3774" t="str">
        <f>HYPERLINK("http://bombeiros.sp.gov.br/hidrantes/08bsg/qrcodeBSG.html?id=6746&amp;lat=-23.53900&amp;long=-46.73785&amp;tipo=C","QRCODE")</f>
        <v>QRCODE</v>
      </c>
      <c r="C3774" t="s">
        <v>5351</v>
      </c>
      <c r="D3774" t="s">
        <v>660</v>
      </c>
      <c r="E3774" t="s">
        <v>413</v>
      </c>
      <c r="F3774" t="s">
        <v>12</v>
      </c>
      <c r="G3774" t="s">
        <v>550</v>
      </c>
      <c r="H3774">
        <v>0</v>
      </c>
      <c r="I3774">
        <v>2</v>
      </c>
      <c r="J3774">
        <v>0</v>
      </c>
      <c r="K3774">
        <v>0</v>
      </c>
      <c r="L3774">
        <v>0</v>
      </c>
    </row>
    <row r="3775" spans="1:12">
      <c r="A3775" t="str">
        <f>HYPERLINK("http://bombeiros.sp.gov.br/hidrantes/03individual/6747.html","6747")</f>
        <v>6747</v>
      </c>
      <c r="B3775" t="str">
        <f>HYPERLINK("http://bombeiros.sp.gov.br/hidrantes/08bsg/qrcodeBSG.html?id=6747&amp;lat=-23.53874&amp;long=-46.73613&amp;tipo=C","QRCODE")</f>
        <v>QRCODE</v>
      </c>
      <c r="C3775" t="s">
        <v>5351</v>
      </c>
      <c r="D3775" t="s">
        <v>660</v>
      </c>
      <c r="E3775" t="s">
        <v>413</v>
      </c>
      <c r="F3775" t="s">
        <v>12</v>
      </c>
      <c r="G3775" t="s">
        <v>412</v>
      </c>
      <c r="H3775">
        <v>0</v>
      </c>
      <c r="I3775">
        <v>2</v>
      </c>
      <c r="J3775">
        <v>0</v>
      </c>
      <c r="K3775">
        <v>0</v>
      </c>
      <c r="L3775">
        <v>0</v>
      </c>
    </row>
    <row r="3776" spans="1:12">
      <c r="A3776" t="str">
        <f>HYPERLINK("http://bombeiros.sp.gov.br/hidrantes/03individual/6748.html","6748")</f>
        <v>6748</v>
      </c>
      <c r="B3776" t="str">
        <f>HYPERLINK("http://bombeiros.sp.gov.br/hidrantes/08bsg/qrcodeBSG.html?id=6748&amp;lat=-23.53765&amp;long=-46.73441&amp;tipo=C","QRCODE")</f>
        <v>QRCODE</v>
      </c>
      <c r="C3776" t="s">
        <v>5351</v>
      </c>
      <c r="D3776" t="s">
        <v>660</v>
      </c>
      <c r="E3776" t="s">
        <v>413</v>
      </c>
      <c r="F3776" t="s">
        <v>12</v>
      </c>
      <c r="G3776" t="s">
        <v>4610</v>
      </c>
      <c r="H3776">
        <v>1</v>
      </c>
      <c r="I3776">
        <v>1</v>
      </c>
      <c r="J3776">
        <v>0</v>
      </c>
      <c r="K3776">
        <v>0</v>
      </c>
      <c r="L3776">
        <v>0</v>
      </c>
    </row>
    <row r="3777" spans="1:12">
      <c r="A3777" t="str">
        <f>HYPERLINK("http://bombeiros.sp.gov.br/hidrantes/03individual/6749.html","6749")</f>
        <v>6749</v>
      </c>
      <c r="B3777" t="str">
        <f>HYPERLINK("http://bombeiros.sp.gov.br/hidrantes/08bsg/qrcodeBSG.html?id=6749&amp;lat=-23.53854&amp;long=-46.73556&amp;tipo=C","QRCODE")</f>
        <v>QRCODE</v>
      </c>
      <c r="C3777" t="s">
        <v>5351</v>
      </c>
      <c r="D3777" t="s">
        <v>660</v>
      </c>
      <c r="E3777" t="s">
        <v>413</v>
      </c>
      <c r="F3777" t="s">
        <v>12</v>
      </c>
      <c r="G3777" t="s">
        <v>414</v>
      </c>
      <c r="H3777">
        <v>0</v>
      </c>
      <c r="I3777">
        <v>2</v>
      </c>
      <c r="J3777">
        <v>0</v>
      </c>
      <c r="K3777">
        <v>0</v>
      </c>
      <c r="L3777">
        <v>0</v>
      </c>
    </row>
    <row r="3778" spans="1:12">
      <c r="A3778" t="str">
        <f>HYPERLINK("http://bombeiros.sp.gov.br/hidrantes/03individual/6750.html","6750")</f>
        <v>6750</v>
      </c>
      <c r="B3778" t="str">
        <f>HYPERLINK("http://bombeiros.sp.gov.br/hidrantes/08bsg/qrcodeBSG.html?id=6750&amp;lat=-23.53696&amp;long=-46.73465&amp;tipo=C","QRCODE")</f>
        <v>QRCODE</v>
      </c>
      <c r="C3778" t="s">
        <v>5351</v>
      </c>
      <c r="D3778" t="s">
        <v>660</v>
      </c>
      <c r="E3778" t="s">
        <v>413</v>
      </c>
      <c r="F3778" t="s">
        <v>12</v>
      </c>
      <c r="G3778" t="s">
        <v>4217</v>
      </c>
      <c r="H3778">
        <v>0</v>
      </c>
      <c r="I3778">
        <v>1</v>
      </c>
      <c r="J3778">
        <v>0</v>
      </c>
      <c r="K3778">
        <v>0</v>
      </c>
      <c r="L3778">
        <v>0</v>
      </c>
    </row>
    <row r="3779" spans="1:12">
      <c r="A3779" t="str">
        <f>HYPERLINK("http://bombeiros.sp.gov.br/hidrantes/03individual/6751.html","6751")</f>
        <v>6751</v>
      </c>
      <c r="B3779" t="str">
        <f>HYPERLINK("http://bombeiros.sp.gov.br/hidrantes/08bsg/qrcodeBSG.html?id=6751&amp;lat=-23.53779&amp;long=-46.73572&amp;tipo=C","QRCODE")</f>
        <v>QRCODE</v>
      </c>
      <c r="C3779" t="s">
        <v>5351</v>
      </c>
      <c r="D3779" t="s">
        <v>660</v>
      </c>
      <c r="E3779" t="s">
        <v>413</v>
      </c>
      <c r="F3779" t="s">
        <v>12</v>
      </c>
      <c r="G3779" t="s">
        <v>549</v>
      </c>
      <c r="H3779">
        <v>0</v>
      </c>
      <c r="I3779">
        <v>2</v>
      </c>
      <c r="J3779">
        <v>0</v>
      </c>
      <c r="K3779">
        <v>0</v>
      </c>
      <c r="L3779">
        <v>0</v>
      </c>
    </row>
    <row r="3780" spans="1:12">
      <c r="A3780" t="str">
        <f>HYPERLINK("http://bombeiros.sp.gov.br/hidrantes/03individual/6752.html","6752")</f>
        <v>6752</v>
      </c>
      <c r="B3780" t="str">
        <f>HYPERLINK("http://bombeiros.sp.gov.br/hidrantes/08bsg/qrcodeBSG.html?id=6752&amp;lat=-23.53815&amp;long=-46.73616&amp;tipo=C","QRCODE")</f>
        <v>QRCODE</v>
      </c>
      <c r="C3780" t="s">
        <v>5351</v>
      </c>
      <c r="D3780" t="s">
        <v>660</v>
      </c>
      <c r="E3780" t="s">
        <v>413</v>
      </c>
      <c r="F3780" t="s">
        <v>12</v>
      </c>
      <c r="G3780" t="s">
        <v>415</v>
      </c>
      <c r="H3780">
        <v>0</v>
      </c>
      <c r="I3780">
        <v>2</v>
      </c>
      <c r="J3780">
        <v>0</v>
      </c>
      <c r="K3780">
        <v>0</v>
      </c>
      <c r="L3780">
        <v>0</v>
      </c>
    </row>
    <row r="3781" spans="1:12">
      <c r="A3781" t="str">
        <f>HYPERLINK("http://bombeiros.sp.gov.br/hidrantes/03individual/6753.html","6753")</f>
        <v>6753</v>
      </c>
      <c r="B3781" t="str">
        <f>HYPERLINK("http://bombeiros.sp.gov.br/hidrantes/08bsg/qrcodeBSG.html?id=6753&amp;lat=-23.53763&amp;long=-46.73612&amp;tipo=C","QRCODE")</f>
        <v>QRCODE</v>
      </c>
      <c r="C3781" t="s">
        <v>5351</v>
      </c>
      <c r="D3781" t="s">
        <v>660</v>
      </c>
      <c r="E3781" t="s">
        <v>413</v>
      </c>
      <c r="F3781" t="s">
        <v>12</v>
      </c>
      <c r="G3781" t="s">
        <v>416</v>
      </c>
      <c r="H3781">
        <v>0</v>
      </c>
      <c r="I3781">
        <v>2</v>
      </c>
      <c r="J3781">
        <v>0</v>
      </c>
      <c r="K3781">
        <v>0</v>
      </c>
      <c r="L3781">
        <v>0</v>
      </c>
    </row>
    <row r="3782" spans="1:12">
      <c r="A3782" t="str">
        <f>HYPERLINK("http://bombeiros.sp.gov.br/hidrantes/03individual/6754.html","6754")</f>
        <v>6754</v>
      </c>
      <c r="B3782" t="str">
        <f>HYPERLINK("http://bombeiros.sp.gov.br/hidrantes/08bsg/qrcodeBSG.html?id=6754&amp;lat=-23.53860&amp;long=-46.73733&amp;tipo=C","QRCODE")</f>
        <v>QRCODE</v>
      </c>
      <c r="C3782" t="s">
        <v>5351</v>
      </c>
      <c r="D3782" t="s">
        <v>660</v>
      </c>
      <c r="E3782" t="s">
        <v>413</v>
      </c>
      <c r="F3782" t="s">
        <v>12</v>
      </c>
      <c r="G3782" t="s">
        <v>550</v>
      </c>
      <c r="H3782">
        <v>1</v>
      </c>
      <c r="I3782">
        <v>1</v>
      </c>
      <c r="J3782">
        <v>0</v>
      </c>
      <c r="K3782">
        <v>0</v>
      </c>
      <c r="L3782">
        <v>0</v>
      </c>
    </row>
    <row r="3783" spans="1:12">
      <c r="A3783" t="str">
        <f>HYPERLINK("http://bombeiros.sp.gov.br/hidrantes/03individual/6755.html","6755")</f>
        <v>6755</v>
      </c>
      <c r="B3783" t="str">
        <f>HYPERLINK("http://bombeiros.sp.gov.br/hidrantes/08bsg/qrcodeBSG.html?id=6755&amp;lat=-23.53723&amp;long=-46.73568&amp;tipo=C","QRCODE")</f>
        <v>QRCODE</v>
      </c>
      <c r="C3783" t="s">
        <v>5351</v>
      </c>
      <c r="D3783" t="s">
        <v>660</v>
      </c>
      <c r="E3783" t="s">
        <v>413</v>
      </c>
      <c r="F3783" t="s">
        <v>12</v>
      </c>
      <c r="G3783" t="s">
        <v>4751</v>
      </c>
      <c r="H3783">
        <v>1</v>
      </c>
      <c r="I3783">
        <v>1</v>
      </c>
      <c r="J3783">
        <v>0</v>
      </c>
      <c r="K3783">
        <v>0</v>
      </c>
      <c r="L3783">
        <v>0</v>
      </c>
    </row>
    <row r="3784" spans="1:12">
      <c r="A3784" t="str">
        <f>HYPERLINK("http://bombeiros.sp.gov.br/hidrantes/03individual/6756.html","6756")</f>
        <v>6756</v>
      </c>
      <c r="B3784" t="str">
        <f>HYPERLINK("http://bombeiros.sp.gov.br/hidrantes/08bsg/qrcodeBSG.html?id=6756&amp;lat=-23.53737&amp;long=-46.73518&amp;tipo=C","QRCODE")</f>
        <v>QRCODE</v>
      </c>
      <c r="C3784" t="s">
        <v>5351</v>
      </c>
      <c r="D3784" t="s">
        <v>660</v>
      </c>
      <c r="E3784" t="s">
        <v>413</v>
      </c>
      <c r="F3784" t="s">
        <v>12</v>
      </c>
      <c r="G3784" t="s">
        <v>4750</v>
      </c>
      <c r="H3784">
        <v>1</v>
      </c>
      <c r="I3784">
        <v>1</v>
      </c>
      <c r="J3784">
        <v>0</v>
      </c>
      <c r="K3784">
        <v>0</v>
      </c>
      <c r="L3784">
        <v>0</v>
      </c>
    </row>
    <row r="3785" spans="1:12">
      <c r="A3785" t="str">
        <f>HYPERLINK("http://bombeiros.sp.gov.br/hidrantes/03individual/6757.html","6757")</f>
        <v>6757</v>
      </c>
      <c r="B3785" t="str">
        <f>HYPERLINK("http://bombeiros.sp.gov.br/hidrantes/08bsg/qrcodeBSG.html?id=6757&amp;lat=-23.53843&amp;long=-46.73465&amp;tipo=C","QRCODE")</f>
        <v>QRCODE</v>
      </c>
      <c r="C3785" t="s">
        <v>5351</v>
      </c>
      <c r="D3785" t="s">
        <v>660</v>
      </c>
      <c r="E3785" t="s">
        <v>413</v>
      </c>
      <c r="F3785" t="s">
        <v>12</v>
      </c>
      <c r="G3785" t="s">
        <v>4607</v>
      </c>
      <c r="H3785">
        <v>1</v>
      </c>
      <c r="I3785">
        <v>1</v>
      </c>
      <c r="J3785">
        <v>0</v>
      </c>
      <c r="K3785">
        <v>0</v>
      </c>
      <c r="L3785">
        <v>0</v>
      </c>
    </row>
    <row r="3786" spans="1:12">
      <c r="A3786" t="str">
        <f>HYPERLINK("http://bombeiros.sp.gov.br/hidrantes/03individual/6758.html","6758")</f>
        <v>6758</v>
      </c>
      <c r="B3786" t="str">
        <f>HYPERLINK("http://bombeiros.sp.gov.br/hidrantes/08bsg/qrcodeBSG.html?id=6758&amp;lat=-23.53816&amp;long=-46.73390&amp;tipo=C","QRCODE")</f>
        <v>QRCODE</v>
      </c>
      <c r="C3786" t="s">
        <v>5351</v>
      </c>
      <c r="D3786" t="s">
        <v>660</v>
      </c>
      <c r="E3786" t="s">
        <v>413</v>
      </c>
      <c r="F3786" t="s">
        <v>12</v>
      </c>
      <c r="G3786" t="s">
        <v>4607</v>
      </c>
      <c r="H3786">
        <v>1</v>
      </c>
      <c r="I3786">
        <v>1</v>
      </c>
      <c r="J3786">
        <v>0</v>
      </c>
      <c r="K3786">
        <v>0</v>
      </c>
      <c r="L3786">
        <v>0</v>
      </c>
    </row>
    <row r="3787" spans="1:12">
      <c r="A3787" t="str">
        <f>HYPERLINK("http://bombeiros.sp.gov.br/hidrantes/03individual/6759.html","6759")</f>
        <v>6759</v>
      </c>
      <c r="B3787" t="str">
        <f>HYPERLINK("http://bombeiros.sp.gov.br/hidrantes/08bsg/qrcodeBSG.html?id=6759&amp;lat=-23.53611&amp;long=-46.73982&amp;tipo=C","QRCODE")</f>
        <v>QRCODE</v>
      </c>
      <c r="C3787" t="s">
        <v>5351</v>
      </c>
      <c r="D3787" t="s">
        <v>660</v>
      </c>
      <c r="E3787" t="s">
        <v>413</v>
      </c>
      <c r="F3787" t="s">
        <v>12</v>
      </c>
      <c r="G3787" t="s">
        <v>3931</v>
      </c>
      <c r="H3787">
        <v>0</v>
      </c>
      <c r="I3787">
        <v>2</v>
      </c>
      <c r="J3787">
        <v>0</v>
      </c>
      <c r="K3787">
        <v>0</v>
      </c>
      <c r="L3787">
        <v>0</v>
      </c>
    </row>
    <row r="3788" spans="1:12">
      <c r="A3788" t="str">
        <f>HYPERLINK("http://bombeiros.sp.gov.br/hidrantes/03individual/6760.html","6760")</f>
        <v>6760</v>
      </c>
      <c r="B3788" t="str">
        <f>HYPERLINK("http://bombeiros.sp.gov.br/hidrantes/08bsg/qrcodeBSG.html?id=6760&amp;lat=-23.53341&amp;long=-46.73625&amp;tipo=C","QRCODE")</f>
        <v>QRCODE</v>
      </c>
      <c r="C3788" t="s">
        <v>5351</v>
      </c>
      <c r="D3788" t="s">
        <v>660</v>
      </c>
      <c r="E3788" t="s">
        <v>413</v>
      </c>
      <c r="F3788" t="s">
        <v>12</v>
      </c>
      <c r="G3788" t="s">
        <v>4608</v>
      </c>
      <c r="H3788">
        <v>1</v>
      </c>
      <c r="I3788">
        <v>1</v>
      </c>
      <c r="J3788">
        <v>0</v>
      </c>
      <c r="K3788">
        <v>0</v>
      </c>
      <c r="L3788">
        <v>0</v>
      </c>
    </row>
    <row r="3789" spans="1:12">
      <c r="A3789" t="str">
        <f>HYPERLINK("http://bombeiros.sp.gov.br/hidrantes/03individual/6761.html","6761")</f>
        <v>6761</v>
      </c>
      <c r="B3789" t="str">
        <f>HYPERLINK("http://bombeiros.sp.gov.br/hidrantes/08bsg/qrcodeBSG.html?id=6761&amp;lat=-23.53478&amp;long=-46.73969&amp;tipo=C","QRCODE")</f>
        <v>QRCODE</v>
      </c>
      <c r="C3789" t="s">
        <v>5351</v>
      </c>
      <c r="D3789" t="s">
        <v>660</v>
      </c>
      <c r="E3789" t="s">
        <v>413</v>
      </c>
      <c r="F3789" t="s">
        <v>12</v>
      </c>
      <c r="G3789" t="s">
        <v>4609</v>
      </c>
      <c r="H3789">
        <v>1</v>
      </c>
      <c r="I3789">
        <v>1</v>
      </c>
      <c r="J3789">
        <v>0</v>
      </c>
      <c r="K3789">
        <v>0</v>
      </c>
      <c r="L3789">
        <v>0</v>
      </c>
    </row>
    <row r="3790" spans="1:12">
      <c r="A3790" t="str">
        <f>HYPERLINK("http://bombeiros.sp.gov.br/hidrantes/03individual/6762.html","6762")</f>
        <v>6762</v>
      </c>
      <c r="B3790" t="str">
        <f>HYPERLINK("http://bombeiros.sp.gov.br/hidrantes/08bsg/qrcodeBSG.html?id=6762&amp;lat=-23.53539&amp;long=-46.74045&amp;tipo=C","QRCODE")</f>
        <v>QRCODE</v>
      </c>
      <c r="C3790" t="s">
        <v>5351</v>
      </c>
      <c r="D3790" t="s">
        <v>660</v>
      </c>
      <c r="E3790" t="s">
        <v>413</v>
      </c>
      <c r="F3790" t="s">
        <v>12</v>
      </c>
      <c r="G3790" t="s">
        <v>4554</v>
      </c>
      <c r="H3790">
        <v>1</v>
      </c>
      <c r="I3790">
        <v>1</v>
      </c>
      <c r="J3790">
        <v>0</v>
      </c>
      <c r="K3790">
        <v>0</v>
      </c>
      <c r="L3790">
        <v>0</v>
      </c>
    </row>
    <row r="3791" spans="1:12">
      <c r="A3791" t="str">
        <f>HYPERLINK("http://bombeiros.sp.gov.br/hidrantes/03individual/6763.html","6763")</f>
        <v>6763</v>
      </c>
      <c r="B3791" t="str">
        <f>HYPERLINK("http://bombeiros.sp.gov.br/hidrantes/08bsg/qrcodeBSG.html?id=6763&amp;lat=-23.53445&amp;long=-46.73844&amp;tipo=C","QRCODE")</f>
        <v>QRCODE</v>
      </c>
      <c r="C3791" t="s">
        <v>5351</v>
      </c>
      <c r="D3791" t="s">
        <v>660</v>
      </c>
      <c r="E3791" t="s">
        <v>413</v>
      </c>
      <c r="F3791" t="s">
        <v>12</v>
      </c>
      <c r="G3791" t="s">
        <v>3850</v>
      </c>
      <c r="H3791">
        <v>0</v>
      </c>
      <c r="I3791">
        <v>1</v>
      </c>
      <c r="J3791">
        <v>0</v>
      </c>
      <c r="K3791">
        <v>0</v>
      </c>
      <c r="L3791">
        <v>0</v>
      </c>
    </row>
    <row r="3792" spans="1:12">
      <c r="A3792" t="str">
        <f>HYPERLINK("http://bombeiros.sp.gov.br/hidrantes/03individual/6764.html","6764")</f>
        <v>6764</v>
      </c>
      <c r="B3792" t="str">
        <f>HYPERLINK("http://bombeiros.sp.gov.br/hidrantes/08bsg/qrcodeBSG.html?id=6764&amp;lat=-23.53494&amp;long=-46.73826&amp;tipo=C","QRCODE")</f>
        <v>QRCODE</v>
      </c>
      <c r="C3792" t="s">
        <v>5351</v>
      </c>
      <c r="D3792" t="s">
        <v>660</v>
      </c>
      <c r="E3792" t="s">
        <v>413</v>
      </c>
      <c r="F3792" t="s">
        <v>12</v>
      </c>
      <c r="G3792" t="s">
        <v>417</v>
      </c>
      <c r="H3792">
        <v>1</v>
      </c>
      <c r="I3792">
        <v>1</v>
      </c>
      <c r="J3792">
        <v>0</v>
      </c>
      <c r="K3792">
        <v>0</v>
      </c>
      <c r="L3792">
        <v>0</v>
      </c>
    </row>
    <row r="3793" spans="1:12">
      <c r="A3793" t="str">
        <f>HYPERLINK("http://bombeiros.sp.gov.br/hidrantes/03individual/6765.html","6765")</f>
        <v>6765</v>
      </c>
      <c r="B3793" t="str">
        <f>HYPERLINK("http://bombeiros.sp.gov.br/hidrantes/08bsg/qrcodeBSG.html?id=6765&amp;lat=-23.53559&amp;long=-46.73895&amp;tipo=C","QRCODE")</f>
        <v>QRCODE</v>
      </c>
      <c r="C3793" t="s">
        <v>5351</v>
      </c>
      <c r="D3793" t="s">
        <v>660</v>
      </c>
      <c r="E3793" t="s">
        <v>413</v>
      </c>
      <c r="F3793" t="s">
        <v>12</v>
      </c>
      <c r="G3793" t="s">
        <v>4606</v>
      </c>
      <c r="H3793">
        <v>1</v>
      </c>
      <c r="I3793">
        <v>1</v>
      </c>
      <c r="J3793">
        <v>0</v>
      </c>
      <c r="K3793">
        <v>0</v>
      </c>
      <c r="L3793">
        <v>0</v>
      </c>
    </row>
    <row r="3794" spans="1:12">
      <c r="A3794" t="str">
        <f>HYPERLINK("http://bombeiros.sp.gov.br/hidrantes/03individual/6766.html","6766")</f>
        <v>6766</v>
      </c>
      <c r="B3794" t="str">
        <f>HYPERLINK("http://bombeiros.sp.gov.br/hidrantes/08bsg/qrcodeBSG.html?id=6766&amp;lat=-23.53543&amp;long=-46.73573&amp;tipo=C","QRCODE")</f>
        <v>QRCODE</v>
      </c>
      <c r="C3794" t="s">
        <v>5351</v>
      </c>
      <c r="D3794" t="s">
        <v>660</v>
      </c>
      <c r="E3794" t="s">
        <v>413</v>
      </c>
      <c r="F3794" t="s">
        <v>12</v>
      </c>
      <c r="G3794" t="s">
        <v>418</v>
      </c>
      <c r="H3794">
        <v>0</v>
      </c>
      <c r="I3794">
        <v>2</v>
      </c>
      <c r="J3794">
        <v>0</v>
      </c>
      <c r="K3794">
        <v>0</v>
      </c>
      <c r="L3794">
        <v>0</v>
      </c>
    </row>
    <row r="3795" spans="1:12">
      <c r="A3795" t="str">
        <f>HYPERLINK("http://bombeiros.sp.gov.br/hidrantes/03individual/6767.html","6767")</f>
        <v>6767</v>
      </c>
      <c r="B3795" t="str">
        <f>HYPERLINK("http://bombeiros.sp.gov.br/hidrantes/08bsg/qrcodeBSG.html?id=6767&amp;lat=-23.53842&amp;long=-46.73973&amp;tipo=C","QRCODE")</f>
        <v>QRCODE</v>
      </c>
      <c r="C3795" t="s">
        <v>5351</v>
      </c>
      <c r="D3795" t="s">
        <v>660</v>
      </c>
      <c r="E3795" t="s">
        <v>413</v>
      </c>
      <c r="F3795" t="s">
        <v>12</v>
      </c>
      <c r="G3795" t="s">
        <v>4555</v>
      </c>
      <c r="H3795">
        <v>1</v>
      </c>
      <c r="I3795">
        <v>1</v>
      </c>
      <c r="J3795">
        <v>0</v>
      </c>
      <c r="K3795">
        <v>0</v>
      </c>
      <c r="L3795">
        <v>0</v>
      </c>
    </row>
    <row r="3796" spans="1:12">
      <c r="A3796" t="str">
        <f>HYPERLINK("http://bombeiros.sp.gov.br/hidrantes/03individual/6768.html","6768")</f>
        <v>6768</v>
      </c>
      <c r="B3796" t="str">
        <f>HYPERLINK("http://bombeiros.sp.gov.br/hidrantes/08bsg/qrcodeBSG.html?id=6768&amp;lat=-23.53663&amp;long=-46.73416&amp;tipo=C","QRCODE")</f>
        <v>QRCODE</v>
      </c>
      <c r="C3796" t="s">
        <v>5351</v>
      </c>
      <c r="D3796" t="s">
        <v>660</v>
      </c>
      <c r="E3796" t="s">
        <v>413</v>
      </c>
      <c r="F3796" t="s">
        <v>12</v>
      </c>
      <c r="G3796" t="s">
        <v>419</v>
      </c>
      <c r="H3796">
        <v>0</v>
      </c>
      <c r="I3796">
        <v>2</v>
      </c>
      <c r="J3796">
        <v>0</v>
      </c>
      <c r="K3796">
        <v>0</v>
      </c>
      <c r="L3796">
        <v>0</v>
      </c>
    </row>
    <row r="3797" spans="1:12">
      <c r="A3797" t="str">
        <f>HYPERLINK("http://bombeiros.sp.gov.br/hidrantes/03individual/6769.html","6769")</f>
        <v>6769</v>
      </c>
      <c r="B3797" t="str">
        <f>HYPERLINK("http://bombeiros.sp.gov.br/hidrantes/08bsg/qrcodeBSG.html?id=6769&amp;lat=-23.53643&amp;long=-46.73456&amp;tipo=C","QRCODE")</f>
        <v>QRCODE</v>
      </c>
      <c r="C3797" t="s">
        <v>5351</v>
      </c>
      <c r="D3797" t="s">
        <v>660</v>
      </c>
      <c r="E3797" t="s">
        <v>413</v>
      </c>
      <c r="F3797" t="s">
        <v>12</v>
      </c>
      <c r="G3797" t="s">
        <v>420</v>
      </c>
      <c r="H3797">
        <v>0</v>
      </c>
      <c r="I3797">
        <v>2</v>
      </c>
      <c r="J3797">
        <v>0</v>
      </c>
      <c r="K3797">
        <v>0</v>
      </c>
      <c r="L3797">
        <v>0</v>
      </c>
    </row>
    <row r="3798" spans="1:12">
      <c r="A3798" t="str">
        <f>HYPERLINK("http://bombeiros.sp.gov.br/hidrantes/03individual/6770.html","6770")</f>
        <v>6770</v>
      </c>
      <c r="B3798" t="str">
        <f>HYPERLINK("http://bombeiros.sp.gov.br/hidrantes/08bsg/qrcodeBSG.html?id=6770&amp;lat=-23.53760&amp;long=-46.73319&amp;tipo=C","QRCODE")</f>
        <v>QRCODE</v>
      </c>
      <c r="C3798" t="s">
        <v>5351</v>
      </c>
      <c r="D3798" t="s">
        <v>660</v>
      </c>
      <c r="E3798" t="s">
        <v>413</v>
      </c>
      <c r="F3798" t="s">
        <v>12</v>
      </c>
      <c r="G3798" t="s">
        <v>1462</v>
      </c>
      <c r="H3798">
        <v>1</v>
      </c>
      <c r="I3798">
        <v>2</v>
      </c>
      <c r="J3798">
        <v>0</v>
      </c>
      <c r="K3798">
        <v>0</v>
      </c>
      <c r="L3798">
        <v>0</v>
      </c>
    </row>
    <row r="3799" spans="1:12">
      <c r="A3799" t="str">
        <f>HYPERLINK("http://bombeiros.sp.gov.br/hidrantes/03individual/6771.html","6771")</f>
        <v>6771</v>
      </c>
      <c r="B3799" t="str">
        <f>HYPERLINK("http://bombeiros.sp.gov.br/hidrantes/08bsg/qrcodeBSG.html?id=6771&amp;lat=-23.53620&amp;long=-46.73809&amp;tipo=C","QRCODE")</f>
        <v>QRCODE</v>
      </c>
      <c r="C3799" t="s">
        <v>5351</v>
      </c>
      <c r="D3799" t="s">
        <v>660</v>
      </c>
      <c r="E3799" t="s">
        <v>413</v>
      </c>
      <c r="F3799" t="s">
        <v>12</v>
      </c>
      <c r="G3799" t="s">
        <v>3933</v>
      </c>
      <c r="H3799">
        <v>1</v>
      </c>
      <c r="I3799">
        <v>1</v>
      </c>
      <c r="J3799">
        <v>0</v>
      </c>
      <c r="K3799">
        <v>0</v>
      </c>
      <c r="L3799">
        <v>0</v>
      </c>
    </row>
    <row r="3800" spans="1:12">
      <c r="A3800" t="str">
        <f>HYPERLINK("http://bombeiros.sp.gov.br/hidrantes/03individual/6772.html","6772")</f>
        <v>6772</v>
      </c>
      <c r="B3800" t="str">
        <f>HYPERLINK("http://bombeiros.sp.gov.br/hidrantes/08bsg/qrcodeBSG.html?id=6772&amp;lat=-23.53396&amp;long=-46.73789&amp;tipo=C","QRCODE")</f>
        <v>QRCODE</v>
      </c>
      <c r="C3800" t="s">
        <v>5351</v>
      </c>
      <c r="D3800" t="s">
        <v>660</v>
      </c>
      <c r="E3800" t="s">
        <v>413</v>
      </c>
      <c r="F3800" t="s">
        <v>12</v>
      </c>
      <c r="G3800" t="s">
        <v>3932</v>
      </c>
      <c r="H3800">
        <v>1</v>
      </c>
      <c r="I3800">
        <v>1</v>
      </c>
      <c r="J3800">
        <v>0</v>
      </c>
      <c r="K3800">
        <v>0</v>
      </c>
      <c r="L3800">
        <v>0</v>
      </c>
    </row>
    <row r="3801" spans="1:12">
      <c r="A3801" t="str">
        <f>HYPERLINK("http://bombeiros.sp.gov.br/hidrantes/03individual/6773.html","6773")</f>
        <v>6773</v>
      </c>
      <c r="B3801" t="str">
        <f>HYPERLINK("http://bombeiros.sp.gov.br/hidrantes/08bsg/qrcodeBSG.html?id=6773&amp;lat=-23.53359&amp;long=-46.73819&amp;tipo=C","QRCODE")</f>
        <v>QRCODE</v>
      </c>
      <c r="C3801" t="s">
        <v>5351</v>
      </c>
      <c r="D3801" t="s">
        <v>660</v>
      </c>
      <c r="E3801" t="s">
        <v>413</v>
      </c>
      <c r="F3801" t="s">
        <v>12</v>
      </c>
      <c r="G3801" t="s">
        <v>548</v>
      </c>
      <c r="H3801">
        <v>0</v>
      </c>
      <c r="I3801">
        <v>2</v>
      </c>
      <c r="J3801">
        <v>0</v>
      </c>
      <c r="K3801">
        <v>0</v>
      </c>
      <c r="L3801">
        <v>0</v>
      </c>
    </row>
    <row r="3802" spans="1:12">
      <c r="A3802" t="str">
        <f>HYPERLINK("http://bombeiros.sp.gov.br/hidrantes/03individual/16310.html","16310")</f>
        <v>16310</v>
      </c>
      <c r="B3802" t="str">
        <f>HYPERLINK("http://bombeiros.sp.gov.br/hidrantes/08bsg/qrcodeBSG.html?id=16310&amp;lat=-23.53396&amp;long=-46.73577&amp;tipo=C","QRCODE")</f>
        <v>QRCODE</v>
      </c>
      <c r="C3802" t="s">
        <v>5351</v>
      </c>
      <c r="D3802" t="s">
        <v>660</v>
      </c>
      <c r="E3802" t="s">
        <v>413</v>
      </c>
      <c r="F3802" t="s">
        <v>12</v>
      </c>
      <c r="G3802" t="s">
        <v>547</v>
      </c>
      <c r="H3802">
        <v>1</v>
      </c>
      <c r="I3802">
        <v>1</v>
      </c>
      <c r="J3802">
        <v>0</v>
      </c>
      <c r="K3802">
        <v>0</v>
      </c>
      <c r="L3802">
        <v>0</v>
      </c>
    </row>
    <row r="3803" spans="1:12">
      <c r="A3803" t="str">
        <f>HYPERLINK("http://bombeiros.sp.gov.br/hidrantes/03individual/26751.html","26751")</f>
        <v>26751</v>
      </c>
      <c r="B3803" t="str">
        <f>HYPERLINK("http://bombeiros.sp.gov.br/hidrantes/08bsg/qrcodeBSG.html?id=26751&amp;lat=-23.53439&amp;long=-46.73745&amp;tipo=C","QRCODE")</f>
        <v>QRCODE</v>
      </c>
      <c r="C3803" t="s">
        <v>5351</v>
      </c>
      <c r="D3803" t="s">
        <v>660</v>
      </c>
      <c r="E3803" t="s">
        <v>413</v>
      </c>
      <c r="F3803" t="s">
        <v>12</v>
      </c>
      <c r="G3803" t="s">
        <v>3836</v>
      </c>
      <c r="H3803">
        <v>0</v>
      </c>
      <c r="I3803">
        <v>1</v>
      </c>
      <c r="J3803">
        <v>0</v>
      </c>
      <c r="K3803">
        <v>0</v>
      </c>
      <c r="L3803">
        <v>0</v>
      </c>
    </row>
    <row r="3804" spans="1:12">
      <c r="A3804" t="str">
        <f>HYPERLINK("http://bombeiros.sp.gov.br/hidrantes/03individual/27414.html","27414")</f>
        <v>27414</v>
      </c>
      <c r="B3804" t="str">
        <f>HYPERLINK("http://bombeiros.sp.gov.br/hidrantes/08bsg/qrcodeBSG.html?id=27414&amp;lat=-23.53423&amp;long=-46.73533&amp;tipo=C","QRCODE")</f>
        <v>QRCODE</v>
      </c>
      <c r="C3804" t="s">
        <v>5351</v>
      </c>
      <c r="D3804" t="s">
        <v>660</v>
      </c>
      <c r="E3804" t="s">
        <v>413</v>
      </c>
      <c r="F3804" t="s">
        <v>12</v>
      </c>
      <c r="G3804" t="s">
        <v>5369</v>
      </c>
      <c r="H3804">
        <v>0</v>
      </c>
      <c r="I3804">
        <v>0</v>
      </c>
      <c r="J3804">
        <v>0</v>
      </c>
      <c r="K3804">
        <v>0</v>
      </c>
      <c r="L3804">
        <v>0</v>
      </c>
    </row>
    <row r="3805" spans="1:12">
      <c r="A3805" t="str">
        <f>HYPERLINK("http://bombeiros.sp.gov.br/hidrantes/03individual/27415.html","27415")</f>
        <v>27415</v>
      </c>
      <c r="B3805" t="str">
        <f>HYPERLINK("http://bombeiros.sp.gov.br/hidrantes/08bsg/qrcodeBSG.html?id=27415&amp;lat=-23.53246&amp;long=-46.73640&amp;tipo=C","QRCODE")</f>
        <v>QRCODE</v>
      </c>
      <c r="C3805" t="s">
        <v>5351</v>
      </c>
      <c r="D3805" t="s">
        <v>660</v>
      </c>
      <c r="E3805" t="s">
        <v>413</v>
      </c>
      <c r="F3805" t="s">
        <v>12</v>
      </c>
      <c r="G3805" t="s">
        <v>5370</v>
      </c>
      <c r="H3805">
        <v>0</v>
      </c>
      <c r="I3805">
        <v>0</v>
      </c>
      <c r="J3805">
        <v>0</v>
      </c>
      <c r="K3805">
        <v>0</v>
      </c>
      <c r="L3805">
        <v>0</v>
      </c>
    </row>
    <row r="3806" spans="1:12">
      <c r="A3806" t="str">
        <f>HYPERLINK("http://bombeiros.sp.gov.br/hidrantes/03individual/27416.html","27416")</f>
        <v>27416</v>
      </c>
      <c r="B3806" t="str">
        <f>HYPERLINK("http://bombeiros.sp.gov.br/hidrantes/08bsg/qrcodeBSG.html?id=27416&amp;lat=-23.53267&amp;long=-46.73620&amp;tipo=C","QRCODE")</f>
        <v>QRCODE</v>
      </c>
      <c r="C3806" t="s">
        <v>5351</v>
      </c>
      <c r="D3806" t="s">
        <v>660</v>
      </c>
      <c r="E3806" t="s">
        <v>413</v>
      </c>
      <c r="F3806" t="s">
        <v>12</v>
      </c>
      <c r="G3806" t="s">
        <v>5371</v>
      </c>
      <c r="H3806">
        <v>0</v>
      </c>
      <c r="I3806">
        <v>0</v>
      </c>
      <c r="J3806">
        <v>0</v>
      </c>
      <c r="K3806">
        <v>0</v>
      </c>
      <c r="L3806">
        <v>0</v>
      </c>
    </row>
    <row r="3807" spans="1:12">
      <c r="A3807" t="str">
        <f>HYPERLINK("http://bombeiros.sp.gov.br/hidrantes/03individual/6745.html","6745")</f>
        <v>6745</v>
      </c>
      <c r="B3807" t="str">
        <f>HYPERLINK("http://bombeiros.sp.gov.br/hidrantes/08bsg/qrcodeBSG.html?id=6745&amp;lat=-23.53877&amp;long=-46.73950&amp;tipo=S","QRCODE")</f>
        <v>QRCODE</v>
      </c>
      <c r="C3807" t="s">
        <v>5351</v>
      </c>
      <c r="D3807" t="s">
        <v>660</v>
      </c>
      <c r="E3807" t="s">
        <v>413</v>
      </c>
      <c r="F3807" t="s">
        <v>21</v>
      </c>
      <c r="G3807" t="s">
        <v>551</v>
      </c>
      <c r="H3807">
        <v>0</v>
      </c>
      <c r="I3807">
        <v>2</v>
      </c>
      <c r="J3807">
        <v>0</v>
      </c>
      <c r="K3807">
        <v>0</v>
      </c>
      <c r="L3807">
        <v>0</v>
      </c>
    </row>
    <row r="3808" spans="1:12">
      <c r="A3808" t="str">
        <f>HYPERLINK("http://bombeiros.sp.gov.br/hidrantes/03individual/10049.html","10049")</f>
        <v>10049</v>
      </c>
      <c r="B3808" t="str">
        <f>HYPERLINK("http://bombeiros.sp.gov.br/hidrantes/08bsg/qrcodeBSG.html?id=10049&amp;lat=-23.52246&amp;long=-46.74048&amp;tipo=B","QRCODE")</f>
        <v>QRCODE</v>
      </c>
      <c r="C3808" t="s">
        <v>5351</v>
      </c>
      <c r="D3808" t="s">
        <v>660</v>
      </c>
      <c r="E3808" t="s">
        <v>653</v>
      </c>
      <c r="F3808" t="s">
        <v>1719</v>
      </c>
      <c r="G3808" t="s">
        <v>5228</v>
      </c>
      <c r="H3808">
        <v>1</v>
      </c>
      <c r="I3808">
        <v>0</v>
      </c>
      <c r="J3808">
        <v>0</v>
      </c>
      <c r="K3808">
        <v>0</v>
      </c>
      <c r="L3808">
        <v>0</v>
      </c>
    </row>
    <row r="3809" spans="1:12">
      <c r="A3809" t="str">
        <f>HYPERLINK("http://bombeiros.sp.gov.br/hidrantes/03individual/1087.html","1087")</f>
        <v>1087</v>
      </c>
      <c r="B3809" t="str">
        <f>HYPERLINK("http://bombeiros.sp.gov.br/hidrantes/08bsg/qrcodeBSG.html?id=1087&amp;lat=-23.52185&amp;long=-46.74189&amp;tipo=S","QRCODE")</f>
        <v>QRCODE</v>
      </c>
      <c r="C3809" t="s">
        <v>5351</v>
      </c>
      <c r="D3809" t="s">
        <v>660</v>
      </c>
      <c r="E3809" t="s">
        <v>653</v>
      </c>
      <c r="F3809" t="s">
        <v>21</v>
      </c>
      <c r="G3809" t="s">
        <v>3720</v>
      </c>
      <c r="H3809">
        <v>1</v>
      </c>
      <c r="I3809">
        <v>1</v>
      </c>
      <c r="J3809">
        <v>0</v>
      </c>
      <c r="K3809">
        <v>0</v>
      </c>
      <c r="L3809">
        <v>0</v>
      </c>
    </row>
    <row r="3810" spans="1:12">
      <c r="A3810" t="str">
        <f>HYPERLINK("http://bombeiros.sp.gov.br/hidrantes/03individual/1088.html","1088")</f>
        <v>1088</v>
      </c>
      <c r="B3810" t="str">
        <f>HYPERLINK("http://bombeiros.sp.gov.br/hidrantes/08bsg/qrcodeBSG.html?id=1088&amp;lat=-23.52252&amp;long=-46.74034&amp;tipo=S","QRCODE")</f>
        <v>QRCODE</v>
      </c>
      <c r="C3810" t="s">
        <v>5351</v>
      </c>
      <c r="D3810" t="s">
        <v>660</v>
      </c>
      <c r="E3810" t="s">
        <v>653</v>
      </c>
      <c r="F3810" t="s">
        <v>21</v>
      </c>
      <c r="G3810" t="s">
        <v>2123</v>
      </c>
      <c r="H3810">
        <v>0</v>
      </c>
      <c r="I3810">
        <v>2</v>
      </c>
      <c r="J3810">
        <v>0</v>
      </c>
      <c r="K3810">
        <v>0</v>
      </c>
      <c r="L3810">
        <v>0</v>
      </c>
    </row>
    <row r="3811" spans="1:12">
      <c r="A3811" t="str">
        <f>HYPERLINK("http://bombeiros.sp.gov.br/hidrantes/03individual/1089.html","1089")</f>
        <v>1089</v>
      </c>
      <c r="B3811" t="str">
        <f>HYPERLINK("http://bombeiros.sp.gov.br/hidrantes/08bsg/qrcodeBSG.html?id=1089&amp;lat=-23.52036&amp;long=-46.74381&amp;tipo=S","QRCODE")</f>
        <v>QRCODE</v>
      </c>
      <c r="C3811" t="s">
        <v>5351</v>
      </c>
      <c r="D3811" t="s">
        <v>660</v>
      </c>
      <c r="E3811" t="s">
        <v>653</v>
      </c>
      <c r="F3811" t="s">
        <v>21</v>
      </c>
      <c r="G3811" t="s">
        <v>2124</v>
      </c>
      <c r="H3811">
        <v>0</v>
      </c>
      <c r="I3811">
        <v>2</v>
      </c>
      <c r="J3811">
        <v>0</v>
      </c>
      <c r="K3811">
        <v>0</v>
      </c>
      <c r="L3811">
        <v>0</v>
      </c>
    </row>
    <row r="3812" spans="1:12">
      <c r="A3812" t="str">
        <f>HYPERLINK("http://bombeiros.sp.gov.br/hidrantes/03individual/1147.html","1147")</f>
        <v>1147</v>
      </c>
      <c r="B3812" t="str">
        <f>HYPERLINK("http://bombeiros.sp.gov.br/hidrantes/08bsg/qrcodeBSG.html?id=1147&amp;lat=-23.52110&amp;long=-46.73212&amp;tipo=S","QRCODE")</f>
        <v>QRCODE</v>
      </c>
      <c r="C3812" t="s">
        <v>5351</v>
      </c>
      <c r="D3812" t="s">
        <v>660</v>
      </c>
      <c r="E3812" t="s">
        <v>653</v>
      </c>
      <c r="F3812" t="s">
        <v>21</v>
      </c>
      <c r="G3812" t="s">
        <v>1446</v>
      </c>
      <c r="H3812">
        <v>0</v>
      </c>
      <c r="I3812">
        <v>2</v>
      </c>
      <c r="J3812">
        <v>0</v>
      </c>
      <c r="K3812">
        <v>0</v>
      </c>
      <c r="L3812">
        <v>0</v>
      </c>
    </row>
    <row r="3813" spans="1:12">
      <c r="A3813" t="str">
        <f>HYPERLINK("http://bombeiros.sp.gov.br/hidrantes/03individual/17906.html","17906")</f>
        <v>17906</v>
      </c>
      <c r="B3813" t="str">
        <f>HYPERLINK("http://bombeiros.sp.gov.br/hidrantes/08bsg/qrcodeBSG.html?id=17906&amp;lat=-23.51907&amp;long=-46.74453&amp;tipo=S","QRCODE")</f>
        <v>QRCODE</v>
      </c>
      <c r="C3813" t="s">
        <v>5351</v>
      </c>
      <c r="D3813" t="s">
        <v>660</v>
      </c>
      <c r="E3813" t="s">
        <v>653</v>
      </c>
      <c r="F3813" t="s">
        <v>21</v>
      </c>
      <c r="G3813" t="s">
        <v>652</v>
      </c>
      <c r="H3813">
        <v>1</v>
      </c>
      <c r="I3813">
        <v>1</v>
      </c>
      <c r="J3813">
        <v>0</v>
      </c>
      <c r="K3813">
        <v>0</v>
      </c>
      <c r="L3813">
        <v>0</v>
      </c>
    </row>
    <row r="3814" spans="1:12">
      <c r="A3814" t="str">
        <f>HYPERLINK("http://bombeiros.sp.gov.br/hidrantes/03individual/900.html","900")</f>
        <v>900</v>
      </c>
      <c r="B3814" t="str">
        <f>HYPERLINK("http://bombeiros.sp.gov.br/hidrantes/08bsg/qrcodeBSG.html?id=900&amp;lat=-23.53707&amp;long=-46.73144&amp;tipo=C","QRCODE")</f>
        <v>QRCODE</v>
      </c>
      <c r="C3814" t="s">
        <v>5351</v>
      </c>
      <c r="D3814" t="s">
        <v>660</v>
      </c>
      <c r="E3814" t="s">
        <v>1417</v>
      </c>
      <c r="F3814" t="s">
        <v>12</v>
      </c>
      <c r="G3814" t="s">
        <v>1416</v>
      </c>
      <c r="H3814">
        <v>1</v>
      </c>
      <c r="I3814">
        <v>2</v>
      </c>
      <c r="J3814">
        <v>0</v>
      </c>
      <c r="K3814">
        <v>0</v>
      </c>
      <c r="L3814">
        <v>0</v>
      </c>
    </row>
    <row r="3815" spans="1:12">
      <c r="A3815" t="str">
        <f>HYPERLINK("http://bombeiros.sp.gov.br/hidrantes/03individual/1250.html","1250")</f>
        <v>1250</v>
      </c>
      <c r="B3815" t="str">
        <f>HYPERLINK("http://bombeiros.sp.gov.br/hidrantes/08bsg/qrcodeBSG.html?id=1250&amp;lat=-23.53330&amp;long=-46.72734&amp;tipo=S","QRCODE")</f>
        <v>QRCODE</v>
      </c>
      <c r="C3815" t="s">
        <v>5351</v>
      </c>
      <c r="D3815" t="s">
        <v>660</v>
      </c>
      <c r="E3815" t="s">
        <v>1417</v>
      </c>
      <c r="F3815" t="s">
        <v>21</v>
      </c>
      <c r="G3815" t="s">
        <v>1444</v>
      </c>
      <c r="H3815">
        <v>0</v>
      </c>
      <c r="I3815">
        <v>2</v>
      </c>
      <c r="J3815">
        <v>0</v>
      </c>
      <c r="K3815">
        <v>0</v>
      </c>
      <c r="L3815">
        <v>0</v>
      </c>
    </row>
    <row r="3816" spans="1:12">
      <c r="A3816" t="str">
        <f>HYPERLINK("http://bombeiros.sp.gov.br/hidrantes/03individual/1252.html","1252")</f>
        <v>1252</v>
      </c>
      <c r="B3816" t="str">
        <f>HYPERLINK("http://bombeiros.sp.gov.br/hidrantes/08bsg/qrcodeBSG.html?id=1252&amp;lat=-23.53339&amp;long=-46.72544&amp;tipo=S","QRCODE")</f>
        <v>QRCODE</v>
      </c>
      <c r="C3816" t="s">
        <v>5351</v>
      </c>
      <c r="D3816" t="s">
        <v>660</v>
      </c>
      <c r="E3816" t="s">
        <v>1417</v>
      </c>
      <c r="F3816" t="s">
        <v>21</v>
      </c>
      <c r="G3816" t="s">
        <v>3719</v>
      </c>
      <c r="H3816">
        <v>1</v>
      </c>
      <c r="I3816">
        <v>1</v>
      </c>
      <c r="J3816">
        <v>0</v>
      </c>
      <c r="K3816">
        <v>0</v>
      </c>
      <c r="L3816">
        <v>0</v>
      </c>
    </row>
    <row r="3817" spans="1:12">
      <c r="A3817" t="str">
        <f>HYPERLINK("http://bombeiros.sp.gov.br/hidrantes/03individual/1253.html","1253")</f>
        <v>1253</v>
      </c>
      <c r="B3817" t="str">
        <f>HYPERLINK("http://bombeiros.sp.gov.br/hidrantes/08bsg/qrcodeBSG.html?id=1253&amp;lat=-23.53386&amp;long=-46.72484&amp;tipo=S","QRCODE")</f>
        <v>QRCODE</v>
      </c>
      <c r="C3817" t="s">
        <v>5351</v>
      </c>
      <c r="D3817" t="s">
        <v>660</v>
      </c>
      <c r="E3817" t="s">
        <v>1417</v>
      </c>
      <c r="F3817" t="s">
        <v>21</v>
      </c>
      <c r="G3817" t="s">
        <v>1443</v>
      </c>
      <c r="H3817">
        <v>1</v>
      </c>
      <c r="I3817">
        <v>2</v>
      </c>
      <c r="J3817">
        <v>0</v>
      </c>
      <c r="K3817">
        <v>0</v>
      </c>
      <c r="L3817">
        <v>0</v>
      </c>
    </row>
    <row r="3818" spans="1:12">
      <c r="A3818" t="str">
        <f>HYPERLINK("http://bombeiros.sp.gov.br/hidrantes/03individual/1257.html","1257")</f>
        <v>1257</v>
      </c>
      <c r="B3818" t="str">
        <f>HYPERLINK("http://bombeiros.sp.gov.br/hidrantes/08bsg/qrcodeBSG.html?id=1257&amp;lat=-23.53156&amp;long=-46.71944&amp;tipo=S","QRCODE")</f>
        <v>QRCODE</v>
      </c>
      <c r="C3818" t="s">
        <v>5351</v>
      </c>
      <c r="D3818" t="s">
        <v>660</v>
      </c>
      <c r="E3818" t="s">
        <v>1417</v>
      </c>
      <c r="F3818" t="s">
        <v>21</v>
      </c>
      <c r="G3818" t="s">
        <v>3239</v>
      </c>
      <c r="H3818">
        <v>0</v>
      </c>
      <c r="I3818">
        <v>2</v>
      </c>
      <c r="J3818">
        <v>0</v>
      </c>
      <c r="K3818">
        <v>0</v>
      </c>
      <c r="L3818">
        <v>0</v>
      </c>
    </row>
    <row r="3819" spans="1:12">
      <c r="A3819" t="str">
        <f>HYPERLINK("http://bombeiros.sp.gov.br/hidrantes/03individual/1345.html","1345")</f>
        <v>1345</v>
      </c>
      <c r="B3819" t="str">
        <f>HYPERLINK("http://bombeiros.sp.gov.br/hidrantes/08bsg/qrcodeBSG.html?id=1345&amp;lat=-23.53370&amp;long=-46.72310&amp;tipo=S","QRCODE")</f>
        <v>QRCODE</v>
      </c>
      <c r="C3819" t="s">
        <v>5351</v>
      </c>
      <c r="D3819" t="s">
        <v>660</v>
      </c>
      <c r="E3819" t="s">
        <v>1417</v>
      </c>
      <c r="F3819" t="s">
        <v>21</v>
      </c>
      <c r="G3819" t="s">
        <v>3242</v>
      </c>
      <c r="H3819">
        <v>0</v>
      </c>
      <c r="I3819">
        <v>2</v>
      </c>
      <c r="J3819">
        <v>0</v>
      </c>
      <c r="K3819">
        <v>0</v>
      </c>
      <c r="L3819">
        <v>0</v>
      </c>
    </row>
    <row r="3820" spans="1:12">
      <c r="A3820" t="str">
        <f>HYPERLINK("http://bombeiros.sp.gov.br/hidrantes/03individual/6788.html","6788")</f>
        <v>6788</v>
      </c>
      <c r="B3820" t="str">
        <f>HYPERLINK("http://bombeiros.sp.gov.br/hidrantes/08bsg/qrcodeBSG.html?id=6788&amp;lat=-23.53299&amp;long=-46.72910&amp;tipo=S","QRCODE")</f>
        <v>QRCODE</v>
      </c>
      <c r="C3820" t="s">
        <v>5351</v>
      </c>
      <c r="D3820" t="s">
        <v>660</v>
      </c>
      <c r="E3820" t="s">
        <v>1417</v>
      </c>
      <c r="F3820" t="s">
        <v>21</v>
      </c>
      <c r="G3820" t="s">
        <v>1891</v>
      </c>
      <c r="H3820">
        <v>0</v>
      </c>
      <c r="I3820">
        <v>2</v>
      </c>
      <c r="J3820">
        <v>0</v>
      </c>
      <c r="K3820">
        <v>0</v>
      </c>
      <c r="L3820">
        <v>0</v>
      </c>
    </row>
    <row r="3821" spans="1:12">
      <c r="A3821" t="str">
        <f>HYPERLINK("http://bombeiros.sp.gov.br/hidrantes/03individual/17682.html","17682")</f>
        <v>17682</v>
      </c>
      <c r="B3821" t="str">
        <f>HYPERLINK("http://bombeiros.sp.gov.br/hidrantes/08bsg/qrcodeBSG.html?id=17682&amp;lat=-23.52882&amp;long=-46.72595&amp;tipo=S","QRCODE")</f>
        <v>QRCODE</v>
      </c>
      <c r="C3821" t="s">
        <v>5351</v>
      </c>
      <c r="D3821" t="s">
        <v>660</v>
      </c>
      <c r="E3821" t="s">
        <v>1417</v>
      </c>
      <c r="F3821" t="s">
        <v>21</v>
      </c>
      <c r="G3821" t="s">
        <v>3770</v>
      </c>
      <c r="H3821">
        <v>1</v>
      </c>
      <c r="I3821">
        <v>1</v>
      </c>
      <c r="J3821">
        <v>0</v>
      </c>
      <c r="K3821">
        <v>0</v>
      </c>
      <c r="L3821">
        <v>0</v>
      </c>
    </row>
    <row r="3822" spans="1:12">
      <c r="A3822" t="str">
        <f>HYPERLINK("http://bombeiros.sp.gov.br/hidrantes/03individual/17683.html","17683")</f>
        <v>17683</v>
      </c>
      <c r="B3822" t="str">
        <f>HYPERLINK("http://bombeiros.sp.gov.br/hidrantes/08bsg/qrcodeBSG.html?id=17683&amp;lat=-23.53115&amp;long=-46.72933&amp;tipo=S","QRCODE")</f>
        <v>QRCODE</v>
      </c>
      <c r="C3822" t="s">
        <v>5351</v>
      </c>
      <c r="D3822" t="s">
        <v>660</v>
      </c>
      <c r="E3822" t="s">
        <v>1417</v>
      </c>
      <c r="F3822" t="s">
        <v>21</v>
      </c>
      <c r="G3822" t="s">
        <v>3771</v>
      </c>
      <c r="H3822">
        <v>2</v>
      </c>
      <c r="I3822">
        <v>1</v>
      </c>
      <c r="J3822">
        <v>0</v>
      </c>
      <c r="K3822">
        <v>0</v>
      </c>
      <c r="L3822">
        <v>0</v>
      </c>
    </row>
    <row r="3823" spans="1:12">
      <c r="A3823" t="str">
        <f>HYPERLINK("http://bombeiros.sp.gov.br/hidrantes/03individual/27294.html","27294")</f>
        <v>27294</v>
      </c>
      <c r="B3823" t="str">
        <f>HYPERLINK("http://bombeiros.sp.gov.br/hidrantes/08bsg/qrcodeBSG.html?id=27294&amp;lat=-23.53253&amp;long=-46.72600&amp;tipo=S","QRCODE")</f>
        <v>QRCODE</v>
      </c>
      <c r="C3823" t="s">
        <v>5351</v>
      </c>
      <c r="D3823" t="s">
        <v>660</v>
      </c>
      <c r="E3823" t="s">
        <v>1417</v>
      </c>
      <c r="F3823" t="s">
        <v>21</v>
      </c>
      <c r="G3823" t="s">
        <v>1501</v>
      </c>
      <c r="H3823">
        <v>0</v>
      </c>
      <c r="I3823">
        <v>1</v>
      </c>
      <c r="J3823">
        <v>0</v>
      </c>
      <c r="K3823">
        <v>0</v>
      </c>
      <c r="L3823">
        <v>0</v>
      </c>
    </row>
    <row r="3824" spans="1:12">
      <c r="A3824" t="str">
        <f>HYPERLINK("http://bombeiros.sp.gov.br/hidrantes/03individual/1137.html","1137")</f>
        <v>1137</v>
      </c>
      <c r="B3824" t="str">
        <f>HYPERLINK("http://bombeiros.sp.gov.br/hidrantes/08bsg/qrcodeBSG.html?id=1137&amp;lat=-23.52526&amp;long=-46.73316&amp;tipo=S","QRCODE")</f>
        <v>QRCODE</v>
      </c>
      <c r="C3824" t="s">
        <v>5351</v>
      </c>
      <c r="D3824" t="s">
        <v>660</v>
      </c>
      <c r="E3824" t="s">
        <v>660</v>
      </c>
      <c r="F3824" t="s">
        <v>21</v>
      </c>
      <c r="G3824" t="s">
        <v>4233</v>
      </c>
      <c r="H3824">
        <v>0</v>
      </c>
      <c r="I3824">
        <v>1</v>
      </c>
      <c r="J3824">
        <v>0</v>
      </c>
      <c r="K3824">
        <v>0</v>
      </c>
      <c r="L3824">
        <v>0</v>
      </c>
    </row>
    <row r="3825" spans="1:12">
      <c r="A3825" t="str">
        <f>HYPERLINK("http://bombeiros.sp.gov.br/hidrantes/03individual/1141.html","1141")</f>
        <v>1141</v>
      </c>
      <c r="B3825" t="str">
        <f>HYPERLINK("http://bombeiros.sp.gov.br/hidrantes/08bsg/qrcodeBSG.html?id=1141&amp;lat=-23.52632&amp;long=-46.73219&amp;tipo=S","QRCODE")</f>
        <v>QRCODE</v>
      </c>
      <c r="C3825" t="s">
        <v>5351</v>
      </c>
      <c r="D3825" t="s">
        <v>660</v>
      </c>
      <c r="E3825" t="s">
        <v>660</v>
      </c>
      <c r="F3825" t="s">
        <v>21</v>
      </c>
      <c r="G3825" t="s">
        <v>3863</v>
      </c>
      <c r="H3825">
        <v>0</v>
      </c>
      <c r="I3825">
        <v>3</v>
      </c>
      <c r="J3825">
        <v>0</v>
      </c>
      <c r="K3825">
        <v>0</v>
      </c>
      <c r="L3825">
        <v>0</v>
      </c>
    </row>
    <row r="3826" spans="1:12">
      <c r="A3826" t="str">
        <f>HYPERLINK("http://bombeiros.sp.gov.br/hidrantes/03individual/1263.html","1263")</f>
        <v>1263</v>
      </c>
      <c r="B3826" t="str">
        <f>HYPERLINK("http://bombeiros.sp.gov.br/hidrantes/08bsg/qrcodeBSG.html?id=1263&amp;lat=-23.52944&amp;long=-46.72730&amp;tipo=S","QRCODE")</f>
        <v>QRCODE</v>
      </c>
      <c r="C3826" t="s">
        <v>5351</v>
      </c>
      <c r="D3826" t="s">
        <v>660</v>
      </c>
      <c r="E3826" t="s">
        <v>660</v>
      </c>
      <c r="F3826" t="s">
        <v>21</v>
      </c>
      <c r="G3826" t="s">
        <v>3010</v>
      </c>
      <c r="H3826">
        <v>0</v>
      </c>
      <c r="I3826">
        <v>2</v>
      </c>
      <c r="J3826">
        <v>0</v>
      </c>
      <c r="K3826">
        <v>0</v>
      </c>
      <c r="L3826">
        <v>0</v>
      </c>
    </row>
    <row r="3827" spans="1:12">
      <c r="A3827" t="str">
        <f>HYPERLINK("http://bombeiros.sp.gov.br/hidrantes/03individual/1265.html","1265")</f>
        <v>1265</v>
      </c>
      <c r="B3827" t="str">
        <f>HYPERLINK("http://bombeiros.sp.gov.br/hidrantes/08bsg/qrcodeBSG.html?id=1265&amp;lat=-23.53025&amp;long=-46.72852&amp;tipo=S","QRCODE")</f>
        <v>QRCODE</v>
      </c>
      <c r="C3827" t="s">
        <v>5351</v>
      </c>
      <c r="D3827" t="s">
        <v>660</v>
      </c>
      <c r="E3827" t="s">
        <v>660</v>
      </c>
      <c r="F3827" t="s">
        <v>21</v>
      </c>
      <c r="G3827" t="s">
        <v>3007</v>
      </c>
      <c r="H3827">
        <v>0</v>
      </c>
      <c r="I3827">
        <v>2</v>
      </c>
      <c r="J3827">
        <v>0</v>
      </c>
      <c r="K3827">
        <v>0</v>
      </c>
      <c r="L3827">
        <v>0</v>
      </c>
    </row>
    <row r="3828" spans="1:12">
      <c r="A3828" t="str">
        <f>HYPERLINK("http://bombeiros.sp.gov.br/hidrantes/03individual/4435.html","4435")</f>
        <v>4435</v>
      </c>
      <c r="B3828" t="str">
        <f>HYPERLINK("http://bombeiros.sp.gov.br/hidrantes/08bsg/qrcodeBSG.html?id=4435&amp;lat=-23.52401&amp;long=-46.73722&amp;tipo=S","QRCODE")</f>
        <v>QRCODE</v>
      </c>
      <c r="C3828" t="s">
        <v>5351</v>
      </c>
      <c r="D3828" t="s">
        <v>660</v>
      </c>
      <c r="E3828" t="s">
        <v>660</v>
      </c>
      <c r="F3828" t="s">
        <v>21</v>
      </c>
      <c r="G3828" t="s">
        <v>1459</v>
      </c>
      <c r="H3828">
        <v>1</v>
      </c>
      <c r="I3828">
        <v>3</v>
      </c>
      <c r="J3828">
        <v>0</v>
      </c>
      <c r="K3828">
        <v>0</v>
      </c>
      <c r="L3828">
        <v>0</v>
      </c>
    </row>
    <row r="3829" spans="1:12">
      <c r="A3829" t="str">
        <f>HYPERLINK("http://bombeiros.sp.gov.br/hidrantes/03individual/16595.html","16595")</f>
        <v>16595</v>
      </c>
      <c r="B3829" t="str">
        <f>HYPERLINK("http://bombeiros.sp.gov.br/hidrantes/08bsg/qrcodeBSG.html?id=16595&amp;lat=-23.52359&amp;long=-46.73526&amp;tipo=S","QRCODE")</f>
        <v>QRCODE</v>
      </c>
      <c r="C3829" t="s">
        <v>5351</v>
      </c>
      <c r="D3829" t="s">
        <v>660</v>
      </c>
      <c r="E3829" t="s">
        <v>660</v>
      </c>
      <c r="F3829" t="s">
        <v>21</v>
      </c>
      <c r="G3829" t="s">
        <v>659</v>
      </c>
      <c r="H3829">
        <v>2</v>
      </c>
      <c r="I3829">
        <v>1</v>
      </c>
      <c r="J3829">
        <v>0</v>
      </c>
      <c r="K3829">
        <v>0</v>
      </c>
      <c r="L3829">
        <v>0</v>
      </c>
    </row>
    <row r="3830" spans="1:12">
      <c r="A3830" t="str">
        <f>HYPERLINK("http://bombeiros.sp.gov.br/hidrantes/03individual/27029.html","27029")</f>
        <v>27029</v>
      </c>
      <c r="B3830" t="str">
        <f>HYPERLINK("http://bombeiros.sp.gov.br/hidrantes/08bsg/qrcodeBSG.html?id=27029&amp;lat=-23.59861&amp;long=-46.74121&amp;tipo=C","QRCODE")</f>
        <v>QRCODE</v>
      </c>
      <c r="C3830" t="s">
        <v>5351</v>
      </c>
      <c r="D3830" t="s">
        <v>144</v>
      </c>
      <c r="E3830" t="s">
        <v>216</v>
      </c>
      <c r="F3830" t="s">
        <v>12</v>
      </c>
      <c r="G3830" t="s">
        <v>215</v>
      </c>
      <c r="H3830">
        <v>0</v>
      </c>
      <c r="I3830">
        <v>3</v>
      </c>
      <c r="J3830">
        <v>0</v>
      </c>
      <c r="K3830">
        <v>0</v>
      </c>
      <c r="L3830">
        <v>0</v>
      </c>
    </row>
    <row r="3831" spans="1:12">
      <c r="A3831" t="str">
        <f>HYPERLINK("http://bombeiros.sp.gov.br/hidrantes/03individual/27057.html","27057")</f>
        <v>27057</v>
      </c>
      <c r="B3831" t="str">
        <f>HYPERLINK("http://bombeiros.sp.gov.br/hidrantes/08bsg/qrcodeBSG.html?id=27057&amp;lat=-23.61112&amp;long=-46.75081&amp;tipo=C","QRCODE")</f>
        <v>QRCODE</v>
      </c>
      <c r="C3831" t="s">
        <v>5351</v>
      </c>
      <c r="D3831" t="s">
        <v>144</v>
      </c>
      <c r="E3831" t="s">
        <v>216</v>
      </c>
      <c r="F3831" t="s">
        <v>12</v>
      </c>
      <c r="G3831" t="s">
        <v>3896</v>
      </c>
      <c r="H3831">
        <v>0</v>
      </c>
      <c r="I3831">
        <v>2</v>
      </c>
      <c r="J3831">
        <v>0</v>
      </c>
      <c r="K3831">
        <v>0</v>
      </c>
      <c r="L3831">
        <v>0</v>
      </c>
    </row>
    <row r="3832" spans="1:12">
      <c r="A3832" t="str">
        <f>HYPERLINK("http://bombeiros.sp.gov.br/hidrantes/03individual/27122.html","27122")</f>
        <v>27122</v>
      </c>
      <c r="B3832" t="str">
        <f>HYPERLINK("http://bombeiros.sp.gov.br/hidrantes/08bsg/qrcodeBSG.html?id=27122&amp;lat=-23.61312&amp;long=-46.74942&amp;tipo=C","QRCODE")</f>
        <v>QRCODE</v>
      </c>
      <c r="C3832" t="s">
        <v>5351</v>
      </c>
      <c r="D3832" t="s">
        <v>144</v>
      </c>
      <c r="E3832" t="s">
        <v>216</v>
      </c>
      <c r="F3832" t="s">
        <v>12</v>
      </c>
      <c r="G3832" t="s">
        <v>3502</v>
      </c>
      <c r="H3832">
        <v>0</v>
      </c>
      <c r="I3832">
        <v>1</v>
      </c>
      <c r="J3832">
        <v>0</v>
      </c>
      <c r="K3832">
        <v>0</v>
      </c>
      <c r="L3832">
        <v>0</v>
      </c>
    </row>
    <row r="3833" spans="1:12">
      <c r="A3833" t="str">
        <f>HYPERLINK("http://bombeiros.sp.gov.br/hidrantes/03individual/27123.html","27123")</f>
        <v>27123</v>
      </c>
      <c r="B3833" t="str">
        <f>HYPERLINK("http://bombeiros.sp.gov.br/hidrantes/08bsg/qrcodeBSG.html?id=27123&amp;lat=-23.61203&amp;long=-46.74892&amp;tipo=C","QRCODE")</f>
        <v>QRCODE</v>
      </c>
      <c r="C3833" t="s">
        <v>5351</v>
      </c>
      <c r="D3833" t="s">
        <v>144</v>
      </c>
      <c r="E3833" t="s">
        <v>216</v>
      </c>
      <c r="F3833" t="s">
        <v>12</v>
      </c>
      <c r="G3833" t="s">
        <v>3913</v>
      </c>
      <c r="H3833">
        <v>0</v>
      </c>
      <c r="I3833">
        <v>1</v>
      </c>
      <c r="J3833">
        <v>0</v>
      </c>
      <c r="K3833">
        <v>0</v>
      </c>
      <c r="L3833">
        <v>0</v>
      </c>
    </row>
    <row r="3834" spans="1:12">
      <c r="A3834" t="str">
        <f>HYPERLINK("http://bombeiros.sp.gov.br/hidrantes/03individual/2148.html","2148")</f>
        <v>2148</v>
      </c>
      <c r="B3834" t="str">
        <f>HYPERLINK("http://bombeiros.sp.gov.br/hidrantes/08bsg/qrcodeBSG.html?id=2148&amp;lat=-23.61336&amp;long=-46.74276&amp;tipo=S","QRCODE")</f>
        <v>QRCODE</v>
      </c>
      <c r="C3834" t="s">
        <v>5351</v>
      </c>
      <c r="D3834" t="s">
        <v>144</v>
      </c>
      <c r="E3834" t="s">
        <v>216</v>
      </c>
      <c r="F3834" t="s">
        <v>21</v>
      </c>
      <c r="G3834" t="s">
        <v>559</v>
      </c>
      <c r="H3834">
        <v>0</v>
      </c>
      <c r="I3834">
        <v>2</v>
      </c>
      <c r="J3834">
        <v>0</v>
      </c>
      <c r="K3834">
        <v>0</v>
      </c>
      <c r="L3834">
        <v>0</v>
      </c>
    </row>
    <row r="3835" spans="1:12">
      <c r="A3835" t="str">
        <f>HYPERLINK("http://bombeiros.sp.gov.br/hidrantes/03individual/2149.html","2149")</f>
        <v>2149</v>
      </c>
      <c r="B3835" t="str">
        <f>HYPERLINK("http://bombeiros.sp.gov.br/hidrantes/08bsg/qrcodeBSG.html?id=2149&amp;lat=-23.60459&amp;long=-46.73987&amp;tipo=S","QRCODE")</f>
        <v>QRCODE</v>
      </c>
      <c r="C3835" t="s">
        <v>5351</v>
      </c>
      <c r="D3835" t="s">
        <v>144</v>
      </c>
      <c r="E3835" t="s">
        <v>216</v>
      </c>
      <c r="F3835" t="s">
        <v>21</v>
      </c>
      <c r="G3835" t="s">
        <v>3016</v>
      </c>
      <c r="H3835">
        <v>0</v>
      </c>
      <c r="I3835">
        <v>2</v>
      </c>
      <c r="J3835">
        <v>0</v>
      </c>
      <c r="K3835">
        <v>0</v>
      </c>
      <c r="L3835">
        <v>0</v>
      </c>
    </row>
    <row r="3836" spans="1:12">
      <c r="A3836" t="str">
        <f>HYPERLINK("http://bombeiros.sp.gov.br/hidrantes/03individual/4039.html","4039")</f>
        <v>4039</v>
      </c>
      <c r="B3836" t="str">
        <f>HYPERLINK("http://bombeiros.sp.gov.br/hidrantes/08bsg/qrcodeBSG.html?id=4039&amp;lat=-23.61094&amp;long=-46.74902&amp;tipo=S","QRCODE")</f>
        <v>QRCODE</v>
      </c>
      <c r="C3836" t="s">
        <v>5351</v>
      </c>
      <c r="D3836" t="s">
        <v>144</v>
      </c>
      <c r="E3836" t="s">
        <v>216</v>
      </c>
      <c r="F3836" t="s">
        <v>21</v>
      </c>
      <c r="G3836" t="s">
        <v>3946</v>
      </c>
      <c r="H3836">
        <v>0</v>
      </c>
      <c r="I3836">
        <v>2</v>
      </c>
      <c r="J3836">
        <v>0</v>
      </c>
      <c r="K3836">
        <v>0</v>
      </c>
      <c r="L3836">
        <v>0</v>
      </c>
    </row>
    <row r="3837" spans="1:12">
      <c r="A3837" t="str">
        <f>HYPERLINK("http://bombeiros.sp.gov.br/hidrantes/03individual/4392.html","4392")</f>
        <v>4392</v>
      </c>
      <c r="B3837" t="str">
        <f>HYPERLINK("http://bombeiros.sp.gov.br/hidrantes/08bsg/qrcodeBSG.html?id=4392&amp;lat=-23.60552&amp;long=-46.73926&amp;tipo=S","QRCODE")</f>
        <v>QRCODE</v>
      </c>
      <c r="C3837" t="s">
        <v>5351</v>
      </c>
      <c r="D3837" t="s">
        <v>144</v>
      </c>
      <c r="E3837" t="s">
        <v>216</v>
      </c>
      <c r="F3837" t="s">
        <v>21</v>
      </c>
      <c r="G3837" t="s">
        <v>3016</v>
      </c>
      <c r="H3837">
        <v>0</v>
      </c>
      <c r="I3837">
        <v>1</v>
      </c>
      <c r="J3837">
        <v>0</v>
      </c>
      <c r="K3837">
        <v>0</v>
      </c>
      <c r="L3837">
        <v>0</v>
      </c>
    </row>
    <row r="3838" spans="1:12">
      <c r="A3838" t="str">
        <f>HYPERLINK("http://bombeiros.sp.gov.br/hidrantes/03individual/1241.html","1241")</f>
        <v>1241</v>
      </c>
      <c r="B3838" t="str">
        <f>HYPERLINK("http://bombeiros.sp.gov.br/hidrantes/08bsg/qrcodeBSG.html?id=1241&amp;lat=-23.58702&amp;long=-46.74913&amp;tipo=C","QRCODE")</f>
        <v>QRCODE</v>
      </c>
      <c r="C3838" t="s">
        <v>5351</v>
      </c>
      <c r="D3838" t="s">
        <v>144</v>
      </c>
      <c r="E3838" t="s">
        <v>248</v>
      </c>
      <c r="F3838" t="s">
        <v>12</v>
      </c>
      <c r="G3838" t="s">
        <v>570</v>
      </c>
      <c r="H3838">
        <v>1</v>
      </c>
      <c r="I3838">
        <v>2</v>
      </c>
      <c r="J3838">
        <v>0</v>
      </c>
      <c r="K3838">
        <v>0</v>
      </c>
      <c r="L3838">
        <v>0</v>
      </c>
    </row>
    <row r="3839" spans="1:12">
      <c r="A3839" t="str">
        <f>HYPERLINK("http://bombeiros.sp.gov.br/hidrantes/03individual/4252.html","4252")</f>
        <v>4252</v>
      </c>
      <c r="B3839" t="str">
        <f>HYPERLINK("http://bombeiros.sp.gov.br/hidrantes/08bsg/qrcodeBSG.html?id=4252&amp;lat=-23.58870&amp;long=-46.74883&amp;tipo=C","QRCODE")</f>
        <v>QRCODE</v>
      </c>
      <c r="C3839" t="s">
        <v>5351</v>
      </c>
      <c r="D3839" t="s">
        <v>144</v>
      </c>
      <c r="E3839" t="s">
        <v>248</v>
      </c>
      <c r="F3839" t="s">
        <v>12</v>
      </c>
      <c r="G3839" t="s">
        <v>3742</v>
      </c>
      <c r="H3839">
        <v>1</v>
      </c>
      <c r="I3839">
        <v>1</v>
      </c>
      <c r="J3839">
        <v>0</v>
      </c>
      <c r="K3839">
        <v>0</v>
      </c>
      <c r="L3839">
        <v>0</v>
      </c>
    </row>
    <row r="3840" spans="1:12">
      <c r="A3840" t="str">
        <f>HYPERLINK("http://bombeiros.sp.gov.br/hidrantes/03individual/6681.html","6681")</f>
        <v>6681</v>
      </c>
      <c r="B3840" t="str">
        <f>HYPERLINK("http://bombeiros.sp.gov.br/hidrantes/08bsg/qrcodeBSG.html?id=6681&amp;lat=-23.58591&amp;long=-46.74604&amp;tipo=C","QRCODE")</f>
        <v>QRCODE</v>
      </c>
      <c r="C3840" t="s">
        <v>5351</v>
      </c>
      <c r="D3840" t="s">
        <v>144</v>
      </c>
      <c r="E3840" t="s">
        <v>248</v>
      </c>
      <c r="F3840" t="s">
        <v>12</v>
      </c>
      <c r="G3840" t="s">
        <v>3736</v>
      </c>
      <c r="H3840">
        <v>1</v>
      </c>
      <c r="I3840">
        <v>1</v>
      </c>
      <c r="J3840">
        <v>0</v>
      </c>
      <c r="K3840">
        <v>0</v>
      </c>
      <c r="L3840">
        <v>0</v>
      </c>
    </row>
    <row r="3841" spans="1:12">
      <c r="A3841" t="str">
        <f>HYPERLINK("http://bombeiros.sp.gov.br/hidrantes/03individual/15047.html","15047")</f>
        <v>15047</v>
      </c>
      <c r="B3841" t="str">
        <f>HYPERLINK("http://bombeiros.sp.gov.br/hidrantes/08bsg/qrcodeBSG.html?id=15047&amp;lat=-23.58893&amp;long=-46.75394&amp;tipo=C","QRCODE")</f>
        <v>QRCODE</v>
      </c>
      <c r="C3841" t="s">
        <v>5351</v>
      </c>
      <c r="D3841" t="s">
        <v>144</v>
      </c>
      <c r="E3841" t="s">
        <v>248</v>
      </c>
      <c r="F3841" t="s">
        <v>12</v>
      </c>
      <c r="G3841" t="s">
        <v>1834</v>
      </c>
      <c r="H3841">
        <v>0</v>
      </c>
      <c r="I3841">
        <v>3</v>
      </c>
      <c r="J3841">
        <v>0</v>
      </c>
      <c r="K3841">
        <v>0</v>
      </c>
      <c r="L3841">
        <v>0</v>
      </c>
    </row>
    <row r="3842" spans="1:12">
      <c r="A3842" t="str">
        <f>HYPERLINK("http://bombeiros.sp.gov.br/hidrantes/03individual/27030.html","27030")</f>
        <v>27030</v>
      </c>
      <c r="B3842" t="str">
        <f>HYPERLINK("http://bombeiros.sp.gov.br/hidrantes/08bsg/qrcodeBSG.html?id=27030&amp;lat=-23.58731&amp;long=-46.74334&amp;tipo=C","QRCODE")</f>
        <v>QRCODE</v>
      </c>
      <c r="C3842" t="s">
        <v>5351</v>
      </c>
      <c r="D3842" t="s">
        <v>144</v>
      </c>
      <c r="E3842" t="s">
        <v>248</v>
      </c>
      <c r="F3842" t="s">
        <v>12</v>
      </c>
      <c r="G3842" t="s">
        <v>3412</v>
      </c>
      <c r="H3842">
        <v>0</v>
      </c>
      <c r="I3842">
        <v>2</v>
      </c>
      <c r="J3842">
        <v>0</v>
      </c>
      <c r="K3842">
        <v>0</v>
      </c>
      <c r="L3842">
        <v>0</v>
      </c>
    </row>
    <row r="3843" spans="1:12">
      <c r="A3843" t="str">
        <f>HYPERLINK("http://bombeiros.sp.gov.br/hidrantes/03individual/27063.html","27063")</f>
        <v>27063</v>
      </c>
      <c r="B3843" t="str">
        <f>HYPERLINK("http://bombeiros.sp.gov.br/hidrantes/08bsg/qrcodeBSG.html?id=27063&amp;lat=-23.59758&amp;long=-46.75536&amp;tipo=C","QRCODE")</f>
        <v>QRCODE</v>
      </c>
      <c r="C3843" t="s">
        <v>5351</v>
      </c>
      <c r="D3843" t="s">
        <v>144</v>
      </c>
      <c r="E3843" t="s">
        <v>248</v>
      </c>
      <c r="F3843" t="s">
        <v>12</v>
      </c>
      <c r="G3843" t="s">
        <v>247</v>
      </c>
      <c r="H3843">
        <v>0</v>
      </c>
      <c r="I3843">
        <v>3</v>
      </c>
      <c r="J3843">
        <v>0</v>
      </c>
      <c r="K3843">
        <v>0</v>
      </c>
      <c r="L3843">
        <v>0</v>
      </c>
    </row>
    <row r="3844" spans="1:12">
      <c r="A3844" t="str">
        <f>HYPERLINK("http://bombeiros.sp.gov.br/hidrantes/03individual/4029.html","4029")</f>
        <v>4029</v>
      </c>
      <c r="B3844" t="str">
        <f>HYPERLINK("http://bombeiros.sp.gov.br/hidrantes/08bsg/qrcodeBSG.html?id=4029&amp;lat=-23.60095&amp;long=-46.74996&amp;tipo=S","QRCODE")</f>
        <v>QRCODE</v>
      </c>
      <c r="C3844" t="s">
        <v>5351</v>
      </c>
      <c r="D3844" t="s">
        <v>144</v>
      </c>
      <c r="E3844" t="s">
        <v>248</v>
      </c>
      <c r="F3844" t="s">
        <v>21</v>
      </c>
      <c r="G3844" t="s">
        <v>1816</v>
      </c>
      <c r="H3844">
        <v>0</v>
      </c>
      <c r="I3844">
        <v>3</v>
      </c>
      <c r="J3844">
        <v>0</v>
      </c>
      <c r="K3844">
        <v>0</v>
      </c>
      <c r="L3844">
        <v>0</v>
      </c>
    </row>
    <row r="3845" spans="1:12">
      <c r="A3845" t="str">
        <f>HYPERLINK("http://bombeiros.sp.gov.br/hidrantes/03individual/17764.html","17764")</f>
        <v>17764</v>
      </c>
      <c r="B3845" t="str">
        <f>HYPERLINK("http://bombeiros.sp.gov.br/hidrantes/08bsg/qrcodeBSG.html?id=17764&amp;lat=-23.58905&amp;long=-46.73762&amp;tipo=S","QRCODE")</f>
        <v>QRCODE</v>
      </c>
      <c r="C3845" t="s">
        <v>5351</v>
      </c>
      <c r="D3845" t="s">
        <v>144</v>
      </c>
      <c r="E3845" t="s">
        <v>248</v>
      </c>
      <c r="F3845" t="s">
        <v>21</v>
      </c>
      <c r="G3845" t="s">
        <v>3767</v>
      </c>
      <c r="H3845">
        <v>1</v>
      </c>
      <c r="I3845">
        <v>1</v>
      </c>
      <c r="J3845">
        <v>0</v>
      </c>
      <c r="K3845">
        <v>0</v>
      </c>
      <c r="L3845">
        <v>0</v>
      </c>
    </row>
    <row r="3846" spans="1:12">
      <c r="A3846" t="str">
        <f>HYPERLINK("http://bombeiros.sp.gov.br/hidrantes/03individual/17807.html","17807")</f>
        <v>17807</v>
      </c>
      <c r="B3846" t="str">
        <f>HYPERLINK("http://bombeiros.sp.gov.br/hidrantes/08bsg/qrcodeBSG.html?id=17807&amp;lat=-23.58811&amp;long=-46.75604&amp;tipo=S","QRCODE")</f>
        <v>QRCODE</v>
      </c>
      <c r="C3846" t="s">
        <v>5351</v>
      </c>
      <c r="D3846" t="s">
        <v>144</v>
      </c>
      <c r="E3846" t="s">
        <v>248</v>
      </c>
      <c r="F3846" t="s">
        <v>21</v>
      </c>
      <c r="G3846" t="s">
        <v>1841</v>
      </c>
      <c r="H3846">
        <v>0</v>
      </c>
      <c r="I3846">
        <v>2</v>
      </c>
      <c r="J3846">
        <v>0</v>
      </c>
      <c r="K3846">
        <v>0</v>
      </c>
      <c r="L3846">
        <v>0</v>
      </c>
    </row>
    <row r="3847" spans="1:12">
      <c r="A3847" t="str">
        <f>HYPERLINK("http://bombeiros.sp.gov.br/hidrantes/03individual/17816.html","17816")</f>
        <v>17816</v>
      </c>
      <c r="B3847" t="str">
        <f>HYPERLINK("http://bombeiros.sp.gov.br/hidrantes/08bsg/qrcodeBSG.html?id=17816&amp;lat=-23.59298&amp;long=-46.74562&amp;tipo=S","QRCODE")</f>
        <v>QRCODE</v>
      </c>
      <c r="C3847" t="s">
        <v>5351</v>
      </c>
      <c r="D3847" t="s">
        <v>144</v>
      </c>
      <c r="E3847" t="s">
        <v>248</v>
      </c>
      <c r="F3847" t="s">
        <v>21</v>
      </c>
      <c r="G3847" t="s">
        <v>3752</v>
      </c>
      <c r="H3847">
        <v>1</v>
      </c>
      <c r="I3847">
        <v>1</v>
      </c>
      <c r="J3847">
        <v>0</v>
      </c>
      <c r="K3847">
        <v>0</v>
      </c>
      <c r="L3847">
        <v>0</v>
      </c>
    </row>
    <row r="3848" spans="1:12">
      <c r="A3848" t="str">
        <f>HYPERLINK("http://bombeiros.sp.gov.br/hidrantes/03individual/2165.html","2165")</f>
        <v>2165</v>
      </c>
      <c r="B3848" t="str">
        <f>HYPERLINK("http://bombeiros.sp.gov.br/hidrantes/08bsg/qrcodeBSG.html?id=2165&amp;lat=-23.60502&amp;long=-46.73567&amp;tipo=S","QRCODE")</f>
        <v>QRCODE</v>
      </c>
      <c r="C3848" t="s">
        <v>5351</v>
      </c>
      <c r="D3848" t="s">
        <v>144</v>
      </c>
      <c r="E3848" t="s">
        <v>178</v>
      </c>
      <c r="F3848" t="s">
        <v>21</v>
      </c>
      <c r="G3848" t="s">
        <v>177</v>
      </c>
      <c r="H3848">
        <v>1</v>
      </c>
      <c r="I3848">
        <v>3</v>
      </c>
      <c r="J3848">
        <v>0</v>
      </c>
      <c r="K3848">
        <v>0</v>
      </c>
      <c r="L3848">
        <v>0</v>
      </c>
    </row>
    <row r="3849" spans="1:12">
      <c r="A3849" t="str">
        <f>HYPERLINK("http://bombeiros.sp.gov.br/hidrantes/03individual/2188.html","2188")</f>
        <v>2188</v>
      </c>
      <c r="B3849" t="str">
        <f>HYPERLINK("http://bombeiros.sp.gov.br/hidrantes/08bsg/qrcodeBSG.html?id=2188&amp;lat=-23.60503&amp;long=-46.73155&amp;tipo=S","QRCODE")</f>
        <v>QRCODE</v>
      </c>
      <c r="C3849" t="s">
        <v>5351</v>
      </c>
      <c r="D3849" t="s">
        <v>144</v>
      </c>
      <c r="E3849" t="s">
        <v>178</v>
      </c>
      <c r="F3849" t="s">
        <v>21</v>
      </c>
      <c r="G3849" t="s">
        <v>214</v>
      </c>
      <c r="H3849">
        <v>1</v>
      </c>
      <c r="I3849">
        <v>3</v>
      </c>
      <c r="J3849">
        <v>0</v>
      </c>
      <c r="K3849">
        <v>0</v>
      </c>
      <c r="L3849">
        <v>0</v>
      </c>
    </row>
    <row r="3850" spans="1:12">
      <c r="A3850" t="str">
        <f>HYPERLINK("http://bombeiros.sp.gov.br/hidrantes/03individual/4211.html","4211")</f>
        <v>4211</v>
      </c>
      <c r="B3850" t="str">
        <f>HYPERLINK("http://bombeiros.sp.gov.br/hidrantes/08bsg/qrcodeBSG.html?id=4211&amp;lat=-23.60209&amp;long=-46.72747&amp;tipo=S","QRCODE")</f>
        <v>QRCODE</v>
      </c>
      <c r="C3850" t="s">
        <v>5351</v>
      </c>
      <c r="D3850" t="s">
        <v>144</v>
      </c>
      <c r="E3850" t="s">
        <v>178</v>
      </c>
      <c r="F3850" t="s">
        <v>21</v>
      </c>
      <c r="G3850" t="s">
        <v>5226</v>
      </c>
      <c r="H3850">
        <v>1</v>
      </c>
      <c r="I3850">
        <v>0</v>
      </c>
      <c r="J3850">
        <v>0</v>
      </c>
      <c r="K3850">
        <v>0</v>
      </c>
      <c r="L3850">
        <v>0</v>
      </c>
    </row>
    <row r="3851" spans="1:12">
      <c r="A3851" t="str">
        <f>HYPERLINK("http://bombeiros.sp.gov.br/hidrantes/03individual/17817.html","17817")</f>
        <v>17817</v>
      </c>
      <c r="B3851" t="str">
        <f>HYPERLINK("http://bombeiros.sp.gov.br/hidrantes/08bsg/qrcodeBSG.html?id=17817&amp;lat=-23.60462&amp;long=-46.73349&amp;tipo=S","QRCODE")</f>
        <v>QRCODE</v>
      </c>
      <c r="C3851" t="s">
        <v>5351</v>
      </c>
      <c r="D3851" t="s">
        <v>144</v>
      </c>
      <c r="E3851" t="s">
        <v>178</v>
      </c>
      <c r="F3851" t="s">
        <v>21</v>
      </c>
      <c r="G3851" t="s">
        <v>235</v>
      </c>
      <c r="H3851">
        <v>0</v>
      </c>
      <c r="I3851">
        <v>2</v>
      </c>
      <c r="J3851">
        <v>0</v>
      </c>
      <c r="K3851">
        <v>0</v>
      </c>
      <c r="L3851">
        <v>0</v>
      </c>
    </row>
    <row r="3852" spans="1:12">
      <c r="A3852" t="str">
        <f>HYPERLINK("http://bombeiros.sp.gov.br/hidrantes/03individual/1379.html","1379")</f>
        <v>1379</v>
      </c>
      <c r="B3852" t="str">
        <f>HYPERLINK("http://bombeiros.sp.gov.br/hidrantes/08bsg/qrcodeBSG.html?id=1379&amp;lat=-23.59616&amp;long=-46.73048&amp;tipo=C","QRCODE")</f>
        <v>QRCODE</v>
      </c>
      <c r="C3852" t="s">
        <v>5351</v>
      </c>
      <c r="D3852" t="s">
        <v>144</v>
      </c>
      <c r="E3852" t="s">
        <v>144</v>
      </c>
      <c r="F3852" t="s">
        <v>12</v>
      </c>
      <c r="G3852" t="s">
        <v>3688</v>
      </c>
      <c r="H3852">
        <v>1</v>
      </c>
      <c r="I3852">
        <v>1</v>
      </c>
      <c r="J3852">
        <v>0</v>
      </c>
      <c r="K3852">
        <v>0</v>
      </c>
      <c r="L3852">
        <v>0</v>
      </c>
    </row>
    <row r="3853" spans="1:12">
      <c r="A3853" t="str">
        <f>HYPERLINK("http://bombeiros.sp.gov.br/hidrantes/03individual/16360.html","16360")</f>
        <v>16360</v>
      </c>
      <c r="B3853" t="str">
        <f>HYPERLINK("http://bombeiros.sp.gov.br/hidrantes/08bsg/qrcodeBSG.html?id=16360&amp;lat=-23.59770&amp;long=-46.72044&amp;tipo=C","QRCODE")</f>
        <v>QRCODE</v>
      </c>
      <c r="C3853" t="s">
        <v>5351</v>
      </c>
      <c r="D3853" t="s">
        <v>144</v>
      </c>
      <c r="E3853" t="s">
        <v>144</v>
      </c>
      <c r="F3853" t="s">
        <v>12</v>
      </c>
      <c r="G3853" t="s">
        <v>3654</v>
      </c>
      <c r="H3853">
        <v>1</v>
      </c>
      <c r="I3853">
        <v>1</v>
      </c>
      <c r="J3853">
        <v>0</v>
      </c>
      <c r="K3853">
        <v>0</v>
      </c>
      <c r="L3853">
        <v>0</v>
      </c>
    </row>
    <row r="3854" spans="1:12">
      <c r="A3854" t="str">
        <f>HYPERLINK("http://bombeiros.sp.gov.br/hidrantes/03individual/1228.html","1228")</f>
        <v>1228</v>
      </c>
      <c r="B3854" t="str">
        <f>HYPERLINK("http://bombeiros.sp.gov.br/hidrantes/08bsg/qrcodeBSG.html?id=1228&amp;lat=-23.59074&amp;long=-46.72731&amp;tipo=S","QRCODE")</f>
        <v>QRCODE</v>
      </c>
      <c r="C3854" t="s">
        <v>5351</v>
      </c>
      <c r="D3854" t="s">
        <v>144</v>
      </c>
      <c r="E3854" t="s">
        <v>144</v>
      </c>
      <c r="F3854" t="s">
        <v>21</v>
      </c>
      <c r="G3854" t="s">
        <v>3954</v>
      </c>
      <c r="H3854">
        <v>0</v>
      </c>
      <c r="I3854">
        <v>2</v>
      </c>
      <c r="J3854">
        <v>0</v>
      </c>
      <c r="K3854">
        <v>0</v>
      </c>
      <c r="L3854">
        <v>0</v>
      </c>
    </row>
    <row r="3855" spans="1:12">
      <c r="A3855" t="str">
        <f>HYPERLINK("http://bombeiros.sp.gov.br/hidrantes/03individual/1327.html","1327")</f>
        <v>1327</v>
      </c>
      <c r="B3855" t="str">
        <f>HYPERLINK("http://bombeiros.sp.gov.br/hidrantes/08bsg/qrcodeBSG.html?id=1327&amp;lat=-23.59565&amp;long=-46.73932&amp;tipo=S","QRCODE")</f>
        <v>QRCODE</v>
      </c>
      <c r="C3855" t="s">
        <v>5351</v>
      </c>
      <c r="D3855" t="s">
        <v>144</v>
      </c>
      <c r="E3855" t="s">
        <v>144</v>
      </c>
      <c r="F3855" t="s">
        <v>21</v>
      </c>
      <c r="G3855" t="s">
        <v>4785</v>
      </c>
      <c r="H3855">
        <v>0</v>
      </c>
      <c r="I3855">
        <v>1</v>
      </c>
      <c r="J3855">
        <v>0</v>
      </c>
      <c r="K3855">
        <v>0</v>
      </c>
      <c r="L3855">
        <v>0</v>
      </c>
    </row>
    <row r="3856" spans="1:12">
      <c r="A3856" t="str">
        <f>HYPERLINK("http://bombeiros.sp.gov.br/hidrantes/03individual/1329.html","1329")</f>
        <v>1329</v>
      </c>
      <c r="B3856" t="str">
        <f>HYPERLINK("http://bombeiros.sp.gov.br/hidrantes/08bsg/qrcodeBSG.html?id=1329&amp;lat=-23.59400&amp;long=-46.73651&amp;tipo=S","QRCODE")</f>
        <v>QRCODE</v>
      </c>
      <c r="C3856" t="s">
        <v>5351</v>
      </c>
      <c r="D3856" t="s">
        <v>144</v>
      </c>
      <c r="E3856" t="s">
        <v>144</v>
      </c>
      <c r="F3856" t="s">
        <v>21</v>
      </c>
      <c r="G3856" t="s">
        <v>4300</v>
      </c>
      <c r="H3856">
        <v>0</v>
      </c>
      <c r="I3856">
        <v>1</v>
      </c>
      <c r="J3856">
        <v>0</v>
      </c>
      <c r="K3856">
        <v>0</v>
      </c>
      <c r="L3856">
        <v>0</v>
      </c>
    </row>
    <row r="3857" spans="1:12">
      <c r="A3857" t="str">
        <f>HYPERLINK("http://bombeiros.sp.gov.br/hidrantes/03individual/1330.html","1330")</f>
        <v>1330</v>
      </c>
      <c r="B3857" t="str">
        <f>HYPERLINK("http://bombeiros.sp.gov.br/hidrantes/08bsg/qrcodeBSG.html?id=1330&amp;lat=-23.59118&amp;long=-46.73699&amp;tipo=S","QRCODE")</f>
        <v>QRCODE</v>
      </c>
      <c r="C3857" t="s">
        <v>5351</v>
      </c>
      <c r="D3857" t="s">
        <v>144</v>
      </c>
      <c r="E3857" t="s">
        <v>144</v>
      </c>
      <c r="F3857" t="s">
        <v>21</v>
      </c>
      <c r="G3857" t="s">
        <v>4659</v>
      </c>
      <c r="H3857">
        <v>1</v>
      </c>
      <c r="I3857">
        <v>1</v>
      </c>
      <c r="J3857">
        <v>0</v>
      </c>
      <c r="K3857">
        <v>0</v>
      </c>
      <c r="L3857">
        <v>0</v>
      </c>
    </row>
    <row r="3858" spans="1:12">
      <c r="A3858" t="str">
        <f>HYPERLINK("http://bombeiros.sp.gov.br/hidrantes/03individual/1347.html","1347")</f>
        <v>1347</v>
      </c>
      <c r="B3858" t="str">
        <f>HYPERLINK("http://bombeiros.sp.gov.br/hidrantes/08bsg/qrcodeBSG.html?id=1347&amp;lat=-23.59639&amp;long=-46.72467&amp;tipo=S","QRCODE")</f>
        <v>QRCODE</v>
      </c>
      <c r="C3858" t="s">
        <v>5351</v>
      </c>
      <c r="D3858" t="s">
        <v>144</v>
      </c>
      <c r="E3858" t="s">
        <v>144</v>
      </c>
      <c r="F3858" t="s">
        <v>21</v>
      </c>
      <c r="G3858" t="s">
        <v>143</v>
      </c>
      <c r="H3858">
        <v>0</v>
      </c>
      <c r="I3858">
        <v>2</v>
      </c>
      <c r="J3858">
        <v>0</v>
      </c>
      <c r="K3858">
        <v>0</v>
      </c>
      <c r="L3858">
        <v>0</v>
      </c>
    </row>
    <row r="3859" spans="1:12">
      <c r="A3859" t="str">
        <f>HYPERLINK("http://bombeiros.sp.gov.br/hidrantes/03individual/1388.html","1388")</f>
        <v>1388</v>
      </c>
      <c r="B3859" t="str">
        <f>HYPERLINK("http://bombeiros.sp.gov.br/hidrantes/08bsg/qrcodeBSG.html?id=1388&amp;lat=-23.59924&amp;long=-46.73123&amp;tipo=S","QRCODE")</f>
        <v>QRCODE</v>
      </c>
      <c r="C3859" t="s">
        <v>5351</v>
      </c>
      <c r="D3859" t="s">
        <v>144</v>
      </c>
      <c r="E3859" t="s">
        <v>144</v>
      </c>
      <c r="F3859" t="s">
        <v>21</v>
      </c>
      <c r="G3859" t="s">
        <v>174</v>
      </c>
      <c r="H3859">
        <v>1</v>
      </c>
      <c r="I3859">
        <v>2</v>
      </c>
      <c r="J3859">
        <v>0</v>
      </c>
      <c r="K3859">
        <v>0</v>
      </c>
      <c r="L3859">
        <v>0</v>
      </c>
    </row>
    <row r="3860" spans="1:12">
      <c r="A3860" t="str">
        <f>HYPERLINK("http://bombeiros.sp.gov.br/hidrantes/03individual/1390.html","1390")</f>
        <v>1390</v>
      </c>
      <c r="B3860" t="str">
        <f>HYPERLINK("http://bombeiros.sp.gov.br/hidrantes/08bsg/qrcodeBSG.html?id=1390&amp;lat=-23.59807&amp;long=-46.73757&amp;tipo=S","QRCODE")</f>
        <v>QRCODE</v>
      </c>
      <c r="C3860" t="s">
        <v>5351</v>
      </c>
      <c r="D3860" t="s">
        <v>144</v>
      </c>
      <c r="E3860" t="s">
        <v>144</v>
      </c>
      <c r="F3860" t="s">
        <v>21</v>
      </c>
      <c r="G3860" t="s">
        <v>3012</v>
      </c>
      <c r="H3860">
        <v>0</v>
      </c>
      <c r="I3860">
        <v>2</v>
      </c>
      <c r="J3860">
        <v>0</v>
      </c>
      <c r="K3860">
        <v>0</v>
      </c>
      <c r="L3860">
        <v>0</v>
      </c>
    </row>
    <row r="3861" spans="1:12">
      <c r="A3861" t="str">
        <f>HYPERLINK("http://bombeiros.sp.gov.br/hidrantes/03individual/2127.html","2127")</f>
        <v>2127</v>
      </c>
      <c r="B3861" t="str">
        <f>HYPERLINK("http://bombeiros.sp.gov.br/hidrantes/08bsg/qrcodeBSG.html?id=2127&amp;lat=-23.58902&amp;long=-46.72839&amp;tipo=S","QRCODE")</f>
        <v>QRCODE</v>
      </c>
      <c r="C3861" t="s">
        <v>5351</v>
      </c>
      <c r="D3861" t="s">
        <v>144</v>
      </c>
      <c r="E3861" t="s">
        <v>144</v>
      </c>
      <c r="F3861" t="s">
        <v>21</v>
      </c>
      <c r="G3861" t="s">
        <v>557</v>
      </c>
      <c r="H3861">
        <v>0</v>
      </c>
      <c r="I3861">
        <v>2</v>
      </c>
      <c r="J3861">
        <v>0</v>
      </c>
      <c r="K3861">
        <v>0</v>
      </c>
      <c r="L3861">
        <v>0</v>
      </c>
    </row>
    <row r="3862" spans="1:12">
      <c r="A3862" t="str">
        <f>HYPERLINK("http://bombeiros.sp.gov.br/hidrantes/03individual/2132.html","2132")</f>
        <v>2132</v>
      </c>
      <c r="B3862" t="str">
        <f>HYPERLINK("http://bombeiros.sp.gov.br/hidrantes/08bsg/qrcodeBSG.html?id=2132&amp;lat=-23.59837&amp;long=-46.74073&amp;tipo=S","QRCODE")</f>
        <v>QRCODE</v>
      </c>
      <c r="C3862" t="s">
        <v>5351</v>
      </c>
      <c r="D3862" t="s">
        <v>144</v>
      </c>
      <c r="E3862" t="s">
        <v>144</v>
      </c>
      <c r="F3862" t="s">
        <v>21</v>
      </c>
      <c r="G3862" t="s">
        <v>175</v>
      </c>
      <c r="H3862">
        <v>0</v>
      </c>
      <c r="I3862">
        <v>2</v>
      </c>
      <c r="J3862">
        <v>0</v>
      </c>
      <c r="K3862">
        <v>0</v>
      </c>
      <c r="L3862">
        <v>0</v>
      </c>
    </row>
    <row r="3863" spans="1:12">
      <c r="A3863" t="str">
        <f>HYPERLINK("http://bombeiros.sp.gov.br/hidrantes/03individual/2163.html","2163")</f>
        <v>2163</v>
      </c>
      <c r="B3863" t="str">
        <f>HYPERLINK("http://bombeiros.sp.gov.br/hidrantes/08bsg/qrcodeBSG.html?id=2163&amp;lat=-23.59695&amp;long=-46.72915&amp;tipo=S","QRCODE")</f>
        <v>QRCODE</v>
      </c>
      <c r="C3863" t="s">
        <v>5351</v>
      </c>
      <c r="D3863" t="s">
        <v>144</v>
      </c>
      <c r="E3863" t="s">
        <v>144</v>
      </c>
      <c r="F3863" t="s">
        <v>21</v>
      </c>
      <c r="G3863" t="s">
        <v>176</v>
      </c>
      <c r="H3863">
        <v>0</v>
      </c>
      <c r="I3863">
        <v>2</v>
      </c>
      <c r="J3863">
        <v>0</v>
      </c>
      <c r="K3863">
        <v>0</v>
      </c>
      <c r="L3863">
        <v>0</v>
      </c>
    </row>
    <row r="3864" spans="1:12">
      <c r="A3864" t="str">
        <f>HYPERLINK("http://bombeiros.sp.gov.br/hidrantes/03individual/2185.html","2185")</f>
        <v>2185</v>
      </c>
      <c r="B3864" t="str">
        <f>HYPERLINK("http://bombeiros.sp.gov.br/hidrantes/08bsg/qrcodeBSG.html?id=2185&amp;lat=-23.58643&amp;long=-46.72935&amp;tipo=S","QRCODE")</f>
        <v>QRCODE</v>
      </c>
      <c r="C3864" t="s">
        <v>5351</v>
      </c>
      <c r="D3864" t="s">
        <v>144</v>
      </c>
      <c r="E3864" t="s">
        <v>144</v>
      </c>
      <c r="F3864" t="s">
        <v>21</v>
      </c>
      <c r="G3864" t="s">
        <v>3984</v>
      </c>
      <c r="H3864">
        <v>0</v>
      </c>
      <c r="I3864">
        <v>2</v>
      </c>
      <c r="J3864">
        <v>0</v>
      </c>
      <c r="K3864">
        <v>0</v>
      </c>
      <c r="L3864">
        <v>0</v>
      </c>
    </row>
    <row r="3865" spans="1:12">
      <c r="A3865" t="str">
        <f>HYPERLINK("http://bombeiros.sp.gov.br/hidrantes/03individual/2186.html","2186")</f>
        <v>2186</v>
      </c>
      <c r="B3865" t="str">
        <f>HYPERLINK("http://bombeiros.sp.gov.br/hidrantes/08bsg/qrcodeBSG.html?id=2186&amp;lat=-23.59238&amp;long=-46.73191&amp;tipo=S","QRCODE")</f>
        <v>QRCODE</v>
      </c>
      <c r="C3865" t="s">
        <v>5351</v>
      </c>
      <c r="D3865" t="s">
        <v>144</v>
      </c>
      <c r="E3865" t="s">
        <v>144</v>
      </c>
      <c r="F3865" t="s">
        <v>21</v>
      </c>
      <c r="G3865" t="s">
        <v>4705</v>
      </c>
      <c r="H3865">
        <v>1</v>
      </c>
      <c r="I3865">
        <v>1</v>
      </c>
      <c r="J3865">
        <v>0</v>
      </c>
      <c r="K3865">
        <v>0</v>
      </c>
      <c r="L3865">
        <v>0</v>
      </c>
    </row>
    <row r="3866" spans="1:12">
      <c r="A3866" t="str">
        <f>HYPERLINK("http://bombeiros.sp.gov.br/hidrantes/03individual/2208.html","2208")</f>
        <v>2208</v>
      </c>
      <c r="B3866" t="str">
        <f>HYPERLINK("http://bombeiros.sp.gov.br/hidrantes/08bsg/qrcodeBSG.html?id=2208&amp;lat=-23.58975&amp;long=-46.72697&amp;tipo=S","QRCODE")</f>
        <v>QRCODE</v>
      </c>
      <c r="C3866" t="s">
        <v>5351</v>
      </c>
      <c r="D3866" t="s">
        <v>144</v>
      </c>
      <c r="E3866" t="s">
        <v>144</v>
      </c>
      <c r="F3866" t="s">
        <v>21</v>
      </c>
      <c r="G3866" t="s">
        <v>3746</v>
      </c>
      <c r="H3866">
        <v>1</v>
      </c>
      <c r="I3866">
        <v>1</v>
      </c>
      <c r="J3866">
        <v>0</v>
      </c>
      <c r="K3866">
        <v>0</v>
      </c>
      <c r="L3866">
        <v>0</v>
      </c>
    </row>
    <row r="3867" spans="1:12">
      <c r="A3867" t="str">
        <f>HYPERLINK("http://bombeiros.sp.gov.br/hidrantes/03individual/2210.html","2210")</f>
        <v>2210</v>
      </c>
      <c r="B3867" t="str">
        <f>HYPERLINK("http://bombeiros.sp.gov.br/hidrantes/08bsg/qrcodeBSG.html?id=2210&amp;lat=-23.59784&amp;long=-46.72671&amp;tipo=S","QRCODE")</f>
        <v>QRCODE</v>
      </c>
      <c r="C3867" t="s">
        <v>5351</v>
      </c>
      <c r="D3867" t="s">
        <v>144</v>
      </c>
      <c r="E3867" t="s">
        <v>144</v>
      </c>
      <c r="F3867" t="s">
        <v>21</v>
      </c>
      <c r="G3867" t="s">
        <v>3061</v>
      </c>
      <c r="H3867">
        <v>1</v>
      </c>
      <c r="I3867">
        <v>2</v>
      </c>
      <c r="J3867">
        <v>0</v>
      </c>
      <c r="K3867">
        <v>0</v>
      </c>
      <c r="L3867">
        <v>0</v>
      </c>
    </row>
    <row r="3868" spans="1:12">
      <c r="A3868" t="str">
        <f>HYPERLINK("http://bombeiros.sp.gov.br/hidrantes/03individual/4209.html","4209")</f>
        <v>4209</v>
      </c>
      <c r="B3868" t="str">
        <f>HYPERLINK("http://bombeiros.sp.gov.br/hidrantes/08bsg/qrcodeBSG.html?id=4209&amp;lat=-23.59403&amp;long=-46.72776&amp;tipo=S","QRCODE")</f>
        <v>QRCODE</v>
      </c>
      <c r="C3868" t="s">
        <v>5351</v>
      </c>
      <c r="D3868" t="s">
        <v>144</v>
      </c>
      <c r="E3868" t="s">
        <v>144</v>
      </c>
      <c r="F3868" t="s">
        <v>21</v>
      </c>
      <c r="G3868" t="s">
        <v>185</v>
      </c>
      <c r="H3868">
        <v>0</v>
      </c>
      <c r="I3868">
        <v>2</v>
      </c>
      <c r="J3868">
        <v>0</v>
      </c>
      <c r="K3868">
        <v>0</v>
      </c>
      <c r="L3868">
        <v>0</v>
      </c>
    </row>
    <row r="3869" spans="1:12">
      <c r="A3869" t="str">
        <f>HYPERLINK("http://bombeiros.sp.gov.br/hidrantes/03individual/4210.html","4210")</f>
        <v>4210</v>
      </c>
      <c r="B3869" t="str">
        <f>HYPERLINK("http://bombeiros.sp.gov.br/hidrantes/08bsg/qrcodeBSG.html?id=4210&amp;lat=-23.59693&amp;long=-46.73429&amp;tipo=S","QRCODE")</f>
        <v>QRCODE</v>
      </c>
      <c r="C3869" t="s">
        <v>5351</v>
      </c>
      <c r="D3869" t="s">
        <v>144</v>
      </c>
      <c r="E3869" t="s">
        <v>144</v>
      </c>
      <c r="F3869" t="s">
        <v>21</v>
      </c>
      <c r="G3869" t="s">
        <v>3051</v>
      </c>
      <c r="H3869">
        <v>0</v>
      </c>
      <c r="I3869">
        <v>2</v>
      </c>
      <c r="J3869">
        <v>0</v>
      </c>
      <c r="K3869">
        <v>0</v>
      </c>
      <c r="L3869">
        <v>0</v>
      </c>
    </row>
    <row r="3870" spans="1:12">
      <c r="A3870" t="str">
        <f>HYPERLINK("http://bombeiros.sp.gov.br/hidrantes/03individual/6690.html","6690")</f>
        <v>6690</v>
      </c>
      <c r="B3870" t="str">
        <f>HYPERLINK("http://bombeiros.sp.gov.br/hidrantes/08bsg/qrcodeBSG.html?id=6690&amp;lat=-23.60149&amp;long=-46.74036&amp;tipo=S","QRCODE")</f>
        <v>QRCODE</v>
      </c>
      <c r="C3870" t="s">
        <v>5351</v>
      </c>
      <c r="D3870" t="s">
        <v>144</v>
      </c>
      <c r="E3870" t="s">
        <v>144</v>
      </c>
      <c r="F3870" t="s">
        <v>21</v>
      </c>
      <c r="G3870" t="s">
        <v>181</v>
      </c>
      <c r="H3870">
        <v>1</v>
      </c>
      <c r="I3870">
        <v>2</v>
      </c>
      <c r="J3870">
        <v>0</v>
      </c>
      <c r="K3870">
        <v>0</v>
      </c>
      <c r="L3870">
        <v>0</v>
      </c>
    </row>
    <row r="3871" spans="1:12">
      <c r="A3871" t="str">
        <f>HYPERLINK("http://bombeiros.sp.gov.br/hidrantes/03individual/6691.html","6691")</f>
        <v>6691</v>
      </c>
      <c r="B3871" t="str">
        <f>HYPERLINK("http://bombeiros.sp.gov.br/hidrantes/08bsg/qrcodeBSG.html?id=6691&amp;lat=-23.59981&amp;long=-46.73339&amp;tipo=S","QRCODE")</f>
        <v>QRCODE</v>
      </c>
      <c r="C3871" t="s">
        <v>5351</v>
      </c>
      <c r="D3871" t="s">
        <v>144</v>
      </c>
      <c r="E3871" t="s">
        <v>144</v>
      </c>
      <c r="F3871" t="s">
        <v>21</v>
      </c>
      <c r="G3871" t="s">
        <v>3934</v>
      </c>
      <c r="H3871">
        <v>1</v>
      </c>
      <c r="I3871">
        <v>1</v>
      </c>
      <c r="J3871">
        <v>0</v>
      </c>
      <c r="K3871">
        <v>0</v>
      </c>
      <c r="L3871">
        <v>0</v>
      </c>
    </row>
    <row r="3872" spans="1:12">
      <c r="A3872" t="str">
        <f>HYPERLINK("http://bombeiros.sp.gov.br/hidrantes/03individual/3918.html","3918")</f>
        <v>3918</v>
      </c>
      <c r="B3872" t="str">
        <f>HYPERLINK("http://bombeiros.sp.gov.br/hidrantes/08bsg/qrcodeBSG.html?id=3918&amp;lat=-23.62458&amp;long=-46.66201&amp;tipo=C","QRCODE")</f>
        <v>QRCODE</v>
      </c>
      <c r="C3872" t="s">
        <v>5372</v>
      </c>
      <c r="D3872" t="s">
        <v>524</v>
      </c>
      <c r="E3872" t="s">
        <v>524</v>
      </c>
      <c r="F3872" t="s">
        <v>12</v>
      </c>
      <c r="G3872" t="s">
        <v>4642</v>
      </c>
      <c r="H3872">
        <v>1</v>
      </c>
      <c r="I3872">
        <v>1</v>
      </c>
      <c r="J3872">
        <v>0</v>
      </c>
      <c r="K3872">
        <v>0</v>
      </c>
      <c r="L3872">
        <v>0</v>
      </c>
    </row>
    <row r="3873" spans="1:12">
      <c r="A3873" t="str">
        <f>HYPERLINK("http://bombeiros.sp.gov.br/hidrantes/03individual/3920.html","3920")</f>
        <v>3920</v>
      </c>
      <c r="B3873" t="str">
        <f>HYPERLINK("http://bombeiros.sp.gov.br/hidrantes/08bsg/qrcodeBSG.html?id=3920&amp;lat=-23.62144&amp;long=-46.66207&amp;tipo=C","QRCODE")</f>
        <v>QRCODE</v>
      </c>
      <c r="C3873" t="s">
        <v>5372</v>
      </c>
      <c r="D3873" t="s">
        <v>524</v>
      </c>
      <c r="E3873" t="s">
        <v>524</v>
      </c>
      <c r="F3873" t="s">
        <v>12</v>
      </c>
      <c r="G3873" t="s">
        <v>1996</v>
      </c>
      <c r="H3873">
        <v>0</v>
      </c>
      <c r="I3873">
        <v>2</v>
      </c>
      <c r="J3873">
        <v>0</v>
      </c>
      <c r="K3873">
        <v>0</v>
      </c>
      <c r="L3873">
        <v>0</v>
      </c>
    </row>
    <row r="3874" spans="1:12">
      <c r="A3874" t="str">
        <f>HYPERLINK("http://bombeiros.sp.gov.br/hidrantes/03individual/3923.html","3923")</f>
        <v>3923</v>
      </c>
      <c r="B3874" t="str">
        <f>HYPERLINK("http://bombeiros.sp.gov.br/hidrantes/08bsg/qrcodeBSG.html?id=3923&amp;lat=-23.61834&amp;long=-46.66572&amp;tipo=C","QRCODE")</f>
        <v>QRCODE</v>
      </c>
      <c r="C3874" t="s">
        <v>5372</v>
      </c>
      <c r="D3874" t="s">
        <v>524</v>
      </c>
      <c r="E3874" t="s">
        <v>524</v>
      </c>
      <c r="F3874" t="s">
        <v>12</v>
      </c>
      <c r="G3874" t="s">
        <v>1715</v>
      </c>
      <c r="H3874">
        <v>0</v>
      </c>
      <c r="I3874">
        <v>2</v>
      </c>
      <c r="J3874">
        <v>0</v>
      </c>
      <c r="K3874">
        <v>0</v>
      </c>
      <c r="L3874">
        <v>0</v>
      </c>
    </row>
    <row r="3875" spans="1:12">
      <c r="A3875" t="str">
        <f>HYPERLINK("http://bombeiros.sp.gov.br/hidrantes/03individual/325.html","325")</f>
        <v>325</v>
      </c>
      <c r="B3875" t="str">
        <f>HYPERLINK("http://bombeiros.sp.gov.br/hidrantes/08bsg/qrcodeBSG.html?id=325&amp;lat=-23.61707&amp;long=-46.67312&amp;tipo=S","QRCODE")</f>
        <v>QRCODE</v>
      </c>
      <c r="C3875" t="s">
        <v>5372</v>
      </c>
      <c r="D3875" t="s">
        <v>524</v>
      </c>
      <c r="E3875" t="s">
        <v>524</v>
      </c>
      <c r="F3875" t="s">
        <v>21</v>
      </c>
      <c r="G3875" t="s">
        <v>4656</v>
      </c>
      <c r="H3875">
        <v>1</v>
      </c>
      <c r="I3875">
        <v>1</v>
      </c>
      <c r="J3875">
        <v>0</v>
      </c>
      <c r="K3875">
        <v>0</v>
      </c>
      <c r="L3875">
        <v>0</v>
      </c>
    </row>
    <row r="3876" spans="1:12">
      <c r="A3876" t="str">
        <f>HYPERLINK("http://bombeiros.sp.gov.br/hidrantes/03individual/327.html","327")</f>
        <v>327</v>
      </c>
      <c r="B3876" t="str">
        <f>HYPERLINK("http://bombeiros.sp.gov.br/hidrantes/08bsg/qrcodeBSG.html?id=327&amp;lat=-23.61485&amp;long=-46.67248&amp;tipo=S","QRCODE")</f>
        <v>QRCODE</v>
      </c>
      <c r="C3876" t="s">
        <v>5372</v>
      </c>
      <c r="D3876" t="s">
        <v>524</v>
      </c>
      <c r="E3876" t="s">
        <v>524</v>
      </c>
      <c r="F3876" t="s">
        <v>21</v>
      </c>
      <c r="G3876" t="s">
        <v>4657</v>
      </c>
      <c r="H3876">
        <v>1</v>
      </c>
      <c r="I3876">
        <v>1</v>
      </c>
      <c r="J3876">
        <v>0</v>
      </c>
      <c r="K3876">
        <v>0</v>
      </c>
      <c r="L3876">
        <v>0</v>
      </c>
    </row>
    <row r="3877" spans="1:12">
      <c r="A3877" t="str">
        <f>HYPERLINK("http://bombeiros.sp.gov.br/hidrantes/03individual/385.html","385")</f>
        <v>385</v>
      </c>
      <c r="B3877" t="str">
        <f>HYPERLINK("http://bombeiros.sp.gov.br/hidrantes/08bsg/qrcodeBSG.html?id=385&amp;lat=-23.61718&amp;long=-46.66502&amp;tipo=S","QRCODE")</f>
        <v>QRCODE</v>
      </c>
      <c r="C3877" t="s">
        <v>5372</v>
      </c>
      <c r="D3877" t="s">
        <v>524</v>
      </c>
      <c r="E3877" t="s">
        <v>524</v>
      </c>
      <c r="F3877" t="s">
        <v>21</v>
      </c>
      <c r="G3877" t="s">
        <v>773</v>
      </c>
      <c r="H3877">
        <v>0</v>
      </c>
      <c r="I3877">
        <v>4</v>
      </c>
      <c r="J3877">
        <v>0</v>
      </c>
      <c r="K3877">
        <v>0</v>
      </c>
      <c r="L3877">
        <v>0</v>
      </c>
    </row>
    <row r="3878" spans="1:12">
      <c r="A3878" t="str">
        <f>HYPERLINK("http://bombeiros.sp.gov.br/hidrantes/03individual/400.html","400")</f>
        <v>400</v>
      </c>
      <c r="B3878" t="str">
        <f>HYPERLINK("http://bombeiros.sp.gov.br/hidrantes/08bsg/qrcodeBSG.html?id=400&amp;lat=-23.62185&amp;long=-46.66475&amp;tipo=S","QRCODE")</f>
        <v>QRCODE</v>
      </c>
      <c r="C3878" t="s">
        <v>5372</v>
      </c>
      <c r="D3878" t="s">
        <v>524</v>
      </c>
      <c r="E3878" t="s">
        <v>524</v>
      </c>
      <c r="F3878" t="s">
        <v>21</v>
      </c>
      <c r="G3878" t="s">
        <v>4655</v>
      </c>
      <c r="H3878">
        <v>1</v>
      </c>
      <c r="I3878">
        <v>1</v>
      </c>
      <c r="J3878">
        <v>0</v>
      </c>
      <c r="K3878">
        <v>0</v>
      </c>
      <c r="L3878">
        <v>0</v>
      </c>
    </row>
    <row r="3879" spans="1:12">
      <c r="A3879" t="str">
        <f>HYPERLINK("http://bombeiros.sp.gov.br/hidrantes/03individual/401.html","401")</f>
        <v>401</v>
      </c>
      <c r="B3879" t="str">
        <f>HYPERLINK("http://bombeiros.sp.gov.br/hidrantes/08bsg/qrcodeBSG.html?id=401&amp;lat=-23.62255&amp;long=-46.66478&amp;tipo=S","QRCODE")</f>
        <v>QRCODE</v>
      </c>
      <c r="C3879" t="s">
        <v>5372</v>
      </c>
      <c r="D3879" t="s">
        <v>524</v>
      </c>
      <c r="E3879" t="s">
        <v>524</v>
      </c>
      <c r="F3879" t="s">
        <v>21</v>
      </c>
      <c r="G3879" t="s">
        <v>1955</v>
      </c>
      <c r="H3879">
        <v>0</v>
      </c>
      <c r="I3879">
        <v>2</v>
      </c>
      <c r="J3879">
        <v>0</v>
      </c>
      <c r="K3879">
        <v>0</v>
      </c>
      <c r="L3879">
        <v>0</v>
      </c>
    </row>
    <row r="3880" spans="1:12">
      <c r="A3880" t="str">
        <f>HYPERLINK("http://bombeiros.sp.gov.br/hidrantes/03individual/2169.html","2169")</f>
        <v>2169</v>
      </c>
      <c r="B3880" t="str">
        <f>HYPERLINK("http://bombeiros.sp.gov.br/hidrantes/08bsg/qrcodeBSG.html?id=2169&amp;lat=-23.61385&amp;long=-46.67841&amp;tipo=S","QRCODE")</f>
        <v>QRCODE</v>
      </c>
      <c r="C3880" t="s">
        <v>5372</v>
      </c>
      <c r="D3880" t="s">
        <v>524</v>
      </c>
      <c r="E3880" t="s">
        <v>524</v>
      </c>
      <c r="F3880" t="s">
        <v>21</v>
      </c>
      <c r="G3880" t="s">
        <v>3684</v>
      </c>
      <c r="H3880">
        <v>1</v>
      </c>
      <c r="I3880">
        <v>1</v>
      </c>
      <c r="J3880">
        <v>0</v>
      </c>
      <c r="K3880">
        <v>0</v>
      </c>
      <c r="L3880">
        <v>0</v>
      </c>
    </row>
    <row r="3881" spans="1:12">
      <c r="A3881" t="str">
        <f>HYPERLINK("http://bombeiros.sp.gov.br/hidrantes/03individual/3919.html","3919")</f>
        <v>3919</v>
      </c>
      <c r="B3881" t="str">
        <f>HYPERLINK("http://bombeiros.sp.gov.br/hidrantes/08bsg/qrcodeBSG.html?id=3919&amp;lat=-23.62437&amp;long=-46.66251&amp;tipo=S","QRCODE")</f>
        <v>QRCODE</v>
      </c>
      <c r="C3881" t="s">
        <v>5372</v>
      </c>
      <c r="D3881" t="s">
        <v>524</v>
      </c>
      <c r="E3881" t="s">
        <v>524</v>
      </c>
      <c r="F3881" t="s">
        <v>21</v>
      </c>
      <c r="G3881" t="s">
        <v>1716</v>
      </c>
      <c r="H3881">
        <v>0</v>
      </c>
      <c r="I3881">
        <v>2</v>
      </c>
      <c r="J3881">
        <v>0</v>
      </c>
      <c r="K3881">
        <v>0</v>
      </c>
      <c r="L3881">
        <v>0</v>
      </c>
    </row>
    <row r="3882" spans="1:12">
      <c r="A3882" t="str">
        <f>HYPERLINK("http://bombeiros.sp.gov.br/hidrantes/03individual/3933.html","3933")</f>
        <v>3933</v>
      </c>
      <c r="B3882" t="str">
        <f>HYPERLINK("http://bombeiros.sp.gov.br/hidrantes/08bsg/qrcodeBSG.html?id=3933&amp;lat=-23.61810&amp;long=-46.66248&amp;tipo=S","QRCODE")</f>
        <v>QRCODE</v>
      </c>
      <c r="C3882" t="s">
        <v>5372</v>
      </c>
      <c r="D3882" t="s">
        <v>524</v>
      </c>
      <c r="E3882" t="s">
        <v>524</v>
      </c>
      <c r="F3882" t="s">
        <v>21</v>
      </c>
      <c r="G3882" t="s">
        <v>4641</v>
      </c>
      <c r="H3882">
        <v>3</v>
      </c>
      <c r="I3882">
        <v>1</v>
      </c>
      <c r="J3882">
        <v>0</v>
      </c>
      <c r="K3882">
        <v>0</v>
      </c>
      <c r="L3882">
        <v>0</v>
      </c>
    </row>
    <row r="3883" spans="1:12">
      <c r="A3883" t="str">
        <f>HYPERLINK("http://bombeiros.sp.gov.br/hidrantes/03individual/3956.html","3956")</f>
        <v>3956</v>
      </c>
      <c r="B3883" t="str">
        <f>HYPERLINK("http://bombeiros.sp.gov.br/hidrantes/08bsg/qrcodeBSG.html?id=3956&amp;lat=-23.61092&amp;long=-46.67540&amp;tipo=S","QRCODE")</f>
        <v>QRCODE</v>
      </c>
      <c r="C3883" t="s">
        <v>5372</v>
      </c>
      <c r="D3883" t="s">
        <v>524</v>
      </c>
      <c r="E3883" t="s">
        <v>524</v>
      </c>
      <c r="F3883" t="s">
        <v>21</v>
      </c>
      <c r="G3883" t="s">
        <v>523</v>
      </c>
      <c r="H3883">
        <v>0</v>
      </c>
      <c r="I3883">
        <v>3</v>
      </c>
      <c r="J3883">
        <v>0</v>
      </c>
      <c r="K3883">
        <v>0</v>
      </c>
      <c r="L3883">
        <v>0</v>
      </c>
    </row>
    <row r="3884" spans="1:12">
      <c r="A3884" t="str">
        <f>HYPERLINK("http://bombeiros.sp.gov.br/hidrantes/03individual/16604.html","16604")</f>
        <v>16604</v>
      </c>
      <c r="B3884" t="str">
        <f>HYPERLINK("http://bombeiros.sp.gov.br/hidrantes/08bsg/qrcodeBSG.html?id=16604&amp;lat=-23.62019&amp;long=-46.66706&amp;tipo=S","QRCODE")</f>
        <v>QRCODE</v>
      </c>
      <c r="C3884" t="s">
        <v>5372</v>
      </c>
      <c r="D3884" t="s">
        <v>524</v>
      </c>
      <c r="E3884" t="s">
        <v>524</v>
      </c>
      <c r="F3884" t="s">
        <v>21</v>
      </c>
      <c r="G3884" t="s">
        <v>4895</v>
      </c>
      <c r="H3884">
        <v>1</v>
      </c>
      <c r="I3884">
        <v>2</v>
      </c>
      <c r="J3884">
        <v>0</v>
      </c>
      <c r="K3884">
        <v>0</v>
      </c>
      <c r="L3884">
        <v>0</v>
      </c>
    </row>
    <row r="3885" spans="1:12">
      <c r="A3885" t="str">
        <f>HYPERLINK("http://bombeiros.sp.gov.br/hidrantes/03individual/27205.html","27205")</f>
        <v>27205</v>
      </c>
      <c r="B3885" t="str">
        <f>HYPERLINK("http://bombeiros.sp.gov.br/hidrantes/08bsg/qrcodeBSG.html?id=27205&amp;lat=-23.61099&amp;long=-46.67718&amp;tipo=S","QRCODE")</f>
        <v>QRCODE</v>
      </c>
      <c r="C3885" t="s">
        <v>5372</v>
      </c>
      <c r="D3885" t="s">
        <v>524</v>
      </c>
      <c r="E3885" t="s">
        <v>524</v>
      </c>
      <c r="F3885" t="s">
        <v>21</v>
      </c>
      <c r="G3885" t="s">
        <v>5373</v>
      </c>
      <c r="H3885">
        <v>0</v>
      </c>
      <c r="I3885">
        <v>0</v>
      </c>
      <c r="J3885">
        <v>0</v>
      </c>
      <c r="K3885">
        <v>0</v>
      </c>
      <c r="L3885">
        <v>0</v>
      </c>
    </row>
    <row r="3886" spans="1:12">
      <c r="A3886" t="str">
        <f>HYPERLINK("http://bombeiros.sp.gov.br/hidrantes/03individual/3896.html","3896")</f>
        <v>3896</v>
      </c>
      <c r="B3886" t="str">
        <f>HYPERLINK("http://bombeiros.sp.gov.br/hidrantes/08bsg/qrcodeBSG.html?id=3896&amp;lat=-23.62903&amp;long=-46.66077&amp;tipo=C","QRCODE")</f>
        <v>QRCODE</v>
      </c>
      <c r="C3886" t="s">
        <v>5372</v>
      </c>
      <c r="D3886" t="s">
        <v>524</v>
      </c>
      <c r="E3886" t="s">
        <v>711</v>
      </c>
      <c r="F3886" t="s">
        <v>12</v>
      </c>
      <c r="G3886" t="s">
        <v>710</v>
      </c>
      <c r="H3886">
        <v>1</v>
      </c>
      <c r="I3886">
        <v>2</v>
      </c>
      <c r="J3886">
        <v>0</v>
      </c>
      <c r="K3886">
        <v>0</v>
      </c>
      <c r="L3886">
        <v>0</v>
      </c>
    </row>
    <row r="3887" spans="1:12">
      <c r="A3887" t="str">
        <f>HYPERLINK("http://bombeiros.sp.gov.br/hidrantes/03individual/4385.html","4385")</f>
        <v>4385</v>
      </c>
      <c r="B3887" t="str">
        <f>HYPERLINK("http://bombeiros.sp.gov.br/hidrantes/08bsg/qrcodeBSG.html?id=4385&amp;lat=-23.62498&amp;long=-46.65307&amp;tipo=C","QRCODE")</f>
        <v>QRCODE</v>
      </c>
      <c r="C3887" t="s">
        <v>5372</v>
      </c>
      <c r="D3887" t="s">
        <v>524</v>
      </c>
      <c r="E3887" t="s">
        <v>711</v>
      </c>
      <c r="F3887" t="s">
        <v>12</v>
      </c>
      <c r="G3887" t="s">
        <v>2792</v>
      </c>
      <c r="H3887">
        <v>0</v>
      </c>
      <c r="I3887">
        <v>2</v>
      </c>
      <c r="J3887">
        <v>0</v>
      </c>
      <c r="K3887">
        <v>0</v>
      </c>
      <c r="L3887">
        <v>0</v>
      </c>
    </row>
    <row r="3888" spans="1:12">
      <c r="A3888" t="str">
        <f>HYPERLINK("http://bombeiros.sp.gov.br/hidrantes/03individual/308.html","308")</f>
        <v>308</v>
      </c>
      <c r="B3888" t="str">
        <f>HYPERLINK("http://bombeiros.sp.gov.br/hidrantes/08bsg/qrcodeBSG.html?id=308&amp;lat=-23.63946&amp;long=-46.66896&amp;tipo=S","QRCODE")</f>
        <v>QRCODE</v>
      </c>
      <c r="C3888" t="s">
        <v>5372</v>
      </c>
      <c r="D3888" t="s">
        <v>524</v>
      </c>
      <c r="E3888" t="s">
        <v>2620</v>
      </c>
      <c r="F3888" t="s">
        <v>21</v>
      </c>
      <c r="G3888" t="s">
        <v>4461</v>
      </c>
      <c r="H3888">
        <v>0</v>
      </c>
      <c r="I3888">
        <v>2</v>
      </c>
      <c r="J3888">
        <v>0</v>
      </c>
      <c r="K3888">
        <v>0</v>
      </c>
      <c r="L3888">
        <v>0</v>
      </c>
    </row>
    <row r="3889" spans="1:12">
      <c r="A3889" t="str">
        <f>HYPERLINK("http://bombeiros.sp.gov.br/hidrantes/03individual/337.html","337")</f>
        <v>337</v>
      </c>
      <c r="B3889" t="str">
        <f>HYPERLINK("http://bombeiros.sp.gov.br/hidrantes/08bsg/qrcodeBSG.html?id=337&amp;lat=-23.64195&amp;long=-46.66649&amp;tipo=S","QRCODE")</f>
        <v>QRCODE</v>
      </c>
      <c r="C3889" t="s">
        <v>5372</v>
      </c>
      <c r="D3889" t="s">
        <v>524</v>
      </c>
      <c r="E3889" t="s">
        <v>2620</v>
      </c>
      <c r="F3889" t="s">
        <v>21</v>
      </c>
      <c r="G3889" t="s">
        <v>4458</v>
      </c>
      <c r="H3889">
        <v>0</v>
      </c>
      <c r="I3889">
        <v>2</v>
      </c>
      <c r="J3889">
        <v>0</v>
      </c>
      <c r="K3889">
        <v>0</v>
      </c>
      <c r="L3889">
        <v>0</v>
      </c>
    </row>
    <row r="3890" spans="1:12">
      <c r="A3890" t="str">
        <f>HYPERLINK("http://bombeiros.sp.gov.br/hidrantes/03individual/3746.html","3746")</f>
        <v>3746</v>
      </c>
      <c r="B3890" t="str">
        <f>HYPERLINK("http://bombeiros.sp.gov.br/hidrantes/08bsg/qrcodeBSG.html?id=3746&amp;lat=-23.63996&amp;long=-46.66647&amp;tipo=S","QRCODE")</f>
        <v>QRCODE</v>
      </c>
      <c r="C3890" t="s">
        <v>5372</v>
      </c>
      <c r="D3890" t="s">
        <v>524</v>
      </c>
      <c r="E3890" t="s">
        <v>2620</v>
      </c>
      <c r="F3890" t="s">
        <v>21</v>
      </c>
      <c r="G3890" t="s">
        <v>2619</v>
      </c>
      <c r="H3890">
        <v>1</v>
      </c>
      <c r="I3890">
        <v>2</v>
      </c>
      <c r="J3890">
        <v>0</v>
      </c>
      <c r="K3890">
        <v>0</v>
      </c>
      <c r="L3890">
        <v>0</v>
      </c>
    </row>
    <row r="3891" spans="1:12">
      <c r="A3891" t="str">
        <f>HYPERLINK("http://bombeiros.sp.gov.br/hidrantes/03individual/3753.html","3753")</f>
        <v>3753</v>
      </c>
      <c r="B3891" t="str">
        <f>HYPERLINK("http://bombeiros.sp.gov.br/hidrantes/08bsg/qrcodeBSG.html?id=3753&amp;lat=-23.64121&amp;long=-46.66941&amp;tipo=S","QRCODE")</f>
        <v>QRCODE</v>
      </c>
      <c r="C3891" t="s">
        <v>5372</v>
      </c>
      <c r="D3891" t="s">
        <v>524</v>
      </c>
      <c r="E3891" t="s">
        <v>2620</v>
      </c>
      <c r="F3891" t="s">
        <v>21</v>
      </c>
      <c r="G3891" t="s">
        <v>4432</v>
      </c>
      <c r="H3891">
        <v>0</v>
      </c>
      <c r="I3891">
        <v>2</v>
      </c>
      <c r="J3891">
        <v>0</v>
      </c>
      <c r="K3891">
        <v>0</v>
      </c>
      <c r="L3891">
        <v>0</v>
      </c>
    </row>
    <row r="3892" spans="1:12">
      <c r="A3892" t="str">
        <f>HYPERLINK("http://bombeiros.sp.gov.br/hidrantes/03individual/3763.html","3763")</f>
        <v>3763</v>
      </c>
      <c r="B3892" t="str">
        <f>HYPERLINK("http://bombeiros.sp.gov.br/hidrantes/08bsg/qrcodeBSG.html?id=3763&amp;lat=-23.63864&amp;long=-46.65128&amp;tipo=S","QRCODE")</f>
        <v>QRCODE</v>
      </c>
      <c r="C3892" t="s">
        <v>5372</v>
      </c>
      <c r="D3892" t="s">
        <v>524</v>
      </c>
      <c r="E3892" t="s">
        <v>2620</v>
      </c>
      <c r="F3892" t="s">
        <v>21</v>
      </c>
      <c r="G3892" t="s">
        <v>4435</v>
      </c>
      <c r="H3892">
        <v>0</v>
      </c>
      <c r="I3892">
        <v>2</v>
      </c>
      <c r="J3892">
        <v>0</v>
      </c>
      <c r="K3892">
        <v>0</v>
      </c>
      <c r="L3892">
        <v>0</v>
      </c>
    </row>
    <row r="3893" spans="1:12">
      <c r="A3893" t="str">
        <f>HYPERLINK("http://bombeiros.sp.gov.br/hidrantes/03individual/3765.html","3765")</f>
        <v>3765</v>
      </c>
      <c r="B3893" t="str">
        <f>HYPERLINK("http://bombeiros.sp.gov.br/hidrantes/08bsg/qrcodeBSG.html?id=3765&amp;lat=-23.63614&amp;long=-46.65046&amp;tipo=S","QRCODE")</f>
        <v>QRCODE</v>
      </c>
      <c r="C3893" t="s">
        <v>5372</v>
      </c>
      <c r="D3893" t="s">
        <v>524</v>
      </c>
      <c r="E3893" t="s">
        <v>2620</v>
      </c>
      <c r="F3893" t="s">
        <v>21</v>
      </c>
      <c r="G3893" t="s">
        <v>4436</v>
      </c>
      <c r="H3893">
        <v>0</v>
      </c>
      <c r="I3893">
        <v>3</v>
      </c>
      <c r="J3893">
        <v>0</v>
      </c>
      <c r="K3893">
        <v>0</v>
      </c>
      <c r="L3893">
        <v>0</v>
      </c>
    </row>
    <row r="3894" spans="1:12">
      <c r="A3894" t="str">
        <f>HYPERLINK("http://bombeiros.sp.gov.br/hidrantes/03individual/3875.html","3875")</f>
        <v>3875</v>
      </c>
      <c r="B3894" t="str">
        <f>HYPERLINK("http://bombeiros.sp.gov.br/hidrantes/08bsg/qrcodeBSG.html?id=3875&amp;lat=-23.63698&amp;long=-46.66967&amp;tipo=S","QRCODE")</f>
        <v>QRCODE</v>
      </c>
      <c r="C3894" t="s">
        <v>5372</v>
      </c>
      <c r="D3894" t="s">
        <v>524</v>
      </c>
      <c r="E3894" t="s">
        <v>2620</v>
      </c>
      <c r="F3894" t="s">
        <v>21</v>
      </c>
      <c r="G3894" t="s">
        <v>4422</v>
      </c>
      <c r="H3894">
        <v>0</v>
      </c>
      <c r="I3894">
        <v>2</v>
      </c>
      <c r="J3894">
        <v>0</v>
      </c>
      <c r="K3894">
        <v>0</v>
      </c>
      <c r="L3894">
        <v>0</v>
      </c>
    </row>
    <row r="3895" spans="1:12">
      <c r="A3895" t="str">
        <f>HYPERLINK("http://bombeiros.sp.gov.br/hidrantes/03individual/4182.html","4182")</f>
        <v>4182</v>
      </c>
      <c r="B3895" t="str">
        <f>HYPERLINK("http://bombeiros.sp.gov.br/hidrantes/08bsg/qrcodeBSG.html?id=4182&amp;lat=-23.63391&amp;long=-46.65939&amp;tipo=S","QRCODE")</f>
        <v>QRCODE</v>
      </c>
      <c r="C3895" t="s">
        <v>5372</v>
      </c>
      <c r="D3895" t="s">
        <v>524</v>
      </c>
      <c r="E3895" t="s">
        <v>2620</v>
      </c>
      <c r="F3895" t="s">
        <v>21</v>
      </c>
      <c r="G3895" t="s">
        <v>2729</v>
      </c>
      <c r="H3895">
        <v>0</v>
      </c>
      <c r="I3895">
        <v>2</v>
      </c>
      <c r="J3895">
        <v>0</v>
      </c>
      <c r="K3895">
        <v>0</v>
      </c>
      <c r="L3895">
        <v>0</v>
      </c>
    </row>
    <row r="3896" spans="1:12">
      <c r="A3896" t="str">
        <f>HYPERLINK("http://bombeiros.sp.gov.br/hidrantes/03individual/16598.html","16598")</f>
        <v>16598</v>
      </c>
      <c r="B3896" t="str">
        <f>HYPERLINK("http://bombeiros.sp.gov.br/hidrantes/08bsg/qrcodeBSG.html?id=16598&amp;lat=-23.63324&amp;long=-46.66602&amp;tipo=S","QRCODE")</f>
        <v>QRCODE</v>
      </c>
      <c r="C3896" t="s">
        <v>5372</v>
      </c>
      <c r="D3896" t="s">
        <v>524</v>
      </c>
      <c r="E3896" t="s">
        <v>2620</v>
      </c>
      <c r="F3896" t="s">
        <v>21</v>
      </c>
      <c r="G3896" t="s">
        <v>4397</v>
      </c>
      <c r="H3896">
        <v>1</v>
      </c>
      <c r="I3896">
        <v>2</v>
      </c>
      <c r="J3896">
        <v>0</v>
      </c>
      <c r="K3896">
        <v>0</v>
      </c>
      <c r="L3896">
        <v>0</v>
      </c>
    </row>
    <row r="3897" spans="1:12">
      <c r="A3897" t="str">
        <f>HYPERLINK("http://bombeiros.sp.gov.br/hidrantes/03individual/16608.html","16608")</f>
        <v>16608</v>
      </c>
      <c r="B3897" t="str">
        <f>HYPERLINK("http://bombeiros.sp.gov.br/hidrantes/08bsg/qrcodeBSG.html?id=16608&amp;lat=-23.63040&amp;long=-46.67384&amp;tipo=C","QRCODE")</f>
        <v>QRCODE</v>
      </c>
      <c r="C3897" t="s">
        <v>5372</v>
      </c>
      <c r="D3897" t="s">
        <v>524</v>
      </c>
      <c r="E3897" t="s">
        <v>250</v>
      </c>
      <c r="F3897" t="s">
        <v>12</v>
      </c>
      <c r="G3897" t="s">
        <v>2761</v>
      </c>
      <c r="H3897">
        <v>0</v>
      </c>
      <c r="I3897">
        <v>2</v>
      </c>
      <c r="J3897">
        <v>0</v>
      </c>
      <c r="K3897">
        <v>0</v>
      </c>
      <c r="L3897">
        <v>0</v>
      </c>
    </row>
    <row r="3898" spans="1:12">
      <c r="A3898" t="str">
        <f>HYPERLINK("http://bombeiros.sp.gov.br/hidrantes/03individual/203.html","203")</f>
        <v>203</v>
      </c>
      <c r="B3898" t="str">
        <f>HYPERLINK("http://bombeiros.sp.gov.br/hidrantes/08bsg/qrcodeBSG.html?id=203&amp;lat=-23.62397&amp;long=-46.68164&amp;tipo=S","QRCODE")</f>
        <v>QRCODE</v>
      </c>
      <c r="C3898" t="s">
        <v>5372</v>
      </c>
      <c r="D3898" t="s">
        <v>524</v>
      </c>
      <c r="E3898" t="s">
        <v>250</v>
      </c>
      <c r="F3898" t="s">
        <v>21</v>
      </c>
      <c r="G3898" t="s">
        <v>2502</v>
      </c>
      <c r="H3898">
        <v>0</v>
      </c>
      <c r="I3898">
        <v>2</v>
      </c>
      <c r="J3898">
        <v>0</v>
      </c>
      <c r="K3898">
        <v>0</v>
      </c>
      <c r="L3898">
        <v>0</v>
      </c>
    </row>
    <row r="3899" spans="1:12">
      <c r="A3899" t="str">
        <f>HYPERLINK("http://bombeiros.sp.gov.br/hidrantes/03individual/297.html","297")</f>
        <v>297</v>
      </c>
      <c r="B3899" t="str">
        <f>HYPERLINK("http://bombeiros.sp.gov.br/hidrantes/08bsg/qrcodeBSG.html?id=297&amp;lat=-23.62895&amp;long=-46.68016&amp;tipo=S","QRCODE")</f>
        <v>QRCODE</v>
      </c>
      <c r="C3899" t="s">
        <v>5372</v>
      </c>
      <c r="D3899" t="s">
        <v>524</v>
      </c>
      <c r="E3899" t="s">
        <v>250</v>
      </c>
      <c r="F3899" t="s">
        <v>21</v>
      </c>
      <c r="G3899" t="s">
        <v>4465</v>
      </c>
      <c r="H3899">
        <v>0</v>
      </c>
      <c r="I3899">
        <v>2</v>
      </c>
      <c r="J3899">
        <v>0</v>
      </c>
      <c r="K3899">
        <v>0</v>
      </c>
      <c r="L3899">
        <v>0</v>
      </c>
    </row>
    <row r="3900" spans="1:12">
      <c r="A3900" t="str">
        <f>HYPERLINK("http://bombeiros.sp.gov.br/hidrantes/03individual/353.html","353")</f>
        <v>353</v>
      </c>
      <c r="B3900" t="str">
        <f>HYPERLINK("http://bombeiros.sp.gov.br/hidrantes/08bsg/qrcodeBSG.html?id=353&amp;lat=-23.63190&amp;long=-46.67650&amp;tipo=S","QRCODE")</f>
        <v>QRCODE</v>
      </c>
      <c r="C3900" t="s">
        <v>5372</v>
      </c>
      <c r="D3900" t="s">
        <v>524</v>
      </c>
      <c r="E3900" t="s">
        <v>250</v>
      </c>
      <c r="F3900" t="s">
        <v>21</v>
      </c>
      <c r="G3900" t="s">
        <v>4459</v>
      </c>
      <c r="H3900">
        <v>0</v>
      </c>
      <c r="I3900">
        <v>2</v>
      </c>
      <c r="J3900">
        <v>0</v>
      </c>
      <c r="K3900">
        <v>0</v>
      </c>
      <c r="L3900">
        <v>0</v>
      </c>
    </row>
    <row r="3901" spans="1:12">
      <c r="A3901" t="str">
        <f>HYPERLINK("http://bombeiros.sp.gov.br/hidrantes/03individual/388.html","388")</f>
        <v>388</v>
      </c>
      <c r="B3901" t="str">
        <f>HYPERLINK("http://bombeiros.sp.gov.br/hidrantes/08bsg/qrcodeBSG.html?id=388&amp;lat=-23.62614&amp;long=-46.67899&amp;tipo=S","QRCODE")</f>
        <v>QRCODE</v>
      </c>
      <c r="C3901" t="s">
        <v>5372</v>
      </c>
      <c r="D3901" t="s">
        <v>524</v>
      </c>
      <c r="E3901" t="s">
        <v>250</v>
      </c>
      <c r="F3901" t="s">
        <v>21</v>
      </c>
      <c r="G3901" t="s">
        <v>2505</v>
      </c>
      <c r="H3901">
        <v>0</v>
      </c>
      <c r="I3901">
        <v>2</v>
      </c>
      <c r="J3901">
        <v>0</v>
      </c>
      <c r="K3901">
        <v>0</v>
      </c>
      <c r="L3901">
        <v>0</v>
      </c>
    </row>
    <row r="3902" spans="1:12">
      <c r="A3902" t="str">
        <f>HYPERLINK("http://bombeiros.sp.gov.br/hidrantes/03individual/429.html","429")</f>
        <v>429</v>
      </c>
      <c r="B3902" t="str">
        <f>HYPERLINK("http://bombeiros.sp.gov.br/hidrantes/08bsg/qrcodeBSG.html?id=429&amp;lat=-23.62583&amp;long=-46.68154&amp;tipo=S","QRCODE")</f>
        <v>QRCODE</v>
      </c>
      <c r="C3902" t="s">
        <v>5372</v>
      </c>
      <c r="D3902" t="s">
        <v>524</v>
      </c>
      <c r="E3902" t="s">
        <v>250</v>
      </c>
      <c r="F3902" t="s">
        <v>21</v>
      </c>
      <c r="G3902" t="s">
        <v>346</v>
      </c>
      <c r="H3902">
        <v>0</v>
      </c>
      <c r="I3902">
        <v>3</v>
      </c>
      <c r="J3902">
        <v>0</v>
      </c>
      <c r="K3902">
        <v>0</v>
      </c>
      <c r="L3902">
        <v>0</v>
      </c>
    </row>
    <row r="3903" spans="1:12">
      <c r="A3903" t="str">
        <f>HYPERLINK("http://bombeiros.sp.gov.br/hidrantes/03individual/430.html","430")</f>
        <v>430</v>
      </c>
      <c r="B3903" t="str">
        <f>HYPERLINK("http://bombeiros.sp.gov.br/hidrantes/08bsg/qrcodeBSG.html?id=430&amp;lat=-23.63507&amp;long=-46.67248&amp;tipo=S","QRCODE")</f>
        <v>QRCODE</v>
      </c>
      <c r="C3903" t="s">
        <v>5372</v>
      </c>
      <c r="D3903" t="s">
        <v>524</v>
      </c>
      <c r="E3903" t="s">
        <v>250</v>
      </c>
      <c r="F3903" t="s">
        <v>21</v>
      </c>
      <c r="G3903" t="s">
        <v>4450</v>
      </c>
      <c r="H3903">
        <v>0</v>
      </c>
      <c r="I3903">
        <v>2</v>
      </c>
      <c r="J3903">
        <v>0</v>
      </c>
      <c r="K3903">
        <v>0</v>
      </c>
      <c r="L3903">
        <v>0</v>
      </c>
    </row>
    <row r="3904" spans="1:12">
      <c r="A3904" t="str">
        <f>HYPERLINK("http://bombeiros.sp.gov.br/hidrantes/03individual/2389.html","2389")</f>
        <v>2389</v>
      </c>
      <c r="B3904" t="str">
        <f>HYPERLINK("http://bombeiros.sp.gov.br/hidrantes/08bsg/qrcodeBSG.html?id=2389&amp;lat=-23.63014&amp;long=-46.68304&amp;tipo=S","QRCODE")</f>
        <v>QRCODE</v>
      </c>
      <c r="C3904" t="s">
        <v>5372</v>
      </c>
      <c r="D3904" t="s">
        <v>524</v>
      </c>
      <c r="E3904" t="s">
        <v>250</v>
      </c>
      <c r="F3904" t="s">
        <v>21</v>
      </c>
      <c r="G3904" t="s">
        <v>4525</v>
      </c>
      <c r="H3904">
        <v>0</v>
      </c>
      <c r="I3904">
        <v>2</v>
      </c>
      <c r="J3904">
        <v>0</v>
      </c>
      <c r="K3904">
        <v>0</v>
      </c>
      <c r="L3904">
        <v>0</v>
      </c>
    </row>
    <row r="3905" spans="1:12">
      <c r="A3905" t="str">
        <f>HYPERLINK("http://bombeiros.sp.gov.br/hidrantes/03individual/3751.html","3751")</f>
        <v>3751</v>
      </c>
      <c r="B3905" t="str">
        <f>HYPERLINK("http://bombeiros.sp.gov.br/hidrantes/08bsg/qrcodeBSG.html?id=3751&amp;lat=-23.64182&amp;long=-46.67431&amp;tipo=S","QRCODE")</f>
        <v>QRCODE</v>
      </c>
      <c r="C3905" t="s">
        <v>5372</v>
      </c>
      <c r="D3905" t="s">
        <v>524</v>
      </c>
      <c r="E3905" t="s">
        <v>250</v>
      </c>
      <c r="F3905" t="s">
        <v>21</v>
      </c>
      <c r="G3905" t="s">
        <v>4290</v>
      </c>
      <c r="H3905">
        <v>0</v>
      </c>
      <c r="I3905">
        <v>1</v>
      </c>
      <c r="J3905">
        <v>0</v>
      </c>
      <c r="K3905">
        <v>0</v>
      </c>
      <c r="L3905">
        <v>0</v>
      </c>
    </row>
    <row r="3906" spans="1:12">
      <c r="A3906" t="str">
        <f>HYPERLINK("http://bombeiros.sp.gov.br/hidrantes/03individual/3867.html","3867")</f>
        <v>3867</v>
      </c>
      <c r="B3906" t="str">
        <f>HYPERLINK("http://bombeiros.sp.gov.br/hidrantes/08bsg/qrcodeBSG.html?id=3867&amp;lat=-23.63592&amp;long=-46.67615&amp;tipo=S","QRCODE")</f>
        <v>QRCODE</v>
      </c>
      <c r="C3906" t="s">
        <v>5372</v>
      </c>
      <c r="D3906" t="s">
        <v>524</v>
      </c>
      <c r="E3906" t="s">
        <v>250</v>
      </c>
      <c r="F3906" t="s">
        <v>21</v>
      </c>
      <c r="G3906" t="s">
        <v>4419</v>
      </c>
      <c r="H3906">
        <v>0</v>
      </c>
      <c r="I3906">
        <v>2</v>
      </c>
      <c r="J3906">
        <v>0</v>
      </c>
      <c r="K3906">
        <v>0</v>
      </c>
      <c r="L3906">
        <v>0</v>
      </c>
    </row>
    <row r="3907" spans="1:12">
      <c r="A3907" t="str">
        <f>HYPERLINK("http://bombeiros.sp.gov.br/hidrantes/03individual/3874.html","3874")</f>
        <v>3874</v>
      </c>
      <c r="B3907" t="str">
        <f>HYPERLINK("http://bombeiros.sp.gov.br/hidrantes/08bsg/qrcodeBSG.html?id=3874&amp;lat=-23.63707&amp;long=-46.67424&amp;tipo=S","QRCODE")</f>
        <v>QRCODE</v>
      </c>
      <c r="C3907" t="s">
        <v>5372</v>
      </c>
      <c r="D3907" t="s">
        <v>524</v>
      </c>
      <c r="E3907" t="s">
        <v>250</v>
      </c>
      <c r="F3907" t="s">
        <v>21</v>
      </c>
      <c r="G3907" t="s">
        <v>4420</v>
      </c>
      <c r="H3907">
        <v>0</v>
      </c>
      <c r="I3907">
        <v>2</v>
      </c>
      <c r="J3907">
        <v>0</v>
      </c>
      <c r="K3907">
        <v>0</v>
      </c>
      <c r="L3907">
        <v>0</v>
      </c>
    </row>
    <row r="3908" spans="1:12">
      <c r="A3908" t="str">
        <f>HYPERLINK("http://bombeiros.sp.gov.br/hidrantes/03individual/3877.html","3877")</f>
        <v>3877</v>
      </c>
      <c r="B3908" t="str">
        <f>HYPERLINK("http://bombeiros.sp.gov.br/hidrantes/08bsg/qrcodeBSG.html?id=3877&amp;lat=-23.62959&amp;long=-46.67426&amp;tipo=S","QRCODE")</f>
        <v>QRCODE</v>
      </c>
      <c r="C3908" t="s">
        <v>5372</v>
      </c>
      <c r="D3908" t="s">
        <v>524</v>
      </c>
      <c r="E3908" t="s">
        <v>250</v>
      </c>
      <c r="F3908" t="s">
        <v>21</v>
      </c>
      <c r="G3908" t="s">
        <v>4683</v>
      </c>
      <c r="H3908">
        <v>1</v>
      </c>
      <c r="I3908">
        <v>1</v>
      </c>
      <c r="J3908">
        <v>0</v>
      </c>
      <c r="K3908">
        <v>0</v>
      </c>
      <c r="L3908">
        <v>0</v>
      </c>
    </row>
    <row r="3909" spans="1:12">
      <c r="A3909" t="str">
        <f>HYPERLINK("http://bombeiros.sp.gov.br/hidrantes/03individual/3884.html","3884")</f>
        <v>3884</v>
      </c>
      <c r="B3909" t="str">
        <f>HYPERLINK("http://bombeiros.sp.gov.br/hidrantes/08bsg/qrcodeBSG.html?id=3884&amp;lat=-23.63092&amp;long=-46.68307&amp;tipo=S","QRCODE")</f>
        <v>QRCODE</v>
      </c>
      <c r="C3909" t="s">
        <v>5372</v>
      </c>
      <c r="D3909" t="s">
        <v>524</v>
      </c>
      <c r="E3909" t="s">
        <v>250</v>
      </c>
      <c r="F3909" t="s">
        <v>21</v>
      </c>
      <c r="G3909" t="s">
        <v>4491</v>
      </c>
      <c r="H3909">
        <v>0</v>
      </c>
      <c r="I3909">
        <v>2</v>
      </c>
      <c r="J3909">
        <v>0</v>
      </c>
      <c r="K3909">
        <v>0</v>
      </c>
      <c r="L3909">
        <v>0</v>
      </c>
    </row>
    <row r="3910" spans="1:12">
      <c r="A3910" t="str">
        <f>HYPERLINK("http://bombeiros.sp.gov.br/hidrantes/03individual/16614.html","16614")</f>
        <v>16614</v>
      </c>
      <c r="B3910" t="str">
        <f>HYPERLINK("http://bombeiros.sp.gov.br/hidrantes/08bsg/qrcodeBSG.html?id=16614&amp;lat=-23.63692&amp;long=-46.67712&amp;tipo=S","QRCODE")</f>
        <v>QRCODE</v>
      </c>
      <c r="C3910" t="s">
        <v>5372</v>
      </c>
      <c r="D3910" t="s">
        <v>524</v>
      </c>
      <c r="E3910" t="s">
        <v>250</v>
      </c>
      <c r="F3910" t="s">
        <v>21</v>
      </c>
      <c r="G3910" t="s">
        <v>249</v>
      </c>
      <c r="H3910">
        <v>1</v>
      </c>
      <c r="I3910">
        <v>2</v>
      </c>
      <c r="J3910">
        <v>0</v>
      </c>
      <c r="K3910">
        <v>0</v>
      </c>
      <c r="L3910">
        <v>0</v>
      </c>
    </row>
    <row r="3911" spans="1:12">
      <c r="A3911" t="str">
        <f>HYPERLINK("http://bombeiros.sp.gov.br/hidrantes/03individual/454.html","454")</f>
        <v>454</v>
      </c>
      <c r="B3911" t="str">
        <f>HYPERLINK("http://bombeiros.sp.gov.br/hidrantes/08bsg/qrcodeBSG.html?id=454&amp;lat=-23.62243&amp;long=-46.66916&amp;tipo=C","QRCODE")</f>
        <v>QRCODE</v>
      </c>
      <c r="C3911" t="s">
        <v>5372</v>
      </c>
      <c r="D3911" t="s">
        <v>524</v>
      </c>
      <c r="E3911" t="s">
        <v>607</v>
      </c>
      <c r="F3911" t="s">
        <v>12</v>
      </c>
      <c r="G3911" t="s">
        <v>1951</v>
      </c>
      <c r="H3911">
        <v>0</v>
      </c>
      <c r="I3911">
        <v>2</v>
      </c>
      <c r="J3911">
        <v>0</v>
      </c>
      <c r="K3911">
        <v>0</v>
      </c>
      <c r="L3911">
        <v>0</v>
      </c>
    </row>
    <row r="3912" spans="1:12">
      <c r="A3912" t="str">
        <f>HYPERLINK("http://bombeiros.sp.gov.br/hidrantes/03individual/3878.html","3878")</f>
        <v>3878</v>
      </c>
      <c r="B3912" t="str">
        <f>HYPERLINK("http://bombeiros.sp.gov.br/hidrantes/08bsg/qrcodeBSG.html?id=3878&amp;lat=-23.62935&amp;long=-46.67289&amp;tipo=C","QRCODE")</f>
        <v>QRCODE</v>
      </c>
      <c r="C3912" t="s">
        <v>5372</v>
      </c>
      <c r="D3912" t="s">
        <v>524</v>
      </c>
      <c r="E3912" t="s">
        <v>607</v>
      </c>
      <c r="F3912" t="s">
        <v>12</v>
      </c>
      <c r="G3912" t="s">
        <v>2727</v>
      </c>
      <c r="H3912">
        <v>0</v>
      </c>
      <c r="I3912">
        <v>2</v>
      </c>
      <c r="J3912">
        <v>0</v>
      </c>
      <c r="K3912">
        <v>0</v>
      </c>
      <c r="L3912">
        <v>0</v>
      </c>
    </row>
    <row r="3913" spans="1:12">
      <c r="A3913" t="str">
        <f>HYPERLINK("http://bombeiros.sp.gov.br/hidrantes/03individual/3890.html","3890")</f>
        <v>3890</v>
      </c>
      <c r="B3913" t="str">
        <f>HYPERLINK("http://bombeiros.sp.gov.br/hidrantes/08bsg/qrcodeBSG.html?id=3890&amp;lat=-23.62993&amp;long=-46.66849&amp;tipo=C","QRCODE")</f>
        <v>QRCODE</v>
      </c>
      <c r="C3913" t="s">
        <v>5372</v>
      </c>
      <c r="D3913" t="s">
        <v>524</v>
      </c>
      <c r="E3913" t="s">
        <v>607</v>
      </c>
      <c r="F3913" t="s">
        <v>12</v>
      </c>
      <c r="G3913" t="s">
        <v>4681</v>
      </c>
      <c r="H3913">
        <v>1</v>
      </c>
      <c r="I3913">
        <v>1</v>
      </c>
      <c r="J3913">
        <v>0</v>
      </c>
      <c r="K3913">
        <v>0</v>
      </c>
      <c r="L3913">
        <v>0</v>
      </c>
    </row>
    <row r="3914" spans="1:12">
      <c r="A3914" t="str">
        <f>HYPERLINK("http://bombeiros.sp.gov.br/hidrantes/03individual/3929.html","3929")</f>
        <v>3929</v>
      </c>
      <c r="B3914" t="str">
        <f>HYPERLINK("http://bombeiros.sp.gov.br/hidrantes/08bsg/qrcodeBSG.html?id=3929&amp;lat=-23.61825&amp;long=-46.67641&amp;tipo=C","QRCODE")</f>
        <v>QRCODE</v>
      </c>
      <c r="C3914" t="s">
        <v>5372</v>
      </c>
      <c r="D3914" t="s">
        <v>524</v>
      </c>
      <c r="E3914" t="s">
        <v>607</v>
      </c>
      <c r="F3914" t="s">
        <v>12</v>
      </c>
      <c r="G3914" t="s">
        <v>2143</v>
      </c>
      <c r="H3914">
        <v>0</v>
      </c>
      <c r="I3914">
        <v>2</v>
      </c>
      <c r="J3914">
        <v>0</v>
      </c>
      <c r="K3914">
        <v>0</v>
      </c>
      <c r="L3914">
        <v>0</v>
      </c>
    </row>
    <row r="3915" spans="1:12">
      <c r="A3915" t="str">
        <f>HYPERLINK("http://bombeiros.sp.gov.br/hidrantes/03individual/10026.html","10026")</f>
        <v>10026</v>
      </c>
      <c r="B3915" t="str">
        <f>HYPERLINK("http://bombeiros.sp.gov.br/hidrantes/08bsg/qrcodeBSG.html?id=10026&amp;lat=-23.62857&amp;long=-46.66486&amp;tipo=C","QRCODE")</f>
        <v>QRCODE</v>
      </c>
      <c r="C3915" t="s">
        <v>5372</v>
      </c>
      <c r="D3915" t="s">
        <v>524</v>
      </c>
      <c r="E3915" t="s">
        <v>607</v>
      </c>
      <c r="F3915" t="s">
        <v>12</v>
      </c>
      <c r="G3915" t="s">
        <v>3366</v>
      </c>
      <c r="H3915">
        <v>1</v>
      </c>
      <c r="I3915">
        <v>1</v>
      </c>
      <c r="J3915">
        <v>0</v>
      </c>
      <c r="K3915">
        <v>0</v>
      </c>
      <c r="L3915">
        <v>0</v>
      </c>
    </row>
    <row r="3916" spans="1:12">
      <c r="A3916" t="str">
        <f>HYPERLINK("http://bombeiros.sp.gov.br/hidrantes/03individual/296.html","296")</f>
        <v>296</v>
      </c>
      <c r="B3916" t="str">
        <f>HYPERLINK("http://bombeiros.sp.gov.br/hidrantes/08bsg/qrcodeBSG.html?id=296&amp;lat=-23.62514&amp;long=-46.67171&amp;tipo=S","QRCODE")</f>
        <v>QRCODE</v>
      </c>
      <c r="C3916" t="s">
        <v>5372</v>
      </c>
      <c r="D3916" t="s">
        <v>524</v>
      </c>
      <c r="E3916" t="s">
        <v>607</v>
      </c>
      <c r="F3916" t="s">
        <v>21</v>
      </c>
      <c r="G3916" t="s">
        <v>609</v>
      </c>
      <c r="H3916">
        <v>0</v>
      </c>
      <c r="I3916">
        <v>2</v>
      </c>
      <c r="J3916">
        <v>0</v>
      </c>
      <c r="K3916">
        <v>0</v>
      </c>
      <c r="L3916">
        <v>0</v>
      </c>
    </row>
    <row r="3917" spans="1:12">
      <c r="A3917" t="str">
        <f>HYPERLINK("http://bombeiros.sp.gov.br/hidrantes/03individual/307.html","307")</f>
        <v>307</v>
      </c>
      <c r="B3917" t="str">
        <f>HYPERLINK("http://bombeiros.sp.gov.br/hidrantes/08bsg/qrcodeBSG.html?id=307&amp;lat=-23.62805&amp;long=-46.66977&amp;tipo=S","QRCODE")</f>
        <v>QRCODE</v>
      </c>
      <c r="C3917" t="s">
        <v>5372</v>
      </c>
      <c r="D3917" t="s">
        <v>524</v>
      </c>
      <c r="E3917" t="s">
        <v>607</v>
      </c>
      <c r="F3917" t="s">
        <v>21</v>
      </c>
      <c r="G3917" t="s">
        <v>3712</v>
      </c>
      <c r="H3917">
        <v>1</v>
      </c>
      <c r="I3917">
        <v>1</v>
      </c>
      <c r="J3917">
        <v>0</v>
      </c>
      <c r="K3917">
        <v>0</v>
      </c>
      <c r="L3917">
        <v>0</v>
      </c>
    </row>
    <row r="3918" spans="1:12">
      <c r="A3918" t="str">
        <f>HYPERLINK("http://bombeiros.sp.gov.br/hidrantes/03individual/328.html","328")</f>
        <v>328</v>
      </c>
      <c r="B3918" t="str">
        <f>HYPERLINK("http://bombeiros.sp.gov.br/hidrantes/08bsg/qrcodeBSG.html?id=328&amp;lat=-23.62606&amp;long=-46.66956&amp;tipo=S","QRCODE")</f>
        <v>QRCODE</v>
      </c>
      <c r="C3918" t="s">
        <v>5372</v>
      </c>
      <c r="D3918" t="s">
        <v>524</v>
      </c>
      <c r="E3918" t="s">
        <v>607</v>
      </c>
      <c r="F3918" t="s">
        <v>21</v>
      </c>
      <c r="G3918" t="s">
        <v>1954</v>
      </c>
      <c r="H3918">
        <v>0</v>
      </c>
      <c r="I3918">
        <v>2</v>
      </c>
      <c r="J3918">
        <v>0</v>
      </c>
      <c r="K3918">
        <v>0</v>
      </c>
      <c r="L3918">
        <v>0</v>
      </c>
    </row>
    <row r="3919" spans="1:12">
      <c r="A3919" t="str">
        <f>HYPERLINK("http://bombeiros.sp.gov.br/hidrantes/03individual/351.html","351")</f>
        <v>351</v>
      </c>
      <c r="B3919" t="str">
        <f>HYPERLINK("http://bombeiros.sp.gov.br/hidrantes/08bsg/qrcodeBSG.html?id=351&amp;lat=-23.62020&amp;long=-46.67757&amp;tipo=S","QRCODE")</f>
        <v>QRCODE</v>
      </c>
      <c r="C3919" t="s">
        <v>5372</v>
      </c>
      <c r="D3919" t="s">
        <v>524</v>
      </c>
      <c r="E3919" t="s">
        <v>607</v>
      </c>
      <c r="F3919" t="s">
        <v>21</v>
      </c>
      <c r="G3919" t="s">
        <v>771</v>
      </c>
      <c r="H3919">
        <v>0</v>
      </c>
      <c r="I3919">
        <v>2</v>
      </c>
      <c r="J3919">
        <v>0</v>
      </c>
      <c r="K3919">
        <v>0</v>
      </c>
      <c r="L3919">
        <v>0</v>
      </c>
    </row>
    <row r="3920" spans="1:12">
      <c r="A3920" t="str">
        <f>HYPERLINK("http://bombeiros.sp.gov.br/hidrantes/03individual/387.html","387")</f>
        <v>387</v>
      </c>
      <c r="B3920" t="str">
        <f>HYPERLINK("http://bombeiros.sp.gov.br/hidrantes/08bsg/qrcodeBSG.html?id=387&amp;lat=-23.62849&amp;long=-46.66615&amp;tipo=S","QRCODE")</f>
        <v>QRCODE</v>
      </c>
      <c r="C3920" t="s">
        <v>5372</v>
      </c>
      <c r="D3920" t="s">
        <v>524</v>
      </c>
      <c r="E3920" t="s">
        <v>607</v>
      </c>
      <c r="F3920" t="s">
        <v>21</v>
      </c>
      <c r="G3920" t="s">
        <v>606</v>
      </c>
      <c r="H3920">
        <v>1</v>
      </c>
      <c r="I3920">
        <v>2</v>
      </c>
      <c r="J3920">
        <v>0</v>
      </c>
      <c r="K3920">
        <v>0</v>
      </c>
      <c r="L3920">
        <v>0</v>
      </c>
    </row>
    <row r="3921" spans="1:12">
      <c r="A3921" t="str">
        <f>HYPERLINK("http://bombeiros.sp.gov.br/hidrantes/03individual/428.html","428")</f>
        <v>428</v>
      </c>
      <c r="B3921" t="str">
        <f>HYPERLINK("http://bombeiros.sp.gov.br/hidrantes/08bsg/qrcodeBSG.html?id=428&amp;lat=-23.61997&amp;long=-46.67473&amp;tipo=S","QRCODE")</f>
        <v>QRCODE</v>
      </c>
      <c r="C3921" t="s">
        <v>5372</v>
      </c>
      <c r="D3921" t="s">
        <v>524</v>
      </c>
      <c r="E3921" t="s">
        <v>607</v>
      </c>
      <c r="F3921" t="s">
        <v>21</v>
      </c>
      <c r="G3921" t="s">
        <v>775</v>
      </c>
      <c r="H3921">
        <v>0</v>
      </c>
      <c r="I3921">
        <v>2</v>
      </c>
      <c r="J3921">
        <v>0</v>
      </c>
      <c r="K3921">
        <v>0</v>
      </c>
      <c r="L3921">
        <v>0</v>
      </c>
    </row>
    <row r="3922" spans="1:12">
      <c r="A3922" t="str">
        <f>HYPERLINK("http://bombeiros.sp.gov.br/hidrantes/03individual/453.html","453")</f>
        <v>453</v>
      </c>
      <c r="B3922" t="str">
        <f>HYPERLINK("http://bombeiros.sp.gov.br/hidrantes/08bsg/qrcodeBSG.html?id=453&amp;lat=-23.61955&amp;long=-46.67180&amp;tipo=S","QRCODE")</f>
        <v>QRCODE</v>
      </c>
      <c r="C3922" t="s">
        <v>5372</v>
      </c>
      <c r="D3922" t="s">
        <v>524</v>
      </c>
      <c r="E3922" t="s">
        <v>607</v>
      </c>
      <c r="F3922" t="s">
        <v>21</v>
      </c>
      <c r="G3922" t="s">
        <v>778</v>
      </c>
      <c r="H3922">
        <v>0</v>
      </c>
      <c r="I3922">
        <v>2</v>
      </c>
      <c r="J3922">
        <v>0</v>
      </c>
      <c r="K3922">
        <v>0</v>
      </c>
      <c r="L3922">
        <v>0</v>
      </c>
    </row>
    <row r="3923" spans="1:12">
      <c r="A3923" t="str">
        <f>HYPERLINK("http://bombeiros.sp.gov.br/hidrantes/03individual/2135.html","2135")</f>
        <v>2135</v>
      </c>
      <c r="B3923" t="str">
        <f>HYPERLINK("http://bombeiros.sp.gov.br/hidrantes/08bsg/qrcodeBSG.html?id=2135&amp;lat=-23.61840&amp;long=-46.67797&amp;tipo=S","QRCODE")</f>
        <v>QRCODE</v>
      </c>
      <c r="C3923" t="s">
        <v>5372</v>
      </c>
      <c r="D3923" t="s">
        <v>524</v>
      </c>
      <c r="E3923" t="s">
        <v>607</v>
      </c>
      <c r="F3923" t="s">
        <v>21</v>
      </c>
      <c r="G3923" t="s">
        <v>4673</v>
      </c>
      <c r="H3923">
        <v>1</v>
      </c>
      <c r="I3923">
        <v>1</v>
      </c>
      <c r="J3923">
        <v>0</v>
      </c>
      <c r="K3923">
        <v>0</v>
      </c>
      <c r="L3923">
        <v>0</v>
      </c>
    </row>
    <row r="3924" spans="1:12">
      <c r="A3924" t="str">
        <f>HYPERLINK("http://bombeiros.sp.gov.br/hidrantes/03individual/3892.html","3892")</f>
        <v>3892</v>
      </c>
      <c r="B3924" t="str">
        <f>HYPERLINK("http://bombeiros.sp.gov.br/hidrantes/08bsg/qrcodeBSG.html?id=3892&amp;lat=-23.62582&amp;long=-46.66716&amp;tipo=S","QRCODE")</f>
        <v>QRCODE</v>
      </c>
      <c r="C3924" t="s">
        <v>5372</v>
      </c>
      <c r="D3924" t="s">
        <v>524</v>
      </c>
      <c r="E3924" t="s">
        <v>607</v>
      </c>
      <c r="F3924" t="s">
        <v>21</v>
      </c>
      <c r="G3924" t="s">
        <v>3732</v>
      </c>
      <c r="H3924">
        <v>1</v>
      </c>
      <c r="I3924">
        <v>1</v>
      </c>
      <c r="J3924">
        <v>0</v>
      </c>
      <c r="K3924">
        <v>0</v>
      </c>
      <c r="L3924">
        <v>0</v>
      </c>
    </row>
    <row r="3925" spans="1:12">
      <c r="A3925" t="str">
        <f>HYPERLINK("http://bombeiros.sp.gov.br/hidrantes/03individual/3904.html","3904")</f>
        <v>3904</v>
      </c>
      <c r="B3925" t="str">
        <f>HYPERLINK("http://bombeiros.sp.gov.br/hidrantes/08bsg/qrcodeBSG.html?id=3904&amp;lat=-23.62585&amp;long=-46.67419&amp;tipo=S","QRCODE")</f>
        <v>QRCODE</v>
      </c>
      <c r="C3925" t="s">
        <v>5372</v>
      </c>
      <c r="D3925" t="s">
        <v>524</v>
      </c>
      <c r="E3925" t="s">
        <v>607</v>
      </c>
      <c r="F3925" t="s">
        <v>21</v>
      </c>
      <c r="G3925" t="s">
        <v>633</v>
      </c>
      <c r="H3925">
        <v>0</v>
      </c>
      <c r="I3925">
        <v>2</v>
      </c>
      <c r="J3925">
        <v>0</v>
      </c>
      <c r="K3925">
        <v>0</v>
      </c>
      <c r="L3925">
        <v>0</v>
      </c>
    </row>
    <row r="3926" spans="1:12">
      <c r="A3926" t="str">
        <f>HYPERLINK("http://bombeiros.sp.gov.br/hidrantes/03individual/3905.html","3905")</f>
        <v>3905</v>
      </c>
      <c r="B3926" t="str">
        <f>HYPERLINK("http://bombeiros.sp.gov.br/hidrantes/08bsg/qrcodeBSG.html?id=3905&amp;lat=-23.62304&amp;long=-46.66824&amp;tipo=S","QRCODE")</f>
        <v>QRCODE</v>
      </c>
      <c r="C3926" t="s">
        <v>5372</v>
      </c>
      <c r="D3926" t="s">
        <v>524</v>
      </c>
      <c r="E3926" t="s">
        <v>607</v>
      </c>
      <c r="F3926" t="s">
        <v>21</v>
      </c>
      <c r="G3926" t="s">
        <v>4680</v>
      </c>
      <c r="H3926">
        <v>1</v>
      </c>
      <c r="I3926">
        <v>1</v>
      </c>
      <c r="J3926">
        <v>0</v>
      </c>
      <c r="K3926">
        <v>0</v>
      </c>
      <c r="L3926">
        <v>0</v>
      </c>
    </row>
    <row r="3927" spans="1:12">
      <c r="A3927" t="str">
        <f>HYPERLINK("http://bombeiros.sp.gov.br/hidrantes/03individual/3927.html","3927")</f>
        <v>3927</v>
      </c>
      <c r="B3927" t="str">
        <f>HYPERLINK("http://bombeiros.sp.gov.br/hidrantes/08bsg/qrcodeBSG.html?id=3927&amp;lat=-23.61794&amp;long=-46.67903&amp;tipo=S","QRCODE")</f>
        <v>QRCODE</v>
      </c>
      <c r="C3927" t="s">
        <v>5372</v>
      </c>
      <c r="D3927" t="s">
        <v>524</v>
      </c>
      <c r="E3927" t="s">
        <v>607</v>
      </c>
      <c r="F3927" t="s">
        <v>21</v>
      </c>
      <c r="G3927" t="s">
        <v>4690</v>
      </c>
      <c r="H3927">
        <v>1</v>
      </c>
      <c r="I3927">
        <v>1</v>
      </c>
      <c r="J3927">
        <v>0</v>
      </c>
      <c r="K3927">
        <v>0</v>
      </c>
      <c r="L3927">
        <v>0</v>
      </c>
    </row>
    <row r="3928" spans="1:12">
      <c r="A3928" t="str">
        <f>HYPERLINK("http://bombeiros.sp.gov.br/hidrantes/03individual/3928.html","3928")</f>
        <v>3928</v>
      </c>
      <c r="B3928" t="str">
        <f>HYPERLINK("http://bombeiros.sp.gov.br/hidrantes/08bsg/qrcodeBSG.html?id=3928&amp;lat=-23.61867&amp;long=-46.67823&amp;tipo=S","QRCODE")</f>
        <v>QRCODE</v>
      </c>
      <c r="C3928" t="s">
        <v>5372</v>
      </c>
      <c r="D3928" t="s">
        <v>524</v>
      </c>
      <c r="E3928" t="s">
        <v>607</v>
      </c>
      <c r="F3928" t="s">
        <v>21</v>
      </c>
      <c r="G3928" t="s">
        <v>4693</v>
      </c>
      <c r="H3928">
        <v>1</v>
      </c>
      <c r="I3928">
        <v>1</v>
      </c>
      <c r="J3928">
        <v>0</v>
      </c>
      <c r="K3928">
        <v>0</v>
      </c>
      <c r="L3928">
        <v>0</v>
      </c>
    </row>
    <row r="3929" spans="1:12">
      <c r="A3929" t="str">
        <f>HYPERLINK("http://bombeiros.sp.gov.br/hidrantes/03individual/3932.html","3932")</f>
        <v>3932</v>
      </c>
      <c r="B3929" t="str">
        <f>HYPERLINK("http://bombeiros.sp.gov.br/hidrantes/08bsg/qrcodeBSG.html?id=3932&amp;lat=-23.62131&amp;long=-46.67260&amp;tipo=S","QRCODE")</f>
        <v>QRCODE</v>
      </c>
      <c r="C3929" t="s">
        <v>5372</v>
      </c>
      <c r="D3929" t="s">
        <v>524</v>
      </c>
      <c r="E3929" t="s">
        <v>607</v>
      </c>
      <c r="F3929" t="s">
        <v>21</v>
      </c>
      <c r="G3929" t="s">
        <v>4691</v>
      </c>
      <c r="H3929">
        <v>2</v>
      </c>
      <c r="I3929">
        <v>1</v>
      </c>
      <c r="J3929">
        <v>0</v>
      </c>
      <c r="K3929">
        <v>0</v>
      </c>
      <c r="L3929">
        <v>0</v>
      </c>
    </row>
    <row r="3930" spans="1:12">
      <c r="A3930" t="str">
        <f>HYPERLINK("http://bombeiros.sp.gov.br/hidrantes/03individual/4157.html","4157")</f>
        <v>4157</v>
      </c>
      <c r="B3930" t="str">
        <f>HYPERLINK("http://bombeiros.sp.gov.br/hidrantes/08bsg/qrcodeBSG.html?id=4157&amp;lat=-23.61928&amp;long=-46.67734&amp;tipo=S","QRCODE")</f>
        <v>QRCODE</v>
      </c>
      <c r="C3930" t="s">
        <v>5372</v>
      </c>
      <c r="D3930" t="s">
        <v>524</v>
      </c>
      <c r="E3930" t="s">
        <v>607</v>
      </c>
      <c r="F3930" t="s">
        <v>21</v>
      </c>
      <c r="G3930" t="s">
        <v>1987</v>
      </c>
      <c r="H3930">
        <v>0</v>
      </c>
      <c r="I3930">
        <v>2</v>
      </c>
      <c r="J3930">
        <v>0</v>
      </c>
      <c r="K3930">
        <v>0</v>
      </c>
      <c r="L3930">
        <v>0</v>
      </c>
    </row>
    <row r="3931" spans="1:12">
      <c r="A3931" t="str">
        <f>HYPERLINK("http://bombeiros.sp.gov.br/hidrantes/03individual/4158.html","4158")</f>
        <v>4158</v>
      </c>
      <c r="B3931" t="str">
        <f>HYPERLINK("http://bombeiros.sp.gov.br/hidrantes/08bsg/qrcodeBSG.html?id=4158&amp;lat=-23.61799&amp;long=-46.67544&amp;tipo=S","QRCODE")</f>
        <v>QRCODE</v>
      </c>
      <c r="C3931" t="s">
        <v>5372</v>
      </c>
      <c r="D3931" t="s">
        <v>524</v>
      </c>
      <c r="E3931" t="s">
        <v>607</v>
      </c>
      <c r="F3931" t="s">
        <v>21</v>
      </c>
      <c r="G3931" t="s">
        <v>1988</v>
      </c>
      <c r="H3931">
        <v>0</v>
      </c>
      <c r="I3931">
        <v>2</v>
      </c>
      <c r="J3931">
        <v>0</v>
      </c>
      <c r="K3931">
        <v>0</v>
      </c>
      <c r="L3931">
        <v>0</v>
      </c>
    </row>
    <row r="3932" spans="1:12">
      <c r="A3932" t="str">
        <f>HYPERLINK("http://bombeiros.sp.gov.br/hidrantes/03individual/27206.html","27206")</f>
        <v>27206</v>
      </c>
      <c r="B3932" t="str">
        <f>HYPERLINK("http://bombeiros.sp.gov.br/hidrantes/08bsg/qrcodeBSG.html?id=27206&amp;lat=-23.61476&amp;long=-46.67908&amp;tipo=S","QRCODE")</f>
        <v>QRCODE</v>
      </c>
      <c r="C3932" t="s">
        <v>5372</v>
      </c>
      <c r="D3932" t="s">
        <v>524</v>
      </c>
      <c r="E3932" t="s">
        <v>607</v>
      </c>
      <c r="F3932" t="s">
        <v>21</v>
      </c>
      <c r="G3932" t="s">
        <v>5374</v>
      </c>
      <c r="H3932">
        <v>0</v>
      </c>
      <c r="I3932">
        <v>0</v>
      </c>
      <c r="J3932">
        <v>0</v>
      </c>
      <c r="K3932">
        <v>0</v>
      </c>
      <c r="L3932">
        <v>0</v>
      </c>
    </row>
    <row r="3933" spans="1:12">
      <c r="A3933" t="str">
        <f>HYPERLINK("http://bombeiros.sp.gov.br/hidrantes/03individual/3659.html","3659")</f>
        <v>3659</v>
      </c>
      <c r="B3933" t="str">
        <f>HYPERLINK("http://bombeiros.sp.gov.br/hidrantes/08bsg/qrcodeBSG.html?id=3659&amp;lat=-23.67740&amp;long=-46.67743&amp;tipo=C","QRCODE")</f>
        <v>QRCODE</v>
      </c>
      <c r="C3933" t="s">
        <v>5372</v>
      </c>
      <c r="D3933" t="s">
        <v>1296</v>
      </c>
      <c r="E3933" t="s">
        <v>1296</v>
      </c>
      <c r="F3933" t="s">
        <v>12</v>
      </c>
      <c r="G3933" t="s">
        <v>2626</v>
      </c>
      <c r="H3933">
        <v>0</v>
      </c>
      <c r="I3933">
        <v>2</v>
      </c>
      <c r="J3933">
        <v>0</v>
      </c>
      <c r="K3933">
        <v>0</v>
      </c>
      <c r="L3933">
        <v>0</v>
      </c>
    </row>
    <row r="3934" spans="1:12">
      <c r="A3934" t="str">
        <f>HYPERLINK("http://bombeiros.sp.gov.br/hidrantes/03individual/2412.html","2412")</f>
        <v>2412</v>
      </c>
      <c r="B3934" t="str">
        <f>HYPERLINK("http://bombeiros.sp.gov.br/hidrantes/08bsg/qrcodeBSG.html?id=2412&amp;lat=-23.66914&amp;long=-46.67691&amp;tipo=S","QRCODE")</f>
        <v>QRCODE</v>
      </c>
      <c r="C3934" t="s">
        <v>5372</v>
      </c>
      <c r="D3934" t="s">
        <v>1296</v>
      </c>
      <c r="E3934" t="s">
        <v>1296</v>
      </c>
      <c r="F3934" t="s">
        <v>21</v>
      </c>
      <c r="G3934" t="s">
        <v>4403</v>
      </c>
      <c r="H3934">
        <v>0</v>
      </c>
      <c r="I3934">
        <v>3</v>
      </c>
      <c r="J3934">
        <v>0</v>
      </c>
      <c r="K3934">
        <v>0</v>
      </c>
      <c r="L3934">
        <v>0</v>
      </c>
    </row>
    <row r="3935" spans="1:12">
      <c r="A3935" t="str">
        <f>HYPERLINK("http://bombeiros.sp.gov.br/hidrantes/03individual/2429.html","2429")</f>
        <v>2429</v>
      </c>
      <c r="B3935" t="str">
        <f>HYPERLINK("http://bombeiros.sp.gov.br/hidrantes/08bsg/qrcodeBSG.html?id=2429&amp;lat=-23.68852&amp;long=-46.67754&amp;tipo=S","QRCODE")</f>
        <v>QRCODE</v>
      </c>
      <c r="C3935" t="s">
        <v>5372</v>
      </c>
      <c r="D3935" t="s">
        <v>1296</v>
      </c>
      <c r="E3935" t="s">
        <v>1296</v>
      </c>
      <c r="F3935" t="s">
        <v>21</v>
      </c>
      <c r="G3935" t="s">
        <v>1310</v>
      </c>
      <c r="H3935">
        <v>1</v>
      </c>
      <c r="I3935">
        <v>2</v>
      </c>
      <c r="J3935">
        <v>0</v>
      </c>
      <c r="K3935">
        <v>0</v>
      </c>
      <c r="L3935">
        <v>0</v>
      </c>
    </row>
    <row r="3936" spans="1:12">
      <c r="A3936" t="str">
        <f>HYPERLINK("http://bombeiros.sp.gov.br/hidrantes/03individual/2430.html","2430")</f>
        <v>2430</v>
      </c>
      <c r="B3936" t="str">
        <f>HYPERLINK("http://bombeiros.sp.gov.br/hidrantes/08bsg/qrcodeBSG.html?id=2430&amp;lat=-23.68421&amp;long=-46.67880&amp;tipo=S","QRCODE")</f>
        <v>QRCODE</v>
      </c>
      <c r="C3936" t="s">
        <v>5372</v>
      </c>
      <c r="D3936" t="s">
        <v>1296</v>
      </c>
      <c r="E3936" t="s">
        <v>1296</v>
      </c>
      <c r="F3936" t="s">
        <v>21</v>
      </c>
      <c r="G3936" t="s">
        <v>3068</v>
      </c>
      <c r="H3936">
        <v>0</v>
      </c>
      <c r="I3936">
        <v>2</v>
      </c>
      <c r="J3936">
        <v>0</v>
      </c>
      <c r="K3936">
        <v>0</v>
      </c>
      <c r="L3936">
        <v>0</v>
      </c>
    </row>
    <row r="3937" spans="1:12">
      <c r="A3937" t="str">
        <f>HYPERLINK("http://bombeiros.sp.gov.br/hidrantes/03individual/2441.html","2441")</f>
        <v>2441</v>
      </c>
      <c r="B3937" t="str">
        <f>HYPERLINK("http://bombeiros.sp.gov.br/hidrantes/08bsg/qrcodeBSG.html?id=2441&amp;lat=-23.68683&amp;long=-46.68069&amp;tipo=S","QRCODE")</f>
        <v>QRCODE</v>
      </c>
      <c r="C3937" t="s">
        <v>5372</v>
      </c>
      <c r="D3937" t="s">
        <v>1296</v>
      </c>
      <c r="E3937" t="s">
        <v>1296</v>
      </c>
      <c r="F3937" t="s">
        <v>21</v>
      </c>
      <c r="G3937" t="s">
        <v>3059</v>
      </c>
      <c r="H3937">
        <v>0</v>
      </c>
      <c r="I3937">
        <v>2</v>
      </c>
      <c r="J3937">
        <v>0</v>
      </c>
      <c r="K3937">
        <v>0</v>
      </c>
      <c r="L3937">
        <v>0</v>
      </c>
    </row>
    <row r="3938" spans="1:12">
      <c r="A3938" t="str">
        <f>HYPERLINK("http://bombeiros.sp.gov.br/hidrantes/03individual/2463.html","2463")</f>
        <v>2463</v>
      </c>
      <c r="B3938" t="str">
        <f>HYPERLINK("http://bombeiros.sp.gov.br/hidrantes/08bsg/qrcodeBSG.html?id=2463&amp;lat=-23.67210&amp;long=-46.67035&amp;tipo=S","QRCODE")</f>
        <v>QRCODE</v>
      </c>
      <c r="C3938" t="s">
        <v>5372</v>
      </c>
      <c r="D3938" t="s">
        <v>1296</v>
      </c>
      <c r="E3938" t="s">
        <v>1296</v>
      </c>
      <c r="F3938" t="s">
        <v>21</v>
      </c>
      <c r="G3938" t="s">
        <v>4401</v>
      </c>
      <c r="H3938">
        <v>0</v>
      </c>
      <c r="I3938">
        <v>3</v>
      </c>
      <c r="J3938">
        <v>0</v>
      </c>
      <c r="K3938">
        <v>0</v>
      </c>
      <c r="L3938">
        <v>0</v>
      </c>
    </row>
    <row r="3939" spans="1:12">
      <c r="A3939" t="str">
        <f>HYPERLINK("http://bombeiros.sp.gov.br/hidrantes/03individual/2469.html","2469")</f>
        <v>2469</v>
      </c>
      <c r="B3939" t="str">
        <f>HYPERLINK("http://bombeiros.sp.gov.br/hidrantes/08bsg/qrcodeBSG.html?id=2469&amp;lat=-23.69108&amp;long=-46.67499&amp;tipo=S","QRCODE")</f>
        <v>QRCODE</v>
      </c>
      <c r="C3939" t="s">
        <v>5372</v>
      </c>
      <c r="D3939" t="s">
        <v>1296</v>
      </c>
      <c r="E3939" t="s">
        <v>1296</v>
      </c>
      <c r="F3939" t="s">
        <v>21</v>
      </c>
      <c r="G3939" t="s">
        <v>1295</v>
      </c>
      <c r="H3939">
        <v>0</v>
      </c>
      <c r="I3939">
        <v>2</v>
      </c>
      <c r="J3939">
        <v>0</v>
      </c>
      <c r="K3939">
        <v>0</v>
      </c>
      <c r="L3939">
        <v>0</v>
      </c>
    </row>
    <row r="3940" spans="1:12">
      <c r="A3940" t="str">
        <f>HYPERLINK("http://bombeiros.sp.gov.br/hidrantes/03individual/2472.html","2472")</f>
        <v>2472</v>
      </c>
      <c r="B3940" t="str">
        <f>HYPERLINK("http://bombeiros.sp.gov.br/hidrantes/08bsg/qrcodeBSG.html?id=2472&amp;lat=-23.67120&amp;long=-46.67381&amp;tipo=S","QRCODE")</f>
        <v>QRCODE</v>
      </c>
      <c r="C3940" t="s">
        <v>5372</v>
      </c>
      <c r="D3940" t="s">
        <v>1296</v>
      </c>
      <c r="E3940" t="s">
        <v>1296</v>
      </c>
      <c r="F3940" t="s">
        <v>21</v>
      </c>
      <c r="G3940" t="s">
        <v>4400</v>
      </c>
      <c r="H3940">
        <v>0</v>
      </c>
      <c r="I3940">
        <v>2</v>
      </c>
      <c r="J3940">
        <v>0</v>
      </c>
      <c r="K3940">
        <v>0</v>
      </c>
      <c r="L3940">
        <v>0</v>
      </c>
    </row>
    <row r="3941" spans="1:12">
      <c r="A3941" t="str">
        <f>HYPERLINK("http://bombeiros.sp.gov.br/hidrantes/03individual/3657.html","3657")</f>
        <v>3657</v>
      </c>
      <c r="B3941" t="str">
        <f>HYPERLINK("http://bombeiros.sp.gov.br/hidrantes/08bsg/qrcodeBSG.html?id=3657&amp;lat=-23.68694&amp;long=-46.67606&amp;tipo=S","QRCODE")</f>
        <v>QRCODE</v>
      </c>
      <c r="C3941" t="s">
        <v>5372</v>
      </c>
      <c r="D3941" t="s">
        <v>1296</v>
      </c>
      <c r="E3941" t="s">
        <v>1296</v>
      </c>
      <c r="F3941" t="s">
        <v>21</v>
      </c>
      <c r="G3941" t="s">
        <v>3944</v>
      </c>
      <c r="H3941">
        <v>0</v>
      </c>
      <c r="I3941">
        <v>2</v>
      </c>
      <c r="J3941">
        <v>0</v>
      </c>
      <c r="K3941">
        <v>0</v>
      </c>
      <c r="L3941">
        <v>0</v>
      </c>
    </row>
    <row r="3942" spans="1:12">
      <c r="A3942" t="str">
        <f>HYPERLINK("http://bombeiros.sp.gov.br/hidrantes/03individual/3767.html","3767")</f>
        <v>3767</v>
      </c>
      <c r="B3942" t="str">
        <f>HYPERLINK("http://bombeiros.sp.gov.br/hidrantes/08bsg/qrcodeBSG.html?id=3767&amp;lat=-23.67220&amp;long=-46.67646&amp;tipo=S","QRCODE")</f>
        <v>QRCODE</v>
      </c>
      <c r="C3942" t="s">
        <v>5372</v>
      </c>
      <c r="D3942" t="s">
        <v>1296</v>
      </c>
      <c r="E3942" t="s">
        <v>1296</v>
      </c>
      <c r="F3942" t="s">
        <v>21</v>
      </c>
      <c r="G3942" t="s">
        <v>2610</v>
      </c>
      <c r="H3942">
        <v>0</v>
      </c>
      <c r="I3942">
        <v>3</v>
      </c>
      <c r="J3942">
        <v>0</v>
      </c>
      <c r="K3942">
        <v>0</v>
      </c>
      <c r="L3942">
        <v>0</v>
      </c>
    </row>
    <row r="3943" spans="1:12">
      <c r="A3943" t="str">
        <f>HYPERLINK("http://bombeiros.sp.gov.br/hidrantes/03individual/17755.html","17755")</f>
        <v>17755</v>
      </c>
      <c r="B3943" t="str">
        <f>HYPERLINK("http://bombeiros.sp.gov.br/hidrantes/08bsg/qrcodeBSG.html?id=17755&amp;lat=-23.67976&amp;long=-46.68295&amp;tipo=S","QRCODE")</f>
        <v>QRCODE</v>
      </c>
      <c r="C3943" t="s">
        <v>5372</v>
      </c>
      <c r="D3943" t="s">
        <v>1296</v>
      </c>
      <c r="E3943" t="s">
        <v>1296</v>
      </c>
      <c r="F3943" t="s">
        <v>21</v>
      </c>
      <c r="G3943" t="s">
        <v>1321</v>
      </c>
      <c r="H3943">
        <v>2</v>
      </c>
      <c r="I3943">
        <v>2</v>
      </c>
      <c r="J3943">
        <v>0</v>
      </c>
      <c r="K3943">
        <v>0</v>
      </c>
      <c r="L3943">
        <v>0</v>
      </c>
    </row>
    <row r="3944" spans="1:12">
      <c r="A3944" t="str">
        <f>HYPERLINK("http://bombeiros.sp.gov.br/hidrantes/03individual/26871.html","26871")</f>
        <v>26871</v>
      </c>
      <c r="B3944" t="str">
        <f>HYPERLINK("http://bombeiros.sp.gov.br/hidrantes/08bsg/qrcodeBSG.html?id=26871&amp;lat=-23.66990&amp;long=-46.67321&amp;tipo=S","QRCODE")</f>
        <v>QRCODE</v>
      </c>
      <c r="C3944" t="s">
        <v>5372</v>
      </c>
      <c r="D3944" t="s">
        <v>1296</v>
      </c>
      <c r="E3944" t="s">
        <v>1296</v>
      </c>
      <c r="F3944" t="s">
        <v>21</v>
      </c>
      <c r="G3944" t="s">
        <v>4003</v>
      </c>
      <c r="H3944">
        <v>0</v>
      </c>
      <c r="I3944">
        <v>1</v>
      </c>
      <c r="J3944">
        <v>0</v>
      </c>
      <c r="K3944">
        <v>0</v>
      </c>
      <c r="L3944">
        <v>0</v>
      </c>
    </row>
    <row r="3945" spans="1:12">
      <c r="A3945" t="str">
        <f>HYPERLINK("http://bombeiros.sp.gov.br/hidrantes/03individual/26910.html","26910")</f>
        <v>26910</v>
      </c>
      <c r="B3945" t="str">
        <f>HYPERLINK("http://bombeiros.sp.gov.br/hidrantes/08bsg/qrcodeBSG.html?id=26910&amp;lat=-23.68991&amp;long=-46.67843&amp;tipo=S","QRCODE")</f>
        <v>QRCODE</v>
      </c>
      <c r="C3945" t="s">
        <v>5372</v>
      </c>
      <c r="D3945" t="s">
        <v>1296</v>
      </c>
      <c r="E3945" t="s">
        <v>1296</v>
      </c>
      <c r="F3945" t="s">
        <v>21</v>
      </c>
      <c r="G3945" t="s">
        <v>3926</v>
      </c>
      <c r="H3945">
        <v>0</v>
      </c>
      <c r="I3945">
        <v>2</v>
      </c>
      <c r="J3945">
        <v>0</v>
      </c>
      <c r="K3945">
        <v>0</v>
      </c>
      <c r="L3945">
        <v>0</v>
      </c>
    </row>
    <row r="3946" spans="1:12">
      <c r="A3946" t="str">
        <f>HYPERLINK("http://bombeiros.sp.gov.br/hidrantes/03individual/2350.html","2350")</f>
        <v>2350</v>
      </c>
      <c r="B3946" t="str">
        <f>HYPERLINK("http://bombeiros.sp.gov.br/hidrantes/08bsg/qrcodeBSG.html?id=2350&amp;lat=-23.67699&amp;long=-46.69117&amp;tipo=C","QRCODE")</f>
        <v>QRCODE</v>
      </c>
      <c r="C3946" t="s">
        <v>5372</v>
      </c>
      <c r="D3946" t="s">
        <v>1296</v>
      </c>
      <c r="E3946" t="s">
        <v>2208</v>
      </c>
      <c r="F3946" t="s">
        <v>12</v>
      </c>
      <c r="G3946" t="s">
        <v>4528</v>
      </c>
      <c r="H3946">
        <v>1</v>
      </c>
      <c r="I3946">
        <v>2</v>
      </c>
      <c r="J3946">
        <v>0</v>
      </c>
      <c r="K3946">
        <v>0</v>
      </c>
      <c r="L3946">
        <v>0</v>
      </c>
    </row>
    <row r="3947" spans="1:12">
      <c r="A3947" t="str">
        <f>HYPERLINK("http://bombeiros.sp.gov.br/hidrantes/03individual/2374.html","2374")</f>
        <v>2374</v>
      </c>
      <c r="B3947" t="str">
        <f>HYPERLINK("http://bombeiros.sp.gov.br/hidrantes/08bsg/qrcodeBSG.html?id=2374&amp;lat=-23.66873&amp;long=-46.68956&amp;tipo=C","QRCODE")</f>
        <v>QRCODE</v>
      </c>
      <c r="C3947" t="s">
        <v>5372</v>
      </c>
      <c r="D3947" t="s">
        <v>1296</v>
      </c>
      <c r="E3947" t="s">
        <v>2208</v>
      </c>
      <c r="F3947" t="s">
        <v>12</v>
      </c>
      <c r="G3947" t="s">
        <v>3070</v>
      </c>
      <c r="H3947">
        <v>0</v>
      </c>
      <c r="I3947">
        <v>2</v>
      </c>
      <c r="J3947">
        <v>0</v>
      </c>
      <c r="K3947">
        <v>0</v>
      </c>
      <c r="L3947">
        <v>0</v>
      </c>
    </row>
    <row r="3948" spans="1:12">
      <c r="A3948" t="str">
        <f>HYPERLINK("http://bombeiros.sp.gov.br/hidrantes/03individual/2384.html","2384")</f>
        <v>2384</v>
      </c>
      <c r="B3948" t="str">
        <f>HYPERLINK("http://bombeiros.sp.gov.br/hidrantes/08bsg/qrcodeBSG.html?id=2384&amp;lat=-23.67349&amp;long=-46.68666&amp;tipo=C","QRCODE")</f>
        <v>QRCODE</v>
      </c>
      <c r="C3948" t="s">
        <v>5372</v>
      </c>
      <c r="D3948" t="s">
        <v>1296</v>
      </c>
      <c r="E3948" t="s">
        <v>2208</v>
      </c>
      <c r="F3948" t="s">
        <v>12</v>
      </c>
      <c r="G3948" t="s">
        <v>3069</v>
      </c>
      <c r="H3948">
        <v>0</v>
      </c>
      <c r="I3948">
        <v>2</v>
      </c>
      <c r="J3948">
        <v>0</v>
      </c>
      <c r="K3948">
        <v>0</v>
      </c>
      <c r="L3948">
        <v>0</v>
      </c>
    </row>
    <row r="3949" spans="1:12">
      <c r="A3949" t="str">
        <f>HYPERLINK("http://bombeiros.sp.gov.br/hidrantes/03individual/2461.html","2461")</f>
        <v>2461</v>
      </c>
      <c r="B3949" t="str">
        <f>HYPERLINK("http://bombeiros.sp.gov.br/hidrantes/08bsg/qrcodeBSG.html?id=2461&amp;lat=-23.66785&amp;long=-46.70600&amp;tipo=C","QRCODE")</f>
        <v>QRCODE</v>
      </c>
      <c r="C3949" t="s">
        <v>5372</v>
      </c>
      <c r="D3949" t="s">
        <v>1296</v>
      </c>
      <c r="E3949" t="s">
        <v>2208</v>
      </c>
      <c r="F3949" t="s">
        <v>12</v>
      </c>
      <c r="G3949" t="s">
        <v>4016</v>
      </c>
      <c r="H3949">
        <v>0</v>
      </c>
      <c r="I3949">
        <v>1</v>
      </c>
      <c r="J3949">
        <v>0</v>
      </c>
      <c r="K3949">
        <v>0</v>
      </c>
      <c r="L3949">
        <v>0</v>
      </c>
    </row>
    <row r="3950" spans="1:12">
      <c r="A3950" t="str">
        <f>HYPERLINK("http://bombeiros.sp.gov.br/hidrantes/03individual/3664.html","3664")</f>
        <v>3664</v>
      </c>
      <c r="B3950" t="str">
        <f>HYPERLINK("http://bombeiros.sp.gov.br/hidrantes/08bsg/qrcodeBSG.html?id=3664&amp;lat=-23.67195&amp;long=-46.69649&amp;tipo=C","QRCODE")</f>
        <v>QRCODE</v>
      </c>
      <c r="C3950" t="s">
        <v>5372</v>
      </c>
      <c r="D3950" t="s">
        <v>1296</v>
      </c>
      <c r="E3950" t="s">
        <v>2208</v>
      </c>
      <c r="F3950" t="s">
        <v>12</v>
      </c>
      <c r="G3950" t="s">
        <v>2226</v>
      </c>
      <c r="H3950">
        <v>0</v>
      </c>
      <c r="I3950">
        <v>2</v>
      </c>
      <c r="J3950">
        <v>0</v>
      </c>
      <c r="K3950">
        <v>0</v>
      </c>
      <c r="L3950">
        <v>0</v>
      </c>
    </row>
    <row r="3951" spans="1:12">
      <c r="A3951" t="str">
        <f>HYPERLINK("http://bombeiros.sp.gov.br/hidrantes/03individual/4073.html","4073")</f>
        <v>4073</v>
      </c>
      <c r="B3951" t="str">
        <f>HYPERLINK("http://bombeiros.sp.gov.br/hidrantes/08bsg/qrcodeBSG.html?id=4073&amp;lat=-23.67192&amp;long=-46.70288&amp;tipo=C","QRCODE")</f>
        <v>QRCODE</v>
      </c>
      <c r="C3951" t="s">
        <v>5372</v>
      </c>
      <c r="D3951" t="s">
        <v>1296</v>
      </c>
      <c r="E3951" t="s">
        <v>2208</v>
      </c>
      <c r="F3951" t="s">
        <v>12</v>
      </c>
      <c r="G3951" t="s">
        <v>4411</v>
      </c>
      <c r="H3951">
        <v>0</v>
      </c>
      <c r="I3951">
        <v>2</v>
      </c>
      <c r="J3951">
        <v>0</v>
      </c>
      <c r="K3951">
        <v>0</v>
      </c>
      <c r="L3951">
        <v>0</v>
      </c>
    </row>
    <row r="3952" spans="1:12">
      <c r="A3952" t="str">
        <f>HYPERLINK("http://bombeiros.sp.gov.br/hidrantes/03individual/4354.html","4354")</f>
        <v>4354</v>
      </c>
      <c r="B3952" t="str">
        <f>HYPERLINK("http://bombeiros.sp.gov.br/hidrantes/08bsg/qrcodeBSG.html?id=4354&amp;lat=-23.67741&amp;long=-46.69748&amp;tipo=C","QRCODE")</f>
        <v>QRCODE</v>
      </c>
      <c r="C3952" t="s">
        <v>5372</v>
      </c>
      <c r="D3952" t="s">
        <v>1296</v>
      </c>
      <c r="E3952" t="s">
        <v>2208</v>
      </c>
      <c r="F3952" t="s">
        <v>12</v>
      </c>
      <c r="G3952" t="s">
        <v>3889</v>
      </c>
      <c r="H3952">
        <v>1</v>
      </c>
      <c r="I3952">
        <v>1</v>
      </c>
      <c r="J3952">
        <v>0</v>
      </c>
      <c r="K3952">
        <v>0</v>
      </c>
      <c r="L3952">
        <v>0</v>
      </c>
    </row>
    <row r="3953" spans="1:12">
      <c r="A3953" t="str">
        <f>HYPERLINK("http://bombeiros.sp.gov.br/hidrantes/03individual/26914.html","26914")</f>
        <v>26914</v>
      </c>
      <c r="B3953" t="str">
        <f>HYPERLINK("http://bombeiros.sp.gov.br/hidrantes/08bsg/qrcodeBSG.html?id=26914&amp;lat=-23.66454&amp;long=-46.70851&amp;tipo=C","QRCODE")</f>
        <v>QRCODE</v>
      </c>
      <c r="C3953" t="s">
        <v>5372</v>
      </c>
      <c r="D3953" t="s">
        <v>1296</v>
      </c>
      <c r="E3953" t="s">
        <v>2208</v>
      </c>
      <c r="F3953" t="s">
        <v>12</v>
      </c>
      <c r="G3953" t="s">
        <v>4006</v>
      </c>
      <c r="H3953">
        <v>0</v>
      </c>
      <c r="I3953">
        <v>1</v>
      </c>
      <c r="J3953">
        <v>0</v>
      </c>
      <c r="K3953">
        <v>0</v>
      </c>
      <c r="L3953">
        <v>0</v>
      </c>
    </row>
    <row r="3954" spans="1:12">
      <c r="A3954" t="str">
        <f>HYPERLINK("http://bombeiros.sp.gov.br/hidrantes/03individual/2354.html","2354")</f>
        <v>2354</v>
      </c>
      <c r="B3954" t="str">
        <f>HYPERLINK("http://bombeiros.sp.gov.br/hidrantes/08bsg/qrcodeBSG.html?id=2354&amp;lat=-23.66459&amp;long=-46.69402&amp;tipo=S","QRCODE")</f>
        <v>QRCODE</v>
      </c>
      <c r="C3954" t="s">
        <v>5372</v>
      </c>
      <c r="D3954" t="s">
        <v>1296</v>
      </c>
      <c r="E3954" t="s">
        <v>2208</v>
      </c>
      <c r="F3954" t="s">
        <v>21</v>
      </c>
      <c r="G3954" t="s">
        <v>4529</v>
      </c>
      <c r="H3954">
        <v>0</v>
      </c>
      <c r="I3954">
        <v>2</v>
      </c>
      <c r="J3954">
        <v>0</v>
      </c>
      <c r="K3954">
        <v>0</v>
      </c>
      <c r="L3954">
        <v>0</v>
      </c>
    </row>
    <row r="3955" spans="1:12">
      <c r="A3955" t="str">
        <f>HYPERLINK("http://bombeiros.sp.gov.br/hidrantes/03individual/3748.html","3748")</f>
        <v>3748</v>
      </c>
      <c r="B3955" t="str">
        <f>HYPERLINK("http://bombeiros.sp.gov.br/hidrantes/08bsg/qrcodeBSG.html?id=3748&amp;lat=-23.68281&amp;long=-46.69078&amp;tipo=S","QRCODE")</f>
        <v>QRCODE</v>
      </c>
      <c r="C3955" t="s">
        <v>5372</v>
      </c>
      <c r="D3955" t="s">
        <v>1296</v>
      </c>
      <c r="E3955" t="s">
        <v>2208</v>
      </c>
      <c r="F3955" t="s">
        <v>21</v>
      </c>
      <c r="G3955" t="s">
        <v>3022</v>
      </c>
      <c r="H3955">
        <v>0</v>
      </c>
      <c r="I3955">
        <v>2</v>
      </c>
      <c r="J3955">
        <v>0</v>
      </c>
      <c r="K3955">
        <v>0</v>
      </c>
      <c r="L3955">
        <v>0</v>
      </c>
    </row>
    <row r="3956" spans="1:12">
      <c r="A3956" t="str">
        <f>HYPERLINK("http://bombeiros.sp.gov.br/hidrantes/03individual/3758.html","3758")</f>
        <v>3758</v>
      </c>
      <c r="B3956" t="str">
        <f>HYPERLINK("http://bombeiros.sp.gov.br/hidrantes/08bsg/qrcodeBSG.html?id=3758&amp;lat=-23.67463&amp;long=-46.68689&amp;tipo=S","QRCODE")</f>
        <v>QRCODE</v>
      </c>
      <c r="C3956" t="s">
        <v>5372</v>
      </c>
      <c r="D3956" t="s">
        <v>1296</v>
      </c>
      <c r="E3956" t="s">
        <v>2208</v>
      </c>
      <c r="F3956" t="s">
        <v>21</v>
      </c>
      <c r="G3956" t="s">
        <v>4485</v>
      </c>
      <c r="H3956">
        <v>0</v>
      </c>
      <c r="I3956">
        <v>3</v>
      </c>
      <c r="J3956">
        <v>0</v>
      </c>
      <c r="K3956">
        <v>0</v>
      </c>
      <c r="L3956">
        <v>0</v>
      </c>
    </row>
    <row r="3957" spans="1:12">
      <c r="A3957" t="str">
        <f>HYPERLINK("http://bombeiros.sp.gov.br/hidrantes/03individual/3759.html","3759")</f>
        <v>3759</v>
      </c>
      <c r="B3957" t="str">
        <f>HYPERLINK("http://bombeiros.sp.gov.br/hidrantes/08bsg/qrcodeBSG.html?id=3759&amp;lat=-23.67396&amp;long=-46.68646&amp;tipo=S","QRCODE")</f>
        <v>QRCODE</v>
      </c>
      <c r="C3957" t="s">
        <v>5372</v>
      </c>
      <c r="D3957" t="s">
        <v>1296</v>
      </c>
      <c r="E3957" t="s">
        <v>2208</v>
      </c>
      <c r="F3957" t="s">
        <v>21</v>
      </c>
      <c r="G3957" t="s">
        <v>4486</v>
      </c>
      <c r="H3957">
        <v>0</v>
      </c>
      <c r="I3957">
        <v>2</v>
      </c>
      <c r="J3957">
        <v>0</v>
      </c>
      <c r="K3957">
        <v>0</v>
      </c>
      <c r="L3957">
        <v>0</v>
      </c>
    </row>
    <row r="3958" spans="1:12">
      <c r="A3958" t="str">
        <f>HYPERLINK("http://bombeiros.sp.gov.br/hidrantes/03individual/3760.html","3760")</f>
        <v>3760</v>
      </c>
      <c r="B3958" t="str">
        <f>HYPERLINK("http://bombeiros.sp.gov.br/hidrantes/08bsg/qrcodeBSG.html?id=3760&amp;lat=-23.67308&amp;long=-46.68928&amp;tipo=S","QRCODE")</f>
        <v>QRCODE</v>
      </c>
      <c r="C3958" t="s">
        <v>5372</v>
      </c>
      <c r="D3958" t="s">
        <v>1296</v>
      </c>
      <c r="E3958" t="s">
        <v>2208</v>
      </c>
      <c r="F3958" t="s">
        <v>21</v>
      </c>
      <c r="G3958" t="s">
        <v>4484</v>
      </c>
      <c r="H3958">
        <v>0</v>
      </c>
      <c r="I3958">
        <v>2</v>
      </c>
      <c r="J3958">
        <v>0</v>
      </c>
      <c r="K3958">
        <v>0</v>
      </c>
      <c r="L3958">
        <v>0</v>
      </c>
    </row>
    <row r="3959" spans="1:12">
      <c r="A3959" t="str">
        <f>HYPERLINK("http://bombeiros.sp.gov.br/hidrantes/03individual/3792.html","3792")</f>
        <v>3792</v>
      </c>
      <c r="B3959" t="str">
        <f>HYPERLINK("http://bombeiros.sp.gov.br/hidrantes/08bsg/qrcodeBSG.html?id=3792&amp;lat=-23.66301&amp;long=-46.69372&amp;tipo=S","QRCODE")</f>
        <v>QRCODE</v>
      </c>
      <c r="C3959" t="s">
        <v>5372</v>
      </c>
      <c r="D3959" t="s">
        <v>1296</v>
      </c>
      <c r="E3959" t="s">
        <v>2208</v>
      </c>
      <c r="F3959" t="s">
        <v>21</v>
      </c>
      <c r="G3959" t="s">
        <v>4428</v>
      </c>
      <c r="H3959">
        <v>0</v>
      </c>
      <c r="I3959">
        <v>2</v>
      </c>
      <c r="J3959">
        <v>0</v>
      </c>
      <c r="K3959">
        <v>0</v>
      </c>
      <c r="L3959">
        <v>0</v>
      </c>
    </row>
    <row r="3960" spans="1:12">
      <c r="A3960" t="str">
        <f>HYPERLINK("http://bombeiros.sp.gov.br/hidrantes/03individual/3796.html","3796")</f>
        <v>3796</v>
      </c>
      <c r="B3960" t="str">
        <f>HYPERLINK("http://bombeiros.sp.gov.br/hidrantes/08bsg/qrcodeBSG.html?id=3796&amp;lat=-23.66100&amp;long=-46.69808&amp;tipo=S","QRCODE")</f>
        <v>QRCODE</v>
      </c>
      <c r="C3960" t="s">
        <v>5372</v>
      </c>
      <c r="D3960" t="s">
        <v>1296</v>
      </c>
      <c r="E3960" t="s">
        <v>2208</v>
      </c>
      <c r="F3960" t="s">
        <v>21</v>
      </c>
      <c r="G3960" t="s">
        <v>2222</v>
      </c>
      <c r="H3960">
        <v>0</v>
      </c>
      <c r="I3960">
        <v>2</v>
      </c>
      <c r="J3960">
        <v>0</v>
      </c>
      <c r="K3960">
        <v>0</v>
      </c>
      <c r="L3960">
        <v>0</v>
      </c>
    </row>
    <row r="3961" spans="1:12">
      <c r="A3961" t="str">
        <f>HYPERLINK("http://bombeiros.sp.gov.br/hidrantes/03individual/3801.html","3801")</f>
        <v>3801</v>
      </c>
      <c r="B3961" t="str">
        <f>HYPERLINK("http://bombeiros.sp.gov.br/hidrantes/08bsg/qrcodeBSG.html?id=3801&amp;lat=-23.65933&amp;long=-46.69243&amp;tipo=S","QRCODE")</f>
        <v>QRCODE</v>
      </c>
      <c r="C3961" t="s">
        <v>5372</v>
      </c>
      <c r="D3961" t="s">
        <v>1296</v>
      </c>
      <c r="E3961" t="s">
        <v>2208</v>
      </c>
      <c r="F3961" t="s">
        <v>21</v>
      </c>
      <c r="G3961" t="s">
        <v>4423</v>
      </c>
      <c r="H3961">
        <v>0</v>
      </c>
      <c r="I3961">
        <v>2</v>
      </c>
      <c r="J3961">
        <v>0</v>
      </c>
      <c r="K3961">
        <v>0</v>
      </c>
      <c r="L3961">
        <v>0</v>
      </c>
    </row>
    <row r="3962" spans="1:12">
      <c r="A3962" t="str">
        <f>HYPERLINK("http://bombeiros.sp.gov.br/hidrantes/03individual/4071.html","4071")</f>
        <v>4071</v>
      </c>
      <c r="B3962" t="str">
        <f>HYPERLINK("http://bombeiros.sp.gov.br/hidrantes/08bsg/qrcodeBSG.html?id=4071&amp;lat=-23.66379&amp;long=-46.70597&amp;tipo=S","QRCODE")</f>
        <v>QRCODE</v>
      </c>
      <c r="C3962" t="s">
        <v>5372</v>
      </c>
      <c r="D3962" t="s">
        <v>1296</v>
      </c>
      <c r="E3962" t="s">
        <v>2208</v>
      </c>
      <c r="F3962" t="s">
        <v>21</v>
      </c>
      <c r="G3962" t="s">
        <v>2207</v>
      </c>
      <c r="H3962">
        <v>0</v>
      </c>
      <c r="I3962">
        <v>2</v>
      </c>
      <c r="J3962">
        <v>0</v>
      </c>
      <c r="K3962">
        <v>0</v>
      </c>
      <c r="L3962">
        <v>0</v>
      </c>
    </row>
    <row r="3963" spans="1:12">
      <c r="A3963" t="str">
        <f>HYPERLINK("http://bombeiros.sp.gov.br/hidrantes/03individual/4214.html","4214")</f>
        <v>4214</v>
      </c>
      <c r="B3963" t="str">
        <f>HYPERLINK("http://bombeiros.sp.gov.br/hidrantes/08bsg/qrcodeBSG.html?id=4214&amp;lat=-23.67615&amp;long=-46.68870&amp;tipo=S","QRCODE")</f>
        <v>QRCODE</v>
      </c>
      <c r="C3963" t="s">
        <v>5372</v>
      </c>
      <c r="D3963" t="s">
        <v>1296</v>
      </c>
      <c r="E3963" t="s">
        <v>2208</v>
      </c>
      <c r="F3963" t="s">
        <v>21</v>
      </c>
      <c r="G3963" t="s">
        <v>4407</v>
      </c>
      <c r="H3963">
        <v>0</v>
      </c>
      <c r="I3963">
        <v>2</v>
      </c>
      <c r="J3963">
        <v>0</v>
      </c>
      <c r="K3963">
        <v>0</v>
      </c>
      <c r="L3963">
        <v>0</v>
      </c>
    </row>
    <row r="3964" spans="1:12">
      <c r="A3964" t="str">
        <f>HYPERLINK("http://bombeiros.sp.gov.br/hidrantes/03individual/4216.html","4216")</f>
        <v>4216</v>
      </c>
      <c r="B3964" t="str">
        <f>HYPERLINK("http://bombeiros.sp.gov.br/hidrantes/08bsg/qrcodeBSG.html?id=4216&amp;lat=-23.66801&amp;long=-46.69209&amp;tipo=S","QRCODE")</f>
        <v>QRCODE</v>
      </c>
      <c r="C3964" t="s">
        <v>5372</v>
      </c>
      <c r="D3964" t="s">
        <v>1296</v>
      </c>
      <c r="E3964" t="s">
        <v>2208</v>
      </c>
      <c r="F3964" t="s">
        <v>21</v>
      </c>
      <c r="G3964" t="s">
        <v>4032</v>
      </c>
      <c r="H3964">
        <v>0</v>
      </c>
      <c r="I3964">
        <v>1</v>
      </c>
      <c r="J3964">
        <v>0</v>
      </c>
      <c r="K3964">
        <v>0</v>
      </c>
      <c r="L3964">
        <v>0</v>
      </c>
    </row>
    <row r="3965" spans="1:12">
      <c r="A3965" t="str">
        <f>HYPERLINK("http://bombeiros.sp.gov.br/hidrantes/03individual/4348.html","4348")</f>
        <v>4348</v>
      </c>
      <c r="B3965" t="str">
        <f>HYPERLINK("http://bombeiros.sp.gov.br/hidrantes/08bsg/qrcodeBSG.html?id=4348&amp;lat=-23.67734&amp;long=-46.69146&amp;tipo=S","QRCODE")</f>
        <v>QRCODE</v>
      </c>
      <c r="C3965" t="s">
        <v>5372</v>
      </c>
      <c r="D3965" t="s">
        <v>1296</v>
      </c>
      <c r="E3965" t="s">
        <v>2208</v>
      </c>
      <c r="F3965" t="s">
        <v>21</v>
      </c>
      <c r="G3965" t="s">
        <v>4497</v>
      </c>
      <c r="H3965">
        <v>0</v>
      </c>
      <c r="I3965">
        <v>2</v>
      </c>
      <c r="J3965">
        <v>0</v>
      </c>
      <c r="K3965">
        <v>0</v>
      </c>
      <c r="L3965">
        <v>0</v>
      </c>
    </row>
    <row r="3966" spans="1:12">
      <c r="A3966" t="str">
        <f>HYPERLINK("http://bombeiros.sp.gov.br/hidrantes/03individual/4353.html","4353")</f>
        <v>4353</v>
      </c>
      <c r="B3966" t="str">
        <f>HYPERLINK("http://bombeiros.sp.gov.br/hidrantes/08bsg/qrcodeBSG.html?id=4353&amp;lat=-23.68059&amp;long=-46.69548&amp;tipo=S","QRCODE")</f>
        <v>QRCODE</v>
      </c>
      <c r="C3966" t="s">
        <v>5372</v>
      </c>
      <c r="D3966" t="s">
        <v>1296</v>
      </c>
      <c r="E3966" t="s">
        <v>2208</v>
      </c>
      <c r="F3966" t="s">
        <v>21</v>
      </c>
      <c r="G3966" t="s">
        <v>3050</v>
      </c>
      <c r="H3966">
        <v>0</v>
      </c>
      <c r="I3966">
        <v>2</v>
      </c>
      <c r="J3966">
        <v>0</v>
      </c>
      <c r="K3966">
        <v>0</v>
      </c>
      <c r="L3966">
        <v>0</v>
      </c>
    </row>
    <row r="3967" spans="1:12">
      <c r="A3967" t="str">
        <f>HYPERLINK("http://bombeiros.sp.gov.br/hidrantes/03individual/4355.html","4355")</f>
        <v>4355</v>
      </c>
      <c r="B3967" t="str">
        <f>HYPERLINK("http://bombeiros.sp.gov.br/hidrantes/08bsg/qrcodeBSG.html?id=4355&amp;lat=-23.67489&amp;long=-46.69174&amp;tipo=S","QRCODE")</f>
        <v>QRCODE</v>
      </c>
      <c r="C3967" t="s">
        <v>5372</v>
      </c>
      <c r="D3967" t="s">
        <v>1296</v>
      </c>
      <c r="E3967" t="s">
        <v>2208</v>
      </c>
      <c r="F3967" t="s">
        <v>21</v>
      </c>
      <c r="G3967" t="s">
        <v>4406</v>
      </c>
      <c r="H3967">
        <v>0</v>
      </c>
      <c r="I3967">
        <v>3</v>
      </c>
      <c r="J3967">
        <v>0</v>
      </c>
      <c r="K3967">
        <v>0</v>
      </c>
      <c r="L3967">
        <v>0</v>
      </c>
    </row>
    <row r="3968" spans="1:12">
      <c r="A3968" t="str">
        <f>HYPERLINK("http://bombeiros.sp.gov.br/hidrantes/03individual/27244.html","27244")</f>
        <v>27244</v>
      </c>
      <c r="B3968" t="str">
        <f>HYPERLINK("http://bombeiros.sp.gov.br/hidrantes/08bsg/qrcodeBSG.html?id=27244&amp;lat=-23.67538&amp;long=-46.69989&amp;tipo=S","QRCODE")</f>
        <v>QRCODE</v>
      </c>
      <c r="C3968" t="s">
        <v>5372</v>
      </c>
      <c r="D3968" t="s">
        <v>1296</v>
      </c>
      <c r="E3968" t="s">
        <v>2208</v>
      </c>
      <c r="F3968" t="s">
        <v>21</v>
      </c>
      <c r="G3968" t="s">
        <v>5375</v>
      </c>
      <c r="H3968">
        <v>0</v>
      </c>
      <c r="I3968">
        <v>0</v>
      </c>
      <c r="J3968">
        <v>0</v>
      </c>
      <c r="K3968">
        <v>0</v>
      </c>
      <c r="L3968">
        <v>0</v>
      </c>
    </row>
    <row r="3969" spans="1:12">
      <c r="A3969" t="str">
        <f>HYPERLINK("http://bombeiros.sp.gov.br/hidrantes/03individual/27289.html","27289")</f>
        <v>27289</v>
      </c>
      <c r="B3969" t="str">
        <f>HYPERLINK("http://bombeiros.sp.gov.br/hidrantes/08bsg/qrcodeBSG.html?id=27289&amp;lat=-23.66114&amp;long=-46.69381&amp;tipo=S","QRCODE")</f>
        <v>QRCODE</v>
      </c>
      <c r="C3969" t="s">
        <v>5372</v>
      </c>
      <c r="D3969" t="s">
        <v>1296</v>
      </c>
      <c r="E3969" t="s">
        <v>2208</v>
      </c>
      <c r="F3969" t="s">
        <v>21</v>
      </c>
      <c r="G3969" t="s">
        <v>5376</v>
      </c>
      <c r="H3969">
        <v>0</v>
      </c>
      <c r="I3969">
        <v>0</v>
      </c>
      <c r="J3969">
        <v>0</v>
      </c>
      <c r="K3969">
        <v>0</v>
      </c>
      <c r="L3969">
        <v>0</v>
      </c>
    </row>
    <row r="3970" spans="1:12">
      <c r="A3970" t="str">
        <f>HYPERLINK("http://bombeiros.sp.gov.br/hidrantes/03individual/2424.html","2424")</f>
        <v>2424</v>
      </c>
      <c r="B3970" t="str">
        <f>HYPERLINK("http://bombeiros.sp.gov.br/hidrantes/08bsg/qrcodeBSG.html?id=2424&amp;lat=-23.69108&amp;long=-46.67813&amp;tipo=S","QRCODE")</f>
        <v>QRCODE</v>
      </c>
      <c r="C3970" t="s">
        <v>5372</v>
      </c>
      <c r="D3970" t="s">
        <v>1296</v>
      </c>
      <c r="E3970" t="s">
        <v>3066</v>
      </c>
      <c r="F3970" t="s">
        <v>21</v>
      </c>
      <c r="G3970" t="s">
        <v>3065</v>
      </c>
      <c r="H3970">
        <v>0</v>
      </c>
      <c r="I3970">
        <v>2</v>
      </c>
      <c r="J3970">
        <v>0</v>
      </c>
      <c r="K3970">
        <v>0</v>
      </c>
      <c r="L3970">
        <v>0</v>
      </c>
    </row>
    <row r="3971" spans="1:12">
      <c r="A3971" t="str">
        <f>HYPERLINK("http://bombeiros.sp.gov.br/hidrantes/03individual/17870.html","17870")</f>
        <v>17870</v>
      </c>
      <c r="B3971" t="str">
        <f>HYPERLINK("http://bombeiros.sp.gov.br/hidrantes/08bsg/qrcodeBSG.html?id=17870&amp;lat=-23.69172&amp;long=-46.67985&amp;tipo=S","QRCODE")</f>
        <v>QRCODE</v>
      </c>
      <c r="C3971" t="s">
        <v>5372</v>
      </c>
      <c r="D3971" t="s">
        <v>1296</v>
      </c>
      <c r="E3971" t="s">
        <v>3066</v>
      </c>
      <c r="F3971" t="s">
        <v>21</v>
      </c>
      <c r="G3971" t="s">
        <v>3927</v>
      </c>
      <c r="H3971">
        <v>0</v>
      </c>
      <c r="I3971">
        <v>1</v>
      </c>
      <c r="J3971">
        <v>0</v>
      </c>
      <c r="K3971">
        <v>0</v>
      </c>
      <c r="L3971">
        <v>0</v>
      </c>
    </row>
    <row r="3972" spans="1:12">
      <c r="A3972" t="str">
        <f>HYPERLINK("http://bombeiros.sp.gov.br/hidrantes/03individual/2388.html","2388")</f>
        <v>2388</v>
      </c>
      <c r="B3972" t="str">
        <f>HYPERLINK("http://bombeiros.sp.gov.br/hidrantes/08bsg/qrcodeBSG.html?id=2388&amp;lat=-23.67834&amp;long=-46.68475&amp;tipo=C","QRCODE")</f>
        <v>QRCODE</v>
      </c>
      <c r="C3972" t="s">
        <v>5372</v>
      </c>
      <c r="D3972" t="s">
        <v>1296</v>
      </c>
      <c r="E3972" t="s">
        <v>3047</v>
      </c>
      <c r="F3972" t="s">
        <v>12</v>
      </c>
      <c r="G3972" t="s">
        <v>4524</v>
      </c>
      <c r="H3972">
        <v>0</v>
      </c>
      <c r="I3972">
        <v>2</v>
      </c>
      <c r="J3972">
        <v>0</v>
      </c>
      <c r="K3972">
        <v>0</v>
      </c>
      <c r="L3972">
        <v>0</v>
      </c>
    </row>
    <row r="3973" spans="1:12">
      <c r="A3973" t="str">
        <f>HYPERLINK("http://bombeiros.sp.gov.br/hidrantes/03individual/6730.html","6730")</f>
        <v>6730</v>
      </c>
      <c r="B3973" t="str">
        <f>HYPERLINK("http://bombeiros.sp.gov.br/hidrantes/08bsg/qrcodeBSG.html?id=6730&amp;lat=-23.65849&amp;long=-46.68280&amp;tipo=C","QRCODE")</f>
        <v>QRCODE</v>
      </c>
      <c r="C3973" t="s">
        <v>5372</v>
      </c>
      <c r="D3973" t="s">
        <v>1296</v>
      </c>
      <c r="E3973" t="s">
        <v>3047</v>
      </c>
      <c r="F3973" t="s">
        <v>12</v>
      </c>
      <c r="G3973" t="s">
        <v>3739</v>
      </c>
      <c r="H3973">
        <v>1</v>
      </c>
      <c r="I3973">
        <v>1</v>
      </c>
      <c r="J3973">
        <v>0</v>
      </c>
      <c r="K3973">
        <v>0</v>
      </c>
      <c r="L3973">
        <v>0</v>
      </c>
    </row>
    <row r="3974" spans="1:12">
      <c r="A3974" t="str">
        <f>HYPERLINK("http://bombeiros.sp.gov.br/hidrantes/03individual/6739.html","6739")</f>
        <v>6739</v>
      </c>
      <c r="B3974" t="str">
        <f>HYPERLINK("http://bombeiros.sp.gov.br/hidrantes/08bsg/qrcodeBSG.html?id=6739&amp;lat=-23.66347&amp;long=-46.68192&amp;tipo=C","QRCODE")</f>
        <v>QRCODE</v>
      </c>
      <c r="C3974" t="s">
        <v>5372</v>
      </c>
      <c r="D3974" t="s">
        <v>1296</v>
      </c>
      <c r="E3974" t="s">
        <v>3047</v>
      </c>
      <c r="F3974" t="s">
        <v>12</v>
      </c>
      <c r="G3974" t="s">
        <v>3364</v>
      </c>
      <c r="H3974">
        <v>0</v>
      </c>
      <c r="I3974">
        <v>2</v>
      </c>
      <c r="J3974">
        <v>0</v>
      </c>
      <c r="K3974">
        <v>0</v>
      </c>
      <c r="L3974">
        <v>0</v>
      </c>
    </row>
    <row r="3975" spans="1:12">
      <c r="A3975" t="str">
        <f>HYPERLINK("http://bombeiros.sp.gov.br/hidrantes/03individual/26283.html","26283")</f>
        <v>26283</v>
      </c>
      <c r="B3975" t="str">
        <f>HYPERLINK("http://bombeiros.sp.gov.br/hidrantes/08bsg/qrcodeBSG.html?id=26283&amp;lat=-23.66309&amp;long=-46.68406&amp;tipo=C","QRCODE")</f>
        <v>QRCODE</v>
      </c>
      <c r="C3975" t="s">
        <v>5372</v>
      </c>
      <c r="D3975" t="s">
        <v>1296</v>
      </c>
      <c r="E3975" t="s">
        <v>3047</v>
      </c>
      <c r="F3975" t="s">
        <v>12</v>
      </c>
      <c r="G3975" t="s">
        <v>3074</v>
      </c>
      <c r="H3975">
        <v>0</v>
      </c>
      <c r="I3975">
        <v>2</v>
      </c>
      <c r="J3975">
        <v>0</v>
      </c>
      <c r="K3975">
        <v>0</v>
      </c>
      <c r="L3975">
        <v>0</v>
      </c>
    </row>
    <row r="3976" spans="1:12">
      <c r="A3976" t="str">
        <f>HYPERLINK("http://bombeiros.sp.gov.br/hidrantes/03individual/2400.html","2400")</f>
        <v>2400</v>
      </c>
      <c r="B3976" t="str">
        <f>HYPERLINK("http://bombeiros.sp.gov.br/hidrantes/08bsg/qrcodeBSG.html?id=2400&amp;lat=-23.66921&amp;long=-46.68260&amp;tipo=S","QRCODE")</f>
        <v>QRCODE</v>
      </c>
      <c r="C3976" t="s">
        <v>5372</v>
      </c>
      <c r="D3976" t="s">
        <v>1296</v>
      </c>
      <c r="E3976" t="s">
        <v>3047</v>
      </c>
      <c r="F3976" t="s">
        <v>21</v>
      </c>
      <c r="G3976" t="s">
        <v>3064</v>
      </c>
      <c r="H3976">
        <v>0</v>
      </c>
      <c r="I3976">
        <v>2</v>
      </c>
      <c r="J3976">
        <v>0</v>
      </c>
      <c r="K3976">
        <v>0</v>
      </c>
      <c r="L3976">
        <v>0</v>
      </c>
    </row>
    <row r="3977" spans="1:12">
      <c r="A3977" t="str">
        <f>HYPERLINK("http://bombeiros.sp.gov.br/hidrantes/03individual/2420.html","2420")</f>
        <v>2420</v>
      </c>
      <c r="B3977" t="str">
        <f>HYPERLINK("http://bombeiros.sp.gov.br/hidrantes/08bsg/qrcodeBSG.html?id=2420&amp;lat=-23.67066&amp;long=-46.68101&amp;tipo=S","QRCODE")</f>
        <v>QRCODE</v>
      </c>
      <c r="C3977" t="s">
        <v>5372</v>
      </c>
      <c r="D3977" t="s">
        <v>1296</v>
      </c>
      <c r="E3977" t="s">
        <v>3047</v>
      </c>
      <c r="F3977" t="s">
        <v>21</v>
      </c>
      <c r="G3977" t="s">
        <v>4193</v>
      </c>
      <c r="H3977">
        <v>0</v>
      </c>
      <c r="I3977">
        <v>1</v>
      </c>
      <c r="J3977">
        <v>0</v>
      </c>
      <c r="K3977">
        <v>0</v>
      </c>
      <c r="L3977">
        <v>0</v>
      </c>
    </row>
    <row r="3978" spans="1:12">
      <c r="A3978" t="str">
        <f>HYPERLINK("http://bombeiros.sp.gov.br/hidrantes/03individual/2426.html","2426")</f>
        <v>2426</v>
      </c>
      <c r="B3978" t="str">
        <f>HYPERLINK("http://bombeiros.sp.gov.br/hidrantes/08bsg/qrcodeBSG.html?id=2426&amp;lat=-23.65436&amp;long=-46.68057&amp;tipo=S","QRCODE")</f>
        <v>QRCODE</v>
      </c>
      <c r="C3978" t="s">
        <v>5372</v>
      </c>
      <c r="D3978" t="s">
        <v>1296</v>
      </c>
      <c r="E3978" t="s">
        <v>3047</v>
      </c>
      <c r="F3978" t="s">
        <v>21</v>
      </c>
      <c r="G3978" t="s">
        <v>3067</v>
      </c>
      <c r="H3978">
        <v>0</v>
      </c>
      <c r="I3978">
        <v>2</v>
      </c>
      <c r="J3978">
        <v>0</v>
      </c>
      <c r="K3978">
        <v>0</v>
      </c>
      <c r="L3978">
        <v>0</v>
      </c>
    </row>
    <row r="3979" spans="1:12">
      <c r="A3979" t="str">
        <f>HYPERLINK("http://bombeiros.sp.gov.br/hidrantes/03individual/3786.html","3786")</f>
        <v>3786</v>
      </c>
      <c r="B3979" t="str">
        <f>HYPERLINK("http://bombeiros.sp.gov.br/hidrantes/08bsg/qrcodeBSG.html?id=3786&amp;lat=-23.66759&amp;long=-46.68038&amp;tipo=S","QRCODE")</f>
        <v>QRCODE</v>
      </c>
      <c r="C3979" t="s">
        <v>5372</v>
      </c>
      <c r="D3979" t="s">
        <v>1296</v>
      </c>
      <c r="E3979" t="s">
        <v>3047</v>
      </c>
      <c r="F3979" t="s">
        <v>21</v>
      </c>
      <c r="G3979" t="s">
        <v>4489</v>
      </c>
      <c r="H3979">
        <v>0</v>
      </c>
      <c r="I3979">
        <v>2</v>
      </c>
      <c r="J3979">
        <v>0</v>
      </c>
      <c r="K3979">
        <v>0</v>
      </c>
      <c r="L3979">
        <v>0</v>
      </c>
    </row>
    <row r="3980" spans="1:12">
      <c r="A3980" t="str">
        <f>HYPERLINK("http://bombeiros.sp.gov.br/hidrantes/03individual/3790.html","3790")</f>
        <v>3790</v>
      </c>
      <c r="B3980" t="str">
        <f>HYPERLINK("http://bombeiros.sp.gov.br/hidrantes/08bsg/qrcodeBSG.html?id=3790&amp;lat=-23.65679&amp;long=-46.68145&amp;tipo=S","QRCODE")</f>
        <v>QRCODE</v>
      </c>
      <c r="C3980" t="s">
        <v>5372</v>
      </c>
      <c r="D3980" t="s">
        <v>1296</v>
      </c>
      <c r="E3980" t="s">
        <v>3047</v>
      </c>
      <c r="F3980" t="s">
        <v>21</v>
      </c>
      <c r="G3980" t="s">
        <v>4490</v>
      </c>
      <c r="H3980">
        <v>0</v>
      </c>
      <c r="I3980">
        <v>2</v>
      </c>
      <c r="J3980">
        <v>0</v>
      </c>
      <c r="K3980">
        <v>0</v>
      </c>
      <c r="L3980">
        <v>0</v>
      </c>
    </row>
    <row r="3981" spans="1:12">
      <c r="A3981" t="str">
        <f>HYPERLINK("http://bombeiros.sp.gov.br/hidrantes/03individual/3832.html","3832")</f>
        <v>3832</v>
      </c>
      <c r="B3981" t="str">
        <f>HYPERLINK("http://bombeiros.sp.gov.br/hidrantes/08bsg/qrcodeBSG.html?id=3832&amp;lat=-23.65260&amp;long=-46.68607&amp;tipo=S","QRCODE")</f>
        <v>QRCODE</v>
      </c>
      <c r="C3981" t="s">
        <v>5372</v>
      </c>
      <c r="D3981" t="s">
        <v>1296</v>
      </c>
      <c r="E3981" t="s">
        <v>3047</v>
      </c>
      <c r="F3981" t="s">
        <v>21</v>
      </c>
      <c r="G3981" t="s">
        <v>4684</v>
      </c>
      <c r="H3981">
        <v>1</v>
      </c>
      <c r="I3981">
        <v>1</v>
      </c>
      <c r="J3981">
        <v>0</v>
      </c>
      <c r="K3981">
        <v>0</v>
      </c>
      <c r="L3981">
        <v>0</v>
      </c>
    </row>
    <row r="3982" spans="1:12">
      <c r="A3982" t="str">
        <f>HYPERLINK("http://bombeiros.sp.gov.br/hidrantes/03individual/4217.html","4217")</f>
        <v>4217</v>
      </c>
      <c r="B3982" t="str">
        <f>HYPERLINK("http://bombeiros.sp.gov.br/hidrantes/08bsg/qrcodeBSG.html?id=4217&amp;lat=-23.65400&amp;long=-46.68833&amp;tipo=S","QRCODE")</f>
        <v>QRCODE</v>
      </c>
      <c r="C3982" t="s">
        <v>5372</v>
      </c>
      <c r="D3982" t="s">
        <v>1296</v>
      </c>
      <c r="E3982" t="s">
        <v>3047</v>
      </c>
      <c r="F3982" t="s">
        <v>21</v>
      </c>
      <c r="G3982" t="s">
        <v>4408</v>
      </c>
      <c r="H3982">
        <v>0</v>
      </c>
      <c r="I3982">
        <v>2</v>
      </c>
      <c r="J3982">
        <v>0</v>
      </c>
      <c r="K3982">
        <v>0</v>
      </c>
      <c r="L3982">
        <v>0</v>
      </c>
    </row>
    <row r="3983" spans="1:12">
      <c r="A3983" t="str">
        <f>HYPERLINK("http://bombeiros.sp.gov.br/hidrantes/03individual/4218.html","4218")</f>
        <v>4218</v>
      </c>
      <c r="B3983" t="str">
        <f>HYPERLINK("http://bombeiros.sp.gov.br/hidrantes/08bsg/qrcodeBSG.html?id=4218&amp;lat=-23.65785&amp;long=-46.68476&amp;tipo=S","QRCODE")</f>
        <v>QRCODE</v>
      </c>
      <c r="C3983" t="s">
        <v>5372</v>
      </c>
      <c r="D3983" t="s">
        <v>1296</v>
      </c>
      <c r="E3983" t="s">
        <v>3047</v>
      </c>
      <c r="F3983" t="s">
        <v>21</v>
      </c>
      <c r="G3983" t="s">
        <v>3743</v>
      </c>
      <c r="H3983">
        <v>1</v>
      </c>
      <c r="I3983">
        <v>1</v>
      </c>
      <c r="J3983">
        <v>0</v>
      </c>
      <c r="K3983">
        <v>0</v>
      </c>
      <c r="L3983">
        <v>0</v>
      </c>
    </row>
    <row r="3984" spans="1:12">
      <c r="A3984" t="str">
        <f>HYPERLINK("http://bombeiros.sp.gov.br/hidrantes/03individual/4357.html","4357")</f>
        <v>4357</v>
      </c>
      <c r="B3984" t="str">
        <f>HYPERLINK("http://bombeiros.sp.gov.br/hidrantes/08bsg/qrcodeBSG.html?id=4357&amp;lat=-23.66770&amp;long=-46.68381&amp;tipo=S","QRCODE")</f>
        <v>QRCODE</v>
      </c>
      <c r="C3984" t="s">
        <v>5372</v>
      </c>
      <c r="D3984" t="s">
        <v>1296</v>
      </c>
      <c r="E3984" t="s">
        <v>3047</v>
      </c>
      <c r="F3984" t="s">
        <v>21</v>
      </c>
      <c r="G3984" t="s">
        <v>3048</v>
      </c>
      <c r="H3984">
        <v>0</v>
      </c>
      <c r="I3984">
        <v>2</v>
      </c>
      <c r="J3984">
        <v>0</v>
      </c>
      <c r="K3984">
        <v>0</v>
      </c>
      <c r="L3984">
        <v>0</v>
      </c>
    </row>
    <row r="3985" spans="1:12">
      <c r="A3985" t="str">
        <f>HYPERLINK("http://bombeiros.sp.gov.br/hidrantes/03individual/6727.html","6727")</f>
        <v>6727</v>
      </c>
      <c r="B3985" t="str">
        <f>HYPERLINK("http://bombeiros.sp.gov.br/hidrantes/08bsg/qrcodeBSG.html?id=6727&amp;lat=-23.65726&amp;long=-46.68210&amp;tipo=S","QRCODE")</f>
        <v>QRCODE</v>
      </c>
      <c r="C3985" t="s">
        <v>5372</v>
      </c>
      <c r="D3985" t="s">
        <v>1296</v>
      </c>
      <c r="E3985" t="s">
        <v>3047</v>
      </c>
      <c r="F3985" t="s">
        <v>21</v>
      </c>
      <c r="G3985" t="s">
        <v>3046</v>
      </c>
      <c r="H3985">
        <v>0</v>
      </c>
      <c r="I3985">
        <v>2</v>
      </c>
      <c r="J3985">
        <v>0</v>
      </c>
      <c r="K3985">
        <v>0</v>
      </c>
      <c r="L3985">
        <v>0</v>
      </c>
    </row>
    <row r="3986" spans="1:12">
      <c r="A3986" t="str">
        <f>HYPERLINK("http://bombeiros.sp.gov.br/hidrantes/03individual/6729.html","6729")</f>
        <v>6729</v>
      </c>
      <c r="B3986" t="str">
        <f>HYPERLINK("http://bombeiros.sp.gov.br/hidrantes/08bsg/qrcodeBSG.html?id=6729&amp;lat=-23.66118&amp;long=-46.68381&amp;tipo=S","QRCODE")</f>
        <v>QRCODE</v>
      </c>
      <c r="C3986" t="s">
        <v>5372</v>
      </c>
      <c r="D3986" t="s">
        <v>1296</v>
      </c>
      <c r="E3986" t="s">
        <v>3047</v>
      </c>
      <c r="F3986" t="s">
        <v>21</v>
      </c>
      <c r="G3986" t="s">
        <v>4024</v>
      </c>
      <c r="H3986">
        <v>0</v>
      </c>
      <c r="I3986">
        <v>1</v>
      </c>
      <c r="J3986">
        <v>0</v>
      </c>
      <c r="K3986">
        <v>0</v>
      </c>
      <c r="L3986">
        <v>0</v>
      </c>
    </row>
    <row r="3987" spans="1:12">
      <c r="A3987" t="str">
        <f>HYPERLINK("http://bombeiros.sp.gov.br/hidrantes/03individual/6733.html","6733")</f>
        <v>6733</v>
      </c>
      <c r="B3987" t="str">
        <f>HYPERLINK("http://bombeiros.sp.gov.br/hidrantes/08bsg/qrcodeBSG.html?id=6733&amp;lat=-23.65696&amp;long=-46.68105&amp;tipo=S","QRCODE")</f>
        <v>QRCODE</v>
      </c>
      <c r="C3987" t="s">
        <v>5372</v>
      </c>
      <c r="D3987" t="s">
        <v>1296</v>
      </c>
      <c r="E3987" t="s">
        <v>3047</v>
      </c>
      <c r="F3987" t="s">
        <v>21</v>
      </c>
      <c r="G3987" t="s">
        <v>5170</v>
      </c>
      <c r="H3987">
        <v>0</v>
      </c>
      <c r="I3987">
        <v>1</v>
      </c>
      <c r="J3987">
        <v>0</v>
      </c>
      <c r="K3987">
        <v>0</v>
      </c>
      <c r="L3987">
        <v>0</v>
      </c>
    </row>
    <row r="3988" spans="1:12">
      <c r="A3988" t="str">
        <f>HYPERLINK("http://bombeiros.sp.gov.br/hidrantes/03individual/17848.html","17848")</f>
        <v>17848</v>
      </c>
      <c r="B3988" t="str">
        <f>HYPERLINK("http://bombeiros.sp.gov.br/hidrantes/08bsg/qrcodeBSG.html?id=17848&amp;lat=-23.66906&amp;long=-46.68490&amp;tipo=S","QRCODE")</f>
        <v>QRCODE</v>
      </c>
      <c r="C3988" t="s">
        <v>5372</v>
      </c>
      <c r="D3988" t="s">
        <v>1296</v>
      </c>
      <c r="E3988" t="s">
        <v>3047</v>
      </c>
      <c r="F3988" t="s">
        <v>21</v>
      </c>
      <c r="G3988" t="s">
        <v>4876</v>
      </c>
      <c r="H3988">
        <v>1</v>
      </c>
      <c r="I3988">
        <v>1</v>
      </c>
      <c r="J3988">
        <v>0</v>
      </c>
      <c r="K3988">
        <v>0</v>
      </c>
      <c r="L3988">
        <v>0</v>
      </c>
    </row>
    <row r="3989" spans="1:12">
      <c r="A3989" t="str">
        <f>HYPERLINK("http://bombeiros.sp.gov.br/hidrantes/03individual/26788.html","26788")</f>
        <v>26788</v>
      </c>
      <c r="B3989" t="str">
        <f>HYPERLINK("http://bombeiros.sp.gov.br/hidrantes/08bsg/qrcodeBSG.html?id=26788&amp;lat=-23.64178&amp;long=-46.77359&amp;tipo=C","QRCODE")</f>
        <v>QRCODE</v>
      </c>
      <c r="C3989" t="s">
        <v>5372</v>
      </c>
      <c r="D3989" t="s">
        <v>430</v>
      </c>
      <c r="E3989" t="s">
        <v>500</v>
      </c>
      <c r="F3989" t="s">
        <v>12</v>
      </c>
      <c r="G3989" t="s">
        <v>3923</v>
      </c>
      <c r="H3989">
        <v>0</v>
      </c>
      <c r="I3989">
        <v>1</v>
      </c>
      <c r="J3989">
        <v>0</v>
      </c>
      <c r="K3989">
        <v>0</v>
      </c>
      <c r="L3989">
        <v>0</v>
      </c>
    </row>
    <row r="3990" spans="1:12">
      <c r="A3990" t="str">
        <f>HYPERLINK("http://bombeiros.sp.gov.br/hidrantes/03individual/27304.html","27304")</f>
        <v>27304</v>
      </c>
      <c r="B3990" t="str">
        <f>HYPERLINK("http://bombeiros.sp.gov.br/hidrantes/08bsg/qrcodeBSG.html?id=27304&amp;lat=-23.64071&amp;long=-46.77055&amp;tipo=C","QRCODE")</f>
        <v>QRCODE</v>
      </c>
      <c r="C3990" t="s">
        <v>5372</v>
      </c>
      <c r="D3990" t="s">
        <v>430</v>
      </c>
      <c r="E3990" t="s">
        <v>500</v>
      </c>
      <c r="F3990" t="s">
        <v>12</v>
      </c>
      <c r="G3990" t="s">
        <v>5377</v>
      </c>
      <c r="H3990">
        <v>0</v>
      </c>
      <c r="I3990">
        <v>0</v>
      </c>
      <c r="J3990">
        <v>0</v>
      </c>
      <c r="K3990">
        <v>0</v>
      </c>
      <c r="L3990">
        <v>0</v>
      </c>
    </row>
    <row r="3991" spans="1:12">
      <c r="A3991" t="str">
        <f>HYPERLINK("http://bombeiros.sp.gov.br/hidrantes/03individual/4399.html","4399")</f>
        <v>4399</v>
      </c>
      <c r="B3991" t="str">
        <f>HYPERLINK("http://bombeiros.sp.gov.br/hidrantes/08bsg/qrcodeBSG.html?id=4399&amp;lat=-23.64024&amp;long=-46.78088&amp;tipo=S","QRCODE")</f>
        <v>QRCODE</v>
      </c>
      <c r="C3991" t="s">
        <v>5372</v>
      </c>
      <c r="D3991" t="s">
        <v>430</v>
      </c>
      <c r="E3991" t="s">
        <v>500</v>
      </c>
      <c r="F3991" t="s">
        <v>21</v>
      </c>
      <c r="G3991" t="s">
        <v>3937</v>
      </c>
      <c r="H3991">
        <v>0</v>
      </c>
      <c r="I3991">
        <v>2</v>
      </c>
      <c r="J3991">
        <v>0</v>
      </c>
      <c r="K3991">
        <v>0</v>
      </c>
      <c r="L3991">
        <v>0</v>
      </c>
    </row>
    <row r="3992" spans="1:12">
      <c r="A3992" t="str">
        <f>HYPERLINK("http://bombeiros.sp.gov.br/hidrantes/03individual/17692.html","17692")</f>
        <v>17692</v>
      </c>
      <c r="B3992" t="str">
        <f>HYPERLINK("http://bombeiros.sp.gov.br/hidrantes/08bsg/qrcodeBSG.html?id=17692&amp;lat=-23.63796&amp;long=-46.77533&amp;tipo=S","QRCODE")</f>
        <v>QRCODE</v>
      </c>
      <c r="C3992" t="s">
        <v>5372</v>
      </c>
      <c r="D3992" t="s">
        <v>430</v>
      </c>
      <c r="E3992" t="s">
        <v>500</v>
      </c>
      <c r="F3992" t="s">
        <v>21</v>
      </c>
      <c r="G3992" t="s">
        <v>499</v>
      </c>
      <c r="H3992">
        <v>0</v>
      </c>
      <c r="I3992">
        <v>2</v>
      </c>
      <c r="J3992">
        <v>0</v>
      </c>
      <c r="K3992">
        <v>0</v>
      </c>
      <c r="L3992">
        <v>0</v>
      </c>
    </row>
    <row r="3993" spans="1:12">
      <c r="A3993" t="str">
        <f>HYPERLINK("http://bombeiros.sp.gov.br/hidrantes/03individual/26789.html","26789")</f>
        <v>26789</v>
      </c>
      <c r="B3993" t="str">
        <f>HYPERLINK("http://bombeiros.sp.gov.br/hidrantes/08bsg/qrcodeBSG.html?id=26789&amp;lat=-23.64636&amp;long=-46.77319&amp;tipo=S","QRCODE")</f>
        <v>QRCODE</v>
      </c>
      <c r="C3993" t="s">
        <v>5372</v>
      </c>
      <c r="D3993" t="s">
        <v>430</v>
      </c>
      <c r="E3993" t="s">
        <v>500</v>
      </c>
      <c r="F3993" t="s">
        <v>21</v>
      </c>
      <c r="G3993" t="s">
        <v>3427</v>
      </c>
      <c r="H3993">
        <v>0</v>
      </c>
      <c r="I3993">
        <v>2</v>
      </c>
      <c r="J3993">
        <v>0</v>
      </c>
      <c r="K3993">
        <v>0</v>
      </c>
      <c r="L3993">
        <v>0</v>
      </c>
    </row>
    <row r="3994" spans="1:12">
      <c r="A3994" t="str">
        <f>HYPERLINK("http://bombeiros.sp.gov.br/hidrantes/03individual/4020.html","4020")</f>
        <v>4020</v>
      </c>
      <c r="B3994" t="str">
        <f>HYPERLINK("http://bombeiros.sp.gov.br/hidrantes/08bsg/qrcodeBSG.html?id=4020&amp;lat=-23.63233&amp;long=-46.75777&amp;tipo=C","QRCODE")</f>
        <v>QRCODE</v>
      </c>
      <c r="C3994" t="s">
        <v>5372</v>
      </c>
      <c r="D3994" t="s">
        <v>430</v>
      </c>
      <c r="E3994" t="s">
        <v>1807</v>
      </c>
      <c r="F3994" t="s">
        <v>12</v>
      </c>
      <c r="G3994" t="s">
        <v>1812</v>
      </c>
      <c r="H3994">
        <v>0</v>
      </c>
      <c r="I3994">
        <v>2</v>
      </c>
      <c r="J3994">
        <v>0</v>
      </c>
      <c r="K3994">
        <v>0</v>
      </c>
      <c r="L3994">
        <v>0</v>
      </c>
    </row>
    <row r="3995" spans="1:12">
      <c r="A3995" t="str">
        <f>HYPERLINK("http://bombeiros.sp.gov.br/hidrantes/03individual/4021.html","4021")</f>
        <v>4021</v>
      </c>
      <c r="B3995" t="str">
        <f>HYPERLINK("http://bombeiros.sp.gov.br/hidrantes/08bsg/qrcodeBSG.html?id=4021&amp;lat=-23.63045&amp;long=-46.75889&amp;tipo=C","QRCODE")</f>
        <v>QRCODE</v>
      </c>
      <c r="C3995" t="s">
        <v>5372</v>
      </c>
      <c r="D3995" t="s">
        <v>430</v>
      </c>
      <c r="E3995" t="s">
        <v>1807</v>
      </c>
      <c r="F3995" t="s">
        <v>12</v>
      </c>
      <c r="G3995" t="s">
        <v>1813</v>
      </c>
      <c r="H3995">
        <v>0</v>
      </c>
      <c r="I3995">
        <v>2</v>
      </c>
      <c r="J3995">
        <v>0</v>
      </c>
      <c r="K3995">
        <v>0</v>
      </c>
      <c r="L3995">
        <v>0</v>
      </c>
    </row>
    <row r="3996" spans="1:12">
      <c r="A3996" t="str">
        <f>HYPERLINK("http://bombeiros.sp.gov.br/hidrantes/03individual/27025.html","27025")</f>
        <v>27025</v>
      </c>
      <c r="B3996" t="str">
        <f>HYPERLINK("http://bombeiros.sp.gov.br/hidrantes/08bsg/qrcodeBSG.html?id=27025&amp;lat=-23.62942&amp;long=-46.75081&amp;tipo=C","QRCODE")</f>
        <v>QRCODE</v>
      </c>
      <c r="C3996" t="s">
        <v>5372</v>
      </c>
      <c r="D3996" t="s">
        <v>430</v>
      </c>
      <c r="E3996" t="s">
        <v>1807</v>
      </c>
      <c r="F3996" t="s">
        <v>12</v>
      </c>
      <c r="G3996" t="s">
        <v>3900</v>
      </c>
      <c r="H3996">
        <v>0</v>
      </c>
      <c r="I3996">
        <v>1</v>
      </c>
      <c r="J3996">
        <v>0</v>
      </c>
      <c r="K3996">
        <v>0</v>
      </c>
      <c r="L3996">
        <v>0</v>
      </c>
    </row>
    <row r="3997" spans="1:12">
      <c r="A3997" t="str">
        <f>HYPERLINK("http://bombeiros.sp.gov.br/hidrantes/03individual/27026.html","27026")</f>
        <v>27026</v>
      </c>
      <c r="B3997" t="str">
        <f>HYPERLINK("http://bombeiros.sp.gov.br/hidrantes/08bsg/qrcodeBSG.html?id=27026&amp;lat=-23.62869&amp;long=-46.74654&amp;tipo=C","QRCODE")</f>
        <v>QRCODE</v>
      </c>
      <c r="C3997" t="s">
        <v>5372</v>
      </c>
      <c r="D3997" t="s">
        <v>430</v>
      </c>
      <c r="E3997" t="s">
        <v>1807</v>
      </c>
      <c r="F3997" t="s">
        <v>12</v>
      </c>
      <c r="G3997" t="s">
        <v>3901</v>
      </c>
      <c r="H3997">
        <v>0</v>
      </c>
      <c r="I3997">
        <v>1</v>
      </c>
      <c r="J3997">
        <v>0</v>
      </c>
      <c r="K3997">
        <v>0</v>
      </c>
      <c r="L3997">
        <v>0</v>
      </c>
    </row>
    <row r="3998" spans="1:12">
      <c r="A3998" t="str">
        <f>HYPERLINK("http://bombeiros.sp.gov.br/hidrantes/03individual/27058.html","27058")</f>
        <v>27058</v>
      </c>
      <c r="B3998" t="str">
        <f>HYPERLINK("http://bombeiros.sp.gov.br/hidrantes/08bsg/qrcodeBSG.html?id=27058&amp;lat=-23.61665&amp;long=-46.75357&amp;tipo=C","QRCODE")</f>
        <v>QRCODE</v>
      </c>
      <c r="C3998" t="s">
        <v>5372</v>
      </c>
      <c r="D3998" t="s">
        <v>430</v>
      </c>
      <c r="E3998" t="s">
        <v>1807</v>
      </c>
      <c r="F3998" t="s">
        <v>12</v>
      </c>
      <c r="G3998" t="s">
        <v>3510</v>
      </c>
      <c r="H3998">
        <v>0</v>
      </c>
      <c r="I3998">
        <v>1</v>
      </c>
      <c r="J3998">
        <v>0</v>
      </c>
      <c r="K3998">
        <v>0</v>
      </c>
      <c r="L3998">
        <v>0</v>
      </c>
    </row>
    <row r="3999" spans="1:12">
      <c r="A3999" t="str">
        <f>HYPERLINK("http://bombeiros.sp.gov.br/hidrantes/03individual/2435.html","2435")</f>
        <v>2435</v>
      </c>
      <c r="B3999" t="str">
        <f>HYPERLINK("http://bombeiros.sp.gov.br/hidrantes/08bsg/qrcodeBSG.html?id=2435&amp;lat=-23.62600&amp;long=-46.75019&amp;tipo=S","QRCODE")</f>
        <v>QRCODE</v>
      </c>
      <c r="C3999" t="s">
        <v>5372</v>
      </c>
      <c r="D3999" t="s">
        <v>430</v>
      </c>
      <c r="E3999" t="s">
        <v>1807</v>
      </c>
      <c r="F3999" t="s">
        <v>21</v>
      </c>
      <c r="G3999" t="s">
        <v>2330</v>
      </c>
      <c r="H3999">
        <v>0</v>
      </c>
      <c r="I3999">
        <v>2</v>
      </c>
      <c r="J3999">
        <v>0</v>
      </c>
      <c r="K3999">
        <v>0</v>
      </c>
      <c r="L3999">
        <v>0</v>
      </c>
    </row>
    <row r="4000" spans="1:12">
      <c r="A4000" t="str">
        <f>HYPERLINK("http://bombeiros.sp.gov.br/hidrantes/03individual/4393.html","4393")</f>
        <v>4393</v>
      </c>
      <c r="B4000" t="str">
        <f>HYPERLINK("http://bombeiros.sp.gov.br/hidrantes/08bsg/qrcodeBSG.html?id=4393&amp;lat=-23.62346&amp;long=-46.75180&amp;tipo=S","QRCODE")</f>
        <v>QRCODE</v>
      </c>
      <c r="C4000" t="s">
        <v>5372</v>
      </c>
      <c r="D4000" t="s">
        <v>430</v>
      </c>
      <c r="E4000" t="s">
        <v>1807</v>
      </c>
      <c r="F4000" t="s">
        <v>21</v>
      </c>
      <c r="G4000" t="s">
        <v>1806</v>
      </c>
      <c r="H4000">
        <v>0</v>
      </c>
      <c r="I4000">
        <v>2</v>
      </c>
      <c r="J4000">
        <v>0</v>
      </c>
      <c r="K4000">
        <v>0</v>
      </c>
      <c r="L4000">
        <v>0</v>
      </c>
    </row>
    <row r="4001" spans="1:12">
      <c r="A4001" t="str">
        <f>HYPERLINK("http://bombeiros.sp.gov.br/hidrantes/03individual/16616.html","16616")</f>
        <v>16616</v>
      </c>
      <c r="B4001" t="str">
        <f>HYPERLINK("http://bombeiros.sp.gov.br/hidrantes/08bsg/qrcodeBSG.html?id=16616&amp;lat=-23.62045&amp;long=-46.74993&amp;tipo=S","QRCODE")</f>
        <v>QRCODE</v>
      </c>
      <c r="C4001" t="s">
        <v>5372</v>
      </c>
      <c r="D4001" t="s">
        <v>430</v>
      </c>
      <c r="E4001" t="s">
        <v>1807</v>
      </c>
      <c r="F4001" t="s">
        <v>21</v>
      </c>
      <c r="G4001" t="s">
        <v>1838</v>
      </c>
      <c r="H4001">
        <v>0</v>
      </c>
      <c r="I4001">
        <v>2</v>
      </c>
      <c r="J4001">
        <v>0</v>
      </c>
      <c r="K4001">
        <v>0</v>
      </c>
      <c r="L4001">
        <v>0</v>
      </c>
    </row>
    <row r="4002" spans="1:12">
      <c r="A4002" t="str">
        <f>HYPERLINK("http://bombeiros.sp.gov.br/hidrantes/03individual/4112.html","4112")</f>
        <v>4112</v>
      </c>
      <c r="B4002" t="str">
        <f>HYPERLINK("http://bombeiros.sp.gov.br/hidrantes/08bsg/qrcodeBSG.html?id=4112&amp;lat=-23.65013&amp;long=-46.76456&amp;tipo=C","QRCODE")</f>
        <v>QRCODE</v>
      </c>
      <c r="C4002" t="s">
        <v>5372</v>
      </c>
      <c r="D4002" t="s">
        <v>430</v>
      </c>
      <c r="E4002" t="s">
        <v>425</v>
      </c>
      <c r="F4002" t="s">
        <v>12</v>
      </c>
      <c r="G4002" t="s">
        <v>4115</v>
      </c>
      <c r="H4002">
        <v>1</v>
      </c>
      <c r="I4002">
        <v>1</v>
      </c>
      <c r="J4002">
        <v>0</v>
      </c>
      <c r="K4002">
        <v>0</v>
      </c>
      <c r="L4002">
        <v>0</v>
      </c>
    </row>
    <row r="4003" spans="1:12">
      <c r="A4003" t="str">
        <f>HYPERLINK("http://bombeiros.sp.gov.br/hidrantes/03individual/4113.html","4113")</f>
        <v>4113</v>
      </c>
      <c r="B4003" t="str">
        <f>HYPERLINK("http://bombeiros.sp.gov.br/hidrantes/08bsg/qrcodeBSG.html?id=4113&amp;lat=-23.64999&amp;long=-46.76723&amp;tipo=C","QRCODE")</f>
        <v>QRCODE</v>
      </c>
      <c r="C4003" t="s">
        <v>5372</v>
      </c>
      <c r="D4003" t="s">
        <v>430</v>
      </c>
      <c r="E4003" t="s">
        <v>425</v>
      </c>
      <c r="F4003" t="s">
        <v>12</v>
      </c>
      <c r="G4003" t="s">
        <v>3446</v>
      </c>
      <c r="H4003">
        <v>0</v>
      </c>
      <c r="I4003">
        <v>2</v>
      </c>
      <c r="J4003">
        <v>0</v>
      </c>
      <c r="K4003">
        <v>0</v>
      </c>
      <c r="L4003">
        <v>0</v>
      </c>
    </row>
    <row r="4004" spans="1:12">
      <c r="A4004" t="str">
        <f>HYPERLINK("http://bombeiros.sp.gov.br/hidrantes/03individual/4389.html","4389")</f>
        <v>4389</v>
      </c>
      <c r="B4004" t="str">
        <f>HYPERLINK("http://bombeiros.sp.gov.br/hidrantes/08bsg/qrcodeBSG.html?id=4389&amp;lat=-23.64046&amp;long=-46.74951&amp;tipo=C","QRCODE")</f>
        <v>QRCODE</v>
      </c>
      <c r="C4004" t="s">
        <v>5372</v>
      </c>
      <c r="D4004" t="s">
        <v>430</v>
      </c>
      <c r="E4004" t="s">
        <v>425</v>
      </c>
      <c r="F4004" t="s">
        <v>12</v>
      </c>
      <c r="G4004" t="s">
        <v>424</v>
      </c>
      <c r="H4004">
        <v>0</v>
      </c>
      <c r="I4004">
        <v>3</v>
      </c>
      <c r="J4004">
        <v>0</v>
      </c>
      <c r="K4004">
        <v>0</v>
      </c>
      <c r="L4004">
        <v>0</v>
      </c>
    </row>
    <row r="4005" spans="1:12">
      <c r="A4005" t="str">
        <f>HYPERLINK("http://bombeiros.sp.gov.br/hidrantes/03individual/6708.html","6708")</f>
        <v>6708</v>
      </c>
      <c r="B4005" t="str">
        <f>HYPERLINK("http://bombeiros.sp.gov.br/hidrantes/08bsg/qrcodeBSG.html?id=6708&amp;lat=-23.64924&amp;long=-46.76236&amp;tipo=C","QRCODE")</f>
        <v>QRCODE</v>
      </c>
      <c r="C4005" t="s">
        <v>5372</v>
      </c>
      <c r="D4005" t="s">
        <v>430</v>
      </c>
      <c r="E4005" t="s">
        <v>425</v>
      </c>
      <c r="F4005" t="s">
        <v>12</v>
      </c>
      <c r="G4005" t="s">
        <v>3451</v>
      </c>
      <c r="H4005">
        <v>0</v>
      </c>
      <c r="I4005">
        <v>2</v>
      </c>
      <c r="J4005">
        <v>0</v>
      </c>
      <c r="K4005">
        <v>0</v>
      </c>
      <c r="L4005">
        <v>0</v>
      </c>
    </row>
    <row r="4006" spans="1:12">
      <c r="A4006" t="str">
        <f>HYPERLINK("http://bombeiros.sp.gov.br/hidrantes/03individual/6720.html","6720")</f>
        <v>6720</v>
      </c>
      <c r="B4006" t="str">
        <f>HYPERLINK("http://bombeiros.sp.gov.br/hidrantes/08bsg/qrcodeBSG.html?id=6720&amp;lat=-23.64201&amp;long=-46.75795&amp;tipo=C","QRCODE")</f>
        <v>QRCODE</v>
      </c>
      <c r="C4006" t="s">
        <v>5372</v>
      </c>
      <c r="D4006" t="s">
        <v>430</v>
      </c>
      <c r="E4006" t="s">
        <v>425</v>
      </c>
      <c r="F4006" t="s">
        <v>12</v>
      </c>
      <c r="G4006" t="s">
        <v>546</v>
      </c>
      <c r="H4006">
        <v>0</v>
      </c>
      <c r="I4006">
        <v>3</v>
      </c>
      <c r="J4006">
        <v>0</v>
      </c>
      <c r="K4006">
        <v>0</v>
      </c>
      <c r="L4006">
        <v>0</v>
      </c>
    </row>
    <row r="4007" spans="1:12">
      <c r="A4007" t="str">
        <f>HYPERLINK("http://bombeiros.sp.gov.br/hidrantes/03individual/4043.html","4043")</f>
        <v>4043</v>
      </c>
      <c r="B4007" t="str">
        <f>HYPERLINK("http://bombeiros.sp.gov.br/hidrantes/08bsg/qrcodeBSG.html?id=4043&amp;lat=-23.62806&amp;long=-46.76721&amp;tipo=C","QRCODE")</f>
        <v>QRCODE</v>
      </c>
      <c r="C4007" t="s">
        <v>5372</v>
      </c>
      <c r="D4007" t="s">
        <v>430</v>
      </c>
      <c r="E4007" t="s">
        <v>423</v>
      </c>
      <c r="F4007" t="s">
        <v>12</v>
      </c>
      <c r="G4007" t="s">
        <v>5080</v>
      </c>
      <c r="H4007">
        <v>0</v>
      </c>
      <c r="I4007">
        <v>1</v>
      </c>
      <c r="J4007">
        <v>0</v>
      </c>
      <c r="K4007">
        <v>0</v>
      </c>
      <c r="L4007">
        <v>0</v>
      </c>
    </row>
    <row r="4008" spans="1:12">
      <c r="A4008" t="str">
        <f>HYPERLINK("http://bombeiros.sp.gov.br/hidrantes/03individual/4048.html","4048")</f>
        <v>4048</v>
      </c>
      <c r="B4008" t="str">
        <f>HYPERLINK("http://bombeiros.sp.gov.br/hidrantes/08bsg/qrcodeBSG.html?id=4048&amp;lat=-23.63601&amp;long=-46.75822&amp;tipo=C","QRCODE")</f>
        <v>QRCODE</v>
      </c>
      <c r="C4008" t="s">
        <v>5372</v>
      </c>
      <c r="D4008" t="s">
        <v>430</v>
      </c>
      <c r="E4008" t="s">
        <v>423</v>
      </c>
      <c r="F4008" t="s">
        <v>12</v>
      </c>
      <c r="G4008" t="s">
        <v>527</v>
      </c>
      <c r="H4008">
        <v>0</v>
      </c>
      <c r="I4008">
        <v>2</v>
      </c>
      <c r="J4008">
        <v>0</v>
      </c>
      <c r="K4008">
        <v>0</v>
      </c>
      <c r="L4008">
        <v>0</v>
      </c>
    </row>
    <row r="4009" spans="1:12">
      <c r="A4009" t="str">
        <f>HYPERLINK("http://bombeiros.sp.gov.br/hidrantes/03individual/15057.html","15057")</f>
        <v>15057</v>
      </c>
      <c r="B4009" t="str">
        <f>HYPERLINK("http://bombeiros.sp.gov.br/hidrantes/08bsg/qrcodeBSG.html?id=15057&amp;lat=-23.63581&amp;long=-46.75915&amp;tipo=C","QRCODE")</f>
        <v>QRCODE</v>
      </c>
      <c r="C4009" t="s">
        <v>5372</v>
      </c>
      <c r="D4009" t="s">
        <v>430</v>
      </c>
      <c r="E4009" t="s">
        <v>423</v>
      </c>
      <c r="F4009" t="s">
        <v>12</v>
      </c>
      <c r="G4009" t="s">
        <v>1835</v>
      </c>
      <c r="H4009">
        <v>0</v>
      </c>
      <c r="I4009">
        <v>2</v>
      </c>
      <c r="J4009">
        <v>0</v>
      </c>
      <c r="K4009">
        <v>0</v>
      </c>
      <c r="L4009">
        <v>0</v>
      </c>
    </row>
    <row r="4010" spans="1:12">
      <c r="A4010" t="str">
        <f>HYPERLINK("http://bombeiros.sp.gov.br/hidrantes/03individual/27303.html","27303")</f>
        <v>27303</v>
      </c>
      <c r="B4010" t="str">
        <f>HYPERLINK("http://bombeiros.sp.gov.br/hidrantes/08bsg/qrcodeBSG.html?id=27303&amp;lat=-23.62468&amp;long=-46.76017&amp;tipo=C","QRCODE")</f>
        <v>QRCODE</v>
      </c>
      <c r="C4010" t="s">
        <v>5372</v>
      </c>
      <c r="D4010" t="s">
        <v>430</v>
      </c>
      <c r="E4010" t="s">
        <v>423</v>
      </c>
      <c r="F4010" t="s">
        <v>12</v>
      </c>
      <c r="G4010" t="s">
        <v>5378</v>
      </c>
      <c r="H4010">
        <v>0</v>
      </c>
      <c r="I4010">
        <v>0</v>
      </c>
      <c r="J4010">
        <v>0</v>
      </c>
      <c r="K4010">
        <v>0</v>
      </c>
      <c r="L4010">
        <v>0</v>
      </c>
    </row>
    <row r="4011" spans="1:12">
      <c r="A4011" t="str">
        <f>HYPERLINK("http://bombeiros.sp.gov.br/hidrantes/03individual/6699.html","6699")</f>
        <v>6699</v>
      </c>
      <c r="B4011" t="str">
        <f>HYPERLINK("http://bombeiros.sp.gov.br/hidrantes/08bsg/qrcodeBSG.html?id=6699&amp;lat=-23.63969&amp;long=-46.76654&amp;tipo=S","QRCODE")</f>
        <v>QRCODE</v>
      </c>
      <c r="C4011" t="s">
        <v>5372</v>
      </c>
      <c r="D4011" t="s">
        <v>430</v>
      </c>
      <c r="E4011" t="s">
        <v>423</v>
      </c>
      <c r="F4011" t="s">
        <v>21</v>
      </c>
      <c r="G4011" t="s">
        <v>1811</v>
      </c>
      <c r="H4011">
        <v>0</v>
      </c>
      <c r="I4011">
        <v>2</v>
      </c>
      <c r="J4011">
        <v>0</v>
      </c>
      <c r="K4011">
        <v>0</v>
      </c>
      <c r="L4011">
        <v>0</v>
      </c>
    </row>
    <row r="4012" spans="1:12">
      <c r="A4012" t="str">
        <f>HYPERLINK("http://bombeiros.sp.gov.br/hidrantes/03individual/17857.html","17857")</f>
        <v>17857</v>
      </c>
      <c r="B4012" t="str">
        <f>HYPERLINK("http://bombeiros.sp.gov.br/hidrantes/08bsg/qrcodeBSG.html?id=17857&amp;lat=-23.64041&amp;long=-46.76328&amp;tipo=S","QRCODE")</f>
        <v>QRCODE</v>
      </c>
      <c r="C4012" t="s">
        <v>5372</v>
      </c>
      <c r="D4012" t="s">
        <v>430</v>
      </c>
      <c r="E4012" t="s">
        <v>423</v>
      </c>
      <c r="F4012" t="s">
        <v>21</v>
      </c>
      <c r="G4012" t="s">
        <v>504</v>
      </c>
      <c r="H4012">
        <v>0</v>
      </c>
      <c r="I4012">
        <v>2</v>
      </c>
      <c r="J4012">
        <v>0</v>
      </c>
      <c r="K4012">
        <v>0</v>
      </c>
      <c r="L4012">
        <v>0</v>
      </c>
    </row>
    <row r="4013" spans="1:12">
      <c r="A4013" t="str">
        <f>HYPERLINK("http://bombeiros.sp.gov.br/hidrantes/03individual/4124.html","4124")</f>
        <v>4124</v>
      </c>
      <c r="B4013" t="str">
        <f>HYPERLINK("http://bombeiros.sp.gov.br/hidrantes/08bsg/qrcodeBSG.html?id=4124&amp;lat=-23.66208&amp;long=-46.77804&amp;tipo=C","QRCODE")</f>
        <v>QRCODE</v>
      </c>
      <c r="C4013" t="s">
        <v>5372</v>
      </c>
      <c r="D4013" t="s">
        <v>1498</v>
      </c>
      <c r="E4013" t="s">
        <v>1688</v>
      </c>
      <c r="F4013" t="s">
        <v>12</v>
      </c>
      <c r="G4013" t="s">
        <v>3939</v>
      </c>
      <c r="H4013">
        <v>0</v>
      </c>
      <c r="I4013">
        <v>2</v>
      </c>
      <c r="J4013">
        <v>0</v>
      </c>
      <c r="K4013">
        <v>0</v>
      </c>
      <c r="L4013">
        <v>0</v>
      </c>
    </row>
    <row r="4014" spans="1:12">
      <c r="A4014" t="str">
        <f>HYPERLINK("http://bombeiros.sp.gov.br/hidrantes/03individual/10073.html","10073")</f>
        <v>10073</v>
      </c>
      <c r="B4014" t="str">
        <f>HYPERLINK("http://bombeiros.sp.gov.br/hidrantes/08bsg/qrcodeBSG.html?id=10073&amp;lat=-23.66225&amp;long=-46.77728&amp;tipo=C","QRCODE")</f>
        <v>QRCODE</v>
      </c>
      <c r="C4014" t="s">
        <v>5372</v>
      </c>
      <c r="D4014" t="s">
        <v>1498</v>
      </c>
      <c r="E4014" t="s">
        <v>1688</v>
      </c>
      <c r="F4014" t="s">
        <v>12</v>
      </c>
      <c r="G4014" t="s">
        <v>3921</v>
      </c>
      <c r="H4014">
        <v>0</v>
      </c>
      <c r="I4014">
        <v>1</v>
      </c>
      <c r="J4014">
        <v>0</v>
      </c>
      <c r="K4014">
        <v>0</v>
      </c>
      <c r="L4014">
        <v>0</v>
      </c>
    </row>
    <row r="4015" spans="1:12">
      <c r="A4015" t="str">
        <f>HYPERLINK("http://bombeiros.sp.gov.br/hidrantes/03individual/16649.html","16649")</f>
        <v>16649</v>
      </c>
      <c r="B4015" t="str">
        <f>HYPERLINK("http://bombeiros.sp.gov.br/hidrantes/08bsg/qrcodeBSG.html?id=16649&amp;lat=-23.67451&amp;long=-46.77383&amp;tipo=C","QRCODE")</f>
        <v>QRCODE</v>
      </c>
      <c r="C4015" t="s">
        <v>5372</v>
      </c>
      <c r="D4015" t="s">
        <v>1498</v>
      </c>
      <c r="E4015" t="s">
        <v>1688</v>
      </c>
      <c r="F4015" t="s">
        <v>12</v>
      </c>
      <c r="G4015" t="s">
        <v>1695</v>
      </c>
      <c r="H4015">
        <v>0</v>
      </c>
      <c r="I4015">
        <v>2</v>
      </c>
      <c r="J4015">
        <v>0</v>
      </c>
      <c r="K4015">
        <v>0</v>
      </c>
      <c r="L4015">
        <v>0</v>
      </c>
    </row>
    <row r="4016" spans="1:12">
      <c r="A4016" t="str">
        <f>HYPERLINK("http://bombeiros.sp.gov.br/hidrantes/03individual/17806.html","17806")</f>
        <v>17806</v>
      </c>
      <c r="B4016" t="str">
        <f>HYPERLINK("http://bombeiros.sp.gov.br/hidrantes/08bsg/qrcodeBSG.html?id=17806&amp;lat=-23.67928&amp;long=-46.79173&amp;tipo=C","QRCODE")</f>
        <v>QRCODE</v>
      </c>
      <c r="C4016" t="s">
        <v>5372</v>
      </c>
      <c r="D4016" t="s">
        <v>1498</v>
      </c>
      <c r="E4016" t="s">
        <v>1688</v>
      </c>
      <c r="F4016" t="s">
        <v>12</v>
      </c>
      <c r="G4016" t="s">
        <v>1687</v>
      </c>
      <c r="H4016">
        <v>0</v>
      </c>
      <c r="I4016">
        <v>2</v>
      </c>
      <c r="J4016">
        <v>0</v>
      </c>
      <c r="K4016">
        <v>0</v>
      </c>
      <c r="L4016">
        <v>0</v>
      </c>
    </row>
    <row r="4017" spans="1:12">
      <c r="A4017" t="str">
        <f>HYPERLINK("http://bombeiros.sp.gov.br/hidrantes/03individual/4154.html","4154")</f>
        <v>4154</v>
      </c>
      <c r="B4017" t="str">
        <f>HYPERLINK("http://bombeiros.sp.gov.br/hidrantes/08bsg/qrcodeBSG.html?id=4154&amp;lat=-23.66706&amp;long=-46.77290&amp;tipo=S","QRCODE")</f>
        <v>QRCODE</v>
      </c>
      <c r="C4017" t="s">
        <v>5372</v>
      </c>
      <c r="D4017" t="s">
        <v>1498</v>
      </c>
      <c r="E4017" t="s">
        <v>1688</v>
      </c>
      <c r="F4017" t="s">
        <v>21</v>
      </c>
      <c r="G4017" t="s">
        <v>1721</v>
      </c>
      <c r="H4017">
        <v>0</v>
      </c>
      <c r="I4017">
        <v>2</v>
      </c>
      <c r="J4017">
        <v>0</v>
      </c>
      <c r="K4017">
        <v>0</v>
      </c>
      <c r="L4017">
        <v>0</v>
      </c>
    </row>
    <row r="4018" spans="1:12">
      <c r="A4018" t="str">
        <f>HYPERLINK("http://bombeiros.sp.gov.br/hidrantes/03individual/4151.html","4151")</f>
        <v>4151</v>
      </c>
      <c r="B4018" t="str">
        <f>HYPERLINK("http://bombeiros.sp.gov.br/hidrantes/08bsg/qrcodeBSG.html?id=4151&amp;lat=-23.66212&amp;long=-46.76480&amp;tipo=C","QRCODE")</f>
        <v>QRCODE</v>
      </c>
      <c r="C4018" t="s">
        <v>5372</v>
      </c>
      <c r="D4018" t="s">
        <v>1498</v>
      </c>
      <c r="E4018" t="s">
        <v>1498</v>
      </c>
      <c r="F4018" t="s">
        <v>12</v>
      </c>
      <c r="G4018" t="s">
        <v>5071</v>
      </c>
      <c r="H4018">
        <v>0</v>
      </c>
      <c r="I4018">
        <v>1</v>
      </c>
      <c r="J4018">
        <v>0</v>
      </c>
      <c r="K4018">
        <v>0</v>
      </c>
      <c r="L4018">
        <v>0</v>
      </c>
    </row>
    <row r="4019" spans="1:12">
      <c r="A4019" t="str">
        <f>HYPERLINK("http://bombeiros.sp.gov.br/hidrantes/03individual/27245.html","27245")</f>
        <v>27245</v>
      </c>
      <c r="B4019" t="str">
        <f>HYPERLINK("http://bombeiros.sp.gov.br/hidrantes/08bsg/qrcodeBSG.html?id=27245&amp;lat=-23.66017&amp;long=-46.76750&amp;tipo=C","QRCODE")</f>
        <v>QRCODE</v>
      </c>
      <c r="C4019" t="s">
        <v>5372</v>
      </c>
      <c r="D4019" t="s">
        <v>1498</v>
      </c>
      <c r="E4019" t="s">
        <v>1498</v>
      </c>
      <c r="F4019" t="s">
        <v>12</v>
      </c>
      <c r="G4019" t="s">
        <v>1497</v>
      </c>
      <c r="H4019">
        <v>0</v>
      </c>
      <c r="I4019">
        <v>1</v>
      </c>
      <c r="J4019">
        <v>0</v>
      </c>
      <c r="K4019">
        <v>0</v>
      </c>
      <c r="L4019">
        <v>0</v>
      </c>
    </row>
    <row r="4020" spans="1:12">
      <c r="A4020" t="str">
        <f>HYPERLINK("http://bombeiros.sp.gov.br/hidrantes/03individual/6722.html","6722")</f>
        <v>6722</v>
      </c>
      <c r="B4020" t="str">
        <f>HYPERLINK("http://bombeiros.sp.gov.br/hidrantes/08bsg/qrcodeBSG.html?id=6722&amp;lat=-23.65174&amp;long=-46.75911&amp;tipo=S","QRCODE")</f>
        <v>QRCODE</v>
      </c>
      <c r="C4020" t="s">
        <v>5372</v>
      </c>
      <c r="D4020" t="s">
        <v>1498</v>
      </c>
      <c r="E4020" t="s">
        <v>1498</v>
      </c>
      <c r="F4020" t="s">
        <v>21</v>
      </c>
      <c r="G4020" t="s">
        <v>3450</v>
      </c>
      <c r="H4020">
        <v>0</v>
      </c>
      <c r="I4020">
        <v>2</v>
      </c>
      <c r="J4020">
        <v>0</v>
      </c>
      <c r="K4020">
        <v>0</v>
      </c>
      <c r="L4020">
        <v>0</v>
      </c>
    </row>
    <row r="4021" spans="1:12">
      <c r="A4021" t="str">
        <f>HYPERLINK("http://bombeiros.sp.gov.br/hidrantes/03individual/4121.html","4121")</f>
        <v>4121</v>
      </c>
      <c r="B4021" t="str">
        <f>HYPERLINK("http://bombeiros.sp.gov.br/hidrantes/08bsg/qrcodeBSG.html?id=4121&amp;lat=-23.66535&amp;long=-46.79428&amp;tipo=C","QRCODE")</f>
        <v>QRCODE</v>
      </c>
      <c r="C4021" t="s">
        <v>5372</v>
      </c>
      <c r="D4021" t="s">
        <v>1498</v>
      </c>
      <c r="E4021" t="s">
        <v>3918</v>
      </c>
      <c r="F4021" t="s">
        <v>12</v>
      </c>
      <c r="G4021" t="s">
        <v>4990</v>
      </c>
      <c r="H4021">
        <v>0</v>
      </c>
      <c r="I4021">
        <v>1</v>
      </c>
      <c r="J4021">
        <v>0</v>
      </c>
      <c r="K4021">
        <v>0</v>
      </c>
      <c r="L4021">
        <v>0</v>
      </c>
    </row>
    <row r="4022" spans="1:12">
      <c r="A4022" t="str">
        <f>HYPERLINK("http://bombeiros.sp.gov.br/hidrantes/03individual/4122.html","4122")</f>
        <v>4122</v>
      </c>
      <c r="B4022" t="str">
        <f>HYPERLINK("http://bombeiros.sp.gov.br/hidrantes/08bsg/qrcodeBSG.html?id=4122&amp;lat=-23.67931&amp;long=-46.79594&amp;tipo=C","QRCODE")</f>
        <v>QRCODE</v>
      </c>
      <c r="C4022" t="s">
        <v>5372</v>
      </c>
      <c r="D4022" t="s">
        <v>1498</v>
      </c>
      <c r="E4022" t="s">
        <v>3918</v>
      </c>
      <c r="F4022" t="s">
        <v>12</v>
      </c>
      <c r="G4022" t="s">
        <v>5072</v>
      </c>
      <c r="H4022">
        <v>0</v>
      </c>
      <c r="I4022">
        <v>1</v>
      </c>
      <c r="J4022">
        <v>0</v>
      </c>
      <c r="K4022">
        <v>0</v>
      </c>
      <c r="L4022">
        <v>0</v>
      </c>
    </row>
    <row r="4023" spans="1:12">
      <c r="A4023" t="str">
        <f>HYPERLINK("http://bombeiros.sp.gov.br/hidrantes/03individual/27086.html","27086")</f>
        <v>27086</v>
      </c>
      <c r="B4023" t="str">
        <f>HYPERLINK("http://bombeiros.sp.gov.br/hidrantes/08bsg/qrcodeBSG.html?id=27086&amp;lat=-23.68173&amp;long=-46.79688&amp;tipo=C","QRCODE")</f>
        <v>QRCODE</v>
      </c>
      <c r="C4023" t="s">
        <v>5372</v>
      </c>
      <c r="D4023" t="s">
        <v>1498</v>
      </c>
      <c r="E4023" t="s">
        <v>3918</v>
      </c>
      <c r="F4023" t="s">
        <v>12</v>
      </c>
      <c r="G4023" t="s">
        <v>3920</v>
      </c>
      <c r="H4023">
        <v>0</v>
      </c>
      <c r="I4023">
        <v>1</v>
      </c>
      <c r="J4023">
        <v>0</v>
      </c>
      <c r="K4023">
        <v>0</v>
      </c>
      <c r="L4023">
        <v>0</v>
      </c>
    </row>
    <row r="4024" spans="1:12">
      <c r="A4024" t="str">
        <f>HYPERLINK("http://bombeiros.sp.gov.br/hidrantes/03individual/27105.html","27105")</f>
        <v>27105</v>
      </c>
      <c r="B4024" t="str">
        <f>HYPERLINK("http://bombeiros.sp.gov.br/hidrantes/08bsg/qrcodeBSG.html?id=27105&amp;lat=-23.66690&amp;long=-46.78911&amp;tipo=C","QRCODE")</f>
        <v>QRCODE</v>
      </c>
      <c r="C4024" t="s">
        <v>5372</v>
      </c>
      <c r="D4024" t="s">
        <v>1498</v>
      </c>
      <c r="E4024" t="s">
        <v>3918</v>
      </c>
      <c r="F4024" t="s">
        <v>12</v>
      </c>
      <c r="G4024" t="s">
        <v>3917</v>
      </c>
      <c r="H4024">
        <v>0</v>
      </c>
      <c r="I4024">
        <v>1</v>
      </c>
      <c r="J4024">
        <v>0</v>
      </c>
      <c r="K4024">
        <v>0</v>
      </c>
      <c r="L4024">
        <v>0</v>
      </c>
    </row>
    <row r="4025" spans="1:12">
      <c r="A4025" t="str">
        <f>HYPERLINK("http://bombeiros.sp.gov.br/hidrantes/03individual/27281.html","27281")</f>
        <v>27281</v>
      </c>
      <c r="B4025" t="str">
        <f>HYPERLINK("http://bombeiros.sp.gov.br/hidrantes/08bsg/qrcodeBSG.html?id=27281&amp;lat=-23.66550&amp;long=-46.79075&amp;tipo=C","QRCODE")</f>
        <v>QRCODE</v>
      </c>
      <c r="C4025" t="s">
        <v>5372</v>
      </c>
      <c r="D4025" t="s">
        <v>1498</v>
      </c>
      <c r="E4025" t="s">
        <v>3918</v>
      </c>
      <c r="F4025" t="s">
        <v>12</v>
      </c>
      <c r="G4025" t="s">
        <v>5379</v>
      </c>
      <c r="H4025">
        <v>0</v>
      </c>
      <c r="I4025">
        <v>0</v>
      </c>
      <c r="J4025">
        <v>0</v>
      </c>
      <c r="K4025">
        <v>0</v>
      </c>
      <c r="L4025">
        <v>0</v>
      </c>
    </row>
    <row r="4026" spans="1:12">
      <c r="A4026" t="str">
        <f>HYPERLINK("http://bombeiros.sp.gov.br/hidrantes/03individual/4152.html","4152")</f>
        <v>4152</v>
      </c>
      <c r="B4026" t="str">
        <f>HYPERLINK("http://bombeiros.sp.gov.br/hidrantes/08bsg/qrcodeBSG.html?id=4152&amp;lat=-23.65640&amp;long=-46.77310&amp;tipo=S","QRCODE")</f>
        <v>QRCODE</v>
      </c>
      <c r="C4026" t="s">
        <v>5372</v>
      </c>
      <c r="D4026" t="s">
        <v>1498</v>
      </c>
      <c r="E4026" t="s">
        <v>3918</v>
      </c>
      <c r="F4026" t="s">
        <v>21</v>
      </c>
      <c r="G4026" t="s">
        <v>3940</v>
      </c>
      <c r="H4026">
        <v>0</v>
      </c>
      <c r="I4026">
        <v>1</v>
      </c>
      <c r="J4026">
        <v>0</v>
      </c>
      <c r="K4026">
        <v>0</v>
      </c>
      <c r="L4026">
        <v>0</v>
      </c>
    </row>
    <row r="4027" spans="1:12">
      <c r="A4027" t="str">
        <f>HYPERLINK("http://bombeiros.sp.gov.br/hidrantes/03individual/4153.html","4153")</f>
        <v>4153</v>
      </c>
      <c r="B4027" t="str">
        <f>HYPERLINK("http://bombeiros.sp.gov.br/hidrantes/08bsg/qrcodeBSG.html?id=4153&amp;lat=-23.65802&amp;long=-46.77528&amp;tipo=S","QRCODE")</f>
        <v>QRCODE</v>
      </c>
      <c r="C4027" t="s">
        <v>5372</v>
      </c>
      <c r="D4027" t="s">
        <v>1498</v>
      </c>
      <c r="E4027" t="s">
        <v>3918</v>
      </c>
      <c r="F4027" t="s">
        <v>21</v>
      </c>
      <c r="G4027" t="s">
        <v>3941</v>
      </c>
      <c r="H4027">
        <v>0</v>
      </c>
      <c r="I4027">
        <v>1</v>
      </c>
      <c r="J4027">
        <v>0</v>
      </c>
      <c r="K4027">
        <v>0</v>
      </c>
      <c r="L4027">
        <v>0</v>
      </c>
    </row>
    <row r="4028" spans="1:12">
      <c r="A4028" t="str">
        <f>HYPERLINK("http://bombeiros.sp.gov.br/hidrantes/03individual/27384.html","27384")</f>
        <v>27384</v>
      </c>
      <c r="B4028" t="str">
        <f>HYPERLINK("http://bombeiros.sp.gov.br/hidrantes/08bsg/qrcodeBSG.html?id=27384&amp;lat=-23.64961&amp;long=-46.78933&amp;tipo=S","QRCODE")</f>
        <v>QRCODE</v>
      </c>
      <c r="C4028" t="s">
        <v>5372</v>
      </c>
      <c r="D4028" t="s">
        <v>1498</v>
      </c>
      <c r="E4028" t="s">
        <v>3918</v>
      </c>
      <c r="F4028" t="s">
        <v>21</v>
      </c>
      <c r="G4028" t="s">
        <v>5380</v>
      </c>
      <c r="H4028">
        <v>0</v>
      </c>
      <c r="I4028">
        <v>0</v>
      </c>
      <c r="J4028">
        <v>0</v>
      </c>
      <c r="K4028">
        <v>0</v>
      </c>
      <c r="L4028">
        <v>0</v>
      </c>
    </row>
    <row r="4029" spans="1:12">
      <c r="A4029" t="str">
        <f>HYPERLINK("http://bombeiros.sp.gov.br/hidrantes/03individual/2411.html","2411")</f>
        <v>2411</v>
      </c>
      <c r="B4029" t="str">
        <f>HYPERLINK("http://bombeiros.sp.gov.br/hidrantes/08bsg/qrcodeBSG.html?id=2411&amp;lat=-23.66228&amp;long=-46.67576&amp;tipo=C","QRCODE")</f>
        <v>QRCODE</v>
      </c>
      <c r="C4029" t="s">
        <v>5372</v>
      </c>
      <c r="D4029" t="s">
        <v>5381</v>
      </c>
      <c r="E4029" t="s">
        <v>636</v>
      </c>
      <c r="F4029" t="s">
        <v>12</v>
      </c>
      <c r="G4029" t="s">
        <v>4269</v>
      </c>
      <c r="H4029">
        <v>0</v>
      </c>
      <c r="I4029">
        <v>1</v>
      </c>
      <c r="J4029">
        <v>0</v>
      </c>
      <c r="K4029">
        <v>0</v>
      </c>
      <c r="L4029">
        <v>0</v>
      </c>
    </row>
    <row r="4030" spans="1:12">
      <c r="A4030" t="str">
        <f>HYPERLINK("http://bombeiros.sp.gov.br/hidrantes/03individual/15074.html","15074")</f>
        <v>15074</v>
      </c>
      <c r="B4030" t="str">
        <f>HYPERLINK("http://bombeiros.sp.gov.br/hidrantes/08bsg/qrcodeBSG.html?id=15074&amp;lat=-23.66017&amp;long=-46.67528&amp;tipo=C","QRCODE")</f>
        <v>QRCODE</v>
      </c>
      <c r="C4030" t="s">
        <v>5372</v>
      </c>
      <c r="D4030" t="s">
        <v>5381</v>
      </c>
      <c r="E4030" t="s">
        <v>636</v>
      </c>
      <c r="F4030" t="s">
        <v>12</v>
      </c>
      <c r="G4030" t="s">
        <v>3077</v>
      </c>
      <c r="H4030">
        <v>0</v>
      </c>
      <c r="I4030">
        <v>3</v>
      </c>
      <c r="J4030">
        <v>0</v>
      </c>
      <c r="K4030">
        <v>0</v>
      </c>
      <c r="L4030">
        <v>0</v>
      </c>
    </row>
    <row r="4031" spans="1:12">
      <c r="A4031" t="str">
        <f>HYPERLINK("http://bombeiros.sp.gov.br/hidrantes/03individual/313.html","313")</f>
        <v>313</v>
      </c>
      <c r="B4031" t="str">
        <f>HYPERLINK("http://bombeiros.sp.gov.br/hidrantes/08bsg/qrcodeBSG.html?id=313&amp;lat=-23.66551&amp;long=-46.65620&amp;tipo=S","QRCODE")</f>
        <v>QRCODE</v>
      </c>
      <c r="C4031" t="s">
        <v>5372</v>
      </c>
      <c r="D4031" t="s">
        <v>5381</v>
      </c>
      <c r="E4031" t="s">
        <v>636</v>
      </c>
      <c r="F4031" t="s">
        <v>21</v>
      </c>
      <c r="G4031" t="s">
        <v>1245</v>
      </c>
      <c r="H4031">
        <v>1</v>
      </c>
      <c r="I4031">
        <v>2</v>
      </c>
      <c r="J4031">
        <v>0</v>
      </c>
      <c r="K4031">
        <v>0</v>
      </c>
      <c r="L4031">
        <v>0</v>
      </c>
    </row>
    <row r="4032" spans="1:12">
      <c r="A4032" t="str">
        <f>HYPERLINK("http://bombeiros.sp.gov.br/hidrantes/03individual/411.html","411")</f>
        <v>411</v>
      </c>
      <c r="B4032" t="str">
        <f>HYPERLINK("http://bombeiros.sp.gov.br/hidrantes/08bsg/qrcodeBSG.html?id=411&amp;lat=-23.67457&amp;long=-46.66193&amp;tipo=S","QRCODE")</f>
        <v>QRCODE</v>
      </c>
      <c r="C4032" t="s">
        <v>5372</v>
      </c>
      <c r="D4032" t="s">
        <v>5381</v>
      </c>
      <c r="E4032" t="s">
        <v>636</v>
      </c>
      <c r="F4032" t="s">
        <v>21</v>
      </c>
      <c r="G4032" t="s">
        <v>1248</v>
      </c>
      <c r="H4032">
        <v>1</v>
      </c>
      <c r="I4032">
        <v>2</v>
      </c>
      <c r="J4032">
        <v>0</v>
      </c>
      <c r="K4032">
        <v>0</v>
      </c>
      <c r="L4032">
        <v>0</v>
      </c>
    </row>
    <row r="4033" spans="1:12">
      <c r="A4033" t="str">
        <f>HYPERLINK("http://bombeiros.sp.gov.br/hidrantes/03individual/2410.html","2410")</f>
        <v>2410</v>
      </c>
      <c r="B4033" t="str">
        <f>HYPERLINK("http://bombeiros.sp.gov.br/hidrantes/08bsg/qrcodeBSG.html?id=2410&amp;lat=-23.65783&amp;long=-46.67430&amp;tipo=S","QRCODE")</f>
        <v>QRCODE</v>
      </c>
      <c r="C4033" t="s">
        <v>5372</v>
      </c>
      <c r="D4033" t="s">
        <v>5381</v>
      </c>
      <c r="E4033" t="s">
        <v>636</v>
      </c>
      <c r="F4033" t="s">
        <v>21</v>
      </c>
      <c r="G4033" t="s">
        <v>3501</v>
      </c>
      <c r="H4033">
        <v>0</v>
      </c>
      <c r="I4033">
        <v>1</v>
      </c>
      <c r="J4033">
        <v>0</v>
      </c>
      <c r="K4033">
        <v>0</v>
      </c>
      <c r="L4033">
        <v>0</v>
      </c>
    </row>
    <row r="4034" spans="1:12">
      <c r="A4034" t="str">
        <f>HYPERLINK("http://bombeiros.sp.gov.br/hidrantes/03individual/2415.html","2415")</f>
        <v>2415</v>
      </c>
      <c r="B4034" t="str">
        <f>HYPERLINK("http://bombeiros.sp.gov.br/hidrantes/08bsg/qrcodeBSG.html?id=2415&amp;lat=-23.65507&amp;long=-46.67699&amp;tipo=S","QRCODE")</f>
        <v>QRCODE</v>
      </c>
      <c r="C4034" t="s">
        <v>5372</v>
      </c>
      <c r="D4034" t="s">
        <v>5381</v>
      </c>
      <c r="E4034" t="s">
        <v>636</v>
      </c>
      <c r="F4034" t="s">
        <v>21</v>
      </c>
      <c r="G4034" t="s">
        <v>4703</v>
      </c>
      <c r="H4034">
        <v>1</v>
      </c>
      <c r="I4034">
        <v>2</v>
      </c>
      <c r="J4034">
        <v>0</v>
      </c>
      <c r="K4034">
        <v>0</v>
      </c>
      <c r="L4034">
        <v>0</v>
      </c>
    </row>
    <row r="4035" spans="1:12">
      <c r="A4035" t="str">
        <f>HYPERLINK("http://bombeiros.sp.gov.br/hidrantes/03individual/2418.html","2418")</f>
        <v>2418</v>
      </c>
      <c r="B4035" t="str">
        <f>HYPERLINK("http://bombeiros.sp.gov.br/hidrantes/08bsg/qrcodeBSG.html?id=2418&amp;lat=-23.65752&amp;long=-46.67628&amp;tipo=S","QRCODE")</f>
        <v>QRCODE</v>
      </c>
      <c r="C4035" t="s">
        <v>5372</v>
      </c>
      <c r="D4035" t="s">
        <v>5381</v>
      </c>
      <c r="E4035" t="s">
        <v>636</v>
      </c>
      <c r="F4035" t="s">
        <v>21</v>
      </c>
      <c r="G4035" t="s">
        <v>4704</v>
      </c>
      <c r="H4035">
        <v>1</v>
      </c>
      <c r="I4035">
        <v>1</v>
      </c>
      <c r="J4035">
        <v>0</v>
      </c>
      <c r="K4035">
        <v>0</v>
      </c>
      <c r="L4035">
        <v>0</v>
      </c>
    </row>
    <row r="4036" spans="1:12">
      <c r="A4036" t="str">
        <f>HYPERLINK("http://bombeiros.sp.gov.br/hidrantes/03individual/2447.html","2447")</f>
        <v>2447</v>
      </c>
      <c r="B4036" t="str">
        <f>HYPERLINK("http://bombeiros.sp.gov.br/hidrantes/08bsg/qrcodeBSG.html?id=2447&amp;lat=-23.66281&amp;long=-46.67330&amp;tipo=S","QRCODE")</f>
        <v>QRCODE</v>
      </c>
      <c r="C4036" t="s">
        <v>5372</v>
      </c>
      <c r="D4036" t="s">
        <v>5381</v>
      </c>
      <c r="E4036" t="s">
        <v>636</v>
      </c>
      <c r="F4036" t="s">
        <v>21</v>
      </c>
      <c r="G4036" t="s">
        <v>4402</v>
      </c>
      <c r="H4036">
        <v>0</v>
      </c>
      <c r="I4036">
        <v>2</v>
      </c>
      <c r="J4036">
        <v>0</v>
      </c>
      <c r="K4036">
        <v>0</v>
      </c>
      <c r="L4036">
        <v>0</v>
      </c>
    </row>
    <row r="4037" spans="1:12">
      <c r="A4037" t="str">
        <f>HYPERLINK("http://bombeiros.sp.gov.br/hidrantes/03individual/2466.html","2466")</f>
        <v>2466</v>
      </c>
      <c r="B4037" t="str">
        <f>HYPERLINK("http://bombeiros.sp.gov.br/hidrantes/08bsg/qrcodeBSG.html?id=2466&amp;lat=-23.66885&amp;long=-46.67149&amp;tipo=S","QRCODE")</f>
        <v>QRCODE</v>
      </c>
      <c r="C4037" t="s">
        <v>5372</v>
      </c>
      <c r="D4037" t="s">
        <v>5381</v>
      </c>
      <c r="E4037" t="s">
        <v>636</v>
      </c>
      <c r="F4037" t="s">
        <v>21</v>
      </c>
      <c r="G4037" t="s">
        <v>643</v>
      </c>
      <c r="H4037">
        <v>0</v>
      </c>
      <c r="I4037">
        <v>3</v>
      </c>
      <c r="J4037">
        <v>0</v>
      </c>
      <c r="K4037">
        <v>0</v>
      </c>
      <c r="L4037">
        <v>0</v>
      </c>
    </row>
    <row r="4038" spans="1:12">
      <c r="A4038" t="str">
        <f>HYPERLINK("http://bombeiros.sp.gov.br/hidrantes/03individual/2471.html","2471")</f>
        <v>2471</v>
      </c>
      <c r="B4038" t="str">
        <f>HYPERLINK("http://bombeiros.sp.gov.br/hidrantes/08bsg/qrcodeBSG.html?id=2471&amp;lat=-23.65636&amp;long=-46.67495&amp;tipo=S","QRCODE")</f>
        <v>QRCODE</v>
      </c>
      <c r="C4038" t="s">
        <v>5372</v>
      </c>
      <c r="D4038" t="s">
        <v>5381</v>
      </c>
      <c r="E4038" t="s">
        <v>636</v>
      </c>
      <c r="F4038" t="s">
        <v>21</v>
      </c>
      <c r="G4038" t="s">
        <v>644</v>
      </c>
      <c r="H4038">
        <v>1</v>
      </c>
      <c r="I4038">
        <v>2</v>
      </c>
      <c r="J4038">
        <v>0</v>
      </c>
      <c r="K4038">
        <v>0</v>
      </c>
      <c r="L4038">
        <v>0</v>
      </c>
    </row>
    <row r="4039" spans="1:12">
      <c r="A4039" t="str">
        <f>HYPERLINK("http://bombeiros.sp.gov.br/hidrantes/03individual/2473.html","2473")</f>
        <v>2473</v>
      </c>
      <c r="B4039" t="str">
        <f>HYPERLINK("http://bombeiros.sp.gov.br/hidrantes/08bsg/qrcodeBSG.html?id=2473&amp;lat=-23.64962&amp;long=-46.67260&amp;tipo=S","QRCODE")</f>
        <v>QRCODE</v>
      </c>
      <c r="C4039" t="s">
        <v>5372</v>
      </c>
      <c r="D4039" t="s">
        <v>5381</v>
      </c>
      <c r="E4039" t="s">
        <v>636</v>
      </c>
      <c r="F4039" t="s">
        <v>21</v>
      </c>
      <c r="G4039" t="s">
        <v>4271</v>
      </c>
      <c r="H4039">
        <v>0</v>
      </c>
      <c r="I4039">
        <v>1</v>
      </c>
      <c r="J4039">
        <v>0</v>
      </c>
      <c r="K4039">
        <v>0</v>
      </c>
      <c r="L4039">
        <v>0</v>
      </c>
    </row>
    <row r="4040" spans="1:12">
      <c r="A4040" t="str">
        <f>HYPERLINK("http://bombeiros.sp.gov.br/hidrantes/03individual/2480.html","2480")</f>
        <v>2480</v>
      </c>
      <c r="B4040" t="str">
        <f>HYPERLINK("http://bombeiros.sp.gov.br/hidrantes/08bsg/qrcodeBSG.html?id=2480&amp;lat=-23.67099&amp;long=-46.66880&amp;tipo=S","QRCODE")</f>
        <v>QRCODE</v>
      </c>
      <c r="C4040" t="s">
        <v>5372</v>
      </c>
      <c r="D4040" t="s">
        <v>5381</v>
      </c>
      <c r="E4040" t="s">
        <v>636</v>
      </c>
      <c r="F4040" t="s">
        <v>21</v>
      </c>
      <c r="G4040" t="s">
        <v>3498</v>
      </c>
      <c r="H4040">
        <v>0</v>
      </c>
      <c r="I4040">
        <v>1</v>
      </c>
      <c r="J4040">
        <v>0</v>
      </c>
      <c r="K4040">
        <v>0</v>
      </c>
      <c r="L4040">
        <v>0</v>
      </c>
    </row>
    <row r="4041" spans="1:12">
      <c r="A4041" t="str">
        <f>HYPERLINK("http://bombeiros.sp.gov.br/hidrantes/03individual/2481.html","2481")</f>
        <v>2481</v>
      </c>
      <c r="B4041" t="str">
        <f>HYPERLINK("http://bombeiros.sp.gov.br/hidrantes/08bsg/qrcodeBSG.html?id=2481&amp;lat=-23.65532&amp;long=-46.66887&amp;tipo=S","QRCODE")</f>
        <v>QRCODE</v>
      </c>
      <c r="C4041" t="s">
        <v>5372</v>
      </c>
      <c r="D4041" t="s">
        <v>5381</v>
      </c>
      <c r="E4041" t="s">
        <v>636</v>
      </c>
      <c r="F4041" t="s">
        <v>21</v>
      </c>
      <c r="G4041" t="s">
        <v>4398</v>
      </c>
      <c r="H4041">
        <v>0</v>
      </c>
      <c r="I4041">
        <v>2</v>
      </c>
      <c r="J4041">
        <v>0</v>
      </c>
      <c r="K4041">
        <v>0</v>
      </c>
      <c r="L4041">
        <v>0</v>
      </c>
    </row>
    <row r="4042" spans="1:12">
      <c r="A4042" t="str">
        <f>HYPERLINK("http://bombeiros.sp.gov.br/hidrantes/03individual/2486.html","2486")</f>
        <v>2486</v>
      </c>
      <c r="B4042" t="str">
        <f>HYPERLINK("http://bombeiros.sp.gov.br/hidrantes/08bsg/qrcodeBSG.html?id=2486&amp;lat=-23.66985&amp;long=-46.66363&amp;tipo=S","QRCODE")</f>
        <v>QRCODE</v>
      </c>
      <c r="C4042" t="s">
        <v>5372</v>
      </c>
      <c r="D4042" t="s">
        <v>5381</v>
      </c>
      <c r="E4042" t="s">
        <v>636</v>
      </c>
      <c r="F4042" t="s">
        <v>21</v>
      </c>
      <c r="G4042" t="s">
        <v>4399</v>
      </c>
      <c r="H4042">
        <v>0</v>
      </c>
      <c r="I4042">
        <v>2</v>
      </c>
      <c r="J4042">
        <v>0</v>
      </c>
      <c r="K4042">
        <v>0</v>
      </c>
      <c r="L4042">
        <v>0</v>
      </c>
    </row>
    <row r="4043" spans="1:12">
      <c r="A4043" t="str">
        <f>HYPERLINK("http://bombeiros.sp.gov.br/hidrantes/03individual/2494.html","2494")</f>
        <v>2494</v>
      </c>
      <c r="B4043" t="str">
        <f>HYPERLINK("http://bombeiros.sp.gov.br/hidrantes/08bsg/qrcodeBSG.html?id=2494&amp;lat=-23.66940&amp;long=-46.66226&amp;tipo=S","QRCODE")</f>
        <v>QRCODE</v>
      </c>
      <c r="C4043" t="s">
        <v>5372</v>
      </c>
      <c r="D4043" t="s">
        <v>5381</v>
      </c>
      <c r="E4043" t="s">
        <v>636</v>
      </c>
      <c r="F4043" t="s">
        <v>21</v>
      </c>
      <c r="G4043" t="s">
        <v>1293</v>
      </c>
      <c r="H4043">
        <v>1</v>
      </c>
      <c r="I4043">
        <v>2</v>
      </c>
      <c r="J4043">
        <v>0</v>
      </c>
      <c r="K4043">
        <v>0</v>
      </c>
      <c r="L4043">
        <v>0</v>
      </c>
    </row>
    <row r="4044" spans="1:12">
      <c r="A4044" t="str">
        <f>HYPERLINK("http://bombeiros.sp.gov.br/hidrantes/03individual/2498.html","2498")</f>
        <v>2498</v>
      </c>
      <c r="B4044" t="str">
        <f>HYPERLINK("http://bombeiros.sp.gov.br/hidrantes/08bsg/qrcodeBSG.html?id=2498&amp;lat=-23.66388&amp;long=-46.66791&amp;tipo=S","QRCODE")</f>
        <v>QRCODE</v>
      </c>
      <c r="C4044" t="s">
        <v>5372</v>
      </c>
      <c r="D4044" t="s">
        <v>5381</v>
      </c>
      <c r="E4044" t="s">
        <v>636</v>
      </c>
      <c r="F4044" t="s">
        <v>21</v>
      </c>
      <c r="G4044" t="s">
        <v>680</v>
      </c>
      <c r="H4044">
        <v>0</v>
      </c>
      <c r="I4044">
        <v>3</v>
      </c>
      <c r="J4044">
        <v>0</v>
      </c>
      <c r="K4044">
        <v>0</v>
      </c>
      <c r="L4044">
        <v>0</v>
      </c>
    </row>
    <row r="4045" spans="1:12">
      <c r="A4045" t="str">
        <f>HYPERLINK("http://bombeiros.sp.gov.br/hidrantes/03individual/3770.html","3770")</f>
        <v>3770</v>
      </c>
      <c r="B4045" t="str">
        <f>HYPERLINK("http://bombeiros.sp.gov.br/hidrantes/08bsg/qrcodeBSG.html?id=3770&amp;lat=-23.65369&amp;long=-46.67017&amp;tipo=S","QRCODE")</f>
        <v>QRCODE</v>
      </c>
      <c r="C4045" t="s">
        <v>5372</v>
      </c>
      <c r="D4045" t="s">
        <v>5381</v>
      </c>
      <c r="E4045" t="s">
        <v>636</v>
      </c>
      <c r="F4045" t="s">
        <v>21</v>
      </c>
      <c r="G4045" t="s">
        <v>4686</v>
      </c>
      <c r="H4045">
        <v>1</v>
      </c>
      <c r="I4045">
        <v>1</v>
      </c>
      <c r="J4045">
        <v>0</v>
      </c>
      <c r="K4045">
        <v>0</v>
      </c>
      <c r="L4045">
        <v>0</v>
      </c>
    </row>
    <row r="4046" spans="1:12">
      <c r="A4046" t="str">
        <f>HYPERLINK("http://bombeiros.sp.gov.br/hidrantes/03individual/3775.html","3775")</f>
        <v>3775</v>
      </c>
      <c r="B4046" t="str">
        <f>HYPERLINK("http://bombeiros.sp.gov.br/hidrantes/08bsg/qrcodeBSG.html?id=3775&amp;lat=-23.66065&amp;long=-46.66408&amp;tipo=S","QRCODE")</f>
        <v>QRCODE</v>
      </c>
      <c r="C4046" t="s">
        <v>5372</v>
      </c>
      <c r="D4046" t="s">
        <v>5381</v>
      </c>
      <c r="E4046" t="s">
        <v>636</v>
      </c>
      <c r="F4046" t="s">
        <v>21</v>
      </c>
      <c r="G4046" t="s">
        <v>635</v>
      </c>
      <c r="H4046">
        <v>0</v>
      </c>
      <c r="I4046">
        <v>3</v>
      </c>
      <c r="J4046">
        <v>0</v>
      </c>
      <c r="K4046">
        <v>0</v>
      </c>
      <c r="L4046">
        <v>0</v>
      </c>
    </row>
    <row r="4047" spans="1:12">
      <c r="A4047" t="str">
        <f>HYPERLINK("http://bombeiros.sp.gov.br/hidrantes/03individual/3776.html","3776")</f>
        <v>3776</v>
      </c>
      <c r="B4047" t="str">
        <f>HYPERLINK("http://bombeiros.sp.gov.br/hidrantes/08bsg/qrcodeBSG.html?id=3776&amp;lat=-23.66365&amp;long=-46.66429&amp;tipo=S","QRCODE")</f>
        <v>QRCODE</v>
      </c>
      <c r="C4047" t="s">
        <v>5372</v>
      </c>
      <c r="D4047" t="s">
        <v>5381</v>
      </c>
      <c r="E4047" t="s">
        <v>636</v>
      </c>
      <c r="F4047" t="s">
        <v>21</v>
      </c>
      <c r="G4047" t="s">
        <v>3370</v>
      </c>
      <c r="H4047">
        <v>1</v>
      </c>
      <c r="I4047">
        <v>2</v>
      </c>
      <c r="J4047">
        <v>0</v>
      </c>
      <c r="K4047">
        <v>0</v>
      </c>
      <c r="L4047">
        <v>0</v>
      </c>
    </row>
    <row r="4048" spans="1:12">
      <c r="A4048" t="str">
        <f>HYPERLINK("http://bombeiros.sp.gov.br/hidrantes/03individual/3780.html","3780")</f>
        <v>3780</v>
      </c>
      <c r="B4048" t="str">
        <f>HYPERLINK("http://bombeiros.sp.gov.br/hidrantes/08bsg/qrcodeBSG.html?id=3780&amp;lat=-23.66661&amp;long=-46.67002&amp;tipo=S","QRCODE")</f>
        <v>QRCODE</v>
      </c>
      <c r="C4048" t="s">
        <v>5372</v>
      </c>
      <c r="D4048" t="s">
        <v>5381</v>
      </c>
      <c r="E4048" t="s">
        <v>636</v>
      </c>
      <c r="F4048" t="s">
        <v>21</v>
      </c>
      <c r="G4048" t="s">
        <v>3026</v>
      </c>
      <c r="H4048">
        <v>0</v>
      </c>
      <c r="I4048">
        <v>3</v>
      </c>
      <c r="J4048">
        <v>0</v>
      </c>
      <c r="K4048">
        <v>0</v>
      </c>
      <c r="L4048">
        <v>0</v>
      </c>
    </row>
    <row r="4049" spans="1:12">
      <c r="A4049" t="str">
        <f>HYPERLINK("http://bombeiros.sp.gov.br/hidrantes/03individual/3811.html","3811")</f>
        <v>3811</v>
      </c>
      <c r="B4049" t="str">
        <f>HYPERLINK("http://bombeiros.sp.gov.br/hidrantes/08bsg/qrcodeBSG.html?id=3811&amp;lat=-23.66016&amp;long=-46.67249&amp;tipo=S","QRCODE")</f>
        <v>QRCODE</v>
      </c>
      <c r="C4049" t="s">
        <v>5372</v>
      </c>
      <c r="D4049" t="s">
        <v>5381</v>
      </c>
      <c r="E4049" t="s">
        <v>636</v>
      </c>
      <c r="F4049" t="s">
        <v>21</v>
      </c>
      <c r="G4049" t="s">
        <v>4687</v>
      </c>
      <c r="H4049">
        <v>1</v>
      </c>
      <c r="I4049">
        <v>1</v>
      </c>
      <c r="J4049">
        <v>0</v>
      </c>
      <c r="K4049">
        <v>0</v>
      </c>
      <c r="L4049">
        <v>0</v>
      </c>
    </row>
    <row r="4050" spans="1:12">
      <c r="A4050" t="str">
        <f>HYPERLINK("http://bombeiros.sp.gov.br/hidrantes/03individual/3814.html","3814")</f>
        <v>3814</v>
      </c>
      <c r="B4050" t="str">
        <f>HYPERLINK("http://bombeiros.sp.gov.br/hidrantes/08bsg/qrcodeBSG.html?id=3814&amp;lat=-23.66500&amp;long=-46.65904&amp;tipo=S","QRCODE")</f>
        <v>QRCODE</v>
      </c>
      <c r="C4050" t="s">
        <v>5372</v>
      </c>
      <c r="D4050" t="s">
        <v>5381</v>
      </c>
      <c r="E4050" t="s">
        <v>636</v>
      </c>
      <c r="F4050" t="s">
        <v>21</v>
      </c>
      <c r="G4050" t="s">
        <v>2613</v>
      </c>
      <c r="H4050">
        <v>1</v>
      </c>
      <c r="I4050">
        <v>2</v>
      </c>
      <c r="J4050">
        <v>0</v>
      </c>
      <c r="K4050">
        <v>0</v>
      </c>
      <c r="L4050">
        <v>0</v>
      </c>
    </row>
    <row r="4051" spans="1:12">
      <c r="A4051" t="str">
        <f>HYPERLINK("http://bombeiros.sp.gov.br/hidrantes/03individual/3823.html","3823")</f>
        <v>3823</v>
      </c>
      <c r="B4051" t="str">
        <f>HYPERLINK("http://bombeiros.sp.gov.br/hidrantes/08bsg/qrcodeBSG.html?id=3823&amp;lat=-23.66027&amp;long=-46.67858&amp;tipo=S","QRCODE")</f>
        <v>QRCODE</v>
      </c>
      <c r="C4051" t="s">
        <v>5372</v>
      </c>
      <c r="D4051" t="s">
        <v>5381</v>
      </c>
      <c r="E4051" t="s">
        <v>636</v>
      </c>
      <c r="F4051" t="s">
        <v>21</v>
      </c>
      <c r="G4051" t="s">
        <v>4296</v>
      </c>
      <c r="H4051">
        <v>0</v>
      </c>
      <c r="I4051">
        <v>1</v>
      </c>
      <c r="J4051">
        <v>0</v>
      </c>
      <c r="K4051">
        <v>0</v>
      </c>
      <c r="L4051">
        <v>0</v>
      </c>
    </row>
    <row r="4052" spans="1:12">
      <c r="A4052" t="str">
        <f>HYPERLINK("http://bombeiros.sp.gov.br/hidrantes/03individual/4368.html","4368")</f>
        <v>4368</v>
      </c>
      <c r="B4052" t="str">
        <f>HYPERLINK("http://bombeiros.sp.gov.br/hidrantes/08bsg/qrcodeBSG.html?id=4368&amp;lat=-23.66314&amp;long=-46.67865&amp;tipo=S","QRCODE")</f>
        <v>QRCODE</v>
      </c>
      <c r="C4052" t="s">
        <v>5372</v>
      </c>
      <c r="D4052" t="s">
        <v>5381</v>
      </c>
      <c r="E4052" t="s">
        <v>636</v>
      </c>
      <c r="F4052" t="s">
        <v>21</v>
      </c>
      <c r="G4052" t="s">
        <v>3745</v>
      </c>
      <c r="H4052">
        <v>2</v>
      </c>
      <c r="I4052">
        <v>1</v>
      </c>
      <c r="J4052">
        <v>0</v>
      </c>
      <c r="K4052">
        <v>0</v>
      </c>
      <c r="L4052">
        <v>0</v>
      </c>
    </row>
    <row r="4053" spans="1:12">
      <c r="A4053" t="str">
        <f>HYPERLINK("http://bombeiros.sp.gov.br/hidrantes/03individual/6734.html","6734")</f>
        <v>6734</v>
      </c>
      <c r="B4053" t="str">
        <f>HYPERLINK("http://bombeiros.sp.gov.br/hidrantes/08bsg/qrcodeBSG.html?id=6734&amp;lat=-23.65693&amp;long=-46.67852&amp;tipo=S","QRCODE")</f>
        <v>QRCODE</v>
      </c>
      <c r="C4053" t="s">
        <v>5372</v>
      </c>
      <c r="D4053" t="s">
        <v>5381</v>
      </c>
      <c r="E4053" t="s">
        <v>636</v>
      </c>
      <c r="F4053" t="s">
        <v>21</v>
      </c>
      <c r="G4053" t="s">
        <v>3738</v>
      </c>
      <c r="H4053">
        <v>1</v>
      </c>
      <c r="I4053">
        <v>1</v>
      </c>
      <c r="J4053">
        <v>0</v>
      </c>
      <c r="K4053">
        <v>0</v>
      </c>
      <c r="L4053">
        <v>0</v>
      </c>
    </row>
    <row r="4054" spans="1:12">
      <c r="A4054" t="str">
        <f>HYPERLINK("http://bombeiros.sp.gov.br/hidrantes/03individual/17669.html","17669")</f>
        <v>17669</v>
      </c>
      <c r="B4054" t="str">
        <f>HYPERLINK("http://bombeiros.sp.gov.br/hidrantes/08bsg/qrcodeBSG.html?id=17669&amp;lat=-23.66210&amp;long=-46.66738&amp;tipo=S","QRCODE")</f>
        <v>QRCODE</v>
      </c>
      <c r="C4054" t="s">
        <v>5372</v>
      </c>
      <c r="D4054" t="s">
        <v>5381</v>
      </c>
      <c r="E4054" t="s">
        <v>636</v>
      </c>
      <c r="F4054" t="s">
        <v>21</v>
      </c>
      <c r="G4054" t="s">
        <v>4628</v>
      </c>
      <c r="H4054">
        <v>1</v>
      </c>
      <c r="I4054">
        <v>1</v>
      </c>
      <c r="J4054">
        <v>0</v>
      </c>
      <c r="K4054">
        <v>0</v>
      </c>
      <c r="L4054">
        <v>0</v>
      </c>
    </row>
    <row r="4055" spans="1:12">
      <c r="A4055" t="str">
        <f>HYPERLINK("http://bombeiros.sp.gov.br/hidrantes/03individual/17670.html","17670")</f>
        <v>17670</v>
      </c>
      <c r="B4055" t="str">
        <f>HYPERLINK("http://bombeiros.sp.gov.br/hidrantes/08bsg/qrcodeBSG.html?id=17670&amp;lat=-23.66452&amp;long=-46.66697&amp;tipo=S","QRCODE")</f>
        <v>QRCODE</v>
      </c>
      <c r="C4055" t="s">
        <v>5372</v>
      </c>
      <c r="D4055" t="s">
        <v>5381</v>
      </c>
      <c r="E4055" t="s">
        <v>636</v>
      </c>
      <c r="F4055" t="s">
        <v>21</v>
      </c>
      <c r="G4055" t="s">
        <v>4629</v>
      </c>
      <c r="H4055">
        <v>1</v>
      </c>
      <c r="I4055">
        <v>2</v>
      </c>
      <c r="J4055">
        <v>0</v>
      </c>
      <c r="K4055">
        <v>0</v>
      </c>
      <c r="L4055">
        <v>0</v>
      </c>
    </row>
    <row r="4056" spans="1:12">
      <c r="A4056" t="str">
        <f>HYPERLINK("http://bombeiros.sp.gov.br/hidrantes/03individual/17698.html","17698")</f>
        <v>17698</v>
      </c>
      <c r="B4056" t="str">
        <f>HYPERLINK("http://bombeiros.sp.gov.br/hidrantes/08bsg/qrcodeBSG.html?id=17698&amp;lat=-23.65515&amp;long=-46.67536&amp;tipo=S","QRCODE")</f>
        <v>QRCODE</v>
      </c>
      <c r="C4056" t="s">
        <v>5372</v>
      </c>
      <c r="D4056" t="s">
        <v>5381</v>
      </c>
      <c r="E4056" t="s">
        <v>636</v>
      </c>
      <c r="F4056" t="s">
        <v>21</v>
      </c>
      <c r="G4056" t="s">
        <v>4709</v>
      </c>
      <c r="H4056">
        <v>1</v>
      </c>
      <c r="I4056">
        <v>1</v>
      </c>
      <c r="J4056">
        <v>0</v>
      </c>
      <c r="K4056">
        <v>0</v>
      </c>
      <c r="L4056">
        <v>0</v>
      </c>
    </row>
    <row r="4057" spans="1:12">
      <c r="A4057" t="str">
        <f>HYPERLINK("http://bombeiros.sp.gov.br/hidrantes/03individual/17699.html","17699")</f>
        <v>17699</v>
      </c>
      <c r="B4057" t="str">
        <f>HYPERLINK("http://bombeiros.sp.gov.br/hidrantes/08bsg/qrcodeBSG.html?id=17699&amp;lat=-23.64935&amp;long=-46.67035&amp;tipo=S","QRCODE")</f>
        <v>QRCODE</v>
      </c>
      <c r="C4057" t="s">
        <v>5372</v>
      </c>
      <c r="D4057" t="s">
        <v>5381</v>
      </c>
      <c r="E4057" t="s">
        <v>636</v>
      </c>
      <c r="F4057" t="s">
        <v>21</v>
      </c>
      <c r="G4057" t="s">
        <v>655</v>
      </c>
      <c r="H4057">
        <v>1</v>
      </c>
      <c r="I4057">
        <v>2</v>
      </c>
      <c r="J4057">
        <v>0</v>
      </c>
      <c r="K4057">
        <v>0</v>
      </c>
      <c r="L4057">
        <v>0</v>
      </c>
    </row>
    <row r="4058" spans="1:12">
      <c r="A4058" t="str">
        <f>HYPERLINK("http://bombeiros.sp.gov.br/hidrantes/03individual/17845.html","17845")</f>
        <v>17845</v>
      </c>
      <c r="B4058" t="str">
        <f>HYPERLINK("http://bombeiros.sp.gov.br/hidrantes/08bsg/qrcodeBSG.html?id=17845&amp;lat=-23.66495&amp;long=-46.67816&amp;tipo=S","QRCODE")</f>
        <v>QRCODE</v>
      </c>
      <c r="C4058" t="s">
        <v>5372</v>
      </c>
      <c r="D4058" t="s">
        <v>5381</v>
      </c>
      <c r="E4058" t="s">
        <v>636</v>
      </c>
      <c r="F4058" t="s">
        <v>21</v>
      </c>
      <c r="G4058" t="s">
        <v>3754</v>
      </c>
      <c r="H4058">
        <v>1</v>
      </c>
      <c r="I4058">
        <v>1</v>
      </c>
      <c r="J4058">
        <v>0</v>
      </c>
      <c r="K4058">
        <v>0</v>
      </c>
      <c r="L4058">
        <v>0</v>
      </c>
    </row>
    <row r="4059" spans="1:12">
      <c r="A4059" t="str">
        <f>HYPERLINK("http://bombeiros.sp.gov.br/hidrantes/03individual/17849.html","17849")</f>
        <v>17849</v>
      </c>
      <c r="B4059" t="str">
        <f>HYPERLINK("http://bombeiros.sp.gov.br/hidrantes/08bsg/qrcodeBSG.html?id=17849&amp;lat=-23.65129&amp;long=-46.67258&amp;tipo=S","QRCODE")</f>
        <v>QRCODE</v>
      </c>
      <c r="C4059" t="s">
        <v>5372</v>
      </c>
      <c r="D4059" t="s">
        <v>5381</v>
      </c>
      <c r="E4059" t="s">
        <v>636</v>
      </c>
      <c r="F4059" t="s">
        <v>21</v>
      </c>
      <c r="G4059" t="s">
        <v>4877</v>
      </c>
      <c r="H4059">
        <v>1</v>
      </c>
      <c r="I4059">
        <v>1</v>
      </c>
      <c r="J4059">
        <v>0</v>
      </c>
      <c r="K4059">
        <v>0</v>
      </c>
      <c r="L4059">
        <v>0</v>
      </c>
    </row>
    <row r="4060" spans="1:12">
      <c r="A4060" t="str">
        <f>HYPERLINK("http://bombeiros.sp.gov.br/hidrantes/03individual/17856.html","17856")</f>
        <v>17856</v>
      </c>
      <c r="B4060" t="str">
        <f>HYPERLINK("http://bombeiros.sp.gov.br/hidrantes/08bsg/qrcodeBSG.html?id=17856&amp;lat=-23.65322&amp;long=-46.67608&amp;tipo=S","QRCODE")</f>
        <v>QRCODE</v>
      </c>
      <c r="C4060" t="s">
        <v>5372</v>
      </c>
      <c r="D4060" t="s">
        <v>5381</v>
      </c>
      <c r="E4060" t="s">
        <v>636</v>
      </c>
      <c r="F4060" t="s">
        <v>21</v>
      </c>
      <c r="G4060" t="s">
        <v>3753</v>
      </c>
      <c r="H4060">
        <v>1</v>
      </c>
      <c r="I4060">
        <v>1</v>
      </c>
      <c r="J4060">
        <v>0</v>
      </c>
      <c r="K4060">
        <v>0</v>
      </c>
      <c r="L4060">
        <v>0</v>
      </c>
    </row>
    <row r="4061" spans="1:12">
      <c r="A4061" t="str">
        <f>HYPERLINK("http://bombeiros.sp.gov.br/hidrantes/03individual/17879.html","17879")</f>
        <v>17879</v>
      </c>
      <c r="B4061" t="str">
        <f>HYPERLINK("http://bombeiros.sp.gov.br/hidrantes/08bsg/qrcodeBSG.html?id=17879&amp;lat=-23.68968&amp;long=-46.63551&amp;tipo=S","QRCODE")</f>
        <v>QRCODE</v>
      </c>
      <c r="C4061" t="s">
        <v>5372</v>
      </c>
      <c r="D4061" t="s">
        <v>5381</v>
      </c>
      <c r="E4061" t="s">
        <v>3087</v>
      </c>
      <c r="F4061" t="s">
        <v>21</v>
      </c>
      <c r="G4061" t="s">
        <v>3086</v>
      </c>
      <c r="H4061">
        <v>1</v>
      </c>
      <c r="I4061">
        <v>2</v>
      </c>
      <c r="J4061">
        <v>0</v>
      </c>
      <c r="K4061">
        <v>0</v>
      </c>
      <c r="L4061">
        <v>0</v>
      </c>
    </row>
    <row r="4062" spans="1:12">
      <c r="A4062" t="str">
        <f>HYPERLINK("http://bombeiros.sp.gov.br/hidrantes/03individual/335.html","335")</f>
        <v>335</v>
      </c>
      <c r="B4062" t="str">
        <f>HYPERLINK("http://bombeiros.sp.gov.br/hidrantes/08bsg/qrcodeBSG.html?id=335&amp;lat=-23.68432&amp;long=-46.63346&amp;tipo=S","QRCODE")</f>
        <v>QRCODE</v>
      </c>
      <c r="C4062" t="s">
        <v>5372</v>
      </c>
      <c r="D4062" t="s">
        <v>5381</v>
      </c>
      <c r="E4062" t="s">
        <v>2622</v>
      </c>
      <c r="F4062" t="s">
        <v>21</v>
      </c>
      <c r="G4062" t="s">
        <v>3145</v>
      </c>
      <c r="H4062">
        <v>1</v>
      </c>
      <c r="I4062">
        <v>2</v>
      </c>
      <c r="J4062">
        <v>0</v>
      </c>
      <c r="K4062">
        <v>0</v>
      </c>
      <c r="L4062">
        <v>0</v>
      </c>
    </row>
    <row r="4063" spans="1:12">
      <c r="A4063" t="str">
        <f>HYPERLINK("http://bombeiros.sp.gov.br/hidrantes/03individual/464.html","464")</f>
        <v>464</v>
      </c>
      <c r="B4063" t="str">
        <f>HYPERLINK("http://bombeiros.sp.gov.br/hidrantes/08bsg/qrcodeBSG.html?id=464&amp;lat=-23.67386&amp;long=-46.65597&amp;tipo=S","QRCODE")</f>
        <v>QRCODE</v>
      </c>
      <c r="C4063" t="s">
        <v>5372</v>
      </c>
      <c r="D4063" t="s">
        <v>5381</v>
      </c>
      <c r="E4063" t="s">
        <v>2622</v>
      </c>
      <c r="F4063" t="s">
        <v>21</v>
      </c>
      <c r="G4063" t="s">
        <v>4445</v>
      </c>
      <c r="H4063">
        <v>0</v>
      </c>
      <c r="I4063">
        <v>2</v>
      </c>
      <c r="J4063">
        <v>0</v>
      </c>
      <c r="K4063">
        <v>0</v>
      </c>
      <c r="L4063">
        <v>0</v>
      </c>
    </row>
    <row r="4064" spans="1:12">
      <c r="A4064" t="str">
        <f>HYPERLINK("http://bombeiros.sp.gov.br/hidrantes/03individual/3673.html","3673")</f>
        <v>3673</v>
      </c>
      <c r="B4064" t="str">
        <f>HYPERLINK("http://bombeiros.sp.gov.br/hidrantes/08bsg/qrcodeBSG.html?id=3673&amp;lat=-23.68136&amp;long=-46.63756&amp;tipo=S","QRCODE")</f>
        <v>QRCODE</v>
      </c>
      <c r="C4064" t="s">
        <v>5372</v>
      </c>
      <c r="D4064" t="s">
        <v>5381</v>
      </c>
      <c r="E4064" t="s">
        <v>2622</v>
      </c>
      <c r="F4064" t="s">
        <v>21</v>
      </c>
      <c r="G4064" t="s">
        <v>2718</v>
      </c>
      <c r="H4064">
        <v>0</v>
      </c>
      <c r="I4064">
        <v>2</v>
      </c>
      <c r="J4064">
        <v>0</v>
      </c>
      <c r="K4064">
        <v>0</v>
      </c>
      <c r="L4064">
        <v>0</v>
      </c>
    </row>
    <row r="4065" spans="1:12">
      <c r="A4065" t="str">
        <f>HYPERLINK("http://bombeiros.sp.gov.br/hidrantes/03individual/3675.html","3675")</f>
        <v>3675</v>
      </c>
      <c r="B4065" t="str">
        <f>HYPERLINK("http://bombeiros.sp.gov.br/hidrantes/08bsg/qrcodeBSG.html?id=3675&amp;lat=-23.67774&amp;long=-46.64122&amp;tipo=S","QRCODE")</f>
        <v>QRCODE</v>
      </c>
      <c r="C4065" t="s">
        <v>5372</v>
      </c>
      <c r="D4065" t="s">
        <v>5381</v>
      </c>
      <c r="E4065" t="s">
        <v>2622</v>
      </c>
      <c r="F4065" t="s">
        <v>21</v>
      </c>
      <c r="G4065" t="s">
        <v>4886</v>
      </c>
      <c r="H4065">
        <v>1</v>
      </c>
      <c r="I4065">
        <v>1</v>
      </c>
      <c r="J4065">
        <v>0</v>
      </c>
      <c r="K4065">
        <v>0</v>
      </c>
      <c r="L4065">
        <v>0</v>
      </c>
    </row>
    <row r="4066" spans="1:12">
      <c r="A4066" t="str">
        <f>HYPERLINK("http://bombeiros.sp.gov.br/hidrantes/03individual/3676.html","3676")</f>
        <v>3676</v>
      </c>
      <c r="B4066" t="str">
        <f>HYPERLINK("http://bombeiros.sp.gov.br/hidrantes/08bsg/qrcodeBSG.html?id=3676&amp;lat=-23.67633&amp;long=-46.64220&amp;tipo=S","QRCODE")</f>
        <v>QRCODE</v>
      </c>
      <c r="C4066" t="s">
        <v>5372</v>
      </c>
      <c r="D4066" t="s">
        <v>5381</v>
      </c>
      <c r="E4066" t="s">
        <v>2622</v>
      </c>
      <c r="F4066" t="s">
        <v>21</v>
      </c>
      <c r="G4066" t="s">
        <v>2719</v>
      </c>
      <c r="H4066">
        <v>0</v>
      </c>
      <c r="I4066">
        <v>2</v>
      </c>
      <c r="J4066">
        <v>0</v>
      </c>
      <c r="K4066">
        <v>0</v>
      </c>
      <c r="L4066">
        <v>0</v>
      </c>
    </row>
    <row r="4067" spans="1:12">
      <c r="A4067" t="str">
        <f>HYPERLINK("http://bombeiros.sp.gov.br/hidrantes/03individual/3755.html","3755")</f>
        <v>3755</v>
      </c>
      <c r="B4067" t="str">
        <f>HYPERLINK("http://bombeiros.sp.gov.br/hidrantes/08bsg/qrcodeBSG.html?id=3755&amp;lat=-23.67286&amp;long=-46.65906&amp;tipo=S","QRCODE")</f>
        <v>QRCODE</v>
      </c>
      <c r="C4067" t="s">
        <v>5372</v>
      </c>
      <c r="D4067" t="s">
        <v>5381</v>
      </c>
      <c r="E4067" t="s">
        <v>2622</v>
      </c>
      <c r="F4067" t="s">
        <v>21</v>
      </c>
      <c r="G4067" t="s">
        <v>2621</v>
      </c>
      <c r="H4067">
        <v>0</v>
      </c>
      <c r="I4067">
        <v>2</v>
      </c>
      <c r="J4067">
        <v>0</v>
      </c>
      <c r="K4067">
        <v>0</v>
      </c>
      <c r="L4067">
        <v>0</v>
      </c>
    </row>
    <row r="4068" spans="1:12">
      <c r="A4068" t="str">
        <f>HYPERLINK("http://bombeiros.sp.gov.br/hidrantes/03individual/3762.html","3762")</f>
        <v>3762</v>
      </c>
      <c r="B4068" t="str">
        <f>HYPERLINK("http://bombeiros.sp.gov.br/hidrantes/08bsg/qrcodeBSG.html?id=3762&amp;lat=-23.67008&amp;long=-46.64757&amp;tipo=S","QRCODE")</f>
        <v>QRCODE</v>
      </c>
      <c r="C4068" t="s">
        <v>5372</v>
      </c>
      <c r="D4068" t="s">
        <v>5381</v>
      </c>
      <c r="E4068" t="s">
        <v>2622</v>
      </c>
      <c r="F4068" t="s">
        <v>21</v>
      </c>
      <c r="G4068" t="s">
        <v>3117</v>
      </c>
      <c r="H4068">
        <v>1</v>
      </c>
      <c r="I4068">
        <v>2</v>
      </c>
      <c r="J4068">
        <v>0</v>
      </c>
      <c r="K4068">
        <v>0</v>
      </c>
      <c r="L4068">
        <v>0</v>
      </c>
    </row>
    <row r="4069" spans="1:12">
      <c r="A4069" t="str">
        <f>HYPERLINK("http://bombeiros.sp.gov.br/hidrantes/03individual/3766.html","3766")</f>
        <v>3766</v>
      </c>
      <c r="B4069" t="str">
        <f>HYPERLINK("http://bombeiros.sp.gov.br/hidrantes/08bsg/qrcodeBSG.html?id=3766&amp;lat=-23.67276&amp;long=-46.64469&amp;tipo=S","QRCODE")</f>
        <v>QRCODE</v>
      </c>
      <c r="C4069" t="s">
        <v>5372</v>
      </c>
      <c r="D4069" t="s">
        <v>5381</v>
      </c>
      <c r="E4069" t="s">
        <v>2622</v>
      </c>
      <c r="F4069" t="s">
        <v>21</v>
      </c>
      <c r="G4069" t="s">
        <v>2725</v>
      </c>
      <c r="H4069">
        <v>0</v>
      </c>
      <c r="I4069">
        <v>2</v>
      </c>
      <c r="J4069">
        <v>0</v>
      </c>
      <c r="K4069">
        <v>0</v>
      </c>
      <c r="L4069">
        <v>0</v>
      </c>
    </row>
    <row r="4070" spans="1:12">
      <c r="A4070" t="str">
        <f>HYPERLINK("http://bombeiros.sp.gov.br/hidrantes/03individual/17694.html","17694")</f>
        <v>17694</v>
      </c>
      <c r="B4070" t="str">
        <f>HYPERLINK("http://bombeiros.sp.gov.br/hidrantes/08bsg/qrcodeBSG.html?id=17694&amp;lat=-23.68245&amp;long=-46.64531&amp;tipo=S","QRCODE")</f>
        <v>QRCODE</v>
      </c>
      <c r="C4070" t="s">
        <v>5372</v>
      </c>
      <c r="D4070" t="s">
        <v>5381</v>
      </c>
      <c r="E4070" t="s">
        <v>2622</v>
      </c>
      <c r="F4070" t="s">
        <v>21</v>
      </c>
      <c r="G4070" t="s">
        <v>4873</v>
      </c>
      <c r="H4070">
        <v>1</v>
      </c>
      <c r="I4070">
        <v>1</v>
      </c>
      <c r="J4070">
        <v>0</v>
      </c>
      <c r="K4070">
        <v>0</v>
      </c>
      <c r="L4070">
        <v>0</v>
      </c>
    </row>
    <row r="4071" spans="1:12">
      <c r="A4071" t="str">
        <f>HYPERLINK("http://bombeiros.sp.gov.br/hidrantes/03individual/17695.html","17695")</f>
        <v>17695</v>
      </c>
      <c r="B4071" t="str">
        <f>HYPERLINK("http://bombeiros.sp.gov.br/hidrantes/08bsg/qrcodeBSG.html?id=17695&amp;lat=-23.68134&amp;long=-46.63838&amp;tipo=S","QRCODE")</f>
        <v>QRCODE</v>
      </c>
      <c r="C4071" t="s">
        <v>5372</v>
      </c>
      <c r="D4071" t="s">
        <v>5381</v>
      </c>
      <c r="E4071" t="s">
        <v>2622</v>
      </c>
      <c r="F4071" t="s">
        <v>21</v>
      </c>
      <c r="G4071" t="s">
        <v>3912</v>
      </c>
      <c r="H4071">
        <v>0</v>
      </c>
      <c r="I4071">
        <v>1</v>
      </c>
      <c r="J4071">
        <v>0</v>
      </c>
      <c r="K4071">
        <v>0</v>
      </c>
      <c r="L4071">
        <v>0</v>
      </c>
    </row>
    <row r="4072" spans="1:12">
      <c r="A4072" t="str">
        <f>HYPERLINK("http://bombeiros.sp.gov.br/hidrantes/03individual/17696.html","17696")</f>
        <v>17696</v>
      </c>
      <c r="B4072" t="str">
        <f>HYPERLINK("http://bombeiros.sp.gov.br/hidrantes/08bsg/qrcodeBSG.html?id=17696&amp;lat=-23.67925&amp;long=-46.63526&amp;tipo=S","QRCODE")</f>
        <v>QRCODE</v>
      </c>
      <c r="C4072" t="s">
        <v>5372</v>
      </c>
      <c r="D4072" t="s">
        <v>5381</v>
      </c>
      <c r="E4072" t="s">
        <v>2622</v>
      </c>
      <c r="F4072" t="s">
        <v>21</v>
      </c>
      <c r="G4072" t="s">
        <v>4872</v>
      </c>
      <c r="H4072">
        <v>1</v>
      </c>
      <c r="I4072">
        <v>1</v>
      </c>
      <c r="J4072">
        <v>0</v>
      </c>
      <c r="K4072">
        <v>0</v>
      </c>
      <c r="L4072">
        <v>0</v>
      </c>
    </row>
    <row r="4073" spans="1:12">
      <c r="A4073" t="str">
        <f>HYPERLINK("http://bombeiros.sp.gov.br/hidrantes/03individual/17697.html","17697")</f>
        <v>17697</v>
      </c>
      <c r="B4073" t="str">
        <f>HYPERLINK("http://bombeiros.sp.gov.br/hidrantes/08bsg/qrcodeBSG.html?id=17697&amp;lat=-23.67851&amp;long=-46.63239&amp;tipo=S","QRCODE")</f>
        <v>QRCODE</v>
      </c>
      <c r="C4073" t="s">
        <v>5372</v>
      </c>
      <c r="D4073" t="s">
        <v>5381</v>
      </c>
      <c r="E4073" t="s">
        <v>2622</v>
      </c>
      <c r="F4073" t="s">
        <v>21</v>
      </c>
      <c r="G4073" t="s">
        <v>4995</v>
      </c>
      <c r="H4073">
        <v>0</v>
      </c>
      <c r="I4073">
        <v>1</v>
      </c>
      <c r="J4073">
        <v>0</v>
      </c>
      <c r="K4073">
        <v>0</v>
      </c>
      <c r="L4073">
        <v>0</v>
      </c>
    </row>
    <row r="4074" spans="1:12">
      <c r="A4074" t="str">
        <f>HYPERLINK("http://bombeiros.sp.gov.br/hidrantes/03individual/17847.html","17847")</f>
        <v>17847</v>
      </c>
      <c r="B4074" t="str">
        <f>HYPERLINK("http://bombeiros.sp.gov.br/hidrantes/08bsg/qrcodeBSG.html?id=17847&amp;lat=-23.68446&amp;long=-46.64071&amp;tipo=S","QRCODE")</f>
        <v>QRCODE</v>
      </c>
      <c r="C4074" t="s">
        <v>5372</v>
      </c>
      <c r="D4074" t="s">
        <v>5381</v>
      </c>
      <c r="E4074" t="s">
        <v>2622</v>
      </c>
      <c r="F4074" t="s">
        <v>21</v>
      </c>
      <c r="G4074" t="s">
        <v>3085</v>
      </c>
      <c r="H4074">
        <v>1</v>
      </c>
      <c r="I4074">
        <v>2</v>
      </c>
      <c r="J4074">
        <v>0</v>
      </c>
      <c r="K4074">
        <v>0</v>
      </c>
      <c r="L4074">
        <v>0</v>
      </c>
    </row>
    <row r="4075" spans="1:12">
      <c r="A4075" t="str">
        <f>HYPERLINK("http://bombeiros.sp.gov.br/hidrantes/03individual/366.html","366")</f>
        <v>366</v>
      </c>
      <c r="B4075" t="str">
        <f>HYPERLINK("http://bombeiros.sp.gov.br/hidrantes/08bsg/qrcodeBSG.html?id=366&amp;lat=-23.67590&amp;long=-46.66735&amp;tipo=S","QRCODE")</f>
        <v>QRCODE</v>
      </c>
      <c r="C4075" t="s">
        <v>5372</v>
      </c>
      <c r="D4075" t="s">
        <v>5381</v>
      </c>
      <c r="E4075" t="s">
        <v>2258</v>
      </c>
      <c r="F4075" t="s">
        <v>21</v>
      </c>
      <c r="G4075" t="s">
        <v>4456</v>
      </c>
      <c r="H4075">
        <v>0</v>
      </c>
      <c r="I4075">
        <v>2</v>
      </c>
      <c r="J4075">
        <v>0</v>
      </c>
      <c r="K4075">
        <v>0</v>
      </c>
      <c r="L4075">
        <v>0</v>
      </c>
    </row>
    <row r="4076" spans="1:12">
      <c r="A4076" t="str">
        <f>HYPERLINK("http://bombeiros.sp.gov.br/hidrantes/03individual/367.html","367")</f>
        <v>367</v>
      </c>
      <c r="B4076" t="str">
        <f>HYPERLINK("http://bombeiros.sp.gov.br/hidrantes/08bsg/qrcodeBSG.html?id=367&amp;lat=-23.67995&amp;long=-46.66544&amp;tipo=S","QRCODE")</f>
        <v>QRCODE</v>
      </c>
      <c r="C4076" t="s">
        <v>5372</v>
      </c>
      <c r="D4076" t="s">
        <v>5381</v>
      </c>
      <c r="E4076" t="s">
        <v>2258</v>
      </c>
      <c r="F4076" t="s">
        <v>21</v>
      </c>
      <c r="G4076" t="s">
        <v>3955</v>
      </c>
      <c r="H4076">
        <v>0</v>
      </c>
      <c r="I4076">
        <v>1</v>
      </c>
      <c r="J4076">
        <v>0</v>
      </c>
      <c r="K4076">
        <v>0</v>
      </c>
      <c r="L4076">
        <v>0</v>
      </c>
    </row>
    <row r="4077" spans="1:12">
      <c r="A4077" t="str">
        <f>HYPERLINK("http://bombeiros.sp.gov.br/hidrantes/03individual/442.html","442")</f>
        <v>442</v>
      </c>
      <c r="B4077" t="str">
        <f>HYPERLINK("http://bombeiros.sp.gov.br/hidrantes/08bsg/qrcodeBSG.html?id=442&amp;lat=-23.67857&amp;long=-46.66141&amp;tipo=S","QRCODE")</f>
        <v>QRCODE</v>
      </c>
      <c r="C4077" t="s">
        <v>5372</v>
      </c>
      <c r="D4077" t="s">
        <v>5381</v>
      </c>
      <c r="E4077" t="s">
        <v>2258</v>
      </c>
      <c r="F4077" t="s">
        <v>21</v>
      </c>
      <c r="G4077" t="s">
        <v>2257</v>
      </c>
      <c r="H4077">
        <v>0</v>
      </c>
      <c r="I4077">
        <v>2</v>
      </c>
      <c r="J4077">
        <v>0</v>
      </c>
      <c r="K4077">
        <v>0</v>
      </c>
      <c r="L4077">
        <v>0</v>
      </c>
    </row>
    <row r="4078" spans="1:12">
      <c r="A4078" t="str">
        <f>HYPERLINK("http://bombeiros.sp.gov.br/hidrantes/03individual/3739.html","3739")</f>
        <v>3739</v>
      </c>
      <c r="B4078" t="str">
        <f>HYPERLINK("http://bombeiros.sp.gov.br/hidrantes/08bsg/qrcodeBSG.html?id=3739&amp;lat=-23.68090&amp;long=-46.66405&amp;tipo=S","QRCODE")</f>
        <v>QRCODE</v>
      </c>
      <c r="C4078" t="s">
        <v>5372</v>
      </c>
      <c r="D4078" t="s">
        <v>5381</v>
      </c>
      <c r="E4078" t="s">
        <v>2258</v>
      </c>
      <c r="F4078" t="s">
        <v>21</v>
      </c>
      <c r="G4078" t="s">
        <v>3887</v>
      </c>
      <c r="H4078">
        <v>0</v>
      </c>
      <c r="I4078">
        <v>1</v>
      </c>
      <c r="J4078">
        <v>0</v>
      </c>
      <c r="K4078">
        <v>0</v>
      </c>
      <c r="L4078">
        <v>0</v>
      </c>
    </row>
    <row r="4079" spans="1:12">
      <c r="A4079" t="str">
        <f>HYPERLINK("http://bombeiros.sp.gov.br/hidrantes/03individual/17841.html","17841")</f>
        <v>17841</v>
      </c>
      <c r="B4079" t="str">
        <f>HYPERLINK("http://bombeiros.sp.gov.br/hidrantes/08bsg/qrcodeBSG.html?id=17841&amp;lat=-23.69059&amp;long=-46.64836&amp;tipo=S","QRCODE")</f>
        <v>QRCODE</v>
      </c>
      <c r="C4079" t="s">
        <v>5372</v>
      </c>
      <c r="D4079" t="s">
        <v>5381</v>
      </c>
      <c r="E4079" t="s">
        <v>2258</v>
      </c>
      <c r="F4079" t="s">
        <v>21</v>
      </c>
      <c r="G4079" t="s">
        <v>2763</v>
      </c>
      <c r="H4079">
        <v>1</v>
      </c>
      <c r="I4079">
        <v>2</v>
      </c>
      <c r="J4079">
        <v>0</v>
      </c>
      <c r="K4079">
        <v>0</v>
      </c>
      <c r="L4079">
        <v>0</v>
      </c>
    </row>
    <row r="4080" spans="1:12">
      <c r="A4080" t="str">
        <f>HYPERLINK("http://bombeiros.sp.gov.br/hidrantes/03individual/2408.html","2408")</f>
        <v>2408</v>
      </c>
      <c r="B4080" t="str">
        <f>HYPERLINK("http://bombeiros.sp.gov.br/hidrantes/08bsg/qrcodeBSG.html?id=2408&amp;lat=-23.73587&amp;long=-46.69900&amp;tipo=C","QRCODE")</f>
        <v>QRCODE</v>
      </c>
      <c r="C4080" t="s">
        <v>5372</v>
      </c>
      <c r="D4080" t="s">
        <v>5382</v>
      </c>
      <c r="E4080" t="s">
        <v>447</v>
      </c>
      <c r="F4080" t="s">
        <v>12</v>
      </c>
      <c r="G4080" t="s">
        <v>469</v>
      </c>
      <c r="H4080">
        <v>1</v>
      </c>
      <c r="I4080">
        <v>2</v>
      </c>
      <c r="J4080">
        <v>0</v>
      </c>
      <c r="K4080">
        <v>0</v>
      </c>
      <c r="L4080">
        <v>0</v>
      </c>
    </row>
    <row r="4081" spans="1:12">
      <c r="A4081" t="str">
        <f>HYPERLINK("http://bombeiros.sp.gov.br/hidrantes/03individual/4127.html","4127")</f>
        <v>4127</v>
      </c>
      <c r="B4081" t="str">
        <f>HYPERLINK("http://bombeiros.sp.gov.br/hidrantes/08bsg/qrcodeBSG.html?id=4127&amp;lat=-23.73160&amp;long=-46.69667&amp;tipo=C","QRCODE")</f>
        <v>QRCODE</v>
      </c>
      <c r="C4081" t="s">
        <v>5372</v>
      </c>
      <c r="D4081" t="s">
        <v>5382</v>
      </c>
      <c r="E4081" t="s">
        <v>447</v>
      </c>
      <c r="F4081" t="s">
        <v>12</v>
      </c>
      <c r="G4081" t="s">
        <v>2353</v>
      </c>
      <c r="H4081">
        <v>0</v>
      </c>
      <c r="I4081">
        <v>2</v>
      </c>
      <c r="J4081">
        <v>0</v>
      </c>
      <c r="K4081">
        <v>0</v>
      </c>
      <c r="L4081">
        <v>0</v>
      </c>
    </row>
    <row r="4082" spans="1:12">
      <c r="A4082" t="str">
        <f>HYPERLINK("http://bombeiros.sp.gov.br/hidrantes/03individual/4147.html","4147")</f>
        <v>4147</v>
      </c>
      <c r="B4082" t="str">
        <f>HYPERLINK("http://bombeiros.sp.gov.br/hidrantes/08bsg/qrcodeBSG.html?id=4147&amp;lat=-23.73117&amp;long=-46.70253&amp;tipo=C","QRCODE")</f>
        <v>QRCODE</v>
      </c>
      <c r="C4082" t="s">
        <v>5372</v>
      </c>
      <c r="D4082" t="s">
        <v>5382</v>
      </c>
      <c r="E4082" t="s">
        <v>447</v>
      </c>
      <c r="F4082" t="s">
        <v>12</v>
      </c>
      <c r="G4082" t="s">
        <v>446</v>
      </c>
      <c r="H4082">
        <v>0</v>
      </c>
      <c r="I4082">
        <v>2</v>
      </c>
      <c r="J4082">
        <v>0</v>
      </c>
      <c r="K4082">
        <v>0</v>
      </c>
      <c r="L4082">
        <v>0</v>
      </c>
    </row>
    <row r="4083" spans="1:12">
      <c r="A4083" t="str">
        <f>HYPERLINK("http://bombeiros.sp.gov.br/hidrantes/03individual/17889.html","17889")</f>
        <v>17889</v>
      </c>
      <c r="B4083" t="str">
        <f>HYPERLINK("http://bombeiros.sp.gov.br/hidrantes/08bsg/qrcodeBSG.html?id=17889&amp;lat=-23.74469&amp;long=-46.70971&amp;tipo=C","QRCODE")</f>
        <v>QRCODE</v>
      </c>
      <c r="C4083" t="s">
        <v>5372</v>
      </c>
      <c r="D4083" t="s">
        <v>5382</v>
      </c>
      <c r="E4083" t="s">
        <v>447</v>
      </c>
      <c r="F4083" t="s">
        <v>12</v>
      </c>
      <c r="G4083" t="s">
        <v>4954</v>
      </c>
      <c r="H4083">
        <v>1</v>
      </c>
      <c r="I4083">
        <v>1</v>
      </c>
      <c r="J4083">
        <v>0</v>
      </c>
      <c r="K4083">
        <v>0</v>
      </c>
      <c r="L4083">
        <v>0</v>
      </c>
    </row>
    <row r="4084" spans="1:12">
      <c r="A4084" t="str">
        <f>HYPERLINK("http://bombeiros.sp.gov.br/hidrantes/03individual/17890.html","17890")</f>
        <v>17890</v>
      </c>
      <c r="B4084" t="str">
        <f>HYPERLINK("http://bombeiros.sp.gov.br/hidrantes/08bsg/qrcodeBSG.html?id=17890&amp;lat=-23.74585&amp;long=-46.71128&amp;tipo=C","QRCODE")</f>
        <v>QRCODE</v>
      </c>
      <c r="C4084" t="s">
        <v>5372</v>
      </c>
      <c r="D4084" t="s">
        <v>5382</v>
      </c>
      <c r="E4084" t="s">
        <v>447</v>
      </c>
      <c r="F4084" t="s">
        <v>12</v>
      </c>
      <c r="G4084" t="s">
        <v>3894</v>
      </c>
      <c r="H4084">
        <v>1</v>
      </c>
      <c r="I4084">
        <v>1</v>
      </c>
      <c r="J4084">
        <v>0</v>
      </c>
      <c r="K4084">
        <v>0</v>
      </c>
      <c r="L4084">
        <v>0</v>
      </c>
    </row>
    <row r="4085" spans="1:12">
      <c r="A4085" t="str">
        <f>HYPERLINK("http://bombeiros.sp.gov.br/hidrantes/03individual/2343.html","2343")</f>
        <v>2343</v>
      </c>
      <c r="B4085" t="str">
        <f>HYPERLINK("http://bombeiros.sp.gov.br/hidrantes/08bsg/qrcodeBSG.html?id=2343&amp;lat=-23.73619&amp;long=-46.70499&amp;tipo=S","QRCODE")</f>
        <v>QRCODE</v>
      </c>
      <c r="C4085" t="s">
        <v>5372</v>
      </c>
      <c r="D4085" t="s">
        <v>5382</v>
      </c>
      <c r="E4085" t="s">
        <v>447</v>
      </c>
      <c r="F4085" t="s">
        <v>21</v>
      </c>
      <c r="G4085" t="s">
        <v>2311</v>
      </c>
      <c r="H4085">
        <v>0</v>
      </c>
      <c r="I4085">
        <v>2</v>
      </c>
      <c r="J4085">
        <v>0</v>
      </c>
      <c r="K4085">
        <v>0</v>
      </c>
      <c r="L4085">
        <v>0</v>
      </c>
    </row>
    <row r="4086" spans="1:12">
      <c r="A4086" t="str">
        <f>HYPERLINK("http://bombeiros.sp.gov.br/hidrantes/03individual/2365.html","2365")</f>
        <v>2365</v>
      </c>
      <c r="B4086" t="str">
        <f>HYPERLINK("http://bombeiros.sp.gov.br/hidrantes/08bsg/qrcodeBSG.html?id=2365&amp;lat=-23.73279&amp;long=-46.70655&amp;tipo=S","QRCODE")</f>
        <v>QRCODE</v>
      </c>
      <c r="C4086" t="s">
        <v>5372</v>
      </c>
      <c r="D4086" t="s">
        <v>5382</v>
      </c>
      <c r="E4086" t="s">
        <v>447</v>
      </c>
      <c r="F4086" t="s">
        <v>21</v>
      </c>
      <c r="G4086" t="s">
        <v>2326</v>
      </c>
      <c r="H4086">
        <v>0</v>
      </c>
      <c r="I4086">
        <v>2</v>
      </c>
      <c r="J4086">
        <v>0</v>
      </c>
      <c r="K4086">
        <v>0</v>
      </c>
      <c r="L4086">
        <v>0</v>
      </c>
    </row>
    <row r="4087" spans="1:12">
      <c r="A4087" t="str">
        <f>HYPERLINK("http://bombeiros.sp.gov.br/hidrantes/03individual/2380.html","2380")</f>
        <v>2380</v>
      </c>
      <c r="B4087" t="str">
        <f>HYPERLINK("http://bombeiros.sp.gov.br/hidrantes/08bsg/qrcodeBSG.html?id=2380&amp;lat=-23.73124&amp;long=-46.70044&amp;tipo=S","QRCODE")</f>
        <v>QRCODE</v>
      </c>
      <c r="C4087" t="s">
        <v>5372</v>
      </c>
      <c r="D4087" t="s">
        <v>5382</v>
      </c>
      <c r="E4087" t="s">
        <v>447</v>
      </c>
      <c r="F4087" t="s">
        <v>21</v>
      </c>
      <c r="G4087" t="s">
        <v>2327</v>
      </c>
      <c r="H4087">
        <v>0</v>
      </c>
      <c r="I4087">
        <v>2</v>
      </c>
      <c r="J4087">
        <v>0</v>
      </c>
      <c r="K4087">
        <v>0</v>
      </c>
      <c r="L4087">
        <v>0</v>
      </c>
    </row>
    <row r="4088" spans="1:12">
      <c r="A4088" t="str">
        <f>HYPERLINK("http://bombeiros.sp.gov.br/hidrantes/03individual/4142.html","4142")</f>
        <v>4142</v>
      </c>
      <c r="B4088" t="str">
        <f>HYPERLINK("http://bombeiros.sp.gov.br/hidrantes/08bsg/qrcodeBSG.html?id=4142&amp;lat=-23.74202&amp;long=-46.71063&amp;tipo=S","QRCODE")</f>
        <v>QRCODE</v>
      </c>
      <c r="C4088" t="s">
        <v>5372</v>
      </c>
      <c r="D4088" t="s">
        <v>5382</v>
      </c>
      <c r="E4088" t="s">
        <v>447</v>
      </c>
      <c r="F4088" t="s">
        <v>21</v>
      </c>
      <c r="G4088" t="s">
        <v>2285</v>
      </c>
      <c r="H4088">
        <v>0</v>
      </c>
      <c r="I4088">
        <v>2</v>
      </c>
      <c r="J4088">
        <v>0</v>
      </c>
      <c r="K4088">
        <v>0</v>
      </c>
      <c r="L4088">
        <v>0</v>
      </c>
    </row>
    <row r="4089" spans="1:12">
      <c r="A4089" t="str">
        <f>HYPERLINK("http://bombeiros.sp.gov.br/hidrantes/03individual/4143.html","4143")</f>
        <v>4143</v>
      </c>
      <c r="B4089" t="str">
        <f>HYPERLINK("http://bombeiros.sp.gov.br/hidrantes/08bsg/qrcodeBSG.html?id=4143&amp;lat=-23.73290&amp;long=-46.71358&amp;tipo=S","QRCODE")</f>
        <v>QRCODE</v>
      </c>
      <c r="C4089" t="s">
        <v>5372</v>
      </c>
      <c r="D4089" t="s">
        <v>5382</v>
      </c>
      <c r="E4089" t="s">
        <v>447</v>
      </c>
      <c r="F4089" t="s">
        <v>21</v>
      </c>
      <c r="G4089" t="s">
        <v>2286</v>
      </c>
      <c r="H4089">
        <v>0</v>
      </c>
      <c r="I4089">
        <v>2</v>
      </c>
      <c r="J4089">
        <v>0</v>
      </c>
      <c r="K4089">
        <v>0</v>
      </c>
      <c r="L4089">
        <v>0</v>
      </c>
    </row>
    <row r="4090" spans="1:12">
      <c r="A4090" t="str">
        <f>HYPERLINK("http://bombeiros.sp.gov.br/hidrantes/03individual/4427.html","4427")</f>
        <v>4427</v>
      </c>
      <c r="B4090" t="str">
        <f>HYPERLINK("http://bombeiros.sp.gov.br/hidrantes/08bsg/qrcodeBSG.html?id=4427&amp;lat=-23.70211&amp;long=-46.70156&amp;tipo=C","QRCODE")</f>
        <v>QRCODE</v>
      </c>
      <c r="C4090" t="s">
        <v>5372</v>
      </c>
      <c r="D4090" t="s">
        <v>5382</v>
      </c>
      <c r="E4090" t="s">
        <v>427</v>
      </c>
      <c r="F4090" t="s">
        <v>12</v>
      </c>
      <c r="G4090" t="s">
        <v>2283</v>
      </c>
      <c r="H4090">
        <v>0</v>
      </c>
      <c r="I4090">
        <v>2</v>
      </c>
      <c r="J4090">
        <v>0</v>
      </c>
      <c r="K4090">
        <v>0</v>
      </c>
      <c r="L4090">
        <v>0</v>
      </c>
    </row>
    <row r="4091" spans="1:12">
      <c r="A4091" t="str">
        <f>HYPERLINK("http://bombeiros.sp.gov.br/hidrantes/03individual/2341.html","2341")</f>
        <v>2341</v>
      </c>
      <c r="B4091" t="str">
        <f>HYPERLINK("http://bombeiros.sp.gov.br/hidrantes/08bsg/qrcodeBSG.html?id=2341&amp;lat=-23.70731&amp;long=-46.70453&amp;tipo=S","QRCODE")</f>
        <v>QRCODE</v>
      </c>
      <c r="C4091" t="s">
        <v>5372</v>
      </c>
      <c r="D4091" t="s">
        <v>5382</v>
      </c>
      <c r="E4091" t="s">
        <v>427</v>
      </c>
      <c r="F4091" t="s">
        <v>21</v>
      </c>
      <c r="G4091" t="s">
        <v>473</v>
      </c>
      <c r="H4091">
        <v>1</v>
      </c>
      <c r="I4091">
        <v>2</v>
      </c>
      <c r="J4091">
        <v>0</v>
      </c>
      <c r="K4091">
        <v>0</v>
      </c>
      <c r="L4091">
        <v>0</v>
      </c>
    </row>
    <row r="4092" spans="1:12">
      <c r="A4092" t="str">
        <f>HYPERLINK("http://bombeiros.sp.gov.br/hidrantes/03individual/2378.html","2378")</f>
        <v>2378</v>
      </c>
      <c r="B4092" t="str">
        <f>HYPERLINK("http://bombeiros.sp.gov.br/hidrantes/08bsg/qrcodeBSG.html?id=2378&amp;lat=-23.70696&amp;long=-46.70196&amp;tipo=S","QRCODE")</f>
        <v>QRCODE</v>
      </c>
      <c r="C4092" t="s">
        <v>5372</v>
      </c>
      <c r="D4092" t="s">
        <v>5382</v>
      </c>
      <c r="E4092" t="s">
        <v>427</v>
      </c>
      <c r="F4092" t="s">
        <v>21</v>
      </c>
      <c r="G4092" t="s">
        <v>4827</v>
      </c>
      <c r="H4092">
        <v>0</v>
      </c>
      <c r="I4092">
        <v>2</v>
      </c>
      <c r="J4092">
        <v>0</v>
      </c>
      <c r="K4092">
        <v>0</v>
      </c>
      <c r="L4092">
        <v>0</v>
      </c>
    </row>
    <row r="4093" spans="1:12">
      <c r="A4093" t="str">
        <f>HYPERLINK("http://bombeiros.sp.gov.br/hidrantes/03individual/4144.html","4144")</f>
        <v>4144</v>
      </c>
      <c r="B4093" t="str">
        <f>HYPERLINK("http://bombeiros.sp.gov.br/hidrantes/08bsg/qrcodeBSG.html?id=4144&amp;lat=-23.73045&amp;long=-46.71011&amp;tipo=S","QRCODE")</f>
        <v>QRCODE</v>
      </c>
      <c r="C4093" t="s">
        <v>5372</v>
      </c>
      <c r="D4093" t="s">
        <v>5382</v>
      </c>
      <c r="E4093" t="s">
        <v>427</v>
      </c>
      <c r="F4093" t="s">
        <v>21</v>
      </c>
      <c r="G4093" t="s">
        <v>445</v>
      </c>
      <c r="H4093">
        <v>0</v>
      </c>
      <c r="I4093">
        <v>2</v>
      </c>
      <c r="J4093">
        <v>0</v>
      </c>
      <c r="K4093">
        <v>0</v>
      </c>
      <c r="L4093">
        <v>0</v>
      </c>
    </row>
    <row r="4094" spans="1:12">
      <c r="A4094" t="str">
        <f>HYPERLINK("http://bombeiros.sp.gov.br/hidrantes/03individual/4146.html","4146")</f>
        <v>4146</v>
      </c>
      <c r="B4094" t="str">
        <f>HYPERLINK("http://bombeiros.sp.gov.br/hidrantes/08bsg/qrcodeBSG.html?id=4146&amp;lat=-23.72530&amp;long=-46.71121&amp;tipo=S","QRCODE")</f>
        <v>QRCODE</v>
      </c>
      <c r="C4094" t="s">
        <v>5372</v>
      </c>
      <c r="D4094" t="s">
        <v>5382</v>
      </c>
      <c r="E4094" t="s">
        <v>427</v>
      </c>
      <c r="F4094" t="s">
        <v>21</v>
      </c>
      <c r="G4094" t="s">
        <v>3496</v>
      </c>
      <c r="H4094">
        <v>0</v>
      </c>
      <c r="I4094">
        <v>2</v>
      </c>
      <c r="J4094">
        <v>0</v>
      </c>
      <c r="K4094">
        <v>0</v>
      </c>
      <c r="L4094">
        <v>0</v>
      </c>
    </row>
    <row r="4095" spans="1:12">
      <c r="A4095" t="str">
        <f>HYPERLINK("http://bombeiros.sp.gov.br/hidrantes/03individual/4407.html","4407")</f>
        <v>4407</v>
      </c>
      <c r="B4095" t="str">
        <f>HYPERLINK("http://bombeiros.sp.gov.br/hidrantes/08bsg/qrcodeBSG.html?id=4407&amp;lat=-23.72623&amp;long=-46.70896&amp;tipo=S","QRCODE")</f>
        <v>QRCODE</v>
      </c>
      <c r="C4095" t="s">
        <v>5372</v>
      </c>
      <c r="D4095" t="s">
        <v>5382</v>
      </c>
      <c r="E4095" t="s">
        <v>427</v>
      </c>
      <c r="F4095" t="s">
        <v>21</v>
      </c>
      <c r="G4095" t="s">
        <v>426</v>
      </c>
      <c r="H4095">
        <v>0</v>
      </c>
      <c r="I4095">
        <v>2</v>
      </c>
      <c r="J4095">
        <v>0</v>
      </c>
      <c r="K4095">
        <v>0</v>
      </c>
      <c r="L4095">
        <v>0</v>
      </c>
    </row>
    <row r="4096" spans="1:12">
      <c r="A4096" t="str">
        <f>HYPERLINK("http://bombeiros.sp.gov.br/hidrantes/03individual/6740.html","6740")</f>
        <v>6740</v>
      </c>
      <c r="B4096" t="str">
        <f>HYPERLINK("http://bombeiros.sp.gov.br/hidrantes/08bsg/qrcodeBSG.html?id=6740&amp;lat=-23.71512&amp;long=-46.71300&amp;tipo=S","QRCODE")</f>
        <v>QRCODE</v>
      </c>
      <c r="C4096" t="s">
        <v>5372</v>
      </c>
      <c r="D4096" t="s">
        <v>5382</v>
      </c>
      <c r="E4096" t="s">
        <v>427</v>
      </c>
      <c r="F4096" t="s">
        <v>21</v>
      </c>
      <c r="G4096" t="s">
        <v>3484</v>
      </c>
      <c r="H4096">
        <v>0</v>
      </c>
      <c r="I4096">
        <v>2</v>
      </c>
      <c r="J4096">
        <v>0</v>
      </c>
      <c r="K4096">
        <v>0</v>
      </c>
      <c r="L4096">
        <v>0</v>
      </c>
    </row>
    <row r="4097" spans="1:12">
      <c r="A4097" t="str">
        <f>HYPERLINK("http://bombeiros.sp.gov.br/hidrantes/03individual/17867.html","17867")</f>
        <v>17867</v>
      </c>
      <c r="B4097" t="str">
        <f>HYPERLINK("http://bombeiros.sp.gov.br/hidrantes/08bsg/qrcodeBSG.html?id=17867&amp;lat=-23.72655&amp;long=-46.71614&amp;tipo=S","QRCODE")</f>
        <v>QRCODE</v>
      </c>
      <c r="C4097" t="s">
        <v>5372</v>
      </c>
      <c r="D4097" t="s">
        <v>5382</v>
      </c>
      <c r="E4097" t="s">
        <v>427</v>
      </c>
      <c r="F4097" t="s">
        <v>21</v>
      </c>
      <c r="G4097" t="s">
        <v>484</v>
      </c>
      <c r="H4097">
        <v>1</v>
      </c>
      <c r="I4097">
        <v>2</v>
      </c>
      <c r="J4097">
        <v>0</v>
      </c>
      <c r="K4097">
        <v>0</v>
      </c>
      <c r="L4097">
        <v>0</v>
      </c>
    </row>
    <row r="4098" spans="1:12">
      <c r="A4098" t="str">
        <f>HYPERLINK("http://bombeiros.sp.gov.br/hidrantes/03individual/17891.html","17891")</f>
        <v>17891</v>
      </c>
      <c r="B4098" t="str">
        <f>HYPERLINK("http://bombeiros.sp.gov.br/hidrantes/08bsg/qrcodeBSG.html?id=17891&amp;lat=-23.74602&amp;long=-46.71475&amp;tipo=S","QRCODE")</f>
        <v>QRCODE</v>
      </c>
      <c r="C4098" t="s">
        <v>5372</v>
      </c>
      <c r="D4098" t="s">
        <v>5382</v>
      </c>
      <c r="E4098" t="s">
        <v>427</v>
      </c>
      <c r="F4098" t="s">
        <v>21</v>
      </c>
      <c r="G4098" t="s">
        <v>482</v>
      </c>
      <c r="H4098">
        <v>1</v>
      </c>
      <c r="I4098">
        <v>2</v>
      </c>
      <c r="J4098">
        <v>0</v>
      </c>
      <c r="K4098">
        <v>0</v>
      </c>
      <c r="L4098">
        <v>0</v>
      </c>
    </row>
    <row r="4099" spans="1:12">
      <c r="A4099" t="str">
        <f>HYPERLINK("http://bombeiros.sp.gov.br/hidrantes/03individual/4114.html","4114")</f>
        <v>4114</v>
      </c>
      <c r="B4099" t="str">
        <f>HYPERLINK("http://bombeiros.sp.gov.br/hidrantes/08bsg/qrcodeBSG.html?id=4114&amp;lat=-23.71109&amp;long=-46.69747&amp;tipo=C","QRCODE")</f>
        <v>QRCODE</v>
      </c>
      <c r="C4099" t="s">
        <v>5372</v>
      </c>
      <c r="D4099" t="s">
        <v>5382</v>
      </c>
      <c r="E4099" t="s">
        <v>441</v>
      </c>
      <c r="F4099" t="s">
        <v>12</v>
      </c>
      <c r="G4099" t="s">
        <v>3493</v>
      </c>
      <c r="H4099">
        <v>0</v>
      </c>
      <c r="I4099">
        <v>2</v>
      </c>
      <c r="J4099">
        <v>0</v>
      </c>
      <c r="K4099">
        <v>0</v>
      </c>
      <c r="L4099">
        <v>0</v>
      </c>
    </row>
    <row r="4100" spans="1:12">
      <c r="A4100" t="str">
        <f>HYPERLINK("http://bombeiros.sp.gov.br/hidrantes/03individual/4116.html","4116")</f>
        <v>4116</v>
      </c>
      <c r="B4100" t="str">
        <f>HYPERLINK("http://bombeiros.sp.gov.br/hidrantes/08bsg/qrcodeBSG.html?id=4116&amp;lat=-23.71869&amp;long=-46.69931&amp;tipo=C","QRCODE")</f>
        <v>QRCODE</v>
      </c>
      <c r="C4100" t="s">
        <v>5372</v>
      </c>
      <c r="D4100" t="s">
        <v>5382</v>
      </c>
      <c r="E4100" t="s">
        <v>441</v>
      </c>
      <c r="F4100" t="s">
        <v>12</v>
      </c>
      <c r="G4100" t="s">
        <v>3494</v>
      </c>
      <c r="H4100">
        <v>0</v>
      </c>
      <c r="I4100">
        <v>2</v>
      </c>
      <c r="J4100">
        <v>0</v>
      </c>
      <c r="K4100">
        <v>0</v>
      </c>
      <c r="L4100">
        <v>0</v>
      </c>
    </row>
    <row r="4101" spans="1:12">
      <c r="A4101" t="str">
        <f>HYPERLINK("http://bombeiros.sp.gov.br/hidrantes/03individual/27064.html","27064")</f>
        <v>27064</v>
      </c>
      <c r="B4101" t="str">
        <f>HYPERLINK("http://bombeiros.sp.gov.br/hidrantes/08bsg/qrcodeBSG.html?id=27064&amp;lat=-23.69764&amp;long=-46.69259&amp;tipo=C","QRCODE")</f>
        <v>QRCODE</v>
      </c>
      <c r="C4101" t="s">
        <v>5372</v>
      </c>
      <c r="D4101" t="s">
        <v>5382</v>
      </c>
      <c r="E4101" t="s">
        <v>441</v>
      </c>
      <c r="F4101" t="s">
        <v>12</v>
      </c>
      <c r="G4101" t="s">
        <v>3914</v>
      </c>
      <c r="H4101">
        <v>0</v>
      </c>
      <c r="I4101">
        <v>1</v>
      </c>
      <c r="J4101">
        <v>0</v>
      </c>
      <c r="K4101">
        <v>0</v>
      </c>
      <c r="L4101">
        <v>0</v>
      </c>
    </row>
    <row r="4102" spans="1:12">
      <c r="A4102" t="str">
        <f>HYPERLINK("http://bombeiros.sp.gov.br/hidrantes/03individual/2376.html","2376")</f>
        <v>2376</v>
      </c>
      <c r="B4102" t="str">
        <f>HYPERLINK("http://bombeiros.sp.gov.br/hidrantes/08bsg/qrcodeBSG.html?id=2376&amp;lat=-23.70751&amp;long=-46.69906&amp;tipo=S","QRCODE")</f>
        <v>QRCODE</v>
      </c>
      <c r="C4102" t="s">
        <v>5372</v>
      </c>
      <c r="D4102" t="s">
        <v>5382</v>
      </c>
      <c r="E4102" t="s">
        <v>441</v>
      </c>
      <c r="F4102" t="s">
        <v>21</v>
      </c>
      <c r="G4102" t="s">
        <v>2328</v>
      </c>
      <c r="H4102">
        <v>0</v>
      </c>
      <c r="I4102">
        <v>3</v>
      </c>
      <c r="J4102">
        <v>0</v>
      </c>
      <c r="K4102">
        <v>0</v>
      </c>
      <c r="L4102">
        <v>0</v>
      </c>
    </row>
    <row r="4103" spans="1:12">
      <c r="A4103" t="str">
        <f>HYPERLINK("http://bombeiros.sp.gov.br/hidrantes/03individual/2394.html","2394")</f>
        <v>2394</v>
      </c>
      <c r="B4103" t="str">
        <f>HYPERLINK("http://bombeiros.sp.gov.br/hidrantes/08bsg/qrcodeBSG.html?id=2394&amp;lat=-23.70923&amp;long=-46.69857&amp;tipo=S","QRCODE")</f>
        <v>QRCODE</v>
      </c>
      <c r="C4103" t="s">
        <v>5372</v>
      </c>
      <c r="D4103" t="s">
        <v>5382</v>
      </c>
      <c r="E4103" t="s">
        <v>441</v>
      </c>
      <c r="F4103" t="s">
        <v>21</v>
      </c>
      <c r="G4103" t="s">
        <v>3500</v>
      </c>
      <c r="H4103">
        <v>0</v>
      </c>
      <c r="I4103">
        <v>2</v>
      </c>
      <c r="J4103">
        <v>0</v>
      </c>
      <c r="K4103">
        <v>0</v>
      </c>
      <c r="L4103">
        <v>0</v>
      </c>
    </row>
    <row r="4104" spans="1:12">
      <c r="A4104" t="str">
        <f>HYPERLINK("http://bombeiros.sp.gov.br/hidrantes/03individual/2404.html","2404")</f>
        <v>2404</v>
      </c>
      <c r="B4104" t="str">
        <f>HYPERLINK("http://bombeiros.sp.gov.br/hidrantes/08bsg/qrcodeBSG.html?id=2404&amp;lat=-23.70620&amp;long=-46.70027&amp;tipo=S","QRCODE")</f>
        <v>QRCODE</v>
      </c>
      <c r="C4104" t="s">
        <v>5372</v>
      </c>
      <c r="D4104" t="s">
        <v>5382</v>
      </c>
      <c r="E4104" t="s">
        <v>441</v>
      </c>
      <c r="F4104" t="s">
        <v>21</v>
      </c>
      <c r="G4104" t="s">
        <v>2329</v>
      </c>
      <c r="H4104">
        <v>0</v>
      </c>
      <c r="I4104">
        <v>2</v>
      </c>
      <c r="J4104">
        <v>0</v>
      </c>
      <c r="K4104">
        <v>0</v>
      </c>
      <c r="L4104">
        <v>0</v>
      </c>
    </row>
    <row r="4105" spans="1:12">
      <c r="A4105" t="str">
        <f>HYPERLINK("http://bombeiros.sp.gov.br/hidrantes/03individual/4117.html","4117")</f>
        <v>4117</v>
      </c>
      <c r="B4105" t="str">
        <f>HYPERLINK("http://bombeiros.sp.gov.br/hidrantes/08bsg/qrcodeBSG.html?id=4117&amp;lat=-23.70168&amp;long=-46.70123&amp;tipo=S","QRCODE")</f>
        <v>QRCODE</v>
      </c>
      <c r="C4105" t="s">
        <v>5372</v>
      </c>
      <c r="D4105" t="s">
        <v>5382</v>
      </c>
      <c r="E4105" t="s">
        <v>441</v>
      </c>
      <c r="F4105" t="s">
        <v>21</v>
      </c>
      <c r="G4105" t="s">
        <v>440</v>
      </c>
      <c r="H4105">
        <v>1</v>
      </c>
      <c r="I4105">
        <v>2</v>
      </c>
      <c r="J4105">
        <v>0</v>
      </c>
      <c r="K4105">
        <v>0</v>
      </c>
      <c r="L4105">
        <v>0</v>
      </c>
    </row>
    <row r="4106" spans="1:12">
      <c r="A4106" t="str">
        <f>HYPERLINK("http://bombeiros.sp.gov.br/hidrantes/03individual/4130.html","4130")</f>
        <v>4130</v>
      </c>
      <c r="B4106" t="str">
        <f>HYPERLINK("http://bombeiros.sp.gov.br/hidrantes/08bsg/qrcodeBSG.html?id=4130&amp;lat=-23.71377&amp;long=-46.69917&amp;tipo=S","QRCODE")</f>
        <v>QRCODE</v>
      </c>
      <c r="C4106" t="s">
        <v>5372</v>
      </c>
      <c r="D4106" t="s">
        <v>5382</v>
      </c>
      <c r="E4106" t="s">
        <v>441</v>
      </c>
      <c r="F4106" t="s">
        <v>21</v>
      </c>
      <c r="G4106" t="s">
        <v>2356</v>
      </c>
      <c r="H4106">
        <v>0</v>
      </c>
      <c r="I4106">
        <v>2</v>
      </c>
      <c r="J4106">
        <v>0</v>
      </c>
      <c r="K4106">
        <v>0</v>
      </c>
      <c r="L4106">
        <v>0</v>
      </c>
    </row>
    <row r="4107" spans="1:12">
      <c r="A4107" t="str">
        <f>HYPERLINK("http://bombeiros.sp.gov.br/hidrantes/03individual/4139.html","4139")</f>
        <v>4139</v>
      </c>
      <c r="B4107" t="str">
        <f>HYPERLINK("http://bombeiros.sp.gov.br/hidrantes/08bsg/qrcodeBSG.html?id=4139&amp;lat=-23.72128&amp;long=-46.70130&amp;tipo=S","QRCODE")</f>
        <v>QRCODE</v>
      </c>
      <c r="C4107" t="s">
        <v>5372</v>
      </c>
      <c r="D4107" t="s">
        <v>5382</v>
      </c>
      <c r="E4107" t="s">
        <v>441</v>
      </c>
      <c r="F4107" t="s">
        <v>21</v>
      </c>
      <c r="G4107" t="s">
        <v>3495</v>
      </c>
      <c r="H4107">
        <v>0</v>
      </c>
      <c r="I4107">
        <v>1</v>
      </c>
      <c r="J4107">
        <v>0</v>
      </c>
      <c r="K4107">
        <v>0</v>
      </c>
      <c r="L4107">
        <v>0</v>
      </c>
    </row>
    <row r="4108" spans="1:12">
      <c r="A4108" t="str">
        <f>HYPERLINK("http://bombeiros.sp.gov.br/hidrantes/03individual/4220.html","4220")</f>
        <v>4220</v>
      </c>
      <c r="B4108" t="str">
        <f>HYPERLINK("http://bombeiros.sp.gov.br/hidrantes/08bsg/qrcodeBSG.html?id=4220&amp;lat=-23.70524&amp;long=-46.68980&amp;tipo=S","QRCODE")</f>
        <v>QRCODE</v>
      </c>
      <c r="C4108" t="s">
        <v>5372</v>
      </c>
      <c r="D4108" t="s">
        <v>5382</v>
      </c>
      <c r="E4108" t="s">
        <v>441</v>
      </c>
      <c r="F4108" t="s">
        <v>21</v>
      </c>
      <c r="G4108" t="s">
        <v>1270</v>
      </c>
      <c r="H4108">
        <v>1</v>
      </c>
      <c r="I4108">
        <v>2</v>
      </c>
      <c r="J4108">
        <v>0</v>
      </c>
      <c r="K4108">
        <v>0</v>
      </c>
      <c r="L4108">
        <v>0</v>
      </c>
    </row>
    <row r="4109" spans="1:12">
      <c r="A4109" t="str">
        <f>HYPERLINK("http://bombeiros.sp.gov.br/hidrantes/03individual/17709.html","17709")</f>
        <v>17709</v>
      </c>
      <c r="B4109" t="str">
        <f>HYPERLINK("http://bombeiros.sp.gov.br/hidrantes/08bsg/qrcodeBSG.html?id=17709&amp;lat=-23.71024&amp;long=-46.69686&amp;tipo=S","QRCODE")</f>
        <v>QRCODE</v>
      </c>
      <c r="C4109" t="s">
        <v>5372</v>
      </c>
      <c r="D4109" t="s">
        <v>5382</v>
      </c>
      <c r="E4109" t="s">
        <v>441</v>
      </c>
      <c r="F4109" t="s">
        <v>21</v>
      </c>
      <c r="G4109" t="s">
        <v>3910</v>
      </c>
      <c r="H4109">
        <v>0</v>
      </c>
      <c r="I4109">
        <v>1</v>
      </c>
      <c r="J4109">
        <v>0</v>
      </c>
      <c r="K4109">
        <v>0</v>
      </c>
      <c r="L4109">
        <v>0</v>
      </c>
    </row>
    <row r="4110" spans="1:12">
      <c r="A4110" t="str">
        <f>HYPERLINK("http://bombeiros.sp.gov.br/hidrantes/03individual/17710.html","17710")</f>
        <v>17710</v>
      </c>
      <c r="B4110" t="str">
        <f>HYPERLINK("http://bombeiros.sp.gov.br/hidrantes/08bsg/qrcodeBSG.html?id=17710&amp;lat=-23.71010&amp;long=-46.69852&amp;tipo=S","QRCODE")</f>
        <v>QRCODE</v>
      </c>
      <c r="C4110" t="s">
        <v>5372</v>
      </c>
      <c r="D4110" t="s">
        <v>5382</v>
      </c>
      <c r="E4110" t="s">
        <v>441</v>
      </c>
      <c r="F4110" t="s">
        <v>21</v>
      </c>
      <c r="G4110" t="s">
        <v>4839</v>
      </c>
      <c r="H4110">
        <v>1</v>
      </c>
      <c r="I4110">
        <v>1</v>
      </c>
      <c r="J4110">
        <v>0</v>
      </c>
      <c r="K4110">
        <v>0</v>
      </c>
      <c r="L4110">
        <v>0</v>
      </c>
    </row>
    <row r="4111" spans="1:12">
      <c r="A4111" t="str">
        <f>HYPERLINK("http://bombeiros.sp.gov.br/hidrantes/03individual/4115.html","4115")</f>
        <v>4115</v>
      </c>
      <c r="B4111" t="str">
        <f>HYPERLINK("http://bombeiros.sp.gov.br/hidrantes/08bsg/qrcodeBSG.html?id=4115&amp;lat=-23.72262&amp;long=-46.67227&amp;tipo=C","QRCODE")</f>
        <v>QRCODE</v>
      </c>
      <c r="C4111" t="s">
        <v>5372</v>
      </c>
      <c r="D4111" t="s">
        <v>5382</v>
      </c>
      <c r="E4111" t="s">
        <v>439</v>
      </c>
      <c r="F4111" t="s">
        <v>12</v>
      </c>
      <c r="G4111" t="s">
        <v>438</v>
      </c>
      <c r="H4111">
        <v>0</v>
      </c>
      <c r="I4111">
        <v>2</v>
      </c>
      <c r="J4111">
        <v>0</v>
      </c>
      <c r="K4111">
        <v>0</v>
      </c>
      <c r="L4111">
        <v>0</v>
      </c>
    </row>
    <row r="4112" spans="1:12">
      <c r="A4112" t="str">
        <f>HYPERLINK("http://bombeiros.sp.gov.br/hidrantes/03individual/2489.html","2489")</f>
        <v>2489</v>
      </c>
      <c r="B4112" t="str">
        <f>HYPERLINK("http://bombeiros.sp.gov.br/hidrantes/08bsg/qrcodeBSG.html?id=2489&amp;lat=-23.70489&amp;long=-46.68519&amp;tipo=S","QRCODE")</f>
        <v>QRCODE</v>
      </c>
      <c r="C4112" t="s">
        <v>5372</v>
      </c>
      <c r="D4112" t="s">
        <v>5382</v>
      </c>
      <c r="E4112" t="s">
        <v>439</v>
      </c>
      <c r="F4112" t="s">
        <v>21</v>
      </c>
      <c r="G4112" t="s">
        <v>1291</v>
      </c>
      <c r="H4112">
        <v>0</v>
      </c>
      <c r="I4112">
        <v>2</v>
      </c>
      <c r="J4112">
        <v>0</v>
      </c>
      <c r="K4112">
        <v>0</v>
      </c>
      <c r="L4112">
        <v>0</v>
      </c>
    </row>
    <row r="4113" spans="1:12">
      <c r="A4113" t="str">
        <f>HYPERLINK("http://bombeiros.sp.gov.br/hidrantes/03individual/2495.html","2495")</f>
        <v>2495</v>
      </c>
      <c r="B4113" t="str">
        <f>HYPERLINK("http://bombeiros.sp.gov.br/hidrantes/08bsg/qrcodeBSG.html?id=2495&amp;lat=-23.72107&amp;long=-46.67697&amp;tipo=S","QRCODE")</f>
        <v>QRCODE</v>
      </c>
      <c r="C4113" t="s">
        <v>5372</v>
      </c>
      <c r="D4113" t="s">
        <v>5382</v>
      </c>
      <c r="E4113" t="s">
        <v>439</v>
      </c>
      <c r="F4113" t="s">
        <v>21</v>
      </c>
      <c r="G4113" t="s">
        <v>465</v>
      </c>
      <c r="H4113">
        <v>2</v>
      </c>
      <c r="I4113">
        <v>2</v>
      </c>
      <c r="J4113">
        <v>0</v>
      </c>
      <c r="K4113">
        <v>0</v>
      </c>
      <c r="L4113">
        <v>0</v>
      </c>
    </row>
    <row r="4114" spans="1:12">
      <c r="A4114" t="str">
        <f>HYPERLINK("http://bombeiros.sp.gov.br/hidrantes/03individual/2497.html","2497")</f>
        <v>2497</v>
      </c>
      <c r="B4114" t="str">
        <f>HYPERLINK("http://bombeiros.sp.gov.br/hidrantes/08bsg/qrcodeBSG.html?id=2497&amp;lat=-23.71369&amp;long=-46.68538&amp;tipo=S","QRCODE")</f>
        <v>QRCODE</v>
      </c>
      <c r="C4114" t="s">
        <v>5372</v>
      </c>
      <c r="D4114" t="s">
        <v>5382</v>
      </c>
      <c r="E4114" t="s">
        <v>439</v>
      </c>
      <c r="F4114" t="s">
        <v>21</v>
      </c>
      <c r="G4114" t="s">
        <v>1294</v>
      </c>
      <c r="H4114">
        <v>0</v>
      </c>
      <c r="I4114">
        <v>2</v>
      </c>
      <c r="J4114">
        <v>0</v>
      </c>
      <c r="K4114">
        <v>0</v>
      </c>
      <c r="L4114">
        <v>0</v>
      </c>
    </row>
    <row r="4115" spans="1:12">
      <c r="A4115" t="str">
        <f>HYPERLINK("http://bombeiros.sp.gov.br/hidrantes/03individual/2499.html","2499")</f>
        <v>2499</v>
      </c>
      <c r="B4115" t="str">
        <f>HYPERLINK("http://bombeiros.sp.gov.br/hidrantes/08bsg/qrcodeBSG.html?id=2499&amp;lat=-23.70616&amp;long=-46.68708&amp;tipo=S","QRCODE")</f>
        <v>QRCODE</v>
      </c>
      <c r="C4115" t="s">
        <v>5372</v>
      </c>
      <c r="D4115" t="s">
        <v>5382</v>
      </c>
      <c r="E4115" t="s">
        <v>439</v>
      </c>
      <c r="F4115" t="s">
        <v>21</v>
      </c>
      <c r="G4115" t="s">
        <v>3892</v>
      </c>
      <c r="H4115">
        <v>0</v>
      </c>
      <c r="I4115">
        <v>1</v>
      </c>
      <c r="J4115">
        <v>0</v>
      </c>
      <c r="K4115">
        <v>0</v>
      </c>
      <c r="L4115">
        <v>0</v>
      </c>
    </row>
    <row r="4116" spans="1:12">
      <c r="A4116" t="str">
        <f>HYPERLINK("http://bombeiros.sp.gov.br/hidrantes/03individual/2500.html","2500")</f>
        <v>2500</v>
      </c>
      <c r="B4116" t="str">
        <f>HYPERLINK("http://bombeiros.sp.gov.br/hidrantes/08bsg/qrcodeBSG.html?id=2500&amp;lat=-23.71323&amp;long=-46.68902&amp;tipo=S","QRCODE")</f>
        <v>QRCODE</v>
      </c>
      <c r="C4116" t="s">
        <v>5372</v>
      </c>
      <c r="D4116" t="s">
        <v>5382</v>
      </c>
      <c r="E4116" t="s">
        <v>439</v>
      </c>
      <c r="F4116" t="s">
        <v>21</v>
      </c>
      <c r="G4116" t="s">
        <v>4826</v>
      </c>
      <c r="H4116">
        <v>0</v>
      </c>
      <c r="I4116">
        <v>1</v>
      </c>
      <c r="J4116">
        <v>0</v>
      </c>
      <c r="K4116">
        <v>0</v>
      </c>
      <c r="L4116">
        <v>0</v>
      </c>
    </row>
    <row r="4117" spans="1:12">
      <c r="A4117" t="str">
        <f>HYPERLINK("http://bombeiros.sp.gov.br/hidrantes/03individual/2501.html","2501")</f>
        <v>2501</v>
      </c>
      <c r="B4117" t="str">
        <f>HYPERLINK("http://bombeiros.sp.gov.br/hidrantes/08bsg/qrcodeBSG.html?id=2501&amp;lat=-23.71449&amp;long=-46.68617&amp;tipo=S","QRCODE")</f>
        <v>QRCODE</v>
      </c>
      <c r="C4117" t="s">
        <v>5372</v>
      </c>
      <c r="D4117" t="s">
        <v>5382</v>
      </c>
      <c r="E4117" t="s">
        <v>439</v>
      </c>
      <c r="F4117" t="s">
        <v>21</v>
      </c>
      <c r="G4117" t="s">
        <v>1292</v>
      </c>
      <c r="H4117">
        <v>0</v>
      </c>
      <c r="I4117">
        <v>2</v>
      </c>
      <c r="J4117">
        <v>0</v>
      </c>
      <c r="K4117">
        <v>0</v>
      </c>
      <c r="L4117">
        <v>0</v>
      </c>
    </row>
    <row r="4118" spans="1:12">
      <c r="A4118" t="str">
        <f>HYPERLINK("http://bombeiros.sp.gov.br/hidrantes/03individual/4129.html","4129")</f>
        <v>4129</v>
      </c>
      <c r="B4118" t="str">
        <f>HYPERLINK("http://bombeiros.sp.gov.br/hidrantes/08bsg/qrcodeBSG.html?id=4129&amp;lat=-23.72885&amp;long=-46.68684&amp;tipo=S","QRCODE")</f>
        <v>QRCODE</v>
      </c>
      <c r="C4118" t="s">
        <v>5372</v>
      </c>
      <c r="D4118" t="s">
        <v>5382</v>
      </c>
      <c r="E4118" t="s">
        <v>439</v>
      </c>
      <c r="F4118" t="s">
        <v>21</v>
      </c>
      <c r="G4118" t="s">
        <v>2296</v>
      </c>
      <c r="H4118">
        <v>0</v>
      </c>
      <c r="I4118">
        <v>2</v>
      </c>
      <c r="J4118">
        <v>0</v>
      </c>
      <c r="K4118">
        <v>0</v>
      </c>
      <c r="L4118">
        <v>0</v>
      </c>
    </row>
    <row r="4119" spans="1:12">
      <c r="A4119" t="str">
        <f>HYPERLINK("http://bombeiros.sp.gov.br/hidrantes/03individual/4221.html","4221")</f>
        <v>4221</v>
      </c>
      <c r="B4119" t="str">
        <f>HYPERLINK("http://bombeiros.sp.gov.br/hidrantes/08bsg/qrcodeBSG.html?id=4221&amp;lat=-23.72258&amp;long=-46.68371&amp;tipo=S","QRCODE")</f>
        <v>QRCODE</v>
      </c>
      <c r="C4119" t="s">
        <v>5372</v>
      </c>
      <c r="D4119" t="s">
        <v>5382</v>
      </c>
      <c r="E4119" t="s">
        <v>439</v>
      </c>
      <c r="F4119" t="s">
        <v>21</v>
      </c>
      <c r="G4119" t="s">
        <v>3942</v>
      </c>
      <c r="H4119">
        <v>0</v>
      </c>
      <c r="I4119">
        <v>1</v>
      </c>
      <c r="J4119">
        <v>0</v>
      </c>
      <c r="K4119">
        <v>0</v>
      </c>
      <c r="L4119">
        <v>0</v>
      </c>
    </row>
    <row r="4120" spans="1:12">
      <c r="A4120" t="str">
        <f>HYPERLINK("http://bombeiros.sp.gov.br/hidrantes/03individual/3602.html","3602")</f>
        <v>3602</v>
      </c>
      <c r="B4120" t="str">
        <f>HYPERLINK("http://bombeiros.sp.gov.br/hidrantes/08bsg/qrcodeBSG.html?id=3602&amp;lat=-23.63451&amp;long=-46.62046&amp;tipo=C","QRCODE")</f>
        <v>QRCODE</v>
      </c>
      <c r="C4120" t="s">
        <v>5372</v>
      </c>
      <c r="D4120" t="s">
        <v>5383</v>
      </c>
      <c r="E4120" t="s">
        <v>390</v>
      </c>
      <c r="F4120" t="s">
        <v>12</v>
      </c>
      <c r="G4120" t="s">
        <v>4388</v>
      </c>
      <c r="H4120">
        <v>0</v>
      </c>
      <c r="I4120">
        <v>2</v>
      </c>
      <c r="J4120">
        <v>0</v>
      </c>
      <c r="K4120">
        <v>0</v>
      </c>
      <c r="L4120">
        <v>0</v>
      </c>
    </row>
    <row r="4121" spans="1:12">
      <c r="A4121" t="str">
        <f>HYPERLINK("http://bombeiros.sp.gov.br/hidrantes/03individual/333.html","333")</f>
        <v>333</v>
      </c>
      <c r="B4121" t="str">
        <f>HYPERLINK("http://bombeiros.sp.gov.br/hidrantes/08bsg/qrcodeBSG.html?id=333&amp;lat=-23.62562&amp;long=-46.61418&amp;tipo=S","QRCODE")</f>
        <v>QRCODE</v>
      </c>
      <c r="C4121" t="s">
        <v>5372</v>
      </c>
      <c r="D4121" t="s">
        <v>5383</v>
      </c>
      <c r="E4121" t="s">
        <v>390</v>
      </c>
      <c r="F4121" t="s">
        <v>21</v>
      </c>
      <c r="G4121" t="s">
        <v>389</v>
      </c>
      <c r="H4121">
        <v>0</v>
      </c>
      <c r="I4121">
        <v>3</v>
      </c>
      <c r="J4121">
        <v>0</v>
      </c>
      <c r="K4121">
        <v>0</v>
      </c>
      <c r="L4121">
        <v>0</v>
      </c>
    </row>
    <row r="4122" spans="1:12">
      <c r="A4122" t="str">
        <f>HYPERLINK("http://bombeiros.sp.gov.br/hidrantes/03individual/359.html","359")</f>
        <v>359</v>
      </c>
      <c r="B4122" t="str">
        <f>HYPERLINK("http://bombeiros.sp.gov.br/hidrantes/08bsg/qrcodeBSG.html?id=359&amp;lat=-23.63050&amp;long=-46.61777&amp;tipo=S","QRCODE")</f>
        <v>QRCODE</v>
      </c>
      <c r="C4122" t="s">
        <v>5372</v>
      </c>
      <c r="D4122" t="s">
        <v>5383</v>
      </c>
      <c r="E4122" t="s">
        <v>390</v>
      </c>
      <c r="F4122" t="s">
        <v>21</v>
      </c>
      <c r="G4122" t="s">
        <v>2670</v>
      </c>
      <c r="H4122">
        <v>0</v>
      </c>
      <c r="I4122">
        <v>2</v>
      </c>
      <c r="J4122">
        <v>0</v>
      </c>
      <c r="K4122">
        <v>0</v>
      </c>
      <c r="L4122">
        <v>0</v>
      </c>
    </row>
    <row r="4123" spans="1:12">
      <c r="A4123" t="str">
        <f>HYPERLINK("http://bombeiros.sp.gov.br/hidrantes/03individual/424.html","424")</f>
        <v>424</v>
      </c>
      <c r="B4123" t="str">
        <f>HYPERLINK("http://bombeiros.sp.gov.br/hidrantes/08bsg/qrcodeBSG.html?id=424&amp;lat=-23.62768&amp;long=-46.62528&amp;tipo=S","QRCODE")</f>
        <v>QRCODE</v>
      </c>
      <c r="C4123" t="s">
        <v>5372</v>
      </c>
      <c r="D4123" t="s">
        <v>5383</v>
      </c>
      <c r="E4123" t="s">
        <v>390</v>
      </c>
      <c r="F4123" t="s">
        <v>21</v>
      </c>
      <c r="G4123" t="s">
        <v>1577</v>
      </c>
      <c r="H4123">
        <v>1</v>
      </c>
      <c r="I4123">
        <v>2</v>
      </c>
      <c r="J4123">
        <v>0</v>
      </c>
      <c r="K4123">
        <v>0</v>
      </c>
      <c r="L4123">
        <v>0</v>
      </c>
    </row>
    <row r="4124" spans="1:12">
      <c r="A4124" t="str">
        <f>HYPERLINK("http://bombeiros.sp.gov.br/hidrantes/03individual/481.html","481")</f>
        <v>481</v>
      </c>
      <c r="B4124" t="str">
        <f>HYPERLINK("http://bombeiros.sp.gov.br/hidrantes/08bsg/qrcodeBSG.html?id=481&amp;lat=-23.62762&amp;long=-46.61066&amp;tipo=S","QRCODE")</f>
        <v>QRCODE</v>
      </c>
      <c r="C4124" t="s">
        <v>5372</v>
      </c>
      <c r="D4124" t="s">
        <v>5383</v>
      </c>
      <c r="E4124" t="s">
        <v>390</v>
      </c>
      <c r="F4124" t="s">
        <v>21</v>
      </c>
      <c r="G4124" t="s">
        <v>4368</v>
      </c>
      <c r="H4124">
        <v>1</v>
      </c>
      <c r="I4124">
        <v>1</v>
      </c>
      <c r="J4124">
        <v>0</v>
      </c>
      <c r="K4124">
        <v>0</v>
      </c>
      <c r="L4124">
        <v>0</v>
      </c>
    </row>
    <row r="4125" spans="1:12">
      <c r="A4125" t="str">
        <f>HYPERLINK("http://bombeiros.sp.gov.br/hidrantes/03individual/497.html","497")</f>
        <v>497</v>
      </c>
      <c r="B4125" t="str">
        <f>HYPERLINK("http://bombeiros.sp.gov.br/hidrantes/08bsg/qrcodeBSG.html?id=497&amp;lat=-23.63490&amp;long=-46.62721&amp;tipo=S","QRCODE")</f>
        <v>QRCODE</v>
      </c>
      <c r="C4125" t="s">
        <v>5372</v>
      </c>
      <c r="D4125" t="s">
        <v>5383</v>
      </c>
      <c r="E4125" t="s">
        <v>390</v>
      </c>
      <c r="F4125" t="s">
        <v>21</v>
      </c>
      <c r="G4125" t="s">
        <v>2676</v>
      </c>
      <c r="H4125">
        <v>0</v>
      </c>
      <c r="I4125">
        <v>3</v>
      </c>
      <c r="J4125">
        <v>0</v>
      </c>
      <c r="K4125">
        <v>0</v>
      </c>
      <c r="L4125">
        <v>0</v>
      </c>
    </row>
    <row r="4126" spans="1:12">
      <c r="A4126" t="str">
        <f>HYPERLINK("http://bombeiros.sp.gov.br/hidrantes/03individual/498.html","498")</f>
        <v>498</v>
      </c>
      <c r="B4126" t="str">
        <f>HYPERLINK("http://bombeiros.sp.gov.br/hidrantes/08bsg/qrcodeBSG.html?id=498&amp;lat=-23.63131&amp;long=-46.62739&amp;tipo=S","QRCODE")</f>
        <v>QRCODE</v>
      </c>
      <c r="C4126" t="s">
        <v>5372</v>
      </c>
      <c r="D4126" t="s">
        <v>5383</v>
      </c>
      <c r="E4126" t="s">
        <v>390</v>
      </c>
      <c r="F4126" t="s">
        <v>21</v>
      </c>
      <c r="G4126" t="s">
        <v>2251</v>
      </c>
      <c r="H4126">
        <v>0</v>
      </c>
      <c r="I4126">
        <v>2</v>
      </c>
      <c r="J4126">
        <v>0</v>
      </c>
      <c r="K4126">
        <v>0</v>
      </c>
      <c r="L4126">
        <v>0</v>
      </c>
    </row>
    <row r="4127" spans="1:12">
      <c r="A4127" t="str">
        <f>HYPERLINK("http://bombeiros.sp.gov.br/hidrantes/03individual/3797.html","3797")</f>
        <v>3797</v>
      </c>
      <c r="B4127" t="str">
        <f>HYPERLINK("http://bombeiros.sp.gov.br/hidrantes/08bsg/qrcodeBSG.html?id=3797&amp;lat=-23.63947&amp;long=-46.61338&amp;tipo=S","QRCODE")</f>
        <v>QRCODE</v>
      </c>
      <c r="C4127" t="s">
        <v>5372</v>
      </c>
      <c r="D4127" t="s">
        <v>5383</v>
      </c>
      <c r="E4127" t="s">
        <v>390</v>
      </c>
      <c r="F4127" t="s">
        <v>21</v>
      </c>
      <c r="G4127" t="s">
        <v>2223</v>
      </c>
      <c r="H4127">
        <v>0</v>
      </c>
      <c r="I4127">
        <v>2</v>
      </c>
      <c r="J4127">
        <v>0</v>
      </c>
      <c r="K4127">
        <v>0</v>
      </c>
      <c r="L4127">
        <v>0</v>
      </c>
    </row>
    <row r="4128" spans="1:12">
      <c r="A4128" t="str">
        <f>HYPERLINK("http://bombeiros.sp.gov.br/hidrantes/03individual/3798.html","3798")</f>
        <v>3798</v>
      </c>
      <c r="B4128" t="str">
        <f>HYPERLINK("http://bombeiros.sp.gov.br/hidrantes/08bsg/qrcodeBSG.html?id=3798&amp;lat=-23.63109&amp;long=-46.62587&amp;tipo=S","QRCODE")</f>
        <v>QRCODE</v>
      </c>
      <c r="C4128" t="s">
        <v>5372</v>
      </c>
      <c r="D4128" t="s">
        <v>5383</v>
      </c>
      <c r="E4128" t="s">
        <v>390</v>
      </c>
      <c r="F4128" t="s">
        <v>21</v>
      </c>
      <c r="G4128" t="s">
        <v>449</v>
      </c>
      <c r="H4128">
        <v>0</v>
      </c>
      <c r="I4128">
        <v>3</v>
      </c>
      <c r="J4128">
        <v>0</v>
      </c>
      <c r="K4128">
        <v>0</v>
      </c>
      <c r="L4128">
        <v>0</v>
      </c>
    </row>
    <row r="4129" spans="1:12">
      <c r="A4129" t="str">
        <f>HYPERLINK("http://bombeiros.sp.gov.br/hidrantes/03individual/3804.html","3804")</f>
        <v>3804</v>
      </c>
      <c r="B4129" t="str">
        <f>HYPERLINK("http://bombeiros.sp.gov.br/hidrantes/08bsg/qrcodeBSG.html?id=3804&amp;lat=-23.62627&amp;long=-46.61907&amp;tipo=S","QRCODE")</f>
        <v>QRCODE</v>
      </c>
      <c r="C4129" t="s">
        <v>5372</v>
      </c>
      <c r="D4129" t="s">
        <v>5383</v>
      </c>
      <c r="E4129" t="s">
        <v>390</v>
      </c>
      <c r="F4129" t="s">
        <v>21</v>
      </c>
      <c r="G4129" t="s">
        <v>451</v>
      </c>
      <c r="H4129">
        <v>0</v>
      </c>
      <c r="I4129">
        <v>3</v>
      </c>
      <c r="J4129">
        <v>0</v>
      </c>
      <c r="K4129">
        <v>0</v>
      </c>
      <c r="L4129">
        <v>0</v>
      </c>
    </row>
    <row r="4130" spans="1:12">
      <c r="A4130" t="str">
        <f>HYPERLINK("http://bombeiros.sp.gov.br/hidrantes/03individual/3805.html","3805")</f>
        <v>3805</v>
      </c>
      <c r="B4130" t="str">
        <f>HYPERLINK("http://bombeiros.sp.gov.br/hidrantes/08bsg/qrcodeBSG.html?id=3805&amp;lat=-23.63364&amp;long=-46.61421&amp;tipo=S","QRCODE")</f>
        <v>QRCODE</v>
      </c>
      <c r="C4130" t="s">
        <v>5372</v>
      </c>
      <c r="D4130" t="s">
        <v>5383</v>
      </c>
      <c r="E4130" t="s">
        <v>390</v>
      </c>
      <c r="F4130" t="s">
        <v>21</v>
      </c>
      <c r="G4130" t="s">
        <v>2615</v>
      </c>
      <c r="H4130">
        <v>0</v>
      </c>
      <c r="I4130">
        <v>2</v>
      </c>
      <c r="J4130">
        <v>0</v>
      </c>
      <c r="K4130">
        <v>0</v>
      </c>
      <c r="L4130">
        <v>0</v>
      </c>
    </row>
    <row r="4131" spans="1:12">
      <c r="A4131" t="str">
        <f>HYPERLINK("http://bombeiros.sp.gov.br/hidrantes/03individual/3810.html","3810")</f>
        <v>3810</v>
      </c>
      <c r="B4131" t="str">
        <f>HYPERLINK("http://bombeiros.sp.gov.br/hidrantes/08bsg/qrcodeBSG.html?id=3810&amp;lat=-23.63291&amp;long=-46.61745&amp;tipo=S","QRCODE")</f>
        <v>QRCODE</v>
      </c>
      <c r="C4131" t="s">
        <v>5372</v>
      </c>
      <c r="D4131" t="s">
        <v>5383</v>
      </c>
      <c r="E4131" t="s">
        <v>390</v>
      </c>
      <c r="F4131" t="s">
        <v>21</v>
      </c>
      <c r="G4131" t="s">
        <v>4390</v>
      </c>
      <c r="H4131">
        <v>1</v>
      </c>
      <c r="I4131">
        <v>1</v>
      </c>
      <c r="J4131">
        <v>0</v>
      </c>
      <c r="K4131">
        <v>0</v>
      </c>
      <c r="L4131">
        <v>0</v>
      </c>
    </row>
    <row r="4132" spans="1:12">
      <c r="A4132" t="str">
        <f>HYPERLINK("http://bombeiros.sp.gov.br/hidrantes/03individual/3926.html","3926")</f>
        <v>3926</v>
      </c>
      <c r="B4132" t="str">
        <f>HYPERLINK("http://bombeiros.sp.gov.br/hidrantes/08bsg/qrcodeBSG.html?id=3926&amp;lat=-23.63067&amp;long=-46.62157&amp;tipo=S","QRCODE")</f>
        <v>QRCODE</v>
      </c>
      <c r="C4132" t="s">
        <v>5372</v>
      </c>
      <c r="D4132" t="s">
        <v>5383</v>
      </c>
      <c r="E4132" t="s">
        <v>390</v>
      </c>
      <c r="F4132" t="s">
        <v>21</v>
      </c>
      <c r="G4132" t="s">
        <v>2618</v>
      </c>
      <c r="H4132">
        <v>1</v>
      </c>
      <c r="I4132">
        <v>4</v>
      </c>
      <c r="J4132">
        <v>0</v>
      </c>
      <c r="K4132">
        <v>0</v>
      </c>
      <c r="L4132">
        <v>0</v>
      </c>
    </row>
    <row r="4133" spans="1:12">
      <c r="A4133" t="str">
        <f>HYPERLINK("http://bombeiros.sp.gov.br/hidrantes/03individual/3934.html","3934")</f>
        <v>3934</v>
      </c>
      <c r="B4133" t="str">
        <f>HYPERLINK("http://bombeiros.sp.gov.br/hidrantes/08bsg/qrcodeBSG.html?id=3934&amp;lat=-23.63247&amp;long=-46.62332&amp;tipo=S","QRCODE")</f>
        <v>QRCODE</v>
      </c>
      <c r="C4133" t="s">
        <v>5372</v>
      </c>
      <c r="D4133" t="s">
        <v>5383</v>
      </c>
      <c r="E4133" t="s">
        <v>390</v>
      </c>
      <c r="F4133" t="s">
        <v>21</v>
      </c>
      <c r="G4133" t="s">
        <v>2218</v>
      </c>
      <c r="H4133">
        <v>0</v>
      </c>
      <c r="I4133">
        <v>3</v>
      </c>
      <c r="J4133">
        <v>0</v>
      </c>
      <c r="K4133">
        <v>0</v>
      </c>
      <c r="L4133">
        <v>0</v>
      </c>
    </row>
    <row r="4134" spans="1:12">
      <c r="A4134" t="str">
        <f>HYPERLINK("http://bombeiros.sp.gov.br/hidrantes/03individual/4012.html","4012")</f>
        <v>4012</v>
      </c>
      <c r="B4134" t="str">
        <f>HYPERLINK("http://bombeiros.sp.gov.br/hidrantes/08bsg/qrcodeBSG.html?id=4012&amp;lat=-23.63735&amp;long=-46.62724&amp;tipo=S","QRCODE")</f>
        <v>QRCODE</v>
      </c>
      <c r="C4134" t="s">
        <v>5372</v>
      </c>
      <c r="D4134" t="s">
        <v>5383</v>
      </c>
      <c r="E4134" t="s">
        <v>390</v>
      </c>
      <c r="F4134" t="s">
        <v>21</v>
      </c>
      <c r="G4134" t="s">
        <v>455</v>
      </c>
      <c r="H4134">
        <v>0</v>
      </c>
      <c r="I4134">
        <v>2</v>
      </c>
      <c r="J4134">
        <v>0</v>
      </c>
      <c r="K4134">
        <v>0</v>
      </c>
      <c r="L4134">
        <v>0</v>
      </c>
    </row>
    <row r="4135" spans="1:12">
      <c r="A4135" t="str">
        <f>HYPERLINK("http://bombeiros.sp.gov.br/hidrantes/03individual/10031.html","10031")</f>
        <v>10031</v>
      </c>
      <c r="B4135" t="str">
        <f>HYPERLINK("http://bombeiros.sp.gov.br/hidrantes/08bsg/qrcodeBSG.html?id=10031&amp;lat=-23.63196&amp;long=-46.61507&amp;tipo=S","QRCODE")</f>
        <v>QRCODE</v>
      </c>
      <c r="C4135" t="s">
        <v>5372</v>
      </c>
      <c r="D4135" t="s">
        <v>5383</v>
      </c>
      <c r="E4135" t="s">
        <v>390</v>
      </c>
      <c r="F4135" t="s">
        <v>21</v>
      </c>
      <c r="G4135" t="s">
        <v>4392</v>
      </c>
      <c r="H4135">
        <v>1</v>
      </c>
      <c r="I4135">
        <v>1</v>
      </c>
      <c r="J4135">
        <v>0</v>
      </c>
      <c r="K4135">
        <v>0</v>
      </c>
      <c r="L4135">
        <v>0</v>
      </c>
    </row>
    <row r="4136" spans="1:12">
      <c r="A4136" t="str">
        <f>HYPERLINK("http://bombeiros.sp.gov.br/hidrantes/03individual/10032.html","10032")</f>
        <v>10032</v>
      </c>
      <c r="B4136" t="str">
        <f>HYPERLINK("http://bombeiros.sp.gov.br/hidrantes/08bsg/qrcodeBSG.html?id=10032&amp;lat=-23.62998&amp;long=-46.62677&amp;tipo=S","QRCODE")</f>
        <v>QRCODE</v>
      </c>
      <c r="C4136" t="s">
        <v>5372</v>
      </c>
      <c r="D4136" t="s">
        <v>5383</v>
      </c>
      <c r="E4136" t="s">
        <v>390</v>
      </c>
      <c r="F4136" t="s">
        <v>21</v>
      </c>
      <c r="G4136" t="s">
        <v>4748</v>
      </c>
      <c r="H4136">
        <v>1</v>
      </c>
      <c r="I4136">
        <v>1</v>
      </c>
      <c r="J4136">
        <v>0</v>
      </c>
      <c r="K4136">
        <v>0</v>
      </c>
      <c r="L4136">
        <v>0</v>
      </c>
    </row>
    <row r="4137" spans="1:12">
      <c r="A4137" t="str">
        <f>HYPERLINK("http://bombeiros.sp.gov.br/hidrantes/03individual/17665.html","17665")</f>
        <v>17665</v>
      </c>
      <c r="B4137" t="str">
        <f>HYPERLINK("http://bombeiros.sp.gov.br/hidrantes/08bsg/qrcodeBSG.html?id=17665&amp;lat=-23.62989&amp;long=-46.61447&amp;tipo=S","QRCODE")</f>
        <v>QRCODE</v>
      </c>
      <c r="C4137" t="s">
        <v>5372</v>
      </c>
      <c r="D4137" t="s">
        <v>5383</v>
      </c>
      <c r="E4137" t="s">
        <v>390</v>
      </c>
      <c r="F4137" t="s">
        <v>21</v>
      </c>
      <c r="G4137" t="s">
        <v>2593</v>
      </c>
      <c r="H4137">
        <v>0</v>
      </c>
      <c r="I4137">
        <v>2</v>
      </c>
      <c r="J4137">
        <v>0</v>
      </c>
      <c r="K4137">
        <v>0</v>
      </c>
      <c r="L4137">
        <v>0</v>
      </c>
    </row>
    <row r="4138" spans="1:12">
      <c r="A4138" t="str">
        <f>HYPERLINK("http://bombeiros.sp.gov.br/hidrantes/03individual/17667.html","17667")</f>
        <v>17667</v>
      </c>
      <c r="B4138" t="str">
        <f>HYPERLINK("http://bombeiros.sp.gov.br/hidrantes/08bsg/qrcodeBSG.html?id=17667&amp;lat=-23.62647&amp;long=-46.62264&amp;tipo=S","QRCODE")</f>
        <v>QRCODE</v>
      </c>
      <c r="C4138" t="s">
        <v>5372</v>
      </c>
      <c r="D4138" t="s">
        <v>5383</v>
      </c>
      <c r="E4138" t="s">
        <v>390</v>
      </c>
      <c r="F4138" t="s">
        <v>21</v>
      </c>
      <c r="G4138" t="s">
        <v>486</v>
      </c>
      <c r="H4138">
        <v>0</v>
      </c>
      <c r="I4138">
        <v>2</v>
      </c>
      <c r="J4138">
        <v>0</v>
      </c>
      <c r="K4138">
        <v>0</v>
      </c>
      <c r="L4138">
        <v>0</v>
      </c>
    </row>
    <row r="4139" spans="1:12">
      <c r="A4139" t="str">
        <f>HYPERLINK("http://bombeiros.sp.gov.br/hidrantes/03individual/415.html","415")</f>
        <v>415</v>
      </c>
      <c r="B4139" t="str">
        <f>HYPERLINK("http://bombeiros.sp.gov.br/hidrantes/08bsg/qrcodeBSG.html?id=415&amp;lat=-23.62228&amp;long=-46.62692&amp;tipo=C","QRCODE")</f>
        <v>QRCODE</v>
      </c>
      <c r="C4139" t="s">
        <v>5372</v>
      </c>
      <c r="D4139" t="s">
        <v>5383</v>
      </c>
      <c r="E4139" t="s">
        <v>388</v>
      </c>
      <c r="F4139" t="s">
        <v>12</v>
      </c>
      <c r="G4139" t="s">
        <v>1576</v>
      </c>
      <c r="H4139">
        <v>1</v>
      </c>
      <c r="I4139">
        <v>2</v>
      </c>
      <c r="J4139">
        <v>0</v>
      </c>
      <c r="K4139">
        <v>0</v>
      </c>
      <c r="L4139">
        <v>0</v>
      </c>
    </row>
    <row r="4140" spans="1:12">
      <c r="A4140" t="str">
        <f>HYPERLINK("http://bombeiros.sp.gov.br/hidrantes/03individual/3603.html","3603")</f>
        <v>3603</v>
      </c>
      <c r="B4140" t="str">
        <f>HYPERLINK("http://bombeiros.sp.gov.br/hidrantes/08bsg/qrcodeBSG.html?id=3603&amp;lat=-23.61870&amp;long=-46.62652&amp;tipo=C","QRCODE")</f>
        <v>QRCODE</v>
      </c>
      <c r="C4140" t="s">
        <v>5372</v>
      </c>
      <c r="D4140" t="s">
        <v>5383</v>
      </c>
      <c r="E4140" t="s">
        <v>388</v>
      </c>
      <c r="F4140" t="s">
        <v>12</v>
      </c>
      <c r="G4140" t="s">
        <v>4430</v>
      </c>
      <c r="H4140">
        <v>1</v>
      </c>
      <c r="I4140">
        <v>2</v>
      </c>
      <c r="J4140">
        <v>0</v>
      </c>
      <c r="K4140">
        <v>0</v>
      </c>
      <c r="L4140">
        <v>0</v>
      </c>
    </row>
    <row r="4141" spans="1:12">
      <c r="A4141" t="str">
        <f>HYPERLINK("http://bombeiros.sp.gov.br/hidrantes/03individual/447.html","447")</f>
        <v>447</v>
      </c>
      <c r="B4141" t="str">
        <f>HYPERLINK("http://bombeiros.sp.gov.br/hidrantes/08bsg/qrcodeBSG.html?id=447&amp;lat=-23.61340&amp;long=-46.62569&amp;tipo=S","QRCODE")</f>
        <v>QRCODE</v>
      </c>
      <c r="C4141" t="s">
        <v>5372</v>
      </c>
      <c r="D4141" t="s">
        <v>5383</v>
      </c>
      <c r="E4141" t="s">
        <v>388</v>
      </c>
      <c r="F4141" t="s">
        <v>21</v>
      </c>
      <c r="G4141" t="s">
        <v>2081</v>
      </c>
      <c r="H4141">
        <v>0</v>
      </c>
      <c r="I4141">
        <v>2</v>
      </c>
      <c r="J4141">
        <v>0</v>
      </c>
      <c r="K4141">
        <v>0</v>
      </c>
      <c r="L4141">
        <v>0</v>
      </c>
    </row>
    <row r="4142" spans="1:12">
      <c r="A4142" t="str">
        <f>HYPERLINK("http://bombeiros.sp.gov.br/hidrantes/03individual/471.html","471")</f>
        <v>471</v>
      </c>
      <c r="B4142" t="str">
        <f>HYPERLINK("http://bombeiros.sp.gov.br/hidrantes/08bsg/qrcodeBSG.html?id=471&amp;lat=-23.60832&amp;long=-46.61882&amp;tipo=S","QRCODE")</f>
        <v>QRCODE</v>
      </c>
      <c r="C4142" t="s">
        <v>5372</v>
      </c>
      <c r="D4142" t="s">
        <v>5383</v>
      </c>
      <c r="E4142" t="s">
        <v>388</v>
      </c>
      <c r="F4142" t="s">
        <v>21</v>
      </c>
      <c r="G4142" t="s">
        <v>1068</v>
      </c>
      <c r="H4142">
        <v>1</v>
      </c>
      <c r="I4142">
        <v>2</v>
      </c>
      <c r="J4142">
        <v>0</v>
      </c>
      <c r="K4142">
        <v>0</v>
      </c>
      <c r="L4142">
        <v>0</v>
      </c>
    </row>
    <row r="4143" spans="1:12">
      <c r="A4143" t="str">
        <f>HYPERLINK("http://bombeiros.sp.gov.br/hidrantes/03individual/472.html","472")</f>
        <v>472</v>
      </c>
      <c r="B4143" t="str">
        <f>HYPERLINK("http://bombeiros.sp.gov.br/hidrantes/08bsg/qrcodeBSG.html?id=472&amp;lat=-23.61308&amp;long=-46.62001&amp;tipo=S","QRCODE")</f>
        <v>QRCODE</v>
      </c>
      <c r="C4143" t="s">
        <v>5372</v>
      </c>
      <c r="D4143" t="s">
        <v>5383</v>
      </c>
      <c r="E4143" t="s">
        <v>388</v>
      </c>
      <c r="F4143" t="s">
        <v>21</v>
      </c>
      <c r="G4143" t="s">
        <v>575</v>
      </c>
      <c r="H4143">
        <v>1</v>
      </c>
      <c r="I4143">
        <v>1</v>
      </c>
      <c r="J4143">
        <v>0</v>
      </c>
      <c r="K4143">
        <v>0</v>
      </c>
      <c r="L4143">
        <v>0</v>
      </c>
    </row>
    <row r="4144" spans="1:12">
      <c r="A4144" t="str">
        <f>HYPERLINK("http://bombeiros.sp.gov.br/hidrantes/03individual/474.html","474")</f>
        <v>474</v>
      </c>
      <c r="B4144" t="str">
        <f>HYPERLINK("http://bombeiros.sp.gov.br/hidrantes/08bsg/qrcodeBSG.html?id=474&amp;lat=-23.61620&amp;long=-46.61916&amp;tipo=S","QRCODE")</f>
        <v>QRCODE</v>
      </c>
      <c r="C4144" t="s">
        <v>5372</v>
      </c>
      <c r="D4144" t="s">
        <v>5383</v>
      </c>
      <c r="E4144" t="s">
        <v>388</v>
      </c>
      <c r="F4144" t="s">
        <v>21</v>
      </c>
      <c r="G4144" t="s">
        <v>1065</v>
      </c>
      <c r="H4144">
        <v>1</v>
      </c>
      <c r="I4144">
        <v>2</v>
      </c>
      <c r="J4144">
        <v>0</v>
      </c>
      <c r="K4144">
        <v>0</v>
      </c>
      <c r="L4144">
        <v>0</v>
      </c>
    </row>
    <row r="4145" spans="1:12">
      <c r="A4145" t="str">
        <f>HYPERLINK("http://bombeiros.sp.gov.br/hidrantes/03individual/475.html","475")</f>
        <v>475</v>
      </c>
      <c r="B4145" t="str">
        <f>HYPERLINK("http://bombeiros.sp.gov.br/hidrantes/08bsg/qrcodeBSG.html?id=475&amp;lat=-23.61453&amp;long=-46.62044&amp;tipo=S","QRCODE")</f>
        <v>QRCODE</v>
      </c>
      <c r="C4145" t="s">
        <v>5372</v>
      </c>
      <c r="D4145" t="s">
        <v>5383</v>
      </c>
      <c r="E4145" t="s">
        <v>388</v>
      </c>
      <c r="F4145" t="s">
        <v>21</v>
      </c>
      <c r="G4145" t="s">
        <v>387</v>
      </c>
      <c r="H4145">
        <v>0</v>
      </c>
      <c r="I4145">
        <v>3</v>
      </c>
      <c r="J4145">
        <v>0</v>
      </c>
      <c r="K4145">
        <v>0</v>
      </c>
      <c r="L4145">
        <v>0</v>
      </c>
    </row>
    <row r="4146" spans="1:12">
      <c r="A4146" t="str">
        <f>HYPERLINK("http://bombeiros.sp.gov.br/hidrantes/03individual/489.html","489")</f>
        <v>489</v>
      </c>
      <c r="B4146" t="str">
        <f>HYPERLINK("http://bombeiros.sp.gov.br/hidrantes/08bsg/qrcodeBSG.html?id=489&amp;lat=-23.61632&amp;long=-46.61988&amp;tipo=S","QRCODE")</f>
        <v>QRCODE</v>
      </c>
      <c r="C4146" t="s">
        <v>5372</v>
      </c>
      <c r="D4146" t="s">
        <v>5383</v>
      </c>
      <c r="E4146" t="s">
        <v>388</v>
      </c>
      <c r="F4146" t="s">
        <v>21</v>
      </c>
      <c r="G4146" t="s">
        <v>2085</v>
      </c>
      <c r="H4146">
        <v>0</v>
      </c>
      <c r="I4146">
        <v>2</v>
      </c>
      <c r="J4146">
        <v>0</v>
      </c>
      <c r="K4146">
        <v>0</v>
      </c>
      <c r="L4146">
        <v>0</v>
      </c>
    </row>
    <row r="4147" spans="1:12">
      <c r="A4147" t="str">
        <f>HYPERLINK("http://bombeiros.sp.gov.br/hidrantes/03individual/3808.html","3808")</f>
        <v>3808</v>
      </c>
      <c r="B4147" t="str">
        <f>HYPERLINK("http://bombeiros.sp.gov.br/hidrantes/08bsg/qrcodeBSG.html?id=3808&amp;lat=-23.62220&amp;long=-46.62334&amp;tipo=S","QRCODE")</f>
        <v>QRCODE</v>
      </c>
      <c r="C4147" t="s">
        <v>5372</v>
      </c>
      <c r="D4147" t="s">
        <v>5383</v>
      </c>
      <c r="E4147" t="s">
        <v>388</v>
      </c>
      <c r="F4147" t="s">
        <v>21</v>
      </c>
      <c r="G4147" t="s">
        <v>1541</v>
      </c>
      <c r="H4147">
        <v>1</v>
      </c>
      <c r="I4147">
        <v>2</v>
      </c>
      <c r="J4147">
        <v>0</v>
      </c>
      <c r="K4147">
        <v>0</v>
      </c>
      <c r="L4147">
        <v>0</v>
      </c>
    </row>
    <row r="4148" spans="1:12">
      <c r="A4148" t="str">
        <f>HYPERLINK("http://bombeiros.sp.gov.br/hidrantes/03individual/3809.html","3809")</f>
        <v>3809</v>
      </c>
      <c r="B4148" t="str">
        <f>HYPERLINK("http://bombeiros.sp.gov.br/hidrantes/08bsg/qrcodeBSG.html?id=3809&amp;lat=-23.61909&amp;long=-46.62013&amp;tipo=S","QRCODE")</f>
        <v>QRCODE</v>
      </c>
      <c r="C4148" t="s">
        <v>5372</v>
      </c>
      <c r="D4148" t="s">
        <v>5383</v>
      </c>
      <c r="E4148" t="s">
        <v>388</v>
      </c>
      <c r="F4148" t="s">
        <v>21</v>
      </c>
      <c r="G4148" t="s">
        <v>453</v>
      </c>
      <c r="H4148">
        <v>0</v>
      </c>
      <c r="I4148">
        <v>3</v>
      </c>
      <c r="J4148">
        <v>0</v>
      </c>
      <c r="K4148">
        <v>0</v>
      </c>
      <c r="L4148">
        <v>0</v>
      </c>
    </row>
    <row r="4149" spans="1:12">
      <c r="A4149" t="str">
        <f>HYPERLINK("http://bombeiros.sp.gov.br/hidrantes/03individual/3813.html","3813")</f>
        <v>3813</v>
      </c>
      <c r="B4149" t="str">
        <f>HYPERLINK("http://bombeiros.sp.gov.br/hidrantes/08bsg/qrcodeBSG.html?id=3813&amp;lat=-23.61394&amp;long=-46.61744&amp;tipo=S","QRCODE")</f>
        <v>QRCODE</v>
      </c>
      <c r="C4149" t="s">
        <v>5372</v>
      </c>
      <c r="D4149" t="s">
        <v>5383</v>
      </c>
      <c r="E4149" t="s">
        <v>388</v>
      </c>
      <c r="F4149" t="s">
        <v>21</v>
      </c>
      <c r="G4149" t="s">
        <v>1103</v>
      </c>
      <c r="H4149">
        <v>1</v>
      </c>
      <c r="I4149">
        <v>2</v>
      </c>
      <c r="J4149">
        <v>0</v>
      </c>
      <c r="K4149">
        <v>0</v>
      </c>
      <c r="L4149">
        <v>0</v>
      </c>
    </row>
    <row r="4150" spans="1:12">
      <c r="A4150" t="str">
        <f>HYPERLINK("http://bombeiros.sp.gov.br/hidrantes/03individual/3893.html","3893")</f>
        <v>3893</v>
      </c>
      <c r="B4150" t="str">
        <f>HYPERLINK("http://bombeiros.sp.gov.br/hidrantes/08bsg/qrcodeBSG.html?id=3893&amp;lat=-23.60848&amp;long=-46.62633&amp;tipo=S","QRCODE")</f>
        <v>QRCODE</v>
      </c>
      <c r="C4150" t="s">
        <v>5372</v>
      </c>
      <c r="D4150" t="s">
        <v>5383</v>
      </c>
      <c r="E4150" t="s">
        <v>388</v>
      </c>
      <c r="F4150" t="s">
        <v>21</v>
      </c>
      <c r="G4150" t="s">
        <v>448</v>
      </c>
      <c r="H4150">
        <v>0</v>
      </c>
      <c r="I4150">
        <v>3</v>
      </c>
      <c r="J4150">
        <v>0</v>
      </c>
      <c r="K4150">
        <v>0</v>
      </c>
      <c r="L4150">
        <v>0</v>
      </c>
    </row>
    <row r="4151" spans="1:12">
      <c r="A4151" t="str">
        <f>HYPERLINK("http://bombeiros.sp.gov.br/hidrantes/03individual/3898.html","3898")</f>
        <v>3898</v>
      </c>
      <c r="B4151" t="str">
        <f>HYPERLINK("http://bombeiros.sp.gov.br/hidrantes/08bsg/qrcodeBSG.html?id=3898&amp;lat=-23.60975&amp;long=-46.62090&amp;tipo=S","QRCODE")</f>
        <v>QRCODE</v>
      </c>
      <c r="C4151" t="s">
        <v>5372</v>
      </c>
      <c r="D4151" t="s">
        <v>5383</v>
      </c>
      <c r="E4151" t="s">
        <v>388</v>
      </c>
      <c r="F4151" t="s">
        <v>21</v>
      </c>
      <c r="G4151" t="s">
        <v>2028</v>
      </c>
      <c r="H4151">
        <v>0</v>
      </c>
      <c r="I4151">
        <v>2</v>
      </c>
      <c r="J4151">
        <v>0</v>
      </c>
      <c r="K4151">
        <v>0</v>
      </c>
      <c r="L4151">
        <v>0</v>
      </c>
    </row>
    <row r="4152" spans="1:12">
      <c r="A4152" t="str">
        <f>HYPERLINK("http://bombeiros.sp.gov.br/hidrantes/03individual/3912.html","3912")</f>
        <v>3912</v>
      </c>
      <c r="B4152" t="str">
        <f>HYPERLINK("http://bombeiros.sp.gov.br/hidrantes/08bsg/qrcodeBSG.html?id=3912&amp;lat=-23.61593&amp;long=-46.62433&amp;tipo=S","QRCODE")</f>
        <v>QRCODE</v>
      </c>
      <c r="C4152" t="s">
        <v>5372</v>
      </c>
      <c r="D4152" t="s">
        <v>5383</v>
      </c>
      <c r="E4152" t="s">
        <v>388</v>
      </c>
      <c r="F4152" t="s">
        <v>21</v>
      </c>
      <c r="G4152" t="s">
        <v>4220</v>
      </c>
      <c r="H4152">
        <v>0</v>
      </c>
      <c r="I4152">
        <v>1</v>
      </c>
      <c r="J4152">
        <v>0</v>
      </c>
      <c r="K4152">
        <v>0</v>
      </c>
      <c r="L4152">
        <v>0</v>
      </c>
    </row>
    <row r="4153" spans="1:12">
      <c r="A4153" t="str">
        <f>HYPERLINK("http://bombeiros.sp.gov.br/hidrantes/03individual/3936.html","3936")</f>
        <v>3936</v>
      </c>
      <c r="B4153" t="str">
        <f>HYPERLINK("http://bombeiros.sp.gov.br/hidrantes/08bsg/qrcodeBSG.html?id=3936&amp;lat=-23.62430&amp;long=-46.62281&amp;tipo=S","QRCODE")</f>
        <v>QRCODE</v>
      </c>
      <c r="C4153" t="s">
        <v>5372</v>
      </c>
      <c r="D4153" t="s">
        <v>5383</v>
      </c>
      <c r="E4153" t="s">
        <v>388</v>
      </c>
      <c r="F4153" t="s">
        <v>21</v>
      </c>
      <c r="G4153" t="s">
        <v>1538</v>
      </c>
      <c r="H4153">
        <v>1</v>
      </c>
      <c r="I4153">
        <v>2</v>
      </c>
      <c r="J4153">
        <v>0</v>
      </c>
      <c r="K4153">
        <v>0</v>
      </c>
      <c r="L4153">
        <v>0</v>
      </c>
    </row>
    <row r="4154" spans="1:12">
      <c r="A4154" t="str">
        <f>HYPERLINK("http://bombeiros.sp.gov.br/hidrantes/03individual/3974.html","3974")</f>
        <v>3974</v>
      </c>
      <c r="B4154" t="str">
        <f>HYPERLINK("http://bombeiros.sp.gov.br/hidrantes/08bsg/qrcodeBSG.html?id=3974&amp;lat=-23.62237&amp;long=-46.62691&amp;tipo=S","QRCODE")</f>
        <v>QRCODE</v>
      </c>
      <c r="C4154" t="s">
        <v>5372</v>
      </c>
      <c r="D4154" t="s">
        <v>5383</v>
      </c>
      <c r="E4154" t="s">
        <v>388</v>
      </c>
      <c r="F4154" t="s">
        <v>21</v>
      </c>
      <c r="G4154" t="s">
        <v>4331</v>
      </c>
      <c r="H4154">
        <v>0</v>
      </c>
      <c r="I4154">
        <v>2</v>
      </c>
      <c r="J4154">
        <v>0</v>
      </c>
      <c r="K4154">
        <v>0</v>
      </c>
      <c r="L4154">
        <v>0</v>
      </c>
    </row>
    <row r="4155" spans="1:12">
      <c r="A4155" t="str">
        <f>HYPERLINK("http://bombeiros.sp.gov.br/hidrantes/03individual/17674.html","17674")</f>
        <v>17674</v>
      </c>
      <c r="B4155" t="str">
        <f>HYPERLINK("http://bombeiros.sp.gov.br/hidrantes/08bsg/qrcodeBSG.html?id=17674&amp;lat=-23.61168&amp;long=-46.62314&amp;tipo=S","QRCODE")</f>
        <v>QRCODE</v>
      </c>
      <c r="C4155" t="s">
        <v>5372</v>
      </c>
      <c r="D4155" t="s">
        <v>5383</v>
      </c>
      <c r="E4155" t="s">
        <v>388</v>
      </c>
      <c r="F4155" t="s">
        <v>21</v>
      </c>
      <c r="G4155" t="s">
        <v>490</v>
      </c>
      <c r="H4155">
        <v>0</v>
      </c>
      <c r="I4155">
        <v>2</v>
      </c>
      <c r="J4155">
        <v>0</v>
      </c>
      <c r="K4155">
        <v>0</v>
      </c>
      <c r="L4155">
        <v>0</v>
      </c>
    </row>
    <row r="4156" spans="1:12">
      <c r="A4156" t="str">
        <f>HYPERLINK("http://bombeiros.sp.gov.br/hidrantes/03individual/17675.html","17675")</f>
        <v>17675</v>
      </c>
      <c r="B4156" t="str">
        <f>HYPERLINK("http://bombeiros.sp.gov.br/hidrantes/08bsg/qrcodeBSG.html?id=17675&amp;lat=-23.61106&amp;long=-46.61901&amp;tipo=S","QRCODE")</f>
        <v>QRCODE</v>
      </c>
      <c r="C4156" t="s">
        <v>5372</v>
      </c>
      <c r="D4156" t="s">
        <v>5383</v>
      </c>
      <c r="E4156" t="s">
        <v>388</v>
      </c>
      <c r="F4156" t="s">
        <v>21</v>
      </c>
      <c r="G4156" t="s">
        <v>3772</v>
      </c>
      <c r="H4156">
        <v>2</v>
      </c>
      <c r="I4156">
        <v>1</v>
      </c>
      <c r="J4156">
        <v>0</v>
      </c>
      <c r="K4156">
        <v>0</v>
      </c>
      <c r="L4156">
        <v>0</v>
      </c>
    </row>
    <row r="4157" spans="1:12">
      <c r="A4157" t="str">
        <f>HYPERLINK("http://bombeiros.sp.gov.br/hidrantes/03individual/17676.html","17676")</f>
        <v>17676</v>
      </c>
      <c r="B4157" t="str">
        <f>HYPERLINK("http://bombeiros.sp.gov.br/hidrantes/08bsg/qrcodeBSG.html?id=17676&amp;lat=-23.60883&amp;long=-46.61715&amp;tipo=S","QRCODE")</f>
        <v>QRCODE</v>
      </c>
      <c r="C4157" t="s">
        <v>5372</v>
      </c>
      <c r="D4157" t="s">
        <v>5383</v>
      </c>
      <c r="E4157" t="s">
        <v>388</v>
      </c>
      <c r="F4157" t="s">
        <v>21</v>
      </c>
      <c r="G4157" t="s">
        <v>5036</v>
      </c>
      <c r="H4157">
        <v>0</v>
      </c>
      <c r="I4157">
        <v>1</v>
      </c>
      <c r="J4157">
        <v>0</v>
      </c>
      <c r="K4157">
        <v>0</v>
      </c>
      <c r="L4157">
        <v>0</v>
      </c>
    </row>
    <row r="4158" spans="1:12">
      <c r="A4158" t="str">
        <f>HYPERLINK("http://bombeiros.sp.gov.br/hidrantes/03individual/3627.html","3627")</f>
        <v>3627</v>
      </c>
      <c r="B4158" t="str">
        <f>HYPERLINK("http://bombeiros.sp.gov.br/hidrantes/08bsg/qrcodeBSG.html?id=3627&amp;lat=-23.61781&amp;long=-46.61064&amp;tipo=C","QRCODE")</f>
        <v>QRCODE</v>
      </c>
      <c r="C4158" t="s">
        <v>5372</v>
      </c>
      <c r="D4158" t="s">
        <v>5383</v>
      </c>
      <c r="E4158" t="s">
        <v>385</v>
      </c>
      <c r="F4158" t="s">
        <v>12</v>
      </c>
      <c r="G4158" t="s">
        <v>2036</v>
      </c>
      <c r="H4158">
        <v>0</v>
      </c>
      <c r="I4158">
        <v>2</v>
      </c>
      <c r="J4158">
        <v>0</v>
      </c>
      <c r="K4158">
        <v>0</v>
      </c>
      <c r="L4158">
        <v>0</v>
      </c>
    </row>
    <row r="4159" spans="1:12">
      <c r="A4159" t="str">
        <f>HYPERLINK("http://bombeiros.sp.gov.br/hidrantes/03individual/468.html","468")</f>
        <v>468</v>
      </c>
      <c r="B4159" t="str">
        <f>HYPERLINK("http://bombeiros.sp.gov.br/hidrantes/08bsg/qrcodeBSG.html?id=468&amp;lat=-23.62596&amp;long=-46.61934&amp;tipo=S","QRCODE")</f>
        <v>QRCODE</v>
      </c>
      <c r="C4159" t="s">
        <v>5372</v>
      </c>
      <c r="D4159" t="s">
        <v>5383</v>
      </c>
      <c r="E4159" t="s">
        <v>385</v>
      </c>
      <c r="F4159" t="s">
        <v>21</v>
      </c>
      <c r="G4159" t="s">
        <v>384</v>
      </c>
      <c r="H4159">
        <v>0</v>
      </c>
      <c r="I4159">
        <v>3</v>
      </c>
      <c r="J4159">
        <v>0</v>
      </c>
      <c r="K4159">
        <v>0</v>
      </c>
      <c r="L4159">
        <v>0</v>
      </c>
    </row>
    <row r="4160" spans="1:12">
      <c r="A4160" t="str">
        <f>HYPERLINK("http://bombeiros.sp.gov.br/hidrantes/03individual/469.html","469")</f>
        <v>469</v>
      </c>
      <c r="B4160" t="str">
        <f>HYPERLINK("http://bombeiros.sp.gov.br/hidrantes/08bsg/qrcodeBSG.html?id=469&amp;lat=-23.62461&amp;long=-46.61759&amp;tipo=S","QRCODE")</f>
        <v>QRCODE</v>
      </c>
      <c r="C4160" t="s">
        <v>5372</v>
      </c>
      <c r="D4160" t="s">
        <v>5383</v>
      </c>
      <c r="E4160" t="s">
        <v>385</v>
      </c>
      <c r="F4160" t="s">
        <v>21</v>
      </c>
      <c r="G4160" t="s">
        <v>1069</v>
      </c>
      <c r="H4160">
        <v>1</v>
      </c>
      <c r="I4160">
        <v>2</v>
      </c>
      <c r="J4160">
        <v>0</v>
      </c>
      <c r="K4160">
        <v>0</v>
      </c>
      <c r="L4160">
        <v>0</v>
      </c>
    </row>
    <row r="4161" spans="1:12">
      <c r="A4161" t="str">
        <f>HYPERLINK("http://bombeiros.sp.gov.br/hidrantes/03individual/470.html","470")</f>
        <v>470</v>
      </c>
      <c r="B4161" t="str">
        <f>HYPERLINK("http://bombeiros.sp.gov.br/hidrantes/08bsg/qrcodeBSG.html?id=470&amp;lat=-23.61898&amp;long=-46.61760&amp;tipo=S","QRCODE")</f>
        <v>QRCODE</v>
      </c>
      <c r="C4161" t="s">
        <v>5372</v>
      </c>
      <c r="D4161" t="s">
        <v>5383</v>
      </c>
      <c r="E4161" t="s">
        <v>385</v>
      </c>
      <c r="F4161" t="s">
        <v>21</v>
      </c>
      <c r="G4161" t="s">
        <v>386</v>
      </c>
      <c r="H4161">
        <v>0</v>
      </c>
      <c r="I4161">
        <v>3</v>
      </c>
      <c r="J4161">
        <v>0</v>
      </c>
      <c r="K4161">
        <v>0</v>
      </c>
      <c r="L4161">
        <v>0</v>
      </c>
    </row>
    <row r="4162" spans="1:12">
      <c r="A4162" t="str">
        <f>HYPERLINK("http://bombeiros.sp.gov.br/hidrantes/03individual/494.html","494")</f>
        <v>494</v>
      </c>
      <c r="B4162" t="str">
        <f>HYPERLINK("http://bombeiros.sp.gov.br/hidrantes/08bsg/qrcodeBSG.html?id=494&amp;lat=-23.61421&amp;long=-46.61706&amp;tipo=S","QRCODE")</f>
        <v>QRCODE</v>
      </c>
      <c r="C4162" t="s">
        <v>5372</v>
      </c>
      <c r="D4162" t="s">
        <v>5383</v>
      </c>
      <c r="E4162" t="s">
        <v>385</v>
      </c>
      <c r="F4162" t="s">
        <v>21</v>
      </c>
      <c r="G4162" t="s">
        <v>1062</v>
      </c>
      <c r="H4162">
        <v>1</v>
      </c>
      <c r="I4162">
        <v>2</v>
      </c>
      <c r="J4162">
        <v>0</v>
      </c>
      <c r="K4162">
        <v>0</v>
      </c>
      <c r="L4162">
        <v>0</v>
      </c>
    </row>
    <row r="4163" spans="1:12">
      <c r="A4163" t="str">
        <f>HYPERLINK("http://bombeiros.sp.gov.br/hidrantes/03individual/3806.html","3806")</f>
        <v>3806</v>
      </c>
      <c r="B4163" t="str">
        <f>HYPERLINK("http://bombeiros.sp.gov.br/hidrantes/08bsg/qrcodeBSG.html?id=3806&amp;lat=-23.62284&amp;long=-46.61579&amp;tipo=S","QRCODE")</f>
        <v>QRCODE</v>
      </c>
      <c r="C4163" t="s">
        <v>5372</v>
      </c>
      <c r="D4163" t="s">
        <v>5383</v>
      </c>
      <c r="E4163" t="s">
        <v>385</v>
      </c>
      <c r="F4163" t="s">
        <v>21</v>
      </c>
      <c r="G4163" t="s">
        <v>452</v>
      </c>
      <c r="H4163">
        <v>0</v>
      </c>
      <c r="I4163">
        <v>2</v>
      </c>
      <c r="J4163">
        <v>0</v>
      </c>
      <c r="K4163">
        <v>0</v>
      </c>
      <c r="L4163">
        <v>0</v>
      </c>
    </row>
    <row r="4164" spans="1:12">
      <c r="A4164" t="str">
        <f>HYPERLINK("http://bombeiros.sp.gov.br/hidrantes/03individual/3815.html","3815")</f>
        <v>3815</v>
      </c>
      <c r="B4164" t="str">
        <f>HYPERLINK("http://bombeiros.sp.gov.br/hidrantes/08bsg/qrcodeBSG.html?id=3815&amp;lat=-23.62266&amp;long=-46.61444&amp;tipo=S","QRCODE")</f>
        <v>QRCODE</v>
      </c>
      <c r="C4164" t="s">
        <v>5372</v>
      </c>
      <c r="D4164" t="s">
        <v>5383</v>
      </c>
      <c r="E4164" t="s">
        <v>385</v>
      </c>
      <c r="F4164" t="s">
        <v>21</v>
      </c>
      <c r="G4164" t="s">
        <v>450</v>
      </c>
      <c r="H4164">
        <v>0</v>
      </c>
      <c r="I4164">
        <v>3</v>
      </c>
      <c r="J4164">
        <v>0</v>
      </c>
      <c r="K4164">
        <v>0</v>
      </c>
      <c r="L4164">
        <v>0</v>
      </c>
    </row>
    <row r="4165" spans="1:12">
      <c r="A4165" t="str">
        <f>HYPERLINK("http://bombeiros.sp.gov.br/hidrantes/03individual/3901.html","3901")</f>
        <v>3901</v>
      </c>
      <c r="B4165" t="str">
        <f>HYPERLINK("http://bombeiros.sp.gov.br/hidrantes/08bsg/qrcodeBSG.html?id=3901&amp;lat=-23.60916&amp;long=-46.61444&amp;tipo=S","QRCODE")</f>
        <v>QRCODE</v>
      </c>
      <c r="C4165" t="s">
        <v>5372</v>
      </c>
      <c r="D4165" t="s">
        <v>5383</v>
      </c>
      <c r="E4165" t="s">
        <v>385</v>
      </c>
      <c r="F4165" t="s">
        <v>21</v>
      </c>
      <c r="G4165" t="s">
        <v>4221</v>
      </c>
      <c r="H4165">
        <v>0</v>
      </c>
      <c r="I4165">
        <v>1</v>
      </c>
      <c r="J4165">
        <v>0</v>
      </c>
      <c r="K4165">
        <v>0</v>
      </c>
      <c r="L4165">
        <v>0</v>
      </c>
    </row>
    <row r="4166" spans="1:12">
      <c r="A4166" t="str">
        <f>HYPERLINK("http://bombeiros.sp.gov.br/hidrantes/03individual/3906.html","3906")</f>
        <v>3906</v>
      </c>
      <c r="B4166" t="str">
        <f>HYPERLINK("http://bombeiros.sp.gov.br/hidrantes/08bsg/qrcodeBSG.html?id=3906&amp;lat=-23.61603&amp;long=-46.61327&amp;tipo=S","QRCODE")</f>
        <v>QRCODE</v>
      </c>
      <c r="C4166" t="s">
        <v>5372</v>
      </c>
      <c r="D4166" t="s">
        <v>5383</v>
      </c>
      <c r="E4166" t="s">
        <v>385</v>
      </c>
      <c r="F4166" t="s">
        <v>21</v>
      </c>
      <c r="G4166" t="s">
        <v>2027</v>
      </c>
      <c r="H4166">
        <v>0</v>
      </c>
      <c r="I4166">
        <v>2</v>
      </c>
      <c r="J4166">
        <v>0</v>
      </c>
      <c r="K4166">
        <v>0</v>
      </c>
      <c r="L4166">
        <v>0</v>
      </c>
    </row>
    <row r="4167" spans="1:12">
      <c r="A4167" t="str">
        <f>HYPERLINK("http://bombeiros.sp.gov.br/hidrantes/03individual/3911.html","3911")</f>
        <v>3911</v>
      </c>
      <c r="B4167" t="str">
        <f>HYPERLINK("http://bombeiros.sp.gov.br/hidrantes/08bsg/qrcodeBSG.html?id=3911&amp;lat=-23.61841&amp;long=-46.61589&amp;tipo=S","QRCODE")</f>
        <v>QRCODE</v>
      </c>
      <c r="C4167" t="s">
        <v>5372</v>
      </c>
      <c r="D4167" t="s">
        <v>5383</v>
      </c>
      <c r="E4167" t="s">
        <v>385</v>
      </c>
      <c r="F4167" t="s">
        <v>21</v>
      </c>
      <c r="G4167" t="s">
        <v>2616</v>
      </c>
      <c r="H4167">
        <v>0</v>
      </c>
      <c r="I4167">
        <v>2</v>
      </c>
      <c r="J4167">
        <v>0</v>
      </c>
      <c r="K4167">
        <v>0</v>
      </c>
      <c r="L4167">
        <v>0</v>
      </c>
    </row>
    <row r="4168" spans="1:12">
      <c r="A4168" t="str">
        <f>HYPERLINK("http://bombeiros.sp.gov.br/hidrantes/03individual/17666.html","17666")</f>
        <v>17666</v>
      </c>
      <c r="B4168" t="str">
        <f>HYPERLINK("http://bombeiros.sp.gov.br/hidrantes/08bsg/qrcodeBSG.html?id=17666&amp;lat=-23.62271&amp;long=-46.61998&amp;tipo=S","QRCODE")</f>
        <v>QRCODE</v>
      </c>
      <c r="C4168" t="s">
        <v>5372</v>
      </c>
      <c r="D4168" t="s">
        <v>5383</v>
      </c>
      <c r="E4168" t="s">
        <v>385</v>
      </c>
      <c r="F4168" t="s">
        <v>21</v>
      </c>
      <c r="G4168" t="s">
        <v>5128</v>
      </c>
      <c r="H4168">
        <v>0</v>
      </c>
      <c r="I4168">
        <v>1</v>
      </c>
      <c r="J4168">
        <v>0</v>
      </c>
      <c r="K4168">
        <v>0</v>
      </c>
      <c r="L4168">
        <v>0</v>
      </c>
    </row>
    <row r="4169" spans="1:12">
      <c r="A4169" t="str">
        <f>HYPERLINK("http://bombeiros.sp.gov.br/hidrantes/03individual/26772.html","26772")</f>
        <v>26772</v>
      </c>
      <c r="B4169" t="str">
        <f>HYPERLINK("http://bombeiros.sp.gov.br/hidrantes/08bsg/qrcodeBSG.html?id=26772&amp;lat=-23.61428&amp;long=-46.60955&amp;tipo=S","QRCODE")</f>
        <v>QRCODE</v>
      </c>
      <c r="C4169" t="s">
        <v>5372</v>
      </c>
      <c r="D4169" t="s">
        <v>5383</v>
      </c>
      <c r="E4169" t="s">
        <v>385</v>
      </c>
      <c r="F4169" t="s">
        <v>21</v>
      </c>
      <c r="G4169" t="s">
        <v>3761</v>
      </c>
      <c r="H4169">
        <v>0</v>
      </c>
      <c r="I4169">
        <v>1</v>
      </c>
      <c r="J4169">
        <v>0</v>
      </c>
      <c r="K4169">
        <v>0</v>
      </c>
      <c r="L4169">
        <v>0</v>
      </c>
    </row>
    <row r="4170" spans="1:12">
      <c r="A4170" t="str">
        <f>HYPERLINK("http://bombeiros.sp.gov.br/hidrantes/03individual/26773.html","26773")</f>
        <v>26773</v>
      </c>
      <c r="B4170" t="str">
        <f>HYPERLINK("http://bombeiros.sp.gov.br/hidrantes/08bsg/qrcodeBSG.html?id=26773&amp;lat=-23.61507&amp;long=-46.61451&amp;tipo=S","QRCODE")</f>
        <v>QRCODE</v>
      </c>
      <c r="C4170" t="s">
        <v>5372</v>
      </c>
      <c r="D4170" t="s">
        <v>5383</v>
      </c>
      <c r="E4170" t="s">
        <v>385</v>
      </c>
      <c r="F4170" t="s">
        <v>21</v>
      </c>
      <c r="G4170" t="s">
        <v>3762</v>
      </c>
      <c r="H4170">
        <v>0</v>
      </c>
      <c r="I4170">
        <v>1</v>
      </c>
      <c r="J4170">
        <v>0</v>
      </c>
      <c r="K4170">
        <v>0</v>
      </c>
      <c r="L4170">
        <v>0</v>
      </c>
    </row>
    <row r="4171" spans="1:12">
      <c r="A4171" t="str">
        <f>HYPERLINK("http://bombeiros.sp.gov.br/hidrantes/03individual/27300.html","27300")</f>
        <v>27300</v>
      </c>
      <c r="B4171" t="str">
        <f>HYPERLINK("http://bombeiros.sp.gov.br/hidrantes/08bsg/qrcodeBSG.html?id=27300&amp;lat=-23.61164&amp;long=-46.60952&amp;tipo=S","QRCODE")</f>
        <v>QRCODE</v>
      </c>
      <c r="C4171" t="s">
        <v>5372</v>
      </c>
      <c r="D4171" t="s">
        <v>5383</v>
      </c>
      <c r="E4171" t="s">
        <v>385</v>
      </c>
      <c r="F4171" t="s">
        <v>21</v>
      </c>
      <c r="G4171" t="s">
        <v>1133</v>
      </c>
      <c r="H4171">
        <v>0</v>
      </c>
      <c r="I4171">
        <v>1</v>
      </c>
      <c r="J4171">
        <v>0</v>
      </c>
      <c r="K4171">
        <v>0</v>
      </c>
      <c r="L4171">
        <v>0</v>
      </c>
    </row>
    <row r="4172" spans="1:12">
      <c r="A4172" t="str">
        <f>HYPERLINK("http://bombeiros.sp.gov.br/hidrantes/03individual/445.html","445")</f>
        <v>445</v>
      </c>
      <c r="B4172" t="str">
        <f>HYPERLINK("http://bombeiros.sp.gov.br/hidrantes/08bsg/qrcodeBSG.html?id=445&amp;lat=-23.60090&amp;long=-46.62185&amp;tipo=C","QRCODE")</f>
        <v>QRCODE</v>
      </c>
      <c r="C4172" t="s">
        <v>5372</v>
      </c>
      <c r="D4172" t="s">
        <v>5383</v>
      </c>
      <c r="E4172" t="s">
        <v>574</v>
      </c>
      <c r="F4172" t="s">
        <v>12</v>
      </c>
      <c r="G4172" t="s">
        <v>1067</v>
      </c>
      <c r="H4172">
        <v>1</v>
      </c>
      <c r="I4172">
        <v>2</v>
      </c>
      <c r="J4172">
        <v>0</v>
      </c>
      <c r="K4172">
        <v>0</v>
      </c>
      <c r="L4172">
        <v>0</v>
      </c>
    </row>
    <row r="4173" spans="1:12">
      <c r="A4173" t="str">
        <f>HYPERLINK("http://bombeiros.sp.gov.br/hidrantes/03individual/486.html","486")</f>
        <v>486</v>
      </c>
      <c r="B4173" t="str">
        <f>HYPERLINK("http://bombeiros.sp.gov.br/hidrantes/08bsg/qrcodeBSG.html?id=486&amp;lat=-23.59853&amp;long=-46.62120&amp;tipo=C","QRCODE")</f>
        <v>QRCODE</v>
      </c>
      <c r="C4173" t="s">
        <v>5372</v>
      </c>
      <c r="D4173" t="s">
        <v>5383</v>
      </c>
      <c r="E4173" t="s">
        <v>574</v>
      </c>
      <c r="F4173" t="s">
        <v>12</v>
      </c>
      <c r="G4173" t="s">
        <v>1063</v>
      </c>
      <c r="H4173">
        <v>1</v>
      </c>
      <c r="I4173">
        <v>2</v>
      </c>
      <c r="J4173">
        <v>0</v>
      </c>
      <c r="K4173">
        <v>0</v>
      </c>
      <c r="L4173">
        <v>0</v>
      </c>
    </row>
    <row r="4174" spans="1:12">
      <c r="A4174" t="str">
        <f>HYPERLINK("http://bombeiros.sp.gov.br/hidrantes/03individual/412.html","412")</f>
        <v>412</v>
      </c>
      <c r="B4174" t="str">
        <f>HYPERLINK("http://bombeiros.sp.gov.br/hidrantes/08bsg/qrcodeBSG.html?id=412&amp;lat=-23.60307&amp;long=-46.62204&amp;tipo=S","QRCODE")</f>
        <v>QRCODE</v>
      </c>
      <c r="C4174" t="s">
        <v>5372</v>
      </c>
      <c r="D4174" t="s">
        <v>5383</v>
      </c>
      <c r="E4174" t="s">
        <v>574</v>
      </c>
      <c r="F4174" t="s">
        <v>21</v>
      </c>
      <c r="G4174" t="s">
        <v>576</v>
      </c>
      <c r="H4174">
        <v>0</v>
      </c>
      <c r="I4174">
        <v>2</v>
      </c>
      <c r="J4174">
        <v>0</v>
      </c>
      <c r="K4174">
        <v>0</v>
      </c>
      <c r="L4174">
        <v>0</v>
      </c>
    </row>
    <row r="4175" spans="1:12">
      <c r="A4175" t="str">
        <f>HYPERLINK("http://bombeiros.sp.gov.br/hidrantes/03individual/413.html","413")</f>
        <v>413</v>
      </c>
      <c r="B4175" t="str">
        <f>HYPERLINK("http://bombeiros.sp.gov.br/hidrantes/08bsg/qrcodeBSG.html?id=413&amp;lat=-23.60025&amp;long=-46.62286&amp;tipo=S","QRCODE")</f>
        <v>QRCODE</v>
      </c>
      <c r="C4175" t="s">
        <v>5372</v>
      </c>
      <c r="D4175" t="s">
        <v>5383</v>
      </c>
      <c r="E4175" t="s">
        <v>574</v>
      </c>
      <c r="F4175" t="s">
        <v>21</v>
      </c>
      <c r="G4175" t="s">
        <v>577</v>
      </c>
      <c r="H4175">
        <v>0</v>
      </c>
      <c r="I4175">
        <v>2</v>
      </c>
      <c r="J4175">
        <v>0</v>
      </c>
      <c r="K4175">
        <v>0</v>
      </c>
      <c r="L4175">
        <v>0</v>
      </c>
    </row>
    <row r="4176" spans="1:12">
      <c r="A4176" t="str">
        <f>HYPERLINK("http://bombeiros.sp.gov.br/hidrantes/03individual/423.html","423")</f>
        <v>423</v>
      </c>
      <c r="B4176" t="str">
        <f>HYPERLINK("http://bombeiros.sp.gov.br/hidrantes/08bsg/qrcodeBSG.html?id=423&amp;lat=-23.60782&amp;long=-46.62303&amp;tipo=S","QRCODE")</f>
        <v>QRCODE</v>
      </c>
      <c r="C4176" t="s">
        <v>5372</v>
      </c>
      <c r="D4176" t="s">
        <v>5383</v>
      </c>
      <c r="E4176" t="s">
        <v>574</v>
      </c>
      <c r="F4176" t="s">
        <v>21</v>
      </c>
      <c r="G4176" t="s">
        <v>2083</v>
      </c>
      <c r="H4176">
        <v>0</v>
      </c>
      <c r="I4176">
        <v>2</v>
      </c>
      <c r="J4176">
        <v>0</v>
      </c>
      <c r="K4176">
        <v>0</v>
      </c>
      <c r="L4176">
        <v>0</v>
      </c>
    </row>
    <row r="4177" spans="1:12">
      <c r="A4177" t="str">
        <f>HYPERLINK("http://bombeiros.sp.gov.br/hidrantes/03individual/425.html","425")</f>
        <v>425</v>
      </c>
      <c r="B4177" t="str">
        <f>HYPERLINK("http://bombeiros.sp.gov.br/hidrantes/08bsg/qrcodeBSG.html?id=425&amp;lat=-23.60360&amp;long=-46.62310&amp;tipo=S","QRCODE")</f>
        <v>QRCODE</v>
      </c>
      <c r="C4177" t="s">
        <v>5372</v>
      </c>
      <c r="D4177" t="s">
        <v>5383</v>
      </c>
      <c r="E4177" t="s">
        <v>574</v>
      </c>
      <c r="F4177" t="s">
        <v>21</v>
      </c>
      <c r="G4177" t="s">
        <v>1070</v>
      </c>
      <c r="H4177">
        <v>1</v>
      </c>
      <c r="I4177">
        <v>2</v>
      </c>
      <c r="J4177">
        <v>0</v>
      </c>
      <c r="K4177">
        <v>0</v>
      </c>
      <c r="L4177">
        <v>0</v>
      </c>
    </row>
    <row r="4178" spans="1:12">
      <c r="A4178" t="str">
        <f>HYPERLINK("http://bombeiros.sp.gov.br/hidrantes/03individual/426.html","426")</f>
        <v>426</v>
      </c>
      <c r="B4178" t="str">
        <f>HYPERLINK("http://bombeiros.sp.gov.br/hidrantes/08bsg/qrcodeBSG.html?id=426&amp;lat=-23.60229&amp;long=-46.62388&amp;tipo=S","QRCODE")</f>
        <v>QRCODE</v>
      </c>
      <c r="C4178" t="s">
        <v>5372</v>
      </c>
      <c r="D4178" t="s">
        <v>5383</v>
      </c>
      <c r="E4178" t="s">
        <v>574</v>
      </c>
      <c r="F4178" t="s">
        <v>21</v>
      </c>
      <c r="G4178" t="s">
        <v>1071</v>
      </c>
      <c r="H4178">
        <v>1</v>
      </c>
      <c r="I4178">
        <v>2</v>
      </c>
      <c r="J4178">
        <v>0</v>
      </c>
      <c r="K4178">
        <v>0</v>
      </c>
      <c r="L4178">
        <v>0</v>
      </c>
    </row>
    <row r="4179" spans="1:12">
      <c r="A4179" t="str">
        <f>HYPERLINK("http://bombeiros.sp.gov.br/hidrantes/03individual/452.html","452")</f>
        <v>452</v>
      </c>
      <c r="B4179" t="str">
        <f>HYPERLINK("http://bombeiros.sp.gov.br/hidrantes/08bsg/qrcodeBSG.html?id=452&amp;lat=-23.60457&amp;long=-46.62569&amp;tipo=S","QRCODE")</f>
        <v>QRCODE</v>
      </c>
      <c r="C4179" t="s">
        <v>5372</v>
      </c>
      <c r="D4179" t="s">
        <v>5383</v>
      </c>
      <c r="E4179" t="s">
        <v>574</v>
      </c>
      <c r="F4179" t="s">
        <v>21</v>
      </c>
      <c r="G4179" t="s">
        <v>1066</v>
      </c>
      <c r="H4179">
        <v>1</v>
      </c>
      <c r="I4179">
        <v>2</v>
      </c>
      <c r="J4179">
        <v>0</v>
      </c>
      <c r="K4179">
        <v>0</v>
      </c>
      <c r="L4179">
        <v>0</v>
      </c>
    </row>
    <row r="4180" spans="1:12">
      <c r="A4180" t="str">
        <f>HYPERLINK("http://bombeiros.sp.gov.br/hidrantes/03individual/485.html","485")</f>
        <v>485</v>
      </c>
      <c r="B4180" t="str">
        <f>HYPERLINK("http://bombeiros.sp.gov.br/hidrantes/08bsg/qrcodeBSG.html?id=485&amp;lat=-23.59835&amp;long=-46.61941&amp;tipo=S","QRCODE")</f>
        <v>QRCODE</v>
      </c>
      <c r="C4180" t="s">
        <v>5372</v>
      </c>
      <c r="D4180" t="s">
        <v>5383</v>
      </c>
      <c r="E4180" t="s">
        <v>574</v>
      </c>
      <c r="F4180" t="s">
        <v>21</v>
      </c>
      <c r="G4180" t="s">
        <v>573</v>
      </c>
      <c r="H4180">
        <v>0</v>
      </c>
      <c r="I4180">
        <v>2</v>
      </c>
      <c r="J4180">
        <v>0</v>
      </c>
      <c r="K4180">
        <v>0</v>
      </c>
      <c r="L4180">
        <v>0</v>
      </c>
    </row>
    <row r="4181" spans="1:12">
      <c r="A4181" t="str">
        <f>HYPERLINK("http://bombeiros.sp.gov.br/hidrantes/03individual/488.html","488")</f>
        <v>488</v>
      </c>
      <c r="B4181" t="str">
        <f>HYPERLINK("http://bombeiros.sp.gov.br/hidrantes/08bsg/qrcodeBSG.html?id=488&amp;lat=-23.60705&amp;long=-46.61758&amp;tipo=S","QRCODE")</f>
        <v>QRCODE</v>
      </c>
      <c r="C4181" t="s">
        <v>5372</v>
      </c>
      <c r="D4181" t="s">
        <v>5383</v>
      </c>
      <c r="E4181" t="s">
        <v>574</v>
      </c>
      <c r="F4181" t="s">
        <v>21</v>
      </c>
      <c r="G4181" t="s">
        <v>1932</v>
      </c>
      <c r="H4181">
        <v>0</v>
      </c>
      <c r="I4181">
        <v>2</v>
      </c>
      <c r="J4181">
        <v>0</v>
      </c>
      <c r="K4181">
        <v>0</v>
      </c>
      <c r="L4181">
        <v>0</v>
      </c>
    </row>
    <row r="4182" spans="1:12">
      <c r="A4182" t="str">
        <f>HYPERLINK("http://bombeiros.sp.gov.br/hidrantes/03individual/2308.html","2308")</f>
        <v>2308</v>
      </c>
      <c r="B4182" t="str">
        <f>HYPERLINK("http://bombeiros.sp.gov.br/hidrantes/08bsg/qrcodeBSG.html?id=2308&amp;lat=-23.59879&amp;long=-46.61865&amp;tipo=S","QRCODE")</f>
        <v>QRCODE</v>
      </c>
      <c r="C4182" t="s">
        <v>5372</v>
      </c>
      <c r="D4182" t="s">
        <v>5383</v>
      </c>
      <c r="E4182" t="s">
        <v>574</v>
      </c>
      <c r="F4182" t="s">
        <v>21</v>
      </c>
      <c r="G4182" t="s">
        <v>1119</v>
      </c>
      <c r="H4182">
        <v>0</v>
      </c>
      <c r="I4182">
        <v>2</v>
      </c>
      <c r="J4182">
        <v>0</v>
      </c>
      <c r="K4182">
        <v>0</v>
      </c>
      <c r="L4182">
        <v>0</v>
      </c>
    </row>
    <row r="4183" spans="1:12">
      <c r="A4183" t="str">
        <f>HYPERLINK("http://bombeiros.sp.gov.br/hidrantes/03individual/2311.html","2311")</f>
        <v>2311</v>
      </c>
      <c r="B4183" t="str">
        <f>HYPERLINK("http://bombeiros.sp.gov.br/hidrantes/08bsg/qrcodeBSG.html?id=2311&amp;lat=-23.59597&amp;long=-46.61935&amp;tipo=S","QRCODE")</f>
        <v>QRCODE</v>
      </c>
      <c r="C4183" t="s">
        <v>5372</v>
      </c>
      <c r="D4183" t="s">
        <v>5383</v>
      </c>
      <c r="E4183" t="s">
        <v>574</v>
      </c>
      <c r="F4183" t="s">
        <v>21</v>
      </c>
      <c r="G4183" t="s">
        <v>1703</v>
      </c>
      <c r="H4183">
        <v>0</v>
      </c>
      <c r="I4183">
        <v>2</v>
      </c>
      <c r="J4183">
        <v>0</v>
      </c>
      <c r="K4183">
        <v>0</v>
      </c>
      <c r="L4183">
        <v>0</v>
      </c>
    </row>
    <row r="4184" spans="1:12">
      <c r="A4184" t="str">
        <f>HYPERLINK("http://bombeiros.sp.gov.br/hidrantes/03individual/3881.html","3881")</f>
        <v>3881</v>
      </c>
      <c r="B4184" t="str">
        <f>HYPERLINK("http://bombeiros.sp.gov.br/hidrantes/08bsg/qrcodeBSG.html?id=3881&amp;lat=-23.60621&amp;long=-46.61443&amp;tipo=S","QRCODE")</f>
        <v>QRCODE</v>
      </c>
      <c r="C4184" t="s">
        <v>5372</v>
      </c>
      <c r="D4184" t="s">
        <v>5383</v>
      </c>
      <c r="E4184" t="s">
        <v>574</v>
      </c>
      <c r="F4184" t="s">
        <v>21</v>
      </c>
      <c r="G4184" t="s">
        <v>4888</v>
      </c>
      <c r="H4184">
        <v>1</v>
      </c>
      <c r="I4184">
        <v>1</v>
      </c>
      <c r="J4184">
        <v>0</v>
      </c>
      <c r="K4184">
        <v>0</v>
      </c>
      <c r="L4184">
        <v>0</v>
      </c>
    </row>
    <row r="4185" spans="1:12">
      <c r="A4185" t="str">
        <f>HYPERLINK("http://bombeiros.sp.gov.br/hidrantes/03individual/3882.html","3882")</f>
        <v>3882</v>
      </c>
      <c r="B4185" t="str">
        <f>HYPERLINK("http://bombeiros.sp.gov.br/hidrantes/08bsg/qrcodeBSG.html?id=3882&amp;lat=-23.60398&amp;long=-46.61571&amp;tipo=S","QRCODE")</f>
        <v>QRCODE</v>
      </c>
      <c r="C4185" t="s">
        <v>5372</v>
      </c>
      <c r="D4185" t="s">
        <v>5383</v>
      </c>
      <c r="E4185" t="s">
        <v>574</v>
      </c>
      <c r="F4185" t="s">
        <v>21</v>
      </c>
      <c r="G4185" t="s">
        <v>2030</v>
      </c>
      <c r="H4185">
        <v>0</v>
      </c>
      <c r="I4185">
        <v>2</v>
      </c>
      <c r="J4185">
        <v>0</v>
      </c>
      <c r="K4185">
        <v>0</v>
      </c>
      <c r="L4185">
        <v>0</v>
      </c>
    </row>
    <row r="4186" spans="1:12">
      <c r="A4186" t="str">
        <f>HYPERLINK("http://bombeiros.sp.gov.br/hidrantes/03individual/3921.html","3921")</f>
        <v>3921</v>
      </c>
      <c r="B4186" t="str">
        <f>HYPERLINK("http://bombeiros.sp.gov.br/hidrantes/08bsg/qrcodeBSG.html?id=3921&amp;lat=-23.60732&amp;long=-46.62072&amp;tipo=S","QRCODE")</f>
        <v>QRCODE</v>
      </c>
      <c r="C4186" t="s">
        <v>5372</v>
      </c>
      <c r="D4186" t="s">
        <v>5383</v>
      </c>
      <c r="E4186" t="s">
        <v>574</v>
      </c>
      <c r="F4186" t="s">
        <v>21</v>
      </c>
      <c r="G4186" t="s">
        <v>5037</v>
      </c>
      <c r="H4186">
        <v>0</v>
      </c>
      <c r="I4186">
        <v>1</v>
      </c>
      <c r="J4186">
        <v>0</v>
      </c>
      <c r="K4186">
        <v>0</v>
      </c>
      <c r="L4186">
        <v>0</v>
      </c>
    </row>
    <row r="4187" spans="1:12">
      <c r="A4187" t="str">
        <f>HYPERLINK("http://bombeiros.sp.gov.br/hidrantes/03individual/2432.html","2432")</f>
        <v>2432</v>
      </c>
      <c r="B4187" t="str">
        <f>HYPERLINK("http://bombeiros.sp.gov.br/hidrantes/08bsg/qrcodeBSG.html?id=2432&amp;lat=-23.78733&amp;long=-46.68108&amp;tipo=C","QRCODE")</f>
        <v>QRCODE</v>
      </c>
      <c r="C4187" t="s">
        <v>5372</v>
      </c>
      <c r="D4187" t="s">
        <v>411</v>
      </c>
      <c r="E4187" t="s">
        <v>433</v>
      </c>
      <c r="F4187" t="s">
        <v>12</v>
      </c>
      <c r="G4187" t="s">
        <v>2308</v>
      </c>
      <c r="H4187">
        <v>0</v>
      </c>
      <c r="I4187">
        <v>2</v>
      </c>
      <c r="J4187">
        <v>0</v>
      </c>
      <c r="K4187">
        <v>0</v>
      </c>
      <c r="L4187">
        <v>0</v>
      </c>
    </row>
    <row r="4188" spans="1:12">
      <c r="A4188" t="str">
        <f>HYPERLINK("http://bombeiros.sp.gov.br/hidrantes/03individual/4119.html","4119")</f>
        <v>4119</v>
      </c>
      <c r="B4188" t="str">
        <f>HYPERLINK("http://bombeiros.sp.gov.br/hidrantes/08bsg/qrcodeBSG.html?id=4119&amp;lat=-23.77946&amp;long=-46.68466&amp;tipo=C","QRCODE")</f>
        <v>QRCODE</v>
      </c>
      <c r="C4188" t="s">
        <v>5372</v>
      </c>
      <c r="D4188" t="s">
        <v>411</v>
      </c>
      <c r="E4188" t="s">
        <v>433</v>
      </c>
      <c r="F4188" t="s">
        <v>12</v>
      </c>
      <c r="G4188" t="s">
        <v>2295</v>
      </c>
      <c r="H4188">
        <v>0</v>
      </c>
      <c r="I4188">
        <v>2</v>
      </c>
      <c r="J4188">
        <v>0</v>
      </c>
      <c r="K4188">
        <v>0</v>
      </c>
      <c r="L4188">
        <v>0</v>
      </c>
    </row>
    <row r="4189" spans="1:12">
      <c r="A4189" t="str">
        <f>HYPERLINK("http://bombeiros.sp.gov.br/hidrantes/03individual/4120.html","4120")</f>
        <v>4120</v>
      </c>
      <c r="B4189" t="str">
        <f>HYPERLINK("http://bombeiros.sp.gov.br/hidrantes/08bsg/qrcodeBSG.html?id=4120&amp;lat=-23.78250&amp;long=-46.68223&amp;tipo=C","QRCODE")</f>
        <v>QRCODE</v>
      </c>
      <c r="C4189" t="s">
        <v>5372</v>
      </c>
      <c r="D4189" t="s">
        <v>411</v>
      </c>
      <c r="E4189" t="s">
        <v>433</v>
      </c>
      <c r="F4189" t="s">
        <v>12</v>
      </c>
      <c r="G4189" t="s">
        <v>2293</v>
      </c>
      <c r="H4189">
        <v>0</v>
      </c>
      <c r="I4189">
        <v>2</v>
      </c>
      <c r="J4189">
        <v>0</v>
      </c>
      <c r="K4189">
        <v>0</v>
      </c>
      <c r="L4189">
        <v>0</v>
      </c>
    </row>
    <row r="4190" spans="1:12">
      <c r="A4190" t="str">
        <f>HYPERLINK("http://bombeiros.sp.gov.br/hidrantes/03individual/15073.html","15073")</f>
        <v>15073</v>
      </c>
      <c r="B4190" t="str">
        <f>HYPERLINK("http://bombeiros.sp.gov.br/hidrantes/08bsg/qrcodeBSG.html?id=15073&amp;lat=-23.75552&amp;long=-46.68710&amp;tipo=C","QRCODE")</f>
        <v>QRCODE</v>
      </c>
      <c r="C4190" t="s">
        <v>5372</v>
      </c>
      <c r="D4190" t="s">
        <v>411</v>
      </c>
      <c r="E4190" t="s">
        <v>433</v>
      </c>
      <c r="F4190" t="s">
        <v>12</v>
      </c>
      <c r="G4190" t="s">
        <v>491</v>
      </c>
      <c r="H4190">
        <v>1</v>
      </c>
      <c r="I4190">
        <v>2</v>
      </c>
      <c r="J4190">
        <v>0</v>
      </c>
      <c r="K4190">
        <v>0</v>
      </c>
      <c r="L4190">
        <v>0</v>
      </c>
    </row>
    <row r="4191" spans="1:12">
      <c r="A4191" t="str">
        <f>HYPERLINK("http://bombeiros.sp.gov.br/hidrantes/03individual/22018.html","22018")</f>
        <v>22018</v>
      </c>
      <c r="B4191" t="str">
        <f>HYPERLINK("http://bombeiros.sp.gov.br/hidrantes/08bsg/qrcodeBSG.html?id=22018&amp;lat=-23.78323&amp;long=-46.68800&amp;tipo=C","QRCODE")</f>
        <v>QRCODE</v>
      </c>
      <c r="C4191" t="s">
        <v>5372</v>
      </c>
      <c r="D4191" t="s">
        <v>411</v>
      </c>
      <c r="E4191" t="s">
        <v>433</v>
      </c>
      <c r="F4191" t="s">
        <v>12</v>
      </c>
      <c r="G4191" t="s">
        <v>479</v>
      </c>
      <c r="H4191">
        <v>1</v>
      </c>
      <c r="I4191">
        <v>2</v>
      </c>
      <c r="J4191">
        <v>0</v>
      </c>
      <c r="K4191">
        <v>0</v>
      </c>
      <c r="L4191">
        <v>0</v>
      </c>
    </row>
    <row r="4192" spans="1:12">
      <c r="A4192" t="str">
        <f>HYPERLINK("http://bombeiros.sp.gov.br/hidrantes/03individual/2454.html","2454")</f>
        <v>2454</v>
      </c>
      <c r="B4192" t="str">
        <f>HYPERLINK("http://bombeiros.sp.gov.br/hidrantes/08bsg/qrcodeBSG.html?id=2454&amp;lat=-23.75549&amp;long=-46.68267&amp;tipo=S","QRCODE")</f>
        <v>QRCODE</v>
      </c>
      <c r="C4192" t="s">
        <v>5372</v>
      </c>
      <c r="D4192" t="s">
        <v>411</v>
      </c>
      <c r="E4192" t="s">
        <v>433</v>
      </c>
      <c r="F4192" t="s">
        <v>21</v>
      </c>
      <c r="G4192" t="s">
        <v>2307</v>
      </c>
      <c r="H4192">
        <v>0</v>
      </c>
      <c r="I4192">
        <v>2</v>
      </c>
      <c r="J4192">
        <v>0</v>
      </c>
      <c r="K4192">
        <v>0</v>
      </c>
      <c r="L4192">
        <v>0</v>
      </c>
    </row>
    <row r="4193" spans="1:12">
      <c r="A4193" t="str">
        <f>HYPERLINK("http://bombeiros.sp.gov.br/hidrantes/03individual/4125.html","4125")</f>
        <v>4125</v>
      </c>
      <c r="B4193" t="str">
        <f>HYPERLINK("http://bombeiros.sp.gov.br/hidrantes/08bsg/qrcodeBSG.html?id=4125&amp;lat=-23.76837&amp;long=-46.69569&amp;tipo=S","QRCODE")</f>
        <v>QRCODE</v>
      </c>
      <c r="C4193" t="s">
        <v>5372</v>
      </c>
      <c r="D4193" t="s">
        <v>411</v>
      </c>
      <c r="E4193" t="s">
        <v>433</v>
      </c>
      <c r="F4193" t="s">
        <v>21</v>
      </c>
      <c r="G4193" t="s">
        <v>2354</v>
      </c>
      <c r="H4193">
        <v>0</v>
      </c>
      <c r="I4193">
        <v>2</v>
      </c>
      <c r="J4193">
        <v>0</v>
      </c>
      <c r="K4193">
        <v>0</v>
      </c>
      <c r="L4193">
        <v>0</v>
      </c>
    </row>
    <row r="4194" spans="1:12">
      <c r="A4194" t="str">
        <f>HYPERLINK("http://bombeiros.sp.gov.br/hidrantes/03individual/4126.html","4126")</f>
        <v>4126</v>
      </c>
      <c r="B4194" t="str">
        <f>HYPERLINK("http://bombeiros.sp.gov.br/hidrantes/08bsg/qrcodeBSG.html?id=4126&amp;lat=-23.76958&amp;long=-46.68515&amp;tipo=S","QRCODE")</f>
        <v>QRCODE</v>
      </c>
      <c r="C4194" t="s">
        <v>5372</v>
      </c>
      <c r="D4194" t="s">
        <v>411</v>
      </c>
      <c r="E4194" t="s">
        <v>433</v>
      </c>
      <c r="F4194" t="s">
        <v>21</v>
      </c>
      <c r="G4194" t="s">
        <v>2352</v>
      </c>
      <c r="H4194">
        <v>0</v>
      </c>
      <c r="I4194">
        <v>2</v>
      </c>
      <c r="J4194">
        <v>0</v>
      </c>
      <c r="K4194">
        <v>0</v>
      </c>
      <c r="L4194">
        <v>0</v>
      </c>
    </row>
    <row r="4195" spans="1:12">
      <c r="A4195" t="str">
        <f>HYPERLINK("http://bombeiros.sp.gov.br/hidrantes/03individual/4141.html","4141")</f>
        <v>4141</v>
      </c>
      <c r="B4195" t="str">
        <f>HYPERLINK("http://bombeiros.sp.gov.br/hidrantes/08bsg/qrcodeBSG.html?id=4141&amp;lat=-23.76257&amp;long=-46.67369&amp;tipo=S","QRCODE")</f>
        <v>QRCODE</v>
      </c>
      <c r="C4195" t="s">
        <v>5372</v>
      </c>
      <c r="D4195" t="s">
        <v>411</v>
      </c>
      <c r="E4195" t="s">
        <v>433</v>
      </c>
      <c r="F4195" t="s">
        <v>21</v>
      </c>
      <c r="G4195" t="s">
        <v>444</v>
      </c>
      <c r="H4195">
        <v>1</v>
      </c>
      <c r="I4195">
        <v>2</v>
      </c>
      <c r="J4195">
        <v>0</v>
      </c>
      <c r="K4195">
        <v>0</v>
      </c>
      <c r="L4195">
        <v>0</v>
      </c>
    </row>
    <row r="4196" spans="1:12">
      <c r="A4196" t="str">
        <f>HYPERLINK("http://bombeiros.sp.gov.br/hidrantes/03individual/4401.html","4401")</f>
        <v>4401</v>
      </c>
      <c r="B4196" t="str">
        <f>HYPERLINK("http://bombeiros.sp.gov.br/hidrantes/08bsg/qrcodeBSG.html?id=4401&amp;lat=-23.76663&amp;long=-46.68483&amp;tipo=S","QRCODE")</f>
        <v>QRCODE</v>
      </c>
      <c r="C4196" t="s">
        <v>5372</v>
      </c>
      <c r="D4196" t="s">
        <v>411</v>
      </c>
      <c r="E4196" t="s">
        <v>433</v>
      </c>
      <c r="F4196" t="s">
        <v>21</v>
      </c>
      <c r="G4196" t="s">
        <v>432</v>
      </c>
      <c r="H4196">
        <v>0</v>
      </c>
      <c r="I4196">
        <v>2</v>
      </c>
      <c r="J4196">
        <v>0</v>
      </c>
      <c r="K4196">
        <v>0</v>
      </c>
      <c r="L4196">
        <v>0</v>
      </c>
    </row>
    <row r="4197" spans="1:12">
      <c r="A4197" t="str">
        <f>HYPERLINK("http://bombeiros.sp.gov.br/hidrantes/03individual/6663.html","6663")</f>
        <v>6663</v>
      </c>
      <c r="B4197" t="str">
        <f>HYPERLINK("http://bombeiros.sp.gov.br/hidrantes/08bsg/qrcodeBSG.html?id=6663&amp;lat=-23.76902&amp;long=-46.68093&amp;tipo=S","QRCODE")</f>
        <v>QRCODE</v>
      </c>
      <c r="C4197" t="s">
        <v>5372</v>
      </c>
      <c r="D4197" t="s">
        <v>411</v>
      </c>
      <c r="E4197" t="s">
        <v>433</v>
      </c>
      <c r="F4197" t="s">
        <v>21</v>
      </c>
      <c r="G4197" t="s">
        <v>2280</v>
      </c>
      <c r="H4197">
        <v>0</v>
      </c>
      <c r="I4197">
        <v>2</v>
      </c>
      <c r="J4197">
        <v>0</v>
      </c>
      <c r="K4197">
        <v>0</v>
      </c>
      <c r="L4197">
        <v>0</v>
      </c>
    </row>
    <row r="4198" spans="1:12">
      <c r="A4198" t="str">
        <f>HYPERLINK("http://bombeiros.sp.gov.br/hidrantes/03individual/17892.html","17892")</f>
        <v>17892</v>
      </c>
      <c r="B4198" t="str">
        <f>HYPERLINK("http://bombeiros.sp.gov.br/hidrantes/08bsg/qrcodeBSG.html?id=17892&amp;lat=-23.76520&amp;long=-46.67494&amp;tipo=S","QRCODE")</f>
        <v>QRCODE</v>
      </c>
      <c r="C4198" t="s">
        <v>5372</v>
      </c>
      <c r="D4198" t="s">
        <v>411</v>
      </c>
      <c r="E4198" t="s">
        <v>433</v>
      </c>
      <c r="F4198" t="s">
        <v>21</v>
      </c>
      <c r="G4198" t="s">
        <v>483</v>
      </c>
      <c r="H4198">
        <v>1</v>
      </c>
      <c r="I4198">
        <v>2</v>
      </c>
      <c r="J4198">
        <v>0</v>
      </c>
      <c r="K4198">
        <v>0</v>
      </c>
      <c r="L4198">
        <v>0</v>
      </c>
    </row>
    <row r="4199" spans="1:12">
      <c r="A4199" t="str">
        <f>HYPERLINK("http://bombeiros.sp.gov.br/hidrantes/03individual/2490.html","2490")</f>
        <v>2490</v>
      </c>
      <c r="B4199" t="str">
        <f>HYPERLINK("http://bombeiros.sp.gov.br/hidrantes/08bsg/qrcodeBSG.html?id=2490&amp;lat=-23.75898&amp;long=-46.66398&amp;tipo=S","QRCODE")</f>
        <v>QRCODE</v>
      </c>
      <c r="C4199" t="s">
        <v>5372</v>
      </c>
      <c r="D4199" t="s">
        <v>411</v>
      </c>
      <c r="E4199" t="s">
        <v>443</v>
      </c>
      <c r="F4199" t="s">
        <v>21</v>
      </c>
      <c r="G4199" t="s">
        <v>2306</v>
      </c>
      <c r="H4199">
        <v>0</v>
      </c>
      <c r="I4199">
        <v>2</v>
      </c>
      <c r="J4199">
        <v>0</v>
      </c>
      <c r="K4199">
        <v>0</v>
      </c>
      <c r="L4199">
        <v>0</v>
      </c>
    </row>
    <row r="4200" spans="1:12">
      <c r="A4200" t="str">
        <f>HYPERLINK("http://bombeiros.sp.gov.br/hidrantes/03individual/4140.html","4140")</f>
        <v>4140</v>
      </c>
      <c r="B4200" t="str">
        <f>HYPERLINK("http://bombeiros.sp.gov.br/hidrantes/08bsg/qrcodeBSG.html?id=4140&amp;lat=-23.75618&amp;long=-46.66777&amp;tipo=S","QRCODE")</f>
        <v>QRCODE</v>
      </c>
      <c r="C4200" t="s">
        <v>5372</v>
      </c>
      <c r="D4200" t="s">
        <v>411</v>
      </c>
      <c r="E4200" t="s">
        <v>443</v>
      </c>
      <c r="F4200" t="s">
        <v>21</v>
      </c>
      <c r="G4200" t="s">
        <v>442</v>
      </c>
      <c r="H4200">
        <v>1</v>
      </c>
      <c r="I4200">
        <v>2</v>
      </c>
      <c r="J4200">
        <v>0</v>
      </c>
      <c r="K4200">
        <v>0</v>
      </c>
      <c r="L4200">
        <v>0</v>
      </c>
    </row>
    <row r="4201" spans="1:12">
      <c r="A4201" t="str">
        <f>HYPERLINK("http://bombeiros.sp.gov.br/hidrantes/03individual/6741.html","6741")</f>
        <v>6741</v>
      </c>
      <c r="B4201" t="str">
        <f>HYPERLINK("http://bombeiros.sp.gov.br/hidrantes/08bsg/qrcodeBSG.html?id=6741&amp;lat=-23.74782&amp;long=-46.67819&amp;tipo=S","QRCODE")</f>
        <v>QRCODE</v>
      </c>
      <c r="C4201" t="s">
        <v>5372</v>
      </c>
      <c r="D4201" t="s">
        <v>411</v>
      </c>
      <c r="E4201" t="s">
        <v>443</v>
      </c>
      <c r="F4201" t="s">
        <v>21</v>
      </c>
      <c r="G4201" t="s">
        <v>5073</v>
      </c>
      <c r="H4201">
        <v>0</v>
      </c>
      <c r="I4201">
        <v>1</v>
      </c>
      <c r="J4201">
        <v>0</v>
      </c>
      <c r="K4201">
        <v>0</v>
      </c>
      <c r="L4201">
        <v>0</v>
      </c>
    </row>
    <row r="4202" spans="1:12">
      <c r="A4202" t="str">
        <f>HYPERLINK("http://bombeiros.sp.gov.br/hidrantes/03individual/17893.html","17893")</f>
        <v>17893</v>
      </c>
      <c r="B4202" t="str">
        <f>HYPERLINK("http://bombeiros.sp.gov.br/hidrantes/08bsg/qrcodeBSG.html?id=17893&amp;lat=-23.75354&amp;long=-46.68079&amp;tipo=S","QRCODE")</f>
        <v>QRCODE</v>
      </c>
      <c r="C4202" t="s">
        <v>5372</v>
      </c>
      <c r="D4202" t="s">
        <v>411</v>
      </c>
      <c r="E4202" t="s">
        <v>443</v>
      </c>
      <c r="F4202" t="s">
        <v>21</v>
      </c>
      <c r="G4202" t="s">
        <v>480</v>
      </c>
      <c r="H4202">
        <v>1</v>
      </c>
      <c r="I4202">
        <v>2</v>
      </c>
      <c r="J4202">
        <v>0</v>
      </c>
      <c r="K4202">
        <v>0</v>
      </c>
      <c r="L4202">
        <v>0</v>
      </c>
    </row>
    <row r="4203" spans="1:12">
      <c r="A4203" t="str">
        <f>HYPERLINK("http://bombeiros.sp.gov.br/hidrantes/03individual/4118.html","4118")</f>
        <v>4118</v>
      </c>
      <c r="B4203" t="str">
        <f>HYPERLINK("http://bombeiros.sp.gov.br/hidrantes/08bsg/qrcodeBSG.html?id=4118&amp;lat=-23.73493&amp;long=-46.67599&amp;tipo=C","QRCODE")</f>
        <v>QRCODE</v>
      </c>
      <c r="C4203" t="s">
        <v>5372</v>
      </c>
      <c r="D4203" t="s">
        <v>411</v>
      </c>
      <c r="E4203" t="s">
        <v>411</v>
      </c>
      <c r="F4203" t="s">
        <v>12</v>
      </c>
      <c r="G4203" t="s">
        <v>2294</v>
      </c>
      <c r="H4203">
        <v>0</v>
      </c>
      <c r="I4203">
        <v>2</v>
      </c>
      <c r="J4203">
        <v>0</v>
      </c>
      <c r="K4203">
        <v>0</v>
      </c>
      <c r="L4203">
        <v>0</v>
      </c>
    </row>
    <row r="4204" spans="1:12">
      <c r="A4204" t="str">
        <f>HYPERLINK("http://bombeiros.sp.gov.br/hidrantes/03individual/6744.html","6744")</f>
        <v>6744</v>
      </c>
      <c r="B4204" t="str">
        <f>HYPERLINK("http://bombeiros.sp.gov.br/hidrantes/08bsg/qrcodeBSG.html?id=6744&amp;lat=-23.74576&amp;long=-46.69129&amp;tipo=C","QRCODE")</f>
        <v>QRCODE</v>
      </c>
      <c r="C4204" t="s">
        <v>5372</v>
      </c>
      <c r="D4204" t="s">
        <v>411</v>
      </c>
      <c r="E4204" t="s">
        <v>411</v>
      </c>
      <c r="F4204" t="s">
        <v>12</v>
      </c>
      <c r="G4204" t="s">
        <v>410</v>
      </c>
      <c r="H4204">
        <v>1</v>
      </c>
      <c r="I4204">
        <v>2</v>
      </c>
      <c r="J4204">
        <v>0</v>
      </c>
      <c r="K4204">
        <v>0</v>
      </c>
      <c r="L4204">
        <v>0</v>
      </c>
    </row>
    <row r="4205" spans="1:12">
      <c r="A4205" t="str">
        <f>HYPERLINK("http://bombeiros.sp.gov.br/hidrantes/03individual/2393.html","2393")</f>
        <v>2393</v>
      </c>
      <c r="B4205" t="str">
        <f>HYPERLINK("http://bombeiros.sp.gov.br/hidrantes/08bsg/qrcodeBSG.html?id=2393&amp;lat=-23.74011&amp;long=-46.69620&amp;tipo=S","QRCODE")</f>
        <v>QRCODE</v>
      </c>
      <c r="C4205" t="s">
        <v>5372</v>
      </c>
      <c r="D4205" t="s">
        <v>411</v>
      </c>
      <c r="E4205" t="s">
        <v>411</v>
      </c>
      <c r="F4205" t="s">
        <v>21</v>
      </c>
      <c r="G4205" t="s">
        <v>470</v>
      </c>
      <c r="H4205">
        <v>0</v>
      </c>
      <c r="I4205">
        <v>2</v>
      </c>
      <c r="J4205">
        <v>0</v>
      </c>
      <c r="K4205">
        <v>0</v>
      </c>
      <c r="L4205">
        <v>0</v>
      </c>
    </row>
    <row r="4206" spans="1:12">
      <c r="A4206" t="str">
        <f>HYPERLINK("http://bombeiros.sp.gov.br/hidrantes/03individual/2451.html","2451")</f>
        <v>2451</v>
      </c>
      <c r="B4206" t="str">
        <f>HYPERLINK("http://bombeiros.sp.gov.br/hidrantes/08bsg/qrcodeBSG.html?id=2451&amp;lat=-23.73832&amp;long=-46.69184&amp;tipo=S","QRCODE")</f>
        <v>QRCODE</v>
      </c>
      <c r="C4206" t="s">
        <v>5372</v>
      </c>
      <c r="D4206" t="s">
        <v>411</v>
      </c>
      <c r="E4206" t="s">
        <v>411</v>
      </c>
      <c r="F4206" t="s">
        <v>21</v>
      </c>
      <c r="G4206" t="s">
        <v>2331</v>
      </c>
      <c r="H4206">
        <v>0</v>
      </c>
      <c r="I4206">
        <v>2</v>
      </c>
      <c r="J4206">
        <v>0</v>
      </c>
      <c r="K4206">
        <v>0</v>
      </c>
      <c r="L4206">
        <v>0</v>
      </c>
    </row>
    <row r="4207" spans="1:12">
      <c r="A4207" t="str">
        <f>HYPERLINK("http://bombeiros.sp.gov.br/hidrantes/03individual/4138.html","4138")</f>
        <v>4138</v>
      </c>
      <c r="B4207" t="str">
        <f>HYPERLINK("http://bombeiros.sp.gov.br/hidrantes/08bsg/qrcodeBSG.html?id=4138&amp;lat=-23.74810&amp;long=-46.69757&amp;tipo=S","QRCODE")</f>
        <v>QRCODE</v>
      </c>
      <c r="C4207" t="s">
        <v>5372</v>
      </c>
      <c r="D4207" t="s">
        <v>411</v>
      </c>
      <c r="E4207" t="s">
        <v>411</v>
      </c>
      <c r="F4207" t="s">
        <v>21</v>
      </c>
      <c r="G4207" t="s">
        <v>2355</v>
      </c>
      <c r="H4207">
        <v>0</v>
      </c>
      <c r="I4207">
        <v>2</v>
      </c>
      <c r="J4207">
        <v>0</v>
      </c>
      <c r="K4207">
        <v>0</v>
      </c>
      <c r="L4207">
        <v>0</v>
      </c>
    </row>
    <row r="4208" spans="1:12">
      <c r="A4208" t="str">
        <f>HYPERLINK("http://bombeiros.sp.gov.br/hidrantes/03individual/6664.html","6664")</f>
        <v>6664</v>
      </c>
      <c r="B4208" t="str">
        <f>HYPERLINK("http://bombeiros.sp.gov.br/hidrantes/08bsg/qrcodeBSG.html?id=6664&amp;lat=-23.75516&amp;long=-46.70641&amp;tipo=C","QRCODE")</f>
        <v>QRCODE</v>
      </c>
      <c r="C4208" t="s">
        <v>5372</v>
      </c>
      <c r="D4208" t="s">
        <v>411</v>
      </c>
      <c r="E4208" t="s">
        <v>2290</v>
      </c>
      <c r="F4208" t="s">
        <v>12</v>
      </c>
      <c r="G4208" t="s">
        <v>3978</v>
      </c>
      <c r="H4208">
        <v>0</v>
      </c>
      <c r="I4208">
        <v>2</v>
      </c>
      <c r="J4208">
        <v>0</v>
      </c>
      <c r="K4208">
        <v>0</v>
      </c>
      <c r="L4208">
        <v>0</v>
      </c>
    </row>
    <row r="4209" spans="1:12">
      <c r="A4209" t="str">
        <f>HYPERLINK("http://bombeiros.sp.gov.br/hidrantes/03individual/6665.html","6665")</f>
        <v>6665</v>
      </c>
      <c r="B4209" t="str">
        <f>HYPERLINK("http://bombeiros.sp.gov.br/hidrantes/08bsg/qrcodeBSG.html?id=6665&amp;lat=-23.75529&amp;long=-46.70706&amp;tipo=C","QRCODE")</f>
        <v>QRCODE</v>
      </c>
      <c r="C4209" t="s">
        <v>5372</v>
      </c>
      <c r="D4209" t="s">
        <v>411</v>
      </c>
      <c r="E4209" t="s">
        <v>2290</v>
      </c>
      <c r="F4209" t="s">
        <v>12</v>
      </c>
      <c r="G4209" t="s">
        <v>3489</v>
      </c>
      <c r="H4209">
        <v>0</v>
      </c>
      <c r="I4209">
        <v>2</v>
      </c>
      <c r="J4209">
        <v>0</v>
      </c>
      <c r="K4209">
        <v>0</v>
      </c>
      <c r="L4209">
        <v>0</v>
      </c>
    </row>
    <row r="4210" spans="1:12">
      <c r="A4210" t="str">
        <f>HYPERLINK("http://bombeiros.sp.gov.br/hidrantes/03individual/6666.html","6666")</f>
        <v>6666</v>
      </c>
      <c r="B4210" t="str">
        <f>HYPERLINK("http://bombeiros.sp.gov.br/hidrantes/08bsg/qrcodeBSG.html?id=6666&amp;lat=-23.75599&amp;long=-46.70669&amp;tipo=C","QRCODE")</f>
        <v>QRCODE</v>
      </c>
      <c r="C4210" t="s">
        <v>5372</v>
      </c>
      <c r="D4210" t="s">
        <v>411</v>
      </c>
      <c r="E4210" t="s">
        <v>2290</v>
      </c>
      <c r="F4210" t="s">
        <v>12</v>
      </c>
      <c r="G4210" t="s">
        <v>3486</v>
      </c>
      <c r="H4210">
        <v>0</v>
      </c>
      <c r="I4210">
        <v>2</v>
      </c>
      <c r="J4210">
        <v>0</v>
      </c>
      <c r="K4210">
        <v>0</v>
      </c>
      <c r="L4210">
        <v>0</v>
      </c>
    </row>
    <row r="4211" spans="1:12">
      <c r="A4211" t="str">
        <f>HYPERLINK("http://bombeiros.sp.gov.br/hidrantes/03individual/6667.html","6667")</f>
        <v>6667</v>
      </c>
      <c r="B4211" t="str">
        <f>HYPERLINK("http://bombeiros.sp.gov.br/hidrantes/08bsg/qrcodeBSG.html?id=6667&amp;lat=-23.75492&amp;long=-46.70725&amp;tipo=C","QRCODE")</f>
        <v>QRCODE</v>
      </c>
      <c r="C4211" t="s">
        <v>5372</v>
      </c>
      <c r="D4211" t="s">
        <v>411</v>
      </c>
      <c r="E4211" t="s">
        <v>2290</v>
      </c>
      <c r="F4211" t="s">
        <v>12</v>
      </c>
      <c r="G4211" t="s">
        <v>3487</v>
      </c>
      <c r="H4211">
        <v>0</v>
      </c>
      <c r="I4211">
        <v>2</v>
      </c>
      <c r="J4211">
        <v>0</v>
      </c>
      <c r="K4211">
        <v>0</v>
      </c>
      <c r="L4211">
        <v>0</v>
      </c>
    </row>
    <row r="4212" spans="1:12">
      <c r="A4212" t="str">
        <f>HYPERLINK("http://bombeiros.sp.gov.br/hidrantes/03individual/6668.html","6668")</f>
        <v>6668</v>
      </c>
      <c r="B4212" t="str">
        <f>HYPERLINK("http://bombeiros.sp.gov.br/hidrantes/08bsg/qrcodeBSG.html?id=6668&amp;lat=-23.75297&amp;long=-46.70617&amp;tipo=C","QRCODE")</f>
        <v>QRCODE</v>
      </c>
      <c r="C4212" t="s">
        <v>5372</v>
      </c>
      <c r="D4212" t="s">
        <v>411</v>
      </c>
      <c r="E4212" t="s">
        <v>2290</v>
      </c>
      <c r="F4212" t="s">
        <v>12</v>
      </c>
      <c r="G4212" t="s">
        <v>5074</v>
      </c>
      <c r="H4212">
        <v>0</v>
      </c>
      <c r="I4212">
        <v>1</v>
      </c>
      <c r="J4212">
        <v>0</v>
      </c>
      <c r="K4212">
        <v>0</v>
      </c>
      <c r="L4212">
        <v>0</v>
      </c>
    </row>
    <row r="4213" spans="1:12">
      <c r="A4213" t="str">
        <f>HYPERLINK("http://bombeiros.sp.gov.br/hidrantes/03individual/6669.html","6669")</f>
        <v>6669</v>
      </c>
      <c r="B4213" t="str">
        <f>HYPERLINK("http://bombeiros.sp.gov.br/hidrantes/08bsg/qrcodeBSG.html?id=6669&amp;lat=-23.75301&amp;long=-46.70755&amp;tipo=C","QRCODE")</f>
        <v>QRCODE</v>
      </c>
      <c r="C4213" t="s">
        <v>5372</v>
      </c>
      <c r="D4213" t="s">
        <v>411</v>
      </c>
      <c r="E4213" t="s">
        <v>2290</v>
      </c>
      <c r="F4213" t="s">
        <v>12</v>
      </c>
      <c r="G4213" t="s">
        <v>3891</v>
      </c>
      <c r="H4213">
        <v>0</v>
      </c>
      <c r="I4213">
        <v>2</v>
      </c>
      <c r="J4213">
        <v>0</v>
      </c>
      <c r="K4213">
        <v>0</v>
      </c>
      <c r="L4213">
        <v>0</v>
      </c>
    </row>
    <row r="4214" spans="1:12">
      <c r="A4214" t="str">
        <f>HYPERLINK("http://bombeiros.sp.gov.br/hidrantes/03individual/6670.html","6670")</f>
        <v>6670</v>
      </c>
      <c r="B4214" t="str">
        <f>HYPERLINK("http://bombeiros.sp.gov.br/hidrantes/08bsg/qrcodeBSG.html?id=6670&amp;lat=-23.75368&amp;long=-46.70781&amp;tipo=C","QRCODE")</f>
        <v>QRCODE</v>
      </c>
      <c r="C4214" t="s">
        <v>5372</v>
      </c>
      <c r="D4214" t="s">
        <v>411</v>
      </c>
      <c r="E4214" t="s">
        <v>2290</v>
      </c>
      <c r="F4214" t="s">
        <v>12</v>
      </c>
      <c r="G4214" t="s">
        <v>3488</v>
      </c>
      <c r="H4214">
        <v>0</v>
      </c>
      <c r="I4214">
        <v>2</v>
      </c>
      <c r="J4214">
        <v>0</v>
      </c>
      <c r="K4214">
        <v>0</v>
      </c>
      <c r="L4214">
        <v>0</v>
      </c>
    </row>
    <row r="4215" spans="1:12">
      <c r="A4215" t="str">
        <f>HYPERLINK("http://bombeiros.sp.gov.br/hidrantes/03individual/6671.html","6671")</f>
        <v>6671</v>
      </c>
      <c r="B4215" t="str">
        <f>HYPERLINK("http://bombeiros.sp.gov.br/hidrantes/08bsg/qrcodeBSG.html?id=6671&amp;lat=-23.75385&amp;long=-46.70609&amp;tipo=C","QRCODE")</f>
        <v>QRCODE</v>
      </c>
      <c r="C4215" t="s">
        <v>5372</v>
      </c>
      <c r="D4215" t="s">
        <v>411</v>
      </c>
      <c r="E4215" t="s">
        <v>2290</v>
      </c>
      <c r="F4215" t="s">
        <v>12</v>
      </c>
      <c r="G4215" t="s">
        <v>3979</v>
      </c>
      <c r="H4215">
        <v>0</v>
      </c>
      <c r="I4215">
        <v>2</v>
      </c>
      <c r="J4215">
        <v>0</v>
      </c>
      <c r="K4215">
        <v>0</v>
      </c>
      <c r="L4215">
        <v>0</v>
      </c>
    </row>
    <row r="4216" spans="1:12">
      <c r="A4216" t="str">
        <f>HYPERLINK("http://bombeiros.sp.gov.br/hidrantes/03individual/14967.html","14967")</f>
        <v>14967</v>
      </c>
      <c r="B4216" t="str">
        <f>HYPERLINK("http://bombeiros.sp.gov.br/hidrantes/08bsg/qrcodeBSG.html?id=14967&amp;lat=-23.75208&amp;long=-46.70653&amp;tipo=C","QRCODE")</f>
        <v>QRCODE</v>
      </c>
      <c r="C4216" t="s">
        <v>5372</v>
      </c>
      <c r="D4216" t="s">
        <v>411</v>
      </c>
      <c r="E4216" t="s">
        <v>2290</v>
      </c>
      <c r="F4216" t="s">
        <v>12</v>
      </c>
      <c r="G4216" t="s">
        <v>2321</v>
      </c>
      <c r="H4216">
        <v>0</v>
      </c>
      <c r="I4216">
        <v>2</v>
      </c>
      <c r="J4216">
        <v>0</v>
      </c>
      <c r="K4216">
        <v>0</v>
      </c>
      <c r="L4216">
        <v>0</v>
      </c>
    </row>
    <row r="4217" spans="1:12">
      <c r="A4217" t="str">
        <f>HYPERLINK("http://bombeiros.sp.gov.br/hidrantes/03individual/23026.html","23026")</f>
        <v>23026</v>
      </c>
      <c r="B4217" t="str">
        <f>HYPERLINK("http://bombeiros.sp.gov.br/hidrantes/08bsg/qrcodeBSG.html?id=23026&amp;lat=-23.75082&amp;long=-46.70625&amp;tipo=C","QRCODE")</f>
        <v>QRCODE</v>
      </c>
      <c r="C4217" t="s">
        <v>5372</v>
      </c>
      <c r="D4217" t="s">
        <v>411</v>
      </c>
      <c r="E4217" t="s">
        <v>2290</v>
      </c>
      <c r="F4217" t="s">
        <v>12</v>
      </c>
      <c r="G4217" t="s">
        <v>5162</v>
      </c>
      <c r="H4217">
        <v>0</v>
      </c>
      <c r="I4217">
        <v>1</v>
      </c>
      <c r="J4217">
        <v>0</v>
      </c>
      <c r="K4217">
        <v>0</v>
      </c>
      <c r="L4217">
        <v>0</v>
      </c>
    </row>
    <row r="4218" spans="1:12">
      <c r="A4218" t="str">
        <f>HYPERLINK("http://bombeiros.sp.gov.br/hidrantes/03individual/4135.html","4135")</f>
        <v>4135</v>
      </c>
      <c r="B4218" t="str">
        <f>HYPERLINK("http://bombeiros.sp.gov.br/hidrantes/08bsg/qrcodeBSG.html?id=4135&amp;lat=-23.75634&amp;long=-46.70919&amp;tipo=S","QRCODE")</f>
        <v>QRCODE</v>
      </c>
      <c r="C4218" t="s">
        <v>5372</v>
      </c>
      <c r="D4218" t="s">
        <v>411</v>
      </c>
      <c r="E4218" t="s">
        <v>2290</v>
      </c>
      <c r="F4218" t="s">
        <v>21</v>
      </c>
      <c r="G4218" t="s">
        <v>2289</v>
      </c>
      <c r="H4218">
        <v>0</v>
      </c>
      <c r="I4218">
        <v>2</v>
      </c>
      <c r="J4218">
        <v>0</v>
      </c>
      <c r="K4218">
        <v>0</v>
      </c>
      <c r="L4218">
        <v>0</v>
      </c>
    </row>
    <row r="4219" spans="1:12">
      <c r="A4219" t="str">
        <f>HYPERLINK("http://bombeiros.sp.gov.br/hidrantes/03individual/4137.html","4137")</f>
        <v>4137</v>
      </c>
      <c r="B4219" t="str">
        <f>HYPERLINK("http://bombeiros.sp.gov.br/hidrantes/08bsg/qrcodeBSG.html?id=4137&amp;lat=-23.75602&amp;long=-46.70100&amp;tipo=S","QRCODE")</f>
        <v>QRCODE</v>
      </c>
      <c r="C4219" t="s">
        <v>5372</v>
      </c>
      <c r="D4219" t="s">
        <v>411</v>
      </c>
      <c r="E4219" t="s">
        <v>2290</v>
      </c>
      <c r="F4219" t="s">
        <v>21</v>
      </c>
      <c r="G4219" t="s">
        <v>2292</v>
      </c>
      <c r="H4219">
        <v>0</v>
      </c>
      <c r="I4219">
        <v>2</v>
      </c>
      <c r="J4219">
        <v>0</v>
      </c>
      <c r="K4219">
        <v>0</v>
      </c>
      <c r="L4219">
        <v>0</v>
      </c>
    </row>
    <row r="4220" spans="1:12">
      <c r="A4220" t="str">
        <f>HYPERLINK("http://bombeiros.sp.gov.br/hidrantes/03individual/4404.html","4404")</f>
        <v>4404</v>
      </c>
      <c r="B4220" t="str">
        <f>HYPERLINK("http://bombeiros.sp.gov.br/hidrantes/08bsg/qrcodeBSG.html?id=4404&amp;lat=-23.76036&amp;long=-46.70587&amp;tipo=S","QRCODE")</f>
        <v>QRCODE</v>
      </c>
      <c r="C4220" t="s">
        <v>5372</v>
      </c>
      <c r="D4220" t="s">
        <v>411</v>
      </c>
      <c r="E4220" t="s">
        <v>2290</v>
      </c>
      <c r="F4220" t="s">
        <v>21</v>
      </c>
      <c r="G4220" t="s">
        <v>3490</v>
      </c>
      <c r="H4220">
        <v>0</v>
      </c>
      <c r="I4220">
        <v>2</v>
      </c>
      <c r="J4220">
        <v>0</v>
      </c>
      <c r="K4220">
        <v>0</v>
      </c>
      <c r="L4220">
        <v>0</v>
      </c>
    </row>
    <row r="4221" spans="1:12">
      <c r="A4221" t="str">
        <f>HYPERLINK("http://bombeiros.sp.gov.br/hidrantes/03individual/6678.html","6678")</f>
        <v>6678</v>
      </c>
      <c r="B4221" t="str">
        <f>HYPERLINK("http://bombeiros.sp.gov.br/hidrantes/08bsg/qrcodeBSG.html?id=6678&amp;lat=-23.77385&amp;long=-46.70496&amp;tipo=S","QRCODE")</f>
        <v>QRCODE</v>
      </c>
      <c r="C4221" t="s">
        <v>5372</v>
      </c>
      <c r="D4221" t="s">
        <v>411</v>
      </c>
      <c r="E4221" t="s">
        <v>2290</v>
      </c>
      <c r="F4221" t="s">
        <v>21</v>
      </c>
      <c r="G4221" t="s">
        <v>3485</v>
      </c>
      <c r="H4221">
        <v>0</v>
      </c>
      <c r="I4221">
        <v>1</v>
      </c>
      <c r="J4221">
        <v>0</v>
      </c>
      <c r="K4221">
        <v>0</v>
      </c>
      <c r="L4221">
        <v>0</v>
      </c>
    </row>
    <row r="4222" spans="1:12">
      <c r="A4222" t="str">
        <f>HYPERLINK("http://bombeiros.sp.gov.br/hidrantes/03individual/17859.html","17859")</f>
        <v>17859</v>
      </c>
      <c r="B4222" t="str">
        <f>HYPERLINK("http://bombeiros.sp.gov.br/hidrantes/08bsg/qrcodeBSG.html?id=17859&amp;lat=-23.76807&amp;long=-46.70556&amp;tipo=S","QRCODE")</f>
        <v>QRCODE</v>
      </c>
      <c r="C4222" t="s">
        <v>5372</v>
      </c>
      <c r="D4222" t="s">
        <v>411</v>
      </c>
      <c r="E4222" t="s">
        <v>2290</v>
      </c>
      <c r="F4222" t="s">
        <v>21</v>
      </c>
      <c r="G4222" t="s">
        <v>4838</v>
      </c>
      <c r="H4222">
        <v>1</v>
      </c>
      <c r="I4222">
        <v>1</v>
      </c>
      <c r="J4222">
        <v>0</v>
      </c>
      <c r="K4222">
        <v>0</v>
      </c>
      <c r="L4222">
        <v>0</v>
      </c>
    </row>
    <row r="4223" spans="1:12">
      <c r="A4223" t="str">
        <f>HYPERLINK("http://bombeiros.sp.gov.br/hidrantes/03individual/4.html","4")</f>
        <v>4</v>
      </c>
      <c r="B4223" t="str">
        <f>HYPERLINK("http://bombeiros.sp.gov.br/hidrantes/08bsg/qrcodeBSG.html?id=4&amp;lat=-23.59771&amp;long=-46.60726&amp;tipo=S","QRCODE")</f>
        <v>QRCODE</v>
      </c>
      <c r="C4223" t="s">
        <v>5372</v>
      </c>
      <c r="D4223" t="s">
        <v>1618</v>
      </c>
      <c r="E4223" t="s">
        <v>488</v>
      </c>
      <c r="F4223" t="s">
        <v>21</v>
      </c>
      <c r="G4223" t="s">
        <v>2482</v>
      </c>
      <c r="H4223">
        <v>0</v>
      </c>
      <c r="I4223">
        <v>2</v>
      </c>
      <c r="J4223">
        <v>0</v>
      </c>
      <c r="K4223">
        <v>0</v>
      </c>
      <c r="L4223">
        <v>0</v>
      </c>
    </row>
    <row r="4224" spans="1:12">
      <c r="A4224" t="str">
        <f>HYPERLINK("http://bombeiros.sp.gov.br/hidrantes/03individual/79.html","79")</f>
        <v>79</v>
      </c>
      <c r="B4224" t="str">
        <f>HYPERLINK("http://bombeiros.sp.gov.br/hidrantes/08bsg/qrcodeBSG.html?id=79&amp;lat=-23.59813&amp;long=-46.60988&amp;tipo=S","QRCODE")</f>
        <v>QRCODE</v>
      </c>
      <c r="C4224" t="s">
        <v>5372</v>
      </c>
      <c r="D4224" t="s">
        <v>1618</v>
      </c>
      <c r="E4224" t="s">
        <v>488</v>
      </c>
      <c r="F4224" t="s">
        <v>21</v>
      </c>
      <c r="G4224" t="s">
        <v>2086</v>
      </c>
      <c r="H4224">
        <v>0</v>
      </c>
      <c r="I4224">
        <v>2</v>
      </c>
      <c r="J4224">
        <v>0</v>
      </c>
      <c r="K4224">
        <v>0</v>
      </c>
      <c r="L4224">
        <v>0</v>
      </c>
    </row>
    <row r="4225" spans="1:12">
      <c r="A4225" t="str">
        <f>HYPERLINK("http://bombeiros.sp.gov.br/hidrantes/03individual/117.html","117")</f>
        <v>117</v>
      </c>
      <c r="B4225" t="str">
        <f>HYPERLINK("http://bombeiros.sp.gov.br/hidrantes/08bsg/qrcodeBSG.html?id=117&amp;lat=-23.60749&amp;long=-46.60832&amp;tipo=S","QRCODE")</f>
        <v>QRCODE</v>
      </c>
      <c r="C4225" t="s">
        <v>5372</v>
      </c>
      <c r="D4225" t="s">
        <v>1618</v>
      </c>
      <c r="E4225" t="s">
        <v>488</v>
      </c>
      <c r="F4225" t="s">
        <v>21</v>
      </c>
      <c r="G4225" t="s">
        <v>4438</v>
      </c>
      <c r="H4225">
        <v>3</v>
      </c>
      <c r="I4225">
        <v>1</v>
      </c>
      <c r="J4225">
        <v>0</v>
      </c>
      <c r="K4225">
        <v>0</v>
      </c>
      <c r="L4225">
        <v>0</v>
      </c>
    </row>
    <row r="4226" spans="1:12">
      <c r="A4226" t="str">
        <f>HYPERLINK("http://bombeiros.sp.gov.br/hidrantes/03individual/149.html","149")</f>
        <v>149</v>
      </c>
      <c r="B4226" t="str">
        <f>HYPERLINK("http://bombeiros.sp.gov.br/hidrantes/08bsg/qrcodeBSG.html?id=149&amp;lat=-23.60483&amp;long=-46.61354&amp;tipo=S","QRCODE")</f>
        <v>QRCODE</v>
      </c>
      <c r="C4226" t="s">
        <v>5372</v>
      </c>
      <c r="D4226" t="s">
        <v>1618</v>
      </c>
      <c r="E4226" t="s">
        <v>488</v>
      </c>
      <c r="F4226" t="s">
        <v>21</v>
      </c>
      <c r="G4226" t="s">
        <v>4439</v>
      </c>
      <c r="H4226">
        <v>0</v>
      </c>
      <c r="I4226">
        <v>2</v>
      </c>
      <c r="J4226">
        <v>0</v>
      </c>
      <c r="K4226">
        <v>0</v>
      </c>
      <c r="L4226">
        <v>0</v>
      </c>
    </row>
    <row r="4227" spans="1:12">
      <c r="A4227" t="str">
        <f>HYPERLINK("http://bombeiros.sp.gov.br/hidrantes/03individual/155.html","155")</f>
        <v>155</v>
      </c>
      <c r="B4227" t="str">
        <f>HYPERLINK("http://bombeiros.sp.gov.br/hidrantes/08bsg/qrcodeBSG.html?id=155&amp;lat=-23.60199&amp;long=-46.60913&amp;tipo=S","QRCODE")</f>
        <v>QRCODE</v>
      </c>
      <c r="C4227" t="s">
        <v>5372</v>
      </c>
      <c r="D4227" t="s">
        <v>1618</v>
      </c>
      <c r="E4227" t="s">
        <v>488</v>
      </c>
      <c r="F4227" t="s">
        <v>21</v>
      </c>
      <c r="G4227" t="s">
        <v>4364</v>
      </c>
      <c r="H4227">
        <v>0</v>
      </c>
      <c r="I4227">
        <v>2</v>
      </c>
      <c r="J4227">
        <v>0</v>
      </c>
      <c r="K4227">
        <v>0</v>
      </c>
      <c r="L4227">
        <v>0</v>
      </c>
    </row>
    <row r="4228" spans="1:12">
      <c r="A4228" t="str">
        <f>HYPERLINK("http://bombeiros.sp.gov.br/hidrantes/03individual/217.html","217")</f>
        <v>217</v>
      </c>
      <c r="B4228" t="str">
        <f>HYPERLINK("http://bombeiros.sp.gov.br/hidrantes/08bsg/qrcodeBSG.html?id=217&amp;lat=-23.59801&amp;long=-46.60807&amp;tipo=S","QRCODE")</f>
        <v>QRCODE</v>
      </c>
      <c r="C4228" t="s">
        <v>5372</v>
      </c>
      <c r="D4228" t="s">
        <v>1618</v>
      </c>
      <c r="E4228" t="s">
        <v>488</v>
      </c>
      <c r="F4228" t="s">
        <v>21</v>
      </c>
      <c r="G4228" t="s">
        <v>2503</v>
      </c>
      <c r="H4228">
        <v>0</v>
      </c>
      <c r="I4228">
        <v>3</v>
      </c>
      <c r="J4228">
        <v>0</v>
      </c>
      <c r="K4228">
        <v>0</v>
      </c>
      <c r="L4228">
        <v>0</v>
      </c>
    </row>
    <row r="4229" spans="1:12">
      <c r="A4229" t="str">
        <f>HYPERLINK("http://bombeiros.sp.gov.br/hidrantes/03individual/1645.html","1645")</f>
        <v>1645</v>
      </c>
      <c r="B4229" t="str">
        <f>HYPERLINK("http://bombeiros.sp.gov.br/hidrantes/08bsg/qrcodeBSG.html?id=1645&amp;lat=-23.59607&amp;long=-46.61010&amp;tipo=S","QRCODE")</f>
        <v>QRCODE</v>
      </c>
      <c r="C4229" t="s">
        <v>5372</v>
      </c>
      <c r="D4229" t="s">
        <v>1618</v>
      </c>
      <c r="E4229" t="s">
        <v>488</v>
      </c>
      <c r="F4229" t="s">
        <v>21</v>
      </c>
      <c r="G4229" t="s">
        <v>2049</v>
      </c>
      <c r="H4229">
        <v>0</v>
      </c>
      <c r="I4229">
        <v>2</v>
      </c>
      <c r="J4229">
        <v>0</v>
      </c>
      <c r="K4229">
        <v>0</v>
      </c>
      <c r="L4229">
        <v>0</v>
      </c>
    </row>
    <row r="4230" spans="1:12">
      <c r="A4230" t="str">
        <f>HYPERLINK("http://bombeiros.sp.gov.br/hidrantes/03individual/2305.html","2305")</f>
        <v>2305</v>
      </c>
      <c r="B4230" t="str">
        <f>HYPERLINK("http://bombeiros.sp.gov.br/hidrantes/08bsg/qrcodeBSG.html?id=2305&amp;lat=-23.59777&amp;long=-46.61381&amp;tipo=S","QRCODE")</f>
        <v>QRCODE</v>
      </c>
      <c r="C4230" t="s">
        <v>5372</v>
      </c>
      <c r="D4230" t="s">
        <v>1618</v>
      </c>
      <c r="E4230" t="s">
        <v>488</v>
      </c>
      <c r="F4230" t="s">
        <v>21</v>
      </c>
      <c r="G4230" t="s">
        <v>3338</v>
      </c>
      <c r="H4230">
        <v>0</v>
      </c>
      <c r="I4230">
        <v>2</v>
      </c>
      <c r="J4230">
        <v>0</v>
      </c>
      <c r="K4230">
        <v>0</v>
      </c>
      <c r="L4230">
        <v>0</v>
      </c>
    </row>
    <row r="4231" spans="1:12">
      <c r="A4231" t="str">
        <f>HYPERLINK("http://bombeiros.sp.gov.br/hidrantes/03individual/2306.html","2306")</f>
        <v>2306</v>
      </c>
      <c r="B4231" t="str">
        <f>HYPERLINK("http://bombeiros.sp.gov.br/hidrantes/08bsg/qrcodeBSG.html?id=2306&amp;lat=-23.59923&amp;long=-46.61401&amp;tipo=S","QRCODE")</f>
        <v>QRCODE</v>
      </c>
      <c r="C4231" t="s">
        <v>5372</v>
      </c>
      <c r="D4231" t="s">
        <v>1618</v>
      </c>
      <c r="E4231" t="s">
        <v>488</v>
      </c>
      <c r="F4231" t="s">
        <v>21</v>
      </c>
      <c r="G4231" t="s">
        <v>2020</v>
      </c>
      <c r="H4231">
        <v>0</v>
      </c>
      <c r="I4231">
        <v>2</v>
      </c>
      <c r="J4231">
        <v>0</v>
      </c>
      <c r="K4231">
        <v>0</v>
      </c>
      <c r="L4231">
        <v>0</v>
      </c>
    </row>
    <row r="4232" spans="1:12">
      <c r="A4232" t="str">
        <f>HYPERLINK("http://bombeiros.sp.gov.br/hidrantes/03individual/3880.html","3880")</f>
        <v>3880</v>
      </c>
      <c r="B4232" t="str">
        <f>HYPERLINK("http://bombeiros.sp.gov.br/hidrantes/08bsg/qrcodeBSG.html?id=3880&amp;lat=-23.60565&amp;long=-46.61168&amp;tipo=S","QRCODE")</f>
        <v>QRCODE</v>
      </c>
      <c r="C4232" t="s">
        <v>5372</v>
      </c>
      <c r="D4232" t="s">
        <v>1618</v>
      </c>
      <c r="E4232" t="s">
        <v>488</v>
      </c>
      <c r="F4232" t="s">
        <v>21</v>
      </c>
      <c r="G4232" t="s">
        <v>4887</v>
      </c>
      <c r="H4232">
        <v>1</v>
      </c>
      <c r="I4232">
        <v>1</v>
      </c>
      <c r="J4232">
        <v>0</v>
      </c>
      <c r="K4232">
        <v>0</v>
      </c>
      <c r="L4232">
        <v>0</v>
      </c>
    </row>
    <row r="4233" spans="1:12">
      <c r="A4233" t="str">
        <f>HYPERLINK("http://bombeiros.sp.gov.br/hidrantes/03individual/16640.html","16640")</f>
        <v>16640</v>
      </c>
      <c r="B4233" t="str">
        <f>HYPERLINK("http://bombeiros.sp.gov.br/hidrantes/08bsg/qrcodeBSG.html?id=16640&amp;lat=-23.60211&amp;long=-46.60661&amp;tipo=S","QRCODE")</f>
        <v>QRCODE</v>
      </c>
      <c r="C4233" t="s">
        <v>5372</v>
      </c>
      <c r="D4233" t="s">
        <v>1618</v>
      </c>
      <c r="E4233" t="s">
        <v>488</v>
      </c>
      <c r="F4233" t="s">
        <v>21</v>
      </c>
      <c r="G4233" t="s">
        <v>487</v>
      </c>
      <c r="H4233">
        <v>0</v>
      </c>
      <c r="I4233">
        <v>2</v>
      </c>
      <c r="J4233">
        <v>0</v>
      </c>
      <c r="K4233">
        <v>0</v>
      </c>
      <c r="L4233">
        <v>0</v>
      </c>
    </row>
    <row r="4234" spans="1:12">
      <c r="A4234" t="str">
        <f>HYPERLINK("http://bombeiros.sp.gov.br/hidrantes/03individual/17677.html","17677")</f>
        <v>17677</v>
      </c>
      <c r="B4234" t="str">
        <f>HYPERLINK("http://bombeiros.sp.gov.br/hidrantes/08bsg/qrcodeBSG.html?id=17677&amp;lat=-23.60801&amp;long=-46.61044&amp;tipo=S","QRCODE")</f>
        <v>QRCODE</v>
      </c>
      <c r="C4234" t="s">
        <v>5372</v>
      </c>
      <c r="D4234" t="s">
        <v>1618</v>
      </c>
      <c r="E4234" t="s">
        <v>488</v>
      </c>
      <c r="F4234" t="s">
        <v>21</v>
      </c>
      <c r="G4234" t="s">
        <v>4186</v>
      </c>
      <c r="H4234">
        <v>0</v>
      </c>
      <c r="I4234">
        <v>1</v>
      </c>
      <c r="J4234">
        <v>0</v>
      </c>
      <c r="K4234">
        <v>0</v>
      </c>
      <c r="L4234">
        <v>0</v>
      </c>
    </row>
    <row r="4235" spans="1:12">
      <c r="A4235" t="str">
        <f>HYPERLINK("http://bombeiros.sp.gov.br/hidrantes/03individual/1835.html","1835")</f>
        <v>1835</v>
      </c>
      <c r="B4235" t="str">
        <f>HYPERLINK("http://bombeiros.sp.gov.br/hidrantes/08bsg/qrcodeBSG.html?id=1835&amp;lat=-23.58963&amp;long=-46.60628&amp;tipo=C","QRCODE")</f>
        <v>QRCODE</v>
      </c>
      <c r="C4235" t="s">
        <v>5372</v>
      </c>
      <c r="D4235" t="s">
        <v>1618</v>
      </c>
      <c r="E4235" t="s">
        <v>1618</v>
      </c>
      <c r="F4235" t="s">
        <v>12</v>
      </c>
      <c r="G4235" t="s">
        <v>4565</v>
      </c>
      <c r="H4235">
        <v>0</v>
      </c>
      <c r="I4235">
        <v>2</v>
      </c>
      <c r="J4235">
        <v>0</v>
      </c>
      <c r="K4235">
        <v>0</v>
      </c>
      <c r="L4235">
        <v>0</v>
      </c>
    </row>
    <row r="4236" spans="1:12">
      <c r="A4236" t="str">
        <f>HYPERLINK("http://bombeiros.sp.gov.br/hidrantes/03individual/2982.html","2982")</f>
        <v>2982</v>
      </c>
      <c r="B4236" t="str">
        <f>HYPERLINK("http://bombeiros.sp.gov.br/hidrantes/08bsg/qrcodeBSG.html?id=2982&amp;lat=-23.58638&amp;long=-46.59943&amp;tipo=C","QRCODE")</f>
        <v>QRCODE</v>
      </c>
      <c r="C4236" t="s">
        <v>5372</v>
      </c>
      <c r="D4236" t="s">
        <v>1618</v>
      </c>
      <c r="E4236" t="s">
        <v>1618</v>
      </c>
      <c r="F4236" t="s">
        <v>12</v>
      </c>
      <c r="G4236" t="s">
        <v>1699</v>
      </c>
      <c r="H4236">
        <v>0</v>
      </c>
      <c r="I4236">
        <v>2</v>
      </c>
      <c r="J4236">
        <v>0</v>
      </c>
      <c r="K4236">
        <v>0</v>
      </c>
      <c r="L4236">
        <v>0</v>
      </c>
    </row>
    <row r="4237" spans="1:12">
      <c r="A4237" t="str">
        <f>HYPERLINK("http://bombeiros.sp.gov.br/hidrantes/03individual/3016.html","3016")</f>
        <v>3016</v>
      </c>
      <c r="B4237" t="str">
        <f>HYPERLINK("http://bombeiros.sp.gov.br/hidrantes/08bsg/qrcodeBSG.html?id=3016&amp;lat=-23.59141&amp;long=-46.59897&amp;tipo=C","QRCODE")</f>
        <v>QRCODE</v>
      </c>
      <c r="C4237" t="s">
        <v>5372</v>
      </c>
      <c r="D4237" t="s">
        <v>1618</v>
      </c>
      <c r="E4237" t="s">
        <v>1618</v>
      </c>
      <c r="F4237" t="s">
        <v>12</v>
      </c>
      <c r="G4237" t="s">
        <v>2457</v>
      </c>
      <c r="H4237">
        <v>0</v>
      </c>
      <c r="I4237">
        <v>2</v>
      </c>
      <c r="J4237">
        <v>0</v>
      </c>
      <c r="K4237">
        <v>0</v>
      </c>
      <c r="L4237">
        <v>0</v>
      </c>
    </row>
    <row r="4238" spans="1:12">
      <c r="A4238" t="str">
        <f>HYPERLINK("http://bombeiros.sp.gov.br/hidrantes/03individual/78.html","78")</f>
        <v>78</v>
      </c>
      <c r="B4238" t="str">
        <f>HYPERLINK("http://bombeiros.sp.gov.br/hidrantes/08bsg/qrcodeBSG.html?id=78&amp;lat=-23.58438&amp;long=-46.60325&amp;tipo=S","QRCODE")</f>
        <v>QRCODE</v>
      </c>
      <c r="C4238" t="s">
        <v>5372</v>
      </c>
      <c r="D4238" t="s">
        <v>1618</v>
      </c>
      <c r="E4238" t="s">
        <v>1618</v>
      </c>
      <c r="F4238" t="s">
        <v>21</v>
      </c>
      <c r="G4238" t="s">
        <v>2688</v>
      </c>
      <c r="H4238">
        <v>0</v>
      </c>
      <c r="I4238">
        <v>2</v>
      </c>
      <c r="J4238">
        <v>0</v>
      </c>
      <c r="K4238">
        <v>0</v>
      </c>
      <c r="L4238">
        <v>0</v>
      </c>
    </row>
    <row r="4239" spans="1:12">
      <c r="A4239" t="str">
        <f>HYPERLINK("http://bombeiros.sp.gov.br/hidrantes/03individual/80.html","80")</f>
        <v>80</v>
      </c>
      <c r="B4239" t="str">
        <f>HYPERLINK("http://bombeiros.sp.gov.br/hidrantes/08bsg/qrcodeBSG.html?id=80&amp;lat=-23.58535&amp;long=-46.60313&amp;tipo=S","QRCODE")</f>
        <v>QRCODE</v>
      </c>
      <c r="C4239" t="s">
        <v>5372</v>
      </c>
      <c r="D4239" t="s">
        <v>1618</v>
      </c>
      <c r="E4239" t="s">
        <v>1618</v>
      </c>
      <c r="F4239" t="s">
        <v>21</v>
      </c>
      <c r="G4239" t="s">
        <v>2689</v>
      </c>
      <c r="H4239">
        <v>0</v>
      </c>
      <c r="I4239">
        <v>2</v>
      </c>
      <c r="J4239">
        <v>0</v>
      </c>
      <c r="K4239">
        <v>0</v>
      </c>
      <c r="L4239">
        <v>0</v>
      </c>
    </row>
    <row r="4240" spans="1:12">
      <c r="A4240" t="str">
        <f>HYPERLINK("http://bombeiros.sp.gov.br/hidrantes/03individual/81.html","81")</f>
        <v>81</v>
      </c>
      <c r="B4240" t="str">
        <f>HYPERLINK("http://bombeiros.sp.gov.br/hidrantes/08bsg/qrcodeBSG.html?id=81&amp;lat=-23.58545&amp;long=-46.60420&amp;tipo=S","QRCODE")</f>
        <v>QRCODE</v>
      </c>
      <c r="C4240" t="s">
        <v>5372</v>
      </c>
      <c r="D4240" t="s">
        <v>1618</v>
      </c>
      <c r="E4240" t="s">
        <v>1618</v>
      </c>
      <c r="F4240" t="s">
        <v>21</v>
      </c>
      <c r="G4240" t="s">
        <v>2690</v>
      </c>
      <c r="H4240">
        <v>0</v>
      </c>
      <c r="I4240">
        <v>2</v>
      </c>
      <c r="J4240">
        <v>0</v>
      </c>
      <c r="K4240">
        <v>0</v>
      </c>
      <c r="L4240">
        <v>0</v>
      </c>
    </row>
    <row r="4241" spans="1:12">
      <c r="A4241" t="str">
        <f>HYPERLINK("http://bombeiros.sp.gov.br/hidrantes/03individual/83.html","83")</f>
        <v>83</v>
      </c>
      <c r="B4241" t="str">
        <f>HYPERLINK("http://bombeiros.sp.gov.br/hidrantes/08bsg/qrcodeBSG.html?id=83&amp;lat=-23.58911&amp;long=-46.60383&amp;tipo=S","QRCODE")</f>
        <v>QRCODE</v>
      </c>
      <c r="C4241" t="s">
        <v>5372</v>
      </c>
      <c r="D4241" t="s">
        <v>1618</v>
      </c>
      <c r="E4241" t="s">
        <v>1618</v>
      </c>
      <c r="F4241" t="s">
        <v>21</v>
      </c>
      <c r="G4241" t="s">
        <v>1760</v>
      </c>
      <c r="H4241">
        <v>0</v>
      </c>
      <c r="I4241">
        <v>2</v>
      </c>
      <c r="J4241">
        <v>0</v>
      </c>
      <c r="K4241">
        <v>0</v>
      </c>
      <c r="L4241">
        <v>0</v>
      </c>
    </row>
    <row r="4242" spans="1:12">
      <c r="A4242" t="str">
        <f>HYPERLINK("http://bombeiros.sp.gov.br/hidrantes/03individual/87.html","87")</f>
        <v>87</v>
      </c>
      <c r="B4242" t="str">
        <f>HYPERLINK("http://bombeiros.sp.gov.br/hidrantes/08bsg/qrcodeBSG.html?id=87&amp;lat=-23.58340&amp;long=-46.60563&amp;tipo=S","QRCODE")</f>
        <v>QRCODE</v>
      </c>
      <c r="C4242" t="s">
        <v>5372</v>
      </c>
      <c r="D4242" t="s">
        <v>1618</v>
      </c>
      <c r="E4242" t="s">
        <v>1618</v>
      </c>
      <c r="F4242" t="s">
        <v>21</v>
      </c>
      <c r="G4242" t="s">
        <v>2691</v>
      </c>
      <c r="H4242">
        <v>0</v>
      </c>
      <c r="I4242">
        <v>2</v>
      </c>
      <c r="J4242">
        <v>0</v>
      </c>
      <c r="K4242">
        <v>0</v>
      </c>
      <c r="L4242">
        <v>0</v>
      </c>
    </row>
    <row r="4243" spans="1:12">
      <c r="A4243" t="str">
        <f>HYPERLINK("http://bombeiros.sp.gov.br/hidrantes/03individual/137.html","137")</f>
        <v>137</v>
      </c>
      <c r="B4243" t="str">
        <f>HYPERLINK("http://bombeiros.sp.gov.br/hidrantes/08bsg/qrcodeBSG.html?id=137&amp;lat=-23.58526&amp;long=-46.60181&amp;tipo=S","QRCODE")</f>
        <v>QRCODE</v>
      </c>
      <c r="C4243" t="s">
        <v>5372</v>
      </c>
      <c r="D4243" t="s">
        <v>1618</v>
      </c>
      <c r="E4243" t="s">
        <v>1618</v>
      </c>
      <c r="F4243" t="s">
        <v>21</v>
      </c>
      <c r="G4243" t="s">
        <v>1758</v>
      </c>
      <c r="H4243">
        <v>0</v>
      </c>
      <c r="I4243">
        <v>2</v>
      </c>
      <c r="J4243">
        <v>0</v>
      </c>
      <c r="K4243">
        <v>0</v>
      </c>
      <c r="L4243">
        <v>0</v>
      </c>
    </row>
    <row r="4244" spans="1:12">
      <c r="A4244" t="str">
        <f>HYPERLINK("http://bombeiros.sp.gov.br/hidrantes/03individual/151.html","151")</f>
        <v>151</v>
      </c>
      <c r="B4244" t="str">
        <f>HYPERLINK("http://bombeiros.sp.gov.br/hidrantes/08bsg/qrcodeBSG.html?id=151&amp;lat=-23.58762&amp;long=-46.60023&amp;tipo=S","QRCODE")</f>
        <v>QRCODE</v>
      </c>
      <c r="C4244" t="s">
        <v>5372</v>
      </c>
      <c r="D4244" t="s">
        <v>1618</v>
      </c>
      <c r="E4244" t="s">
        <v>1618</v>
      </c>
      <c r="F4244" t="s">
        <v>21</v>
      </c>
      <c r="G4244" t="s">
        <v>1617</v>
      </c>
      <c r="H4244">
        <v>0</v>
      </c>
      <c r="I4244">
        <v>2</v>
      </c>
      <c r="J4244">
        <v>0</v>
      </c>
      <c r="K4244">
        <v>0</v>
      </c>
      <c r="L4244">
        <v>0</v>
      </c>
    </row>
    <row r="4245" spans="1:12">
      <c r="A4245" t="str">
        <f>HYPERLINK("http://bombeiros.sp.gov.br/hidrantes/03individual/152.html","152")</f>
        <v>152</v>
      </c>
      <c r="B4245" t="str">
        <f>HYPERLINK("http://bombeiros.sp.gov.br/hidrantes/08bsg/qrcodeBSG.html?id=152&amp;lat=-23.58415&amp;long=-46.60206&amp;tipo=S","QRCODE")</f>
        <v>QRCODE</v>
      </c>
      <c r="C4245" t="s">
        <v>5372</v>
      </c>
      <c r="D4245" t="s">
        <v>1618</v>
      </c>
      <c r="E4245" t="s">
        <v>1618</v>
      </c>
      <c r="F4245" t="s">
        <v>21</v>
      </c>
      <c r="G4245" t="s">
        <v>4576</v>
      </c>
      <c r="H4245">
        <v>0</v>
      </c>
      <c r="I4245">
        <v>2</v>
      </c>
      <c r="J4245">
        <v>0</v>
      </c>
      <c r="K4245">
        <v>0</v>
      </c>
      <c r="L4245">
        <v>0</v>
      </c>
    </row>
    <row r="4246" spans="1:12">
      <c r="A4246" t="str">
        <f>HYPERLINK("http://bombeiros.sp.gov.br/hidrantes/03individual/153.html","153")</f>
        <v>153</v>
      </c>
      <c r="B4246" t="str">
        <f>HYPERLINK("http://bombeiros.sp.gov.br/hidrantes/08bsg/qrcodeBSG.html?id=153&amp;lat=-23.58798&amp;long=-46.60147&amp;tipo=S","QRCODE")</f>
        <v>QRCODE</v>
      </c>
      <c r="C4246" t="s">
        <v>5372</v>
      </c>
      <c r="D4246" t="s">
        <v>1618</v>
      </c>
      <c r="E4246" t="s">
        <v>1618</v>
      </c>
      <c r="F4246" t="s">
        <v>21</v>
      </c>
      <c r="G4246" t="s">
        <v>1619</v>
      </c>
      <c r="H4246">
        <v>0</v>
      </c>
      <c r="I4246">
        <v>2</v>
      </c>
      <c r="J4246">
        <v>0</v>
      </c>
      <c r="K4246">
        <v>0</v>
      </c>
      <c r="L4246">
        <v>0</v>
      </c>
    </row>
    <row r="4247" spans="1:12">
      <c r="A4247" t="str">
        <f>HYPERLINK("http://bombeiros.sp.gov.br/hidrantes/03individual/219.html","219")</f>
        <v>219</v>
      </c>
      <c r="B4247" t="str">
        <f>HYPERLINK("http://bombeiros.sp.gov.br/hidrantes/08bsg/qrcodeBSG.html?id=219&amp;lat=-23.59016&amp;long=-46.59881&amp;tipo=S","QRCODE")</f>
        <v>QRCODE</v>
      </c>
      <c r="C4247" t="s">
        <v>5372</v>
      </c>
      <c r="D4247" t="s">
        <v>1618</v>
      </c>
      <c r="E4247" t="s">
        <v>1618</v>
      </c>
      <c r="F4247" t="s">
        <v>21</v>
      </c>
      <c r="G4247" t="s">
        <v>4141</v>
      </c>
      <c r="H4247">
        <v>0</v>
      </c>
      <c r="I4247">
        <v>1</v>
      </c>
      <c r="J4247">
        <v>0</v>
      </c>
      <c r="K4247">
        <v>0</v>
      </c>
      <c r="L4247">
        <v>0</v>
      </c>
    </row>
    <row r="4248" spans="1:12">
      <c r="A4248" t="str">
        <f>HYPERLINK("http://bombeiros.sp.gov.br/hidrantes/03individual/221.html","221")</f>
        <v>221</v>
      </c>
      <c r="B4248" t="str">
        <f>HYPERLINK("http://bombeiros.sp.gov.br/hidrantes/08bsg/qrcodeBSG.html?id=221&amp;lat=-23.59001&amp;long=-46.60030&amp;tipo=S","QRCODE")</f>
        <v>QRCODE</v>
      </c>
      <c r="C4248" t="s">
        <v>5372</v>
      </c>
      <c r="D4248" t="s">
        <v>1618</v>
      </c>
      <c r="E4248" t="s">
        <v>1618</v>
      </c>
      <c r="F4248" t="s">
        <v>21</v>
      </c>
      <c r="G4248" t="s">
        <v>2500</v>
      </c>
      <c r="H4248">
        <v>0</v>
      </c>
      <c r="I4248">
        <v>3</v>
      </c>
      <c r="J4248">
        <v>0</v>
      </c>
      <c r="K4248">
        <v>0</v>
      </c>
      <c r="L4248">
        <v>0</v>
      </c>
    </row>
    <row r="4249" spans="1:12">
      <c r="A4249" t="str">
        <f>HYPERLINK("http://bombeiros.sp.gov.br/hidrantes/03individual/274.html","274")</f>
        <v>274</v>
      </c>
      <c r="B4249" t="str">
        <f>HYPERLINK("http://bombeiros.sp.gov.br/hidrantes/08bsg/qrcodeBSG.html?id=274&amp;lat=-23.58478&amp;long=-46.60746&amp;tipo=S","QRCODE")</f>
        <v>QRCODE</v>
      </c>
      <c r="C4249" t="s">
        <v>5372</v>
      </c>
      <c r="D4249" t="s">
        <v>1618</v>
      </c>
      <c r="E4249" t="s">
        <v>1618</v>
      </c>
      <c r="F4249" t="s">
        <v>21</v>
      </c>
      <c r="G4249" t="s">
        <v>2684</v>
      </c>
      <c r="H4249">
        <v>0</v>
      </c>
      <c r="I4249">
        <v>2</v>
      </c>
      <c r="J4249">
        <v>0</v>
      </c>
      <c r="K4249">
        <v>0</v>
      </c>
      <c r="L4249">
        <v>0</v>
      </c>
    </row>
    <row r="4250" spans="1:12">
      <c r="A4250" t="str">
        <f>HYPERLINK("http://bombeiros.sp.gov.br/hidrantes/03individual/1710.html","1710")</f>
        <v>1710</v>
      </c>
      <c r="B4250" t="str">
        <f>HYPERLINK("http://bombeiros.sp.gov.br/hidrantes/08bsg/qrcodeBSG.html?id=1710&amp;lat=-23.59257&amp;long=-46.60136&amp;tipo=S","QRCODE")</f>
        <v>QRCODE</v>
      </c>
      <c r="C4250" t="s">
        <v>5372</v>
      </c>
      <c r="D4250" t="s">
        <v>1618</v>
      </c>
      <c r="E4250" t="s">
        <v>1618</v>
      </c>
      <c r="F4250" t="s">
        <v>21</v>
      </c>
      <c r="G4250" t="s">
        <v>2474</v>
      </c>
      <c r="H4250">
        <v>0</v>
      </c>
      <c r="I4250">
        <v>2</v>
      </c>
      <c r="J4250">
        <v>0</v>
      </c>
      <c r="K4250">
        <v>0</v>
      </c>
      <c r="L4250">
        <v>0</v>
      </c>
    </row>
    <row r="4251" spans="1:12">
      <c r="A4251" t="str">
        <f>HYPERLINK("http://bombeiros.sp.gov.br/hidrantes/03individual/1872.html","1872")</f>
        <v>1872</v>
      </c>
      <c r="B4251" t="str">
        <f>HYPERLINK("http://bombeiros.sp.gov.br/hidrantes/08bsg/qrcodeBSG.html?id=1872&amp;lat=-23.58428&amp;long=-46.60061&amp;tipo=S","QRCODE")</f>
        <v>QRCODE</v>
      </c>
      <c r="C4251" t="s">
        <v>5372</v>
      </c>
      <c r="D4251" t="s">
        <v>1618</v>
      </c>
      <c r="E4251" t="s">
        <v>1618</v>
      </c>
      <c r="F4251" t="s">
        <v>21</v>
      </c>
      <c r="G4251" t="s">
        <v>4562</v>
      </c>
      <c r="H4251">
        <v>0</v>
      </c>
      <c r="I4251">
        <v>2</v>
      </c>
      <c r="J4251">
        <v>0</v>
      </c>
      <c r="K4251">
        <v>0</v>
      </c>
      <c r="L4251">
        <v>0</v>
      </c>
    </row>
    <row r="4252" spans="1:12">
      <c r="A4252" t="str">
        <f>HYPERLINK("http://bombeiros.sp.gov.br/hidrantes/03individual/2302.html","2302")</f>
        <v>2302</v>
      </c>
      <c r="B4252" t="str">
        <f>HYPERLINK("http://bombeiros.sp.gov.br/hidrantes/08bsg/qrcodeBSG.html?id=2302&amp;lat=-23.59150&amp;long=-46.60015&amp;tipo=S","QRCODE")</f>
        <v>QRCODE</v>
      </c>
      <c r="C4252" t="s">
        <v>5372</v>
      </c>
      <c r="D4252" t="s">
        <v>1618</v>
      </c>
      <c r="E4252" t="s">
        <v>1618</v>
      </c>
      <c r="F4252" t="s">
        <v>21</v>
      </c>
      <c r="G4252" t="s">
        <v>2450</v>
      </c>
      <c r="H4252">
        <v>0</v>
      </c>
      <c r="I4252">
        <v>2</v>
      </c>
      <c r="J4252">
        <v>0</v>
      </c>
      <c r="K4252">
        <v>0</v>
      </c>
      <c r="L4252">
        <v>0</v>
      </c>
    </row>
    <row r="4253" spans="1:12">
      <c r="A4253" t="str">
        <f>HYPERLINK("http://bombeiros.sp.gov.br/hidrantes/03individual/2329.html","2329")</f>
        <v>2329</v>
      </c>
      <c r="B4253" t="str">
        <f>HYPERLINK("http://bombeiros.sp.gov.br/hidrantes/08bsg/qrcodeBSG.html?id=2329&amp;lat=-23.58655&amp;long=-46.60412&amp;tipo=S","QRCODE")</f>
        <v>QRCODE</v>
      </c>
      <c r="C4253" t="s">
        <v>5372</v>
      </c>
      <c r="D4253" t="s">
        <v>1618</v>
      </c>
      <c r="E4253" t="s">
        <v>1618</v>
      </c>
      <c r="F4253" t="s">
        <v>21</v>
      </c>
      <c r="G4253" t="s">
        <v>2759</v>
      </c>
      <c r="H4253">
        <v>0</v>
      </c>
      <c r="I4253">
        <v>2</v>
      </c>
      <c r="J4253">
        <v>0</v>
      </c>
      <c r="K4253">
        <v>0</v>
      </c>
      <c r="L4253">
        <v>0</v>
      </c>
    </row>
    <row r="4254" spans="1:12">
      <c r="A4254" t="str">
        <f>HYPERLINK("http://bombeiros.sp.gov.br/hidrantes/03individual/26621.html","26621")</f>
        <v>26621</v>
      </c>
      <c r="B4254" t="str">
        <f>HYPERLINK("http://bombeiros.sp.gov.br/hidrantes/08bsg/qrcodeBSG.html?id=26621&amp;lat=-23.59041&amp;long=-46.60272&amp;tipo=S","QRCODE")</f>
        <v>QRCODE</v>
      </c>
      <c r="C4254" t="s">
        <v>5372</v>
      </c>
      <c r="D4254" t="s">
        <v>1618</v>
      </c>
      <c r="E4254" t="s">
        <v>1618</v>
      </c>
      <c r="F4254" t="s">
        <v>21</v>
      </c>
      <c r="G4254" t="s">
        <v>3417</v>
      </c>
      <c r="H4254">
        <v>0</v>
      </c>
      <c r="I4254">
        <v>1</v>
      </c>
      <c r="J4254">
        <v>0</v>
      </c>
      <c r="K4254">
        <v>0</v>
      </c>
      <c r="L4254">
        <v>0</v>
      </c>
    </row>
    <row r="4255" spans="1:12">
      <c r="A4255" t="str">
        <f>HYPERLINK("http://bombeiros.sp.gov.br/hidrantes/03individual/3013.html","3013")</f>
        <v>3013</v>
      </c>
      <c r="B4255" t="str">
        <f>HYPERLINK("http://bombeiros.sp.gov.br/hidrantes/08bsg/qrcodeBSG.html?id=3013&amp;lat=-23.59766&amp;long=-46.59839&amp;tipo=C","QRCODE")</f>
        <v>QRCODE</v>
      </c>
      <c r="C4255" t="s">
        <v>5372</v>
      </c>
      <c r="D4255" t="s">
        <v>1618</v>
      </c>
      <c r="E4255" t="s">
        <v>398</v>
      </c>
      <c r="F4255" t="s">
        <v>12</v>
      </c>
      <c r="G4255" t="s">
        <v>2169</v>
      </c>
      <c r="H4255">
        <v>0</v>
      </c>
      <c r="I4255">
        <v>2</v>
      </c>
      <c r="J4255">
        <v>0</v>
      </c>
      <c r="K4255">
        <v>0</v>
      </c>
      <c r="L4255">
        <v>0</v>
      </c>
    </row>
    <row r="4256" spans="1:12">
      <c r="A4256" t="str">
        <f>HYPERLINK("http://bombeiros.sp.gov.br/hidrantes/03individual/51.html","51")</f>
        <v>51</v>
      </c>
      <c r="B4256" t="str">
        <f>HYPERLINK("http://bombeiros.sp.gov.br/hidrantes/08bsg/qrcodeBSG.html?id=51&amp;lat=-23.59719&amp;long=-46.60564&amp;tipo=S","QRCODE")</f>
        <v>QRCODE</v>
      </c>
      <c r="C4256" t="s">
        <v>5372</v>
      </c>
      <c r="D4256" t="s">
        <v>1618</v>
      </c>
      <c r="E4256" t="s">
        <v>398</v>
      </c>
      <c r="F4256" t="s">
        <v>21</v>
      </c>
      <c r="G4256" t="s">
        <v>2478</v>
      </c>
      <c r="H4256">
        <v>0</v>
      </c>
      <c r="I4256">
        <v>2</v>
      </c>
      <c r="J4256">
        <v>0</v>
      </c>
      <c r="K4256">
        <v>0</v>
      </c>
      <c r="L4256">
        <v>0</v>
      </c>
    </row>
    <row r="4257" spans="1:12">
      <c r="A4257" t="str">
        <f>HYPERLINK("http://bombeiros.sp.gov.br/hidrantes/03individual/61.html","61")</f>
        <v>61</v>
      </c>
      <c r="B4257" t="str">
        <f>HYPERLINK("http://bombeiros.sp.gov.br/hidrantes/08bsg/qrcodeBSG.html?id=61&amp;lat=-23.59935&amp;long=-46.60483&amp;tipo=S","QRCODE")</f>
        <v>QRCODE</v>
      </c>
      <c r="C4257" t="s">
        <v>5372</v>
      </c>
      <c r="D4257" t="s">
        <v>1618</v>
      </c>
      <c r="E4257" t="s">
        <v>398</v>
      </c>
      <c r="F4257" t="s">
        <v>21</v>
      </c>
      <c r="G4257" t="s">
        <v>3710</v>
      </c>
      <c r="H4257">
        <v>0</v>
      </c>
      <c r="I4257">
        <v>1</v>
      </c>
      <c r="J4257">
        <v>0</v>
      </c>
      <c r="K4257">
        <v>0</v>
      </c>
      <c r="L4257">
        <v>0</v>
      </c>
    </row>
    <row r="4258" spans="1:12">
      <c r="A4258" t="str">
        <f>HYPERLINK("http://bombeiros.sp.gov.br/hidrantes/03individual/116.html","116")</f>
        <v>116</v>
      </c>
      <c r="B4258" t="str">
        <f>HYPERLINK("http://bombeiros.sp.gov.br/hidrantes/08bsg/qrcodeBSG.html?id=116&amp;lat=-23.59596&amp;long=-46.60069&amp;tipo=S","QRCODE")</f>
        <v>QRCODE</v>
      </c>
      <c r="C4258" t="s">
        <v>5372</v>
      </c>
      <c r="D4258" t="s">
        <v>1618</v>
      </c>
      <c r="E4258" t="s">
        <v>398</v>
      </c>
      <c r="F4258" t="s">
        <v>21</v>
      </c>
      <c r="G4258" t="s">
        <v>2091</v>
      </c>
      <c r="H4258">
        <v>0</v>
      </c>
      <c r="I4258">
        <v>2</v>
      </c>
      <c r="J4258">
        <v>0</v>
      </c>
      <c r="K4258">
        <v>0</v>
      </c>
      <c r="L4258">
        <v>0</v>
      </c>
    </row>
    <row r="4259" spans="1:12">
      <c r="A4259" t="str">
        <f>HYPERLINK("http://bombeiros.sp.gov.br/hidrantes/03individual/118.html","118")</f>
        <v>118</v>
      </c>
      <c r="B4259" t="str">
        <f>HYPERLINK("http://bombeiros.sp.gov.br/hidrantes/08bsg/qrcodeBSG.html?id=118&amp;lat=-23.59582&amp;long=-46.60195&amp;tipo=S","QRCODE")</f>
        <v>QRCODE</v>
      </c>
      <c r="C4259" t="s">
        <v>5372</v>
      </c>
      <c r="D4259" t="s">
        <v>1618</v>
      </c>
      <c r="E4259" t="s">
        <v>398</v>
      </c>
      <c r="F4259" t="s">
        <v>21</v>
      </c>
      <c r="G4259" t="s">
        <v>2486</v>
      </c>
      <c r="H4259">
        <v>0</v>
      </c>
      <c r="I4259">
        <v>2</v>
      </c>
      <c r="J4259">
        <v>0</v>
      </c>
      <c r="K4259">
        <v>0</v>
      </c>
      <c r="L4259">
        <v>0</v>
      </c>
    </row>
    <row r="4260" spans="1:12">
      <c r="A4260" t="str">
        <f>HYPERLINK("http://bombeiros.sp.gov.br/hidrantes/03individual/154.html","154")</f>
        <v>154</v>
      </c>
      <c r="B4260" t="str">
        <f>HYPERLINK("http://bombeiros.sp.gov.br/hidrantes/08bsg/qrcodeBSG.html?id=154&amp;lat=-23.59379&amp;long=-46.59997&amp;tipo=S","QRCODE")</f>
        <v>QRCODE</v>
      </c>
      <c r="C4260" t="s">
        <v>5372</v>
      </c>
      <c r="D4260" t="s">
        <v>1618</v>
      </c>
      <c r="E4260" t="s">
        <v>398</v>
      </c>
      <c r="F4260" t="s">
        <v>21</v>
      </c>
      <c r="G4260" t="s">
        <v>4577</v>
      </c>
      <c r="H4260">
        <v>0</v>
      </c>
      <c r="I4260">
        <v>2</v>
      </c>
      <c r="J4260">
        <v>0</v>
      </c>
      <c r="K4260">
        <v>0</v>
      </c>
      <c r="L4260">
        <v>0</v>
      </c>
    </row>
    <row r="4261" spans="1:12">
      <c r="A4261" t="str">
        <f>HYPERLINK("http://bombeiros.sp.gov.br/hidrantes/03individual/189.html","189")</f>
        <v>189</v>
      </c>
      <c r="B4261" t="str">
        <f>HYPERLINK("http://bombeiros.sp.gov.br/hidrantes/08bsg/qrcodeBSG.html?id=189&amp;lat=-23.60273&amp;long=-46.60171&amp;tipo=S","QRCODE")</f>
        <v>QRCODE</v>
      </c>
      <c r="C4261" t="s">
        <v>5372</v>
      </c>
      <c r="D4261" t="s">
        <v>1618</v>
      </c>
      <c r="E4261" t="s">
        <v>398</v>
      </c>
      <c r="F4261" t="s">
        <v>21</v>
      </c>
      <c r="G4261" t="s">
        <v>2494</v>
      </c>
      <c r="H4261">
        <v>0</v>
      </c>
      <c r="I4261">
        <v>2</v>
      </c>
      <c r="J4261">
        <v>0</v>
      </c>
      <c r="K4261">
        <v>0</v>
      </c>
      <c r="L4261">
        <v>0</v>
      </c>
    </row>
    <row r="4262" spans="1:12">
      <c r="A4262" t="str">
        <f>HYPERLINK("http://bombeiros.sp.gov.br/hidrantes/03individual/1829.html","1829")</f>
        <v>1829</v>
      </c>
      <c r="B4262" t="str">
        <f>HYPERLINK("http://bombeiros.sp.gov.br/hidrantes/08bsg/qrcodeBSG.html?id=1829&amp;lat=-23.59707&amp;long=-46.60451&amp;tipo=S","QRCODE")</f>
        <v>QRCODE</v>
      </c>
      <c r="C4262" t="s">
        <v>5372</v>
      </c>
      <c r="D4262" t="s">
        <v>1618</v>
      </c>
      <c r="E4262" t="s">
        <v>398</v>
      </c>
      <c r="F4262" t="s">
        <v>21</v>
      </c>
      <c r="G4262" t="s">
        <v>2473</v>
      </c>
      <c r="H4262">
        <v>1</v>
      </c>
      <c r="I4262">
        <v>1</v>
      </c>
      <c r="J4262">
        <v>0</v>
      </c>
      <c r="K4262">
        <v>0</v>
      </c>
      <c r="L4262">
        <v>0</v>
      </c>
    </row>
    <row r="4263" spans="1:12">
      <c r="A4263" t="str">
        <f>HYPERLINK("http://bombeiros.sp.gov.br/hidrantes/03individual/1837.html","1837")</f>
        <v>1837</v>
      </c>
      <c r="B4263" t="str">
        <f>HYPERLINK("http://bombeiros.sp.gov.br/hidrantes/08bsg/qrcodeBSG.html?id=1837&amp;lat=-23.59372&amp;long=-46.60216&amp;tipo=S","QRCODE")</f>
        <v>QRCODE</v>
      </c>
      <c r="C4263" t="s">
        <v>5372</v>
      </c>
      <c r="D4263" t="s">
        <v>1618</v>
      </c>
      <c r="E4263" t="s">
        <v>398</v>
      </c>
      <c r="F4263" t="s">
        <v>21</v>
      </c>
      <c r="G4263" t="s">
        <v>397</v>
      </c>
      <c r="H4263">
        <v>1</v>
      </c>
      <c r="I4263">
        <v>1</v>
      </c>
      <c r="J4263">
        <v>0</v>
      </c>
      <c r="K4263">
        <v>0</v>
      </c>
      <c r="L4263">
        <v>0</v>
      </c>
    </row>
    <row r="4264" spans="1:12">
      <c r="A4264" t="str">
        <f>HYPERLINK("http://bombeiros.sp.gov.br/hidrantes/03individual/3690.html","3690")</f>
        <v>3690</v>
      </c>
      <c r="B4264" t="str">
        <f>HYPERLINK("http://bombeiros.sp.gov.br/hidrantes/08bsg/qrcodeBSG.html?id=3690&amp;lat=-23.60022&amp;long=-46.60058&amp;tipo=S","QRCODE")</f>
        <v>QRCODE</v>
      </c>
      <c r="C4264" t="s">
        <v>5372</v>
      </c>
      <c r="D4264" t="s">
        <v>1618</v>
      </c>
      <c r="E4264" t="s">
        <v>398</v>
      </c>
      <c r="F4264" t="s">
        <v>21</v>
      </c>
      <c r="G4264" t="s">
        <v>2137</v>
      </c>
      <c r="H4264">
        <v>0</v>
      </c>
      <c r="I4264">
        <v>2</v>
      </c>
      <c r="J4264">
        <v>0</v>
      </c>
      <c r="K4264">
        <v>0</v>
      </c>
      <c r="L4264">
        <v>0</v>
      </c>
    </row>
    <row r="4265" spans="1:12">
      <c r="A4265" t="str">
        <f>HYPERLINK("http://bombeiros.sp.gov.br/hidrantes/03individual/16641.html","16641")</f>
        <v>16641</v>
      </c>
      <c r="B4265" t="str">
        <f>HYPERLINK("http://bombeiros.sp.gov.br/hidrantes/08bsg/qrcodeBSG.html?id=16641&amp;lat=-23.60079&amp;long=-46.60026&amp;tipo=S","QRCODE")</f>
        <v>QRCODE</v>
      </c>
      <c r="C4265" t="s">
        <v>5372</v>
      </c>
      <c r="D4265" t="s">
        <v>1618</v>
      </c>
      <c r="E4265" t="s">
        <v>398</v>
      </c>
      <c r="F4265" t="s">
        <v>21</v>
      </c>
      <c r="G4265" t="s">
        <v>489</v>
      </c>
      <c r="H4265">
        <v>1</v>
      </c>
      <c r="I4265">
        <v>1</v>
      </c>
      <c r="J4265">
        <v>0</v>
      </c>
      <c r="K4265">
        <v>0</v>
      </c>
      <c r="L4265">
        <v>0</v>
      </c>
    </row>
    <row r="4266" spans="1:12">
      <c r="A4266" t="str">
        <f>HYPERLINK("http://bombeiros.sp.gov.br/hidrantes/03individual/2996.html","2996")</f>
        <v>2996</v>
      </c>
      <c r="B4266" t="str">
        <f>HYPERLINK("http://bombeiros.sp.gov.br/hidrantes/08bsg/qrcodeBSG.html?id=2996&amp;lat=-23.59710&amp;long=-46.59354&amp;tipo=C","QRCODE")</f>
        <v>QRCODE</v>
      </c>
      <c r="C4266" t="s">
        <v>5372</v>
      </c>
      <c r="D4266" t="s">
        <v>1618</v>
      </c>
      <c r="E4266" t="s">
        <v>460</v>
      </c>
      <c r="F4266" t="s">
        <v>12</v>
      </c>
      <c r="G4266" t="s">
        <v>2168</v>
      </c>
      <c r="H4266">
        <v>0</v>
      </c>
      <c r="I4266">
        <v>2</v>
      </c>
      <c r="J4266">
        <v>0</v>
      </c>
      <c r="K4266">
        <v>0</v>
      </c>
      <c r="L4266">
        <v>0</v>
      </c>
    </row>
    <row r="4267" spans="1:12">
      <c r="A4267" t="str">
        <f>HYPERLINK("http://bombeiros.sp.gov.br/hidrantes/03individual/3692.html","3692")</f>
        <v>3692</v>
      </c>
      <c r="B4267" t="str">
        <f>HYPERLINK("http://bombeiros.sp.gov.br/hidrantes/08bsg/qrcodeBSG.html?id=3692&amp;lat=-23.60460&amp;long=-46.59331&amp;tipo=C","QRCODE")</f>
        <v>QRCODE</v>
      </c>
      <c r="C4267" t="s">
        <v>5372</v>
      </c>
      <c r="D4267" t="s">
        <v>1618</v>
      </c>
      <c r="E4267" t="s">
        <v>460</v>
      </c>
      <c r="F4267" t="s">
        <v>12</v>
      </c>
      <c r="G4267" t="s">
        <v>2136</v>
      </c>
      <c r="H4267">
        <v>0</v>
      </c>
      <c r="I4267">
        <v>2</v>
      </c>
      <c r="J4267">
        <v>0</v>
      </c>
      <c r="K4267">
        <v>0</v>
      </c>
      <c r="L4267">
        <v>0</v>
      </c>
    </row>
    <row r="4268" spans="1:12">
      <c r="A4268" t="str">
        <f>HYPERLINK("http://bombeiros.sp.gov.br/hidrantes/03individual/3694.html","3694")</f>
        <v>3694</v>
      </c>
      <c r="B4268" t="str">
        <f>HYPERLINK("http://bombeiros.sp.gov.br/hidrantes/08bsg/qrcodeBSG.html?id=3694&amp;lat=-23.60115&amp;long=-46.59700&amp;tipo=C","QRCODE")</f>
        <v>QRCODE</v>
      </c>
      <c r="C4268" t="s">
        <v>5372</v>
      </c>
      <c r="D4268" t="s">
        <v>1618</v>
      </c>
      <c r="E4268" t="s">
        <v>460</v>
      </c>
      <c r="F4268" t="s">
        <v>12</v>
      </c>
      <c r="G4268" t="s">
        <v>4385</v>
      </c>
      <c r="H4268">
        <v>1</v>
      </c>
      <c r="I4268">
        <v>2</v>
      </c>
      <c r="J4268">
        <v>0</v>
      </c>
      <c r="K4268">
        <v>0</v>
      </c>
      <c r="L4268">
        <v>0</v>
      </c>
    </row>
    <row r="4269" spans="1:12">
      <c r="A4269" t="str">
        <f>HYPERLINK("http://bombeiros.sp.gov.br/hidrantes/03individual/3695.html","3695")</f>
        <v>3695</v>
      </c>
      <c r="B4269" t="str">
        <f>HYPERLINK("http://bombeiros.sp.gov.br/hidrantes/08bsg/qrcodeBSG.html?id=3695&amp;lat=-23.60063&amp;long=-46.59541&amp;tipo=C","QRCODE")</f>
        <v>QRCODE</v>
      </c>
      <c r="C4269" t="s">
        <v>5372</v>
      </c>
      <c r="D4269" t="s">
        <v>1618</v>
      </c>
      <c r="E4269" t="s">
        <v>460</v>
      </c>
      <c r="F4269" t="s">
        <v>12</v>
      </c>
      <c r="G4269" t="s">
        <v>459</v>
      </c>
      <c r="H4269">
        <v>1</v>
      </c>
      <c r="I4269">
        <v>2</v>
      </c>
      <c r="J4269">
        <v>0</v>
      </c>
      <c r="K4269">
        <v>0</v>
      </c>
      <c r="L4269">
        <v>0</v>
      </c>
    </row>
    <row r="4270" spans="1:12">
      <c r="A4270" t="str">
        <f>HYPERLINK("http://bombeiros.sp.gov.br/hidrantes/03individual/3696.html","3696")</f>
        <v>3696</v>
      </c>
      <c r="B4270" t="str">
        <f>HYPERLINK("http://bombeiros.sp.gov.br/hidrantes/08bsg/qrcodeBSG.html?id=3696&amp;lat=-23.60329&amp;long=-46.59471&amp;tipo=C","QRCODE")</f>
        <v>QRCODE</v>
      </c>
      <c r="C4270" t="s">
        <v>5372</v>
      </c>
      <c r="D4270" t="s">
        <v>1618</v>
      </c>
      <c r="E4270" t="s">
        <v>460</v>
      </c>
      <c r="F4270" t="s">
        <v>12</v>
      </c>
      <c r="G4270" t="s">
        <v>3729</v>
      </c>
      <c r="H4270">
        <v>0</v>
      </c>
      <c r="I4270">
        <v>1</v>
      </c>
      <c r="J4270">
        <v>0</v>
      </c>
      <c r="K4270">
        <v>0</v>
      </c>
      <c r="L4270">
        <v>0</v>
      </c>
    </row>
    <row r="4271" spans="1:12">
      <c r="A4271" t="str">
        <f>HYPERLINK("http://bombeiros.sp.gov.br/hidrantes/03individual/3708.html","3708")</f>
        <v>3708</v>
      </c>
      <c r="B4271" t="str">
        <f>HYPERLINK("http://bombeiros.sp.gov.br/hidrantes/08bsg/qrcodeBSG.html?id=3708&amp;lat=-23.60813&amp;long=-46.58025&amp;tipo=C","QRCODE")</f>
        <v>QRCODE</v>
      </c>
      <c r="C4271" t="s">
        <v>5372</v>
      </c>
      <c r="D4271" t="s">
        <v>1618</v>
      </c>
      <c r="E4271" t="s">
        <v>460</v>
      </c>
      <c r="F4271" t="s">
        <v>12</v>
      </c>
      <c r="G4271" t="s">
        <v>1283</v>
      </c>
      <c r="H4271">
        <v>1</v>
      </c>
      <c r="I4271">
        <v>2</v>
      </c>
      <c r="J4271">
        <v>0</v>
      </c>
      <c r="K4271">
        <v>0</v>
      </c>
      <c r="L4271">
        <v>0</v>
      </c>
    </row>
    <row r="4272" spans="1:12">
      <c r="A4272" t="str">
        <f>HYPERLINK("http://bombeiros.sp.gov.br/hidrantes/03individual/3709.html","3709")</f>
        <v>3709</v>
      </c>
      <c r="B4272" t="str">
        <f>HYPERLINK("http://bombeiros.sp.gov.br/hidrantes/08bsg/qrcodeBSG.html?id=3709&amp;lat=-23.60984&amp;long=-46.58122&amp;tipo=C","QRCODE")</f>
        <v>QRCODE</v>
      </c>
      <c r="C4272" t="s">
        <v>5372</v>
      </c>
      <c r="D4272" t="s">
        <v>1618</v>
      </c>
      <c r="E4272" t="s">
        <v>460</v>
      </c>
      <c r="F4272" t="s">
        <v>12</v>
      </c>
      <c r="G4272" t="s">
        <v>1284</v>
      </c>
      <c r="H4272">
        <v>1</v>
      </c>
      <c r="I4272">
        <v>2</v>
      </c>
      <c r="J4272">
        <v>0</v>
      </c>
      <c r="K4272">
        <v>0</v>
      </c>
      <c r="L4272">
        <v>0</v>
      </c>
    </row>
    <row r="4273" spans="1:12">
      <c r="A4273" t="str">
        <f>HYPERLINK("http://bombeiros.sp.gov.br/hidrantes/03individual/10024.html","10024")</f>
        <v>10024</v>
      </c>
      <c r="B4273" t="str">
        <f>HYPERLINK("http://bombeiros.sp.gov.br/hidrantes/08bsg/qrcodeBSG.html?id=10024&amp;lat=-23.59990&amp;long=-46.59624&amp;tipo=C","QRCODE")</f>
        <v>QRCODE</v>
      </c>
      <c r="C4273" t="s">
        <v>5372</v>
      </c>
      <c r="D4273" t="s">
        <v>1618</v>
      </c>
      <c r="E4273" t="s">
        <v>460</v>
      </c>
      <c r="F4273" t="s">
        <v>12</v>
      </c>
      <c r="G4273" t="s">
        <v>2418</v>
      </c>
      <c r="H4273">
        <v>1</v>
      </c>
      <c r="I4273">
        <v>2</v>
      </c>
      <c r="J4273">
        <v>0</v>
      </c>
      <c r="K4273">
        <v>0</v>
      </c>
      <c r="L4273">
        <v>0</v>
      </c>
    </row>
    <row r="4274" spans="1:12">
      <c r="A4274" t="str">
        <f>HYPERLINK("http://bombeiros.sp.gov.br/hidrantes/03individual/14920.html","14920")</f>
        <v>14920</v>
      </c>
      <c r="B4274" t="str">
        <f>HYPERLINK("http://bombeiros.sp.gov.br/hidrantes/08bsg/qrcodeBSG.html?id=14920&amp;lat=-23.60197&amp;long=-46.59540&amp;tipo=C","QRCODE")</f>
        <v>QRCODE</v>
      </c>
      <c r="C4274" t="s">
        <v>5372</v>
      </c>
      <c r="D4274" t="s">
        <v>1618</v>
      </c>
      <c r="E4274" t="s">
        <v>460</v>
      </c>
      <c r="F4274" t="s">
        <v>12</v>
      </c>
      <c r="G4274" t="s">
        <v>3764</v>
      </c>
      <c r="H4274">
        <v>0</v>
      </c>
      <c r="I4274">
        <v>2</v>
      </c>
      <c r="J4274">
        <v>0</v>
      </c>
      <c r="K4274">
        <v>0</v>
      </c>
      <c r="L4274">
        <v>0</v>
      </c>
    </row>
    <row r="4275" spans="1:12">
      <c r="A4275" t="str">
        <f>HYPERLINK("http://bombeiros.sp.gov.br/hidrantes/03individual/82.html","82")</f>
        <v>82</v>
      </c>
      <c r="B4275" t="str">
        <f>HYPERLINK("http://bombeiros.sp.gov.br/hidrantes/08bsg/qrcodeBSG.html?id=82&amp;lat=-23.59746&amp;long=-46.58696&amp;tipo=S","QRCODE")</f>
        <v>QRCODE</v>
      </c>
      <c r="C4275" t="s">
        <v>5372</v>
      </c>
      <c r="D4275" t="s">
        <v>1618</v>
      </c>
      <c r="E4275" t="s">
        <v>460</v>
      </c>
      <c r="F4275" t="s">
        <v>21</v>
      </c>
      <c r="G4275" t="s">
        <v>3816</v>
      </c>
      <c r="H4275">
        <v>0</v>
      </c>
      <c r="I4275">
        <v>4</v>
      </c>
      <c r="J4275">
        <v>0</v>
      </c>
      <c r="K4275">
        <v>0</v>
      </c>
      <c r="L4275">
        <v>0</v>
      </c>
    </row>
    <row r="4276" spans="1:12">
      <c r="A4276" t="str">
        <f>HYPERLINK("http://bombeiros.sp.gov.br/hidrantes/03individual/222.html","222")</f>
        <v>222</v>
      </c>
      <c r="B4276" t="str">
        <f>HYPERLINK("http://bombeiros.sp.gov.br/hidrantes/08bsg/qrcodeBSG.html?id=222&amp;lat=-23.59610&amp;long=-46.59566&amp;tipo=S","QRCODE")</f>
        <v>QRCODE</v>
      </c>
      <c r="C4276" t="s">
        <v>5372</v>
      </c>
      <c r="D4276" t="s">
        <v>1618</v>
      </c>
      <c r="E4276" t="s">
        <v>460</v>
      </c>
      <c r="F4276" t="s">
        <v>21</v>
      </c>
      <c r="G4276" t="s">
        <v>2501</v>
      </c>
      <c r="H4276">
        <v>0</v>
      </c>
      <c r="I4276">
        <v>2</v>
      </c>
      <c r="J4276">
        <v>0</v>
      </c>
      <c r="K4276">
        <v>0</v>
      </c>
      <c r="L4276">
        <v>0</v>
      </c>
    </row>
    <row r="4277" spans="1:12">
      <c r="A4277" t="str">
        <f>HYPERLINK("http://bombeiros.sp.gov.br/hidrantes/03individual/273.html","273")</f>
        <v>273</v>
      </c>
      <c r="B4277" t="str">
        <f>HYPERLINK("http://bombeiros.sp.gov.br/hidrantes/08bsg/qrcodeBSG.html?id=273&amp;lat=-23.59907&amp;long=-46.59289&amp;tipo=S","QRCODE")</f>
        <v>QRCODE</v>
      </c>
      <c r="C4277" t="s">
        <v>5372</v>
      </c>
      <c r="D4277" t="s">
        <v>1618</v>
      </c>
      <c r="E4277" t="s">
        <v>460</v>
      </c>
      <c r="F4277" t="s">
        <v>21</v>
      </c>
      <c r="G4277" t="s">
        <v>1620</v>
      </c>
      <c r="H4277">
        <v>1</v>
      </c>
      <c r="I4277">
        <v>2</v>
      </c>
      <c r="J4277">
        <v>0</v>
      </c>
      <c r="K4277">
        <v>0</v>
      </c>
      <c r="L4277">
        <v>0</v>
      </c>
    </row>
    <row r="4278" spans="1:12">
      <c r="A4278" t="str">
        <f>HYPERLINK("http://bombeiros.sp.gov.br/hidrantes/03individual/3052.html","3052")</f>
        <v>3052</v>
      </c>
      <c r="B4278" t="str">
        <f>HYPERLINK("http://bombeiros.sp.gov.br/hidrantes/08bsg/qrcodeBSG.html?id=3052&amp;lat=-23.59853&amp;long=-46.58657&amp;tipo=S","QRCODE")</f>
        <v>QRCODE</v>
      </c>
      <c r="C4278" t="s">
        <v>5372</v>
      </c>
      <c r="D4278" t="s">
        <v>1618</v>
      </c>
      <c r="E4278" t="s">
        <v>460</v>
      </c>
      <c r="F4278" t="s">
        <v>21</v>
      </c>
      <c r="G4278" t="s">
        <v>3826</v>
      </c>
      <c r="H4278">
        <v>1</v>
      </c>
      <c r="I4278">
        <v>2</v>
      </c>
      <c r="J4278">
        <v>0</v>
      </c>
      <c r="K4278">
        <v>0</v>
      </c>
      <c r="L4278">
        <v>0</v>
      </c>
    </row>
    <row r="4279" spans="1:12">
      <c r="A4279" t="str">
        <f>HYPERLINK("http://bombeiros.sp.gov.br/hidrantes/03individual/3055.html","3055")</f>
        <v>3055</v>
      </c>
      <c r="B4279" t="str">
        <f>HYPERLINK("http://bombeiros.sp.gov.br/hidrantes/08bsg/qrcodeBSG.html?id=3055&amp;lat=-23.59818&amp;long=-46.58961&amp;tipo=S","QRCODE")</f>
        <v>QRCODE</v>
      </c>
      <c r="C4279" t="s">
        <v>5372</v>
      </c>
      <c r="D4279" t="s">
        <v>1618</v>
      </c>
      <c r="E4279" t="s">
        <v>460</v>
      </c>
      <c r="F4279" t="s">
        <v>21</v>
      </c>
      <c r="G4279" t="s">
        <v>2458</v>
      </c>
      <c r="H4279">
        <v>0</v>
      </c>
      <c r="I4279">
        <v>2</v>
      </c>
      <c r="J4279">
        <v>0</v>
      </c>
      <c r="K4279">
        <v>0</v>
      </c>
      <c r="L4279">
        <v>0</v>
      </c>
    </row>
    <row r="4280" spans="1:12">
      <c r="A4280" t="str">
        <f>HYPERLINK("http://bombeiros.sp.gov.br/hidrantes/03individual/3057.html","3057")</f>
        <v>3057</v>
      </c>
      <c r="B4280" t="str">
        <f>HYPERLINK("http://bombeiros.sp.gov.br/hidrantes/08bsg/qrcodeBSG.html?id=3057&amp;lat=-23.59606&amp;long=-46.58873&amp;tipo=S","QRCODE")</f>
        <v>QRCODE</v>
      </c>
      <c r="C4280" t="s">
        <v>5372</v>
      </c>
      <c r="D4280" t="s">
        <v>1618</v>
      </c>
      <c r="E4280" t="s">
        <v>460</v>
      </c>
      <c r="F4280" t="s">
        <v>21</v>
      </c>
      <c r="G4280" t="s">
        <v>3827</v>
      </c>
      <c r="H4280">
        <v>0</v>
      </c>
      <c r="I4280">
        <v>3</v>
      </c>
      <c r="J4280">
        <v>0</v>
      </c>
      <c r="K4280">
        <v>0</v>
      </c>
      <c r="L4280">
        <v>0</v>
      </c>
    </row>
    <row r="4281" spans="1:12">
      <c r="A4281" t="str">
        <f>HYPERLINK("http://bombeiros.sp.gov.br/hidrantes/03individual/3060.html","3060")</f>
        <v>3060</v>
      </c>
      <c r="B4281" t="str">
        <f>HYPERLINK("http://bombeiros.sp.gov.br/hidrantes/08bsg/qrcodeBSG.html?id=3060&amp;lat=-23.59435&amp;long=-46.59147&amp;tipo=S","QRCODE")</f>
        <v>QRCODE</v>
      </c>
      <c r="C4281" t="s">
        <v>5372</v>
      </c>
      <c r="D4281" t="s">
        <v>1618</v>
      </c>
      <c r="E4281" t="s">
        <v>460</v>
      </c>
      <c r="F4281" t="s">
        <v>21</v>
      </c>
      <c r="G4281" t="s">
        <v>1662</v>
      </c>
      <c r="H4281">
        <v>1</v>
      </c>
      <c r="I4281">
        <v>2</v>
      </c>
      <c r="J4281">
        <v>0</v>
      </c>
      <c r="K4281">
        <v>0</v>
      </c>
      <c r="L4281">
        <v>0</v>
      </c>
    </row>
    <row r="4282" spans="1:12">
      <c r="A4282" t="str">
        <f>HYPERLINK("http://bombeiros.sp.gov.br/hidrantes/03individual/3693.html","3693")</f>
        <v>3693</v>
      </c>
      <c r="B4282" t="str">
        <f>HYPERLINK("http://bombeiros.sp.gov.br/hidrantes/08bsg/qrcodeBSG.html?id=3693&amp;lat=-23.60428&amp;long=-46.59086&amp;tipo=S","QRCODE")</f>
        <v>QRCODE</v>
      </c>
      <c r="C4282" t="s">
        <v>5372</v>
      </c>
      <c r="D4282" t="s">
        <v>1618</v>
      </c>
      <c r="E4282" t="s">
        <v>460</v>
      </c>
      <c r="F4282" t="s">
        <v>21</v>
      </c>
      <c r="G4282" t="s">
        <v>4154</v>
      </c>
      <c r="H4282">
        <v>0</v>
      </c>
      <c r="I4282">
        <v>1</v>
      </c>
      <c r="J4282">
        <v>0</v>
      </c>
      <c r="K4282">
        <v>0</v>
      </c>
      <c r="L4282">
        <v>0</v>
      </c>
    </row>
    <row r="4283" spans="1:12">
      <c r="A4283" t="str">
        <f>HYPERLINK("http://bombeiros.sp.gov.br/hidrantes/03individual/3699.html","3699")</f>
        <v>3699</v>
      </c>
      <c r="B4283" t="str">
        <f>HYPERLINK("http://bombeiros.sp.gov.br/hidrantes/08bsg/qrcodeBSG.html?id=3699&amp;lat=-23.60441&amp;long=-46.58804&amp;tipo=S","QRCODE")</f>
        <v>QRCODE</v>
      </c>
      <c r="C4283" t="s">
        <v>5372</v>
      </c>
      <c r="D4283" t="s">
        <v>1618</v>
      </c>
      <c r="E4283" t="s">
        <v>460</v>
      </c>
      <c r="F4283" t="s">
        <v>21</v>
      </c>
      <c r="G4283" t="s">
        <v>2140</v>
      </c>
      <c r="H4283">
        <v>0</v>
      </c>
      <c r="I4283">
        <v>2</v>
      </c>
      <c r="J4283">
        <v>0</v>
      </c>
      <c r="K4283">
        <v>0</v>
      </c>
      <c r="L4283">
        <v>0</v>
      </c>
    </row>
    <row r="4284" spans="1:12">
      <c r="A4284" t="str">
        <f>HYPERLINK("http://bombeiros.sp.gov.br/hidrantes/03individual/3700.html","3700")</f>
        <v>3700</v>
      </c>
      <c r="B4284" t="str">
        <f>HYPERLINK("http://bombeiros.sp.gov.br/hidrantes/08bsg/qrcodeBSG.html?id=3700&amp;lat=-23.60230&amp;long=-46.58894&amp;tipo=S","QRCODE")</f>
        <v>QRCODE</v>
      </c>
      <c r="C4284" t="s">
        <v>5372</v>
      </c>
      <c r="D4284" t="s">
        <v>1618</v>
      </c>
      <c r="E4284" t="s">
        <v>460</v>
      </c>
      <c r="F4284" t="s">
        <v>21</v>
      </c>
      <c r="G4284" t="s">
        <v>4342</v>
      </c>
      <c r="H4284">
        <v>1</v>
      </c>
      <c r="I4284">
        <v>2</v>
      </c>
      <c r="J4284">
        <v>0</v>
      </c>
      <c r="K4284">
        <v>0</v>
      </c>
      <c r="L4284">
        <v>0</v>
      </c>
    </row>
    <row r="4285" spans="1:12">
      <c r="A4285" t="str">
        <f>HYPERLINK("http://bombeiros.sp.gov.br/hidrantes/03individual/3702.html","3702")</f>
        <v>3702</v>
      </c>
      <c r="B4285" t="str">
        <f>HYPERLINK("http://bombeiros.sp.gov.br/hidrantes/08bsg/qrcodeBSG.html?id=3702&amp;lat=-23.60061&amp;long=-46.58474&amp;tipo=S","QRCODE")</f>
        <v>QRCODE</v>
      </c>
      <c r="C4285" t="s">
        <v>5372</v>
      </c>
      <c r="D4285" t="s">
        <v>1618</v>
      </c>
      <c r="E4285" t="s">
        <v>460</v>
      </c>
      <c r="F4285" t="s">
        <v>21</v>
      </c>
      <c r="G4285" t="s">
        <v>3818</v>
      </c>
      <c r="H4285">
        <v>0</v>
      </c>
      <c r="I4285">
        <v>3</v>
      </c>
      <c r="J4285">
        <v>0</v>
      </c>
      <c r="K4285">
        <v>0</v>
      </c>
      <c r="L4285">
        <v>0</v>
      </c>
    </row>
    <row r="4286" spans="1:12">
      <c r="A4286" t="str">
        <f>HYPERLINK("http://bombeiros.sp.gov.br/hidrantes/03individual/3705.html","3705")</f>
        <v>3705</v>
      </c>
      <c r="B4286" t="str">
        <f>HYPERLINK("http://bombeiros.sp.gov.br/hidrantes/08bsg/qrcodeBSG.html?id=3705&amp;lat=-23.60304&amp;long=-46.58507&amp;tipo=S","QRCODE")</f>
        <v>QRCODE</v>
      </c>
      <c r="C4286" t="s">
        <v>5372</v>
      </c>
      <c r="D4286" t="s">
        <v>1618</v>
      </c>
      <c r="E4286" t="s">
        <v>460</v>
      </c>
      <c r="F4286" t="s">
        <v>21</v>
      </c>
      <c r="G4286" t="s">
        <v>4343</v>
      </c>
      <c r="H4286">
        <v>1</v>
      </c>
      <c r="I4286">
        <v>1</v>
      </c>
      <c r="J4286">
        <v>0</v>
      </c>
      <c r="K4286">
        <v>0</v>
      </c>
      <c r="L4286">
        <v>0</v>
      </c>
    </row>
    <row r="4287" spans="1:12">
      <c r="A4287" t="str">
        <f>HYPERLINK("http://bombeiros.sp.gov.br/hidrantes/03individual/16599.html","16599")</f>
        <v>16599</v>
      </c>
      <c r="B4287" t="str">
        <f>HYPERLINK("http://bombeiros.sp.gov.br/hidrantes/08bsg/qrcodeBSG.html?id=16599&amp;lat=-23.59508&amp;long=-46.59085&amp;tipo=S","QRCODE")</f>
        <v>QRCODE</v>
      </c>
      <c r="C4287" t="s">
        <v>5372</v>
      </c>
      <c r="D4287" t="s">
        <v>1618</v>
      </c>
      <c r="E4287" t="s">
        <v>460</v>
      </c>
      <c r="F4287" t="s">
        <v>21</v>
      </c>
      <c r="G4287" t="s">
        <v>4184</v>
      </c>
      <c r="H4287">
        <v>0</v>
      </c>
      <c r="I4287">
        <v>1</v>
      </c>
      <c r="J4287">
        <v>0</v>
      </c>
      <c r="K4287">
        <v>0</v>
      </c>
      <c r="L4287">
        <v>0</v>
      </c>
    </row>
    <row r="4288" spans="1:12">
      <c r="A4288" t="str">
        <f>HYPERLINK("http://bombeiros.sp.gov.br/hidrantes/03individual/16642.html","16642")</f>
        <v>16642</v>
      </c>
      <c r="B4288" t="str">
        <f>HYPERLINK("http://bombeiros.sp.gov.br/hidrantes/08bsg/qrcodeBSG.html?id=16642&amp;lat=-23.60172&amp;long=-46.58669&amp;tipo=S","QRCODE")</f>
        <v>QRCODE</v>
      </c>
      <c r="C4288" t="s">
        <v>5372</v>
      </c>
      <c r="D4288" t="s">
        <v>1618</v>
      </c>
      <c r="E4288" t="s">
        <v>460</v>
      </c>
      <c r="F4288" t="s">
        <v>21</v>
      </c>
      <c r="G4288" t="s">
        <v>4180</v>
      </c>
      <c r="H4288">
        <v>0</v>
      </c>
      <c r="I4288">
        <v>1</v>
      </c>
      <c r="J4288">
        <v>0</v>
      </c>
      <c r="K4288">
        <v>0</v>
      </c>
      <c r="L4288">
        <v>0</v>
      </c>
    </row>
    <row r="4289" spans="1:12">
      <c r="A4289" t="str">
        <f>HYPERLINK("http://bombeiros.sp.gov.br/hidrantes/03individual/17872.html","17872")</f>
        <v>17872</v>
      </c>
      <c r="B4289" t="str">
        <f>HYPERLINK("http://bombeiros.sp.gov.br/hidrantes/08bsg/qrcodeBSG.html?id=17872&amp;lat=-23.60402&amp;long=-46.58170&amp;tipo=S","QRCODE")</f>
        <v>QRCODE</v>
      </c>
      <c r="C4289" t="s">
        <v>5372</v>
      </c>
      <c r="D4289" t="s">
        <v>1618</v>
      </c>
      <c r="E4289" t="s">
        <v>460</v>
      </c>
      <c r="F4289" t="s">
        <v>21</v>
      </c>
      <c r="G4289" t="s">
        <v>3828</v>
      </c>
      <c r="H4289">
        <v>0</v>
      </c>
      <c r="I4289">
        <v>2</v>
      </c>
      <c r="J4289">
        <v>0</v>
      </c>
      <c r="K4289">
        <v>0</v>
      </c>
      <c r="L4289">
        <v>0</v>
      </c>
    </row>
    <row r="4290" spans="1:12">
      <c r="A4290" t="str">
        <f>HYPERLINK("http://bombeiros.sp.gov.br/hidrantes/03individual/2983.html","2983")</f>
        <v>2983</v>
      </c>
      <c r="B4290" t="str">
        <f>HYPERLINK("http://bombeiros.sp.gov.br/hidrantes/08bsg/qrcodeBSG.html?id=2983&amp;lat=-23.58402&amp;long=-46.59706&amp;tipo=C","QRCODE")</f>
        <v>QRCODE</v>
      </c>
      <c r="C4290" t="s">
        <v>5372</v>
      </c>
      <c r="D4290" t="s">
        <v>1618</v>
      </c>
      <c r="E4290" t="s">
        <v>403</v>
      </c>
      <c r="F4290" t="s">
        <v>12</v>
      </c>
      <c r="G4290" t="s">
        <v>3821</v>
      </c>
      <c r="H4290">
        <v>0</v>
      </c>
      <c r="I4290">
        <v>4</v>
      </c>
      <c r="J4290">
        <v>0</v>
      </c>
      <c r="K4290">
        <v>0</v>
      </c>
      <c r="L4290">
        <v>0</v>
      </c>
    </row>
    <row r="4291" spans="1:12">
      <c r="A4291" t="str">
        <f>HYPERLINK("http://bombeiros.sp.gov.br/hidrantes/03individual/21.html","21")</f>
        <v>21</v>
      </c>
      <c r="B4291" t="str">
        <f>HYPERLINK("http://bombeiros.sp.gov.br/hidrantes/08bsg/qrcodeBSG.html?id=21&amp;lat=-23.57694&amp;long=-46.60716&amp;tipo=S","QRCODE")</f>
        <v>QRCODE</v>
      </c>
      <c r="C4291" t="s">
        <v>5372</v>
      </c>
      <c r="D4291" t="s">
        <v>1618</v>
      </c>
      <c r="E4291" t="s">
        <v>403</v>
      </c>
      <c r="F4291" t="s">
        <v>21</v>
      </c>
      <c r="G4291" t="s">
        <v>1611</v>
      </c>
      <c r="H4291">
        <v>0</v>
      </c>
      <c r="I4291">
        <v>2</v>
      </c>
      <c r="J4291">
        <v>0</v>
      </c>
      <c r="K4291">
        <v>0</v>
      </c>
      <c r="L4291">
        <v>0</v>
      </c>
    </row>
    <row r="4292" spans="1:12">
      <c r="A4292" t="str">
        <f>HYPERLINK("http://bombeiros.sp.gov.br/hidrantes/03individual/190.html","190")</f>
        <v>190</v>
      </c>
      <c r="B4292" t="str">
        <f>HYPERLINK("http://bombeiros.sp.gov.br/hidrantes/08bsg/qrcodeBSG.html?id=190&amp;lat=-23.59338&amp;long=-46.59515&amp;tipo=S","QRCODE")</f>
        <v>QRCODE</v>
      </c>
      <c r="C4292" t="s">
        <v>5372</v>
      </c>
      <c r="D4292" t="s">
        <v>1618</v>
      </c>
      <c r="E4292" t="s">
        <v>403</v>
      </c>
      <c r="F4292" t="s">
        <v>21</v>
      </c>
      <c r="G4292" t="s">
        <v>1615</v>
      </c>
      <c r="H4292">
        <v>1</v>
      </c>
      <c r="I4292">
        <v>2</v>
      </c>
      <c r="J4292">
        <v>0</v>
      </c>
      <c r="K4292">
        <v>0</v>
      </c>
      <c r="L4292">
        <v>0</v>
      </c>
    </row>
    <row r="4293" spans="1:12">
      <c r="A4293" t="str">
        <f>HYPERLINK("http://bombeiros.sp.gov.br/hidrantes/03individual/1767.html","1767")</f>
        <v>1767</v>
      </c>
      <c r="B4293" t="str">
        <f>HYPERLINK("http://bombeiros.sp.gov.br/hidrantes/08bsg/qrcodeBSG.html?id=1767&amp;lat=-23.57850&amp;long=-46.60842&amp;tipo=S","QRCODE")</f>
        <v>QRCODE</v>
      </c>
      <c r="C4293" t="s">
        <v>5372</v>
      </c>
      <c r="D4293" t="s">
        <v>1618</v>
      </c>
      <c r="E4293" t="s">
        <v>403</v>
      </c>
      <c r="F4293" t="s">
        <v>21</v>
      </c>
      <c r="G4293" t="s">
        <v>4560</v>
      </c>
      <c r="H4293">
        <v>0</v>
      </c>
      <c r="I4293">
        <v>2</v>
      </c>
      <c r="J4293">
        <v>0</v>
      </c>
      <c r="K4293">
        <v>0</v>
      </c>
      <c r="L4293">
        <v>0</v>
      </c>
    </row>
    <row r="4294" spans="1:12">
      <c r="A4294" t="str">
        <f>HYPERLINK("http://bombeiros.sp.gov.br/hidrantes/03individual/1769.html","1769")</f>
        <v>1769</v>
      </c>
      <c r="B4294" t="str">
        <f>HYPERLINK("http://bombeiros.sp.gov.br/hidrantes/08bsg/qrcodeBSG.html?id=1769&amp;lat=-23.57732&amp;long=-46.60888&amp;tipo=S","QRCODE")</f>
        <v>QRCODE</v>
      </c>
      <c r="C4294" t="s">
        <v>5372</v>
      </c>
      <c r="D4294" t="s">
        <v>1618</v>
      </c>
      <c r="E4294" t="s">
        <v>403</v>
      </c>
      <c r="F4294" t="s">
        <v>21</v>
      </c>
      <c r="G4294" t="s">
        <v>3728</v>
      </c>
      <c r="H4294">
        <v>0</v>
      </c>
      <c r="I4294">
        <v>2</v>
      </c>
      <c r="J4294">
        <v>0</v>
      </c>
      <c r="K4294">
        <v>0</v>
      </c>
      <c r="L4294">
        <v>0</v>
      </c>
    </row>
    <row r="4295" spans="1:12">
      <c r="A4295" t="str">
        <f>HYPERLINK("http://bombeiros.sp.gov.br/hidrantes/03individual/1782.html","1782")</f>
        <v>1782</v>
      </c>
      <c r="B4295" t="str">
        <f>HYPERLINK("http://bombeiros.sp.gov.br/hidrantes/08bsg/qrcodeBSG.html?id=1782&amp;lat=-23.56834&amp;long=-46.60483&amp;tipo=S","QRCODE")</f>
        <v>QRCODE</v>
      </c>
      <c r="C4295" t="s">
        <v>5372</v>
      </c>
      <c r="D4295" t="s">
        <v>1618</v>
      </c>
      <c r="E4295" t="s">
        <v>403</v>
      </c>
      <c r="F4295" t="s">
        <v>21</v>
      </c>
      <c r="G4295" t="s">
        <v>402</v>
      </c>
      <c r="H4295">
        <v>1</v>
      </c>
      <c r="I4295">
        <v>4</v>
      </c>
      <c r="J4295">
        <v>0</v>
      </c>
      <c r="K4295">
        <v>0</v>
      </c>
      <c r="L4295">
        <v>0</v>
      </c>
    </row>
    <row r="4296" spans="1:12">
      <c r="A4296" t="str">
        <f>HYPERLINK("http://bombeiros.sp.gov.br/hidrantes/03individual/1789.html","1789")</f>
        <v>1789</v>
      </c>
      <c r="B4296" t="str">
        <f>HYPERLINK("http://bombeiros.sp.gov.br/hidrantes/08bsg/qrcodeBSG.html?id=1789&amp;lat=-23.57035&amp;long=-46.60587&amp;tipo=S","QRCODE")</f>
        <v>QRCODE</v>
      </c>
      <c r="C4296" t="s">
        <v>5372</v>
      </c>
      <c r="D4296" t="s">
        <v>1618</v>
      </c>
      <c r="E4296" t="s">
        <v>403</v>
      </c>
      <c r="F4296" t="s">
        <v>21</v>
      </c>
      <c r="G4296" t="s">
        <v>4800</v>
      </c>
      <c r="H4296">
        <v>1</v>
      </c>
      <c r="I4296">
        <v>1</v>
      </c>
      <c r="J4296">
        <v>0</v>
      </c>
      <c r="K4296">
        <v>0</v>
      </c>
      <c r="L4296">
        <v>0</v>
      </c>
    </row>
    <row r="4297" spans="1:12">
      <c r="A4297" t="str">
        <f>HYPERLINK("http://bombeiros.sp.gov.br/hidrantes/03individual/1791.html","1791")</f>
        <v>1791</v>
      </c>
      <c r="B4297" t="str">
        <f>HYPERLINK("http://bombeiros.sp.gov.br/hidrantes/08bsg/qrcodeBSG.html?id=1791&amp;lat=-23.57053&amp;long=-46.60674&amp;tipo=S","QRCODE")</f>
        <v>QRCODE</v>
      </c>
      <c r="C4297" t="s">
        <v>5372</v>
      </c>
      <c r="D4297" t="s">
        <v>1618</v>
      </c>
      <c r="E4297" t="s">
        <v>403</v>
      </c>
      <c r="F4297" t="s">
        <v>21</v>
      </c>
      <c r="G4297" t="s">
        <v>759</v>
      </c>
      <c r="H4297">
        <v>1</v>
      </c>
      <c r="I4297">
        <v>2</v>
      </c>
      <c r="J4297">
        <v>0</v>
      </c>
      <c r="K4297">
        <v>0</v>
      </c>
      <c r="L4297">
        <v>0</v>
      </c>
    </row>
    <row r="4298" spans="1:12">
      <c r="A4298" t="str">
        <f>HYPERLINK("http://bombeiros.sp.gov.br/hidrantes/03individual/1875.html","1875")</f>
        <v>1875</v>
      </c>
      <c r="B4298" t="str">
        <f>HYPERLINK("http://bombeiros.sp.gov.br/hidrantes/08bsg/qrcodeBSG.html?id=1875&amp;lat=-23.57946&amp;long=-46.60174&amp;tipo=S","QRCODE")</f>
        <v>QRCODE</v>
      </c>
      <c r="C4298" t="s">
        <v>5372</v>
      </c>
      <c r="D4298" t="s">
        <v>1618</v>
      </c>
      <c r="E4298" t="s">
        <v>403</v>
      </c>
      <c r="F4298" t="s">
        <v>21</v>
      </c>
      <c r="G4298" t="s">
        <v>4563</v>
      </c>
      <c r="H4298">
        <v>0</v>
      </c>
      <c r="I4298">
        <v>2</v>
      </c>
      <c r="J4298">
        <v>0</v>
      </c>
      <c r="K4298">
        <v>0</v>
      </c>
      <c r="L4298">
        <v>0</v>
      </c>
    </row>
    <row r="4299" spans="1:12">
      <c r="A4299" t="str">
        <f>HYPERLINK("http://bombeiros.sp.gov.br/hidrantes/03individual/1895.html","1895")</f>
        <v>1895</v>
      </c>
      <c r="B4299" t="str">
        <f>HYPERLINK("http://bombeiros.sp.gov.br/hidrantes/08bsg/qrcodeBSG.html?id=1895&amp;lat=-23.57791&amp;long=-46.60224&amp;tipo=S","QRCODE")</f>
        <v>QRCODE</v>
      </c>
      <c r="C4299" t="s">
        <v>5372</v>
      </c>
      <c r="D4299" t="s">
        <v>1618</v>
      </c>
      <c r="E4299" t="s">
        <v>403</v>
      </c>
      <c r="F4299" t="s">
        <v>21</v>
      </c>
      <c r="G4299" t="s">
        <v>566</v>
      </c>
      <c r="H4299">
        <v>0</v>
      </c>
      <c r="I4299">
        <v>2</v>
      </c>
      <c r="J4299">
        <v>0</v>
      </c>
      <c r="K4299">
        <v>0</v>
      </c>
      <c r="L4299">
        <v>0</v>
      </c>
    </row>
    <row r="4300" spans="1:12">
      <c r="A4300" t="str">
        <f>HYPERLINK("http://bombeiros.sp.gov.br/hidrantes/03individual/2977.html","2977")</f>
        <v>2977</v>
      </c>
      <c r="B4300" t="str">
        <f>HYPERLINK("http://bombeiros.sp.gov.br/hidrantes/08bsg/qrcodeBSG.html?id=2977&amp;lat=-23.57873&amp;long=-46.59951&amp;tipo=S","QRCODE")</f>
        <v>QRCODE</v>
      </c>
      <c r="C4300" t="s">
        <v>5372</v>
      </c>
      <c r="D4300" t="s">
        <v>1618</v>
      </c>
      <c r="E4300" t="s">
        <v>403</v>
      </c>
      <c r="F4300" t="s">
        <v>21</v>
      </c>
      <c r="G4300" t="s">
        <v>3822</v>
      </c>
      <c r="H4300">
        <v>0</v>
      </c>
      <c r="I4300">
        <v>2</v>
      </c>
      <c r="J4300">
        <v>0</v>
      </c>
      <c r="K4300">
        <v>0</v>
      </c>
      <c r="L4300">
        <v>0</v>
      </c>
    </row>
    <row r="4301" spans="1:12">
      <c r="A4301" t="str">
        <f>HYPERLINK("http://bombeiros.sp.gov.br/hidrantes/03individual/2988.html","2988")</f>
        <v>2988</v>
      </c>
      <c r="B4301" t="str">
        <f>HYPERLINK("http://bombeiros.sp.gov.br/hidrantes/08bsg/qrcodeBSG.html?id=2988&amp;lat=-23.58339&amp;long=-46.59712&amp;tipo=S","QRCODE")</f>
        <v>QRCODE</v>
      </c>
      <c r="C4301" t="s">
        <v>5372</v>
      </c>
      <c r="D4301" t="s">
        <v>1618</v>
      </c>
      <c r="E4301" t="s">
        <v>403</v>
      </c>
      <c r="F4301" t="s">
        <v>21</v>
      </c>
      <c r="G4301" t="s">
        <v>3824</v>
      </c>
      <c r="H4301">
        <v>1</v>
      </c>
      <c r="I4301">
        <v>1</v>
      </c>
      <c r="J4301">
        <v>0</v>
      </c>
      <c r="K4301">
        <v>0</v>
      </c>
      <c r="L4301">
        <v>0</v>
      </c>
    </row>
    <row r="4302" spans="1:12">
      <c r="A4302" t="str">
        <f>HYPERLINK("http://bombeiros.sp.gov.br/hidrantes/03individual/2990.html","2990")</f>
        <v>2990</v>
      </c>
      <c r="B4302" t="str">
        <f>HYPERLINK("http://bombeiros.sp.gov.br/hidrantes/08bsg/qrcodeBSG.html?id=2990&amp;lat=-23.58756&amp;long=-46.59532&amp;tipo=S","QRCODE")</f>
        <v>QRCODE</v>
      </c>
      <c r="C4302" t="s">
        <v>5372</v>
      </c>
      <c r="D4302" t="s">
        <v>1618</v>
      </c>
      <c r="E4302" t="s">
        <v>403</v>
      </c>
      <c r="F4302" t="s">
        <v>21</v>
      </c>
      <c r="G4302" t="s">
        <v>3823</v>
      </c>
      <c r="H4302">
        <v>0</v>
      </c>
      <c r="I4302">
        <v>2</v>
      </c>
      <c r="J4302">
        <v>0</v>
      </c>
      <c r="K4302">
        <v>0</v>
      </c>
      <c r="L4302">
        <v>0</v>
      </c>
    </row>
    <row r="4303" spans="1:12">
      <c r="A4303" t="str">
        <f>HYPERLINK("http://bombeiros.sp.gov.br/hidrantes/03individual/2992.html","2992")</f>
        <v>2992</v>
      </c>
      <c r="B4303" t="str">
        <f>HYPERLINK("http://bombeiros.sp.gov.br/hidrantes/08bsg/qrcodeBSG.html?id=2992&amp;lat=-23.59204&amp;long=-46.59346&amp;tipo=S","QRCODE")</f>
        <v>QRCODE</v>
      </c>
      <c r="C4303" t="s">
        <v>5372</v>
      </c>
      <c r="D4303" t="s">
        <v>1618</v>
      </c>
      <c r="E4303" t="s">
        <v>403</v>
      </c>
      <c r="F4303" t="s">
        <v>21</v>
      </c>
      <c r="G4303" t="s">
        <v>1698</v>
      </c>
      <c r="H4303">
        <v>0</v>
      </c>
      <c r="I4303">
        <v>2</v>
      </c>
      <c r="J4303">
        <v>0</v>
      </c>
      <c r="K4303">
        <v>0</v>
      </c>
      <c r="L4303">
        <v>0</v>
      </c>
    </row>
    <row r="4304" spans="1:12">
      <c r="A4304" t="str">
        <f>HYPERLINK("http://bombeiros.sp.gov.br/hidrantes/03individual/3014.html","3014")</f>
        <v>3014</v>
      </c>
      <c r="B4304" t="str">
        <f>HYPERLINK("http://bombeiros.sp.gov.br/hidrantes/08bsg/qrcodeBSG.html?id=3014&amp;lat=-23.59431&amp;long=-46.59719&amp;tipo=S","QRCODE")</f>
        <v>QRCODE</v>
      </c>
      <c r="C4304" t="s">
        <v>5372</v>
      </c>
      <c r="D4304" t="s">
        <v>1618</v>
      </c>
      <c r="E4304" t="s">
        <v>403</v>
      </c>
      <c r="F4304" t="s">
        <v>21</v>
      </c>
      <c r="G4304" t="s">
        <v>2170</v>
      </c>
      <c r="H4304">
        <v>0</v>
      </c>
      <c r="I4304">
        <v>2</v>
      </c>
      <c r="J4304">
        <v>0</v>
      </c>
      <c r="K4304">
        <v>0</v>
      </c>
      <c r="L4304">
        <v>0</v>
      </c>
    </row>
    <row r="4305" spans="1:12">
      <c r="A4305" t="str">
        <f>HYPERLINK("http://bombeiros.sp.gov.br/hidrantes/03individual/3024.html","3024")</f>
        <v>3024</v>
      </c>
      <c r="B4305" t="str">
        <f>HYPERLINK("http://bombeiros.sp.gov.br/hidrantes/08bsg/qrcodeBSG.html?id=3024&amp;lat=-23.58203&amp;long=-46.59782&amp;tipo=S","QRCODE")</f>
        <v>QRCODE</v>
      </c>
      <c r="C4305" t="s">
        <v>5372</v>
      </c>
      <c r="D4305" t="s">
        <v>1618</v>
      </c>
      <c r="E4305" t="s">
        <v>403</v>
      </c>
      <c r="F4305" t="s">
        <v>21</v>
      </c>
      <c r="G4305" t="s">
        <v>3825</v>
      </c>
      <c r="H4305">
        <v>0</v>
      </c>
      <c r="I4305">
        <v>2</v>
      </c>
      <c r="J4305">
        <v>0</v>
      </c>
      <c r="K4305">
        <v>0</v>
      </c>
      <c r="L4305">
        <v>0</v>
      </c>
    </row>
    <row r="4306" spans="1:12">
      <c r="A4306" t="str">
        <f>HYPERLINK("http://bombeiros.sp.gov.br/hidrantes/03individual/10012.html","10012")</f>
        <v>10012</v>
      </c>
      <c r="B4306" t="str">
        <f>HYPERLINK("http://bombeiros.sp.gov.br/hidrantes/08bsg/qrcodeBSG.html?id=10012&amp;lat=-23.57945&amp;long=-46.59913&amp;tipo=S","QRCODE")</f>
        <v>QRCODE</v>
      </c>
      <c r="C4306" t="s">
        <v>5372</v>
      </c>
      <c r="D4306" t="s">
        <v>1618</v>
      </c>
      <c r="E4306" t="s">
        <v>403</v>
      </c>
      <c r="F4306" t="s">
        <v>21</v>
      </c>
      <c r="G4306" t="s">
        <v>3819</v>
      </c>
      <c r="H4306">
        <v>0</v>
      </c>
      <c r="I4306">
        <v>2</v>
      </c>
      <c r="J4306">
        <v>0</v>
      </c>
      <c r="K4306">
        <v>0</v>
      </c>
      <c r="L4306">
        <v>0</v>
      </c>
    </row>
    <row r="4307" spans="1:12">
      <c r="A4307" t="str">
        <f>HYPERLINK("http://bombeiros.sp.gov.br/hidrantes/03individual/10013.html","10013")</f>
        <v>10013</v>
      </c>
      <c r="B4307" t="str">
        <f>HYPERLINK("http://bombeiros.sp.gov.br/hidrantes/08bsg/qrcodeBSG.html?id=10013&amp;lat=-23.57975&amp;long=-46.59913&amp;tipo=S","QRCODE")</f>
        <v>QRCODE</v>
      </c>
      <c r="C4307" t="s">
        <v>5372</v>
      </c>
      <c r="D4307" t="s">
        <v>1618</v>
      </c>
      <c r="E4307" t="s">
        <v>403</v>
      </c>
      <c r="F4307" t="s">
        <v>21</v>
      </c>
      <c r="G4307" t="s">
        <v>3820</v>
      </c>
      <c r="H4307">
        <v>0</v>
      </c>
      <c r="I4307">
        <v>2</v>
      </c>
      <c r="J4307">
        <v>0</v>
      </c>
      <c r="K4307">
        <v>0</v>
      </c>
      <c r="L4307">
        <v>0</v>
      </c>
    </row>
    <row r="4308" spans="1:12">
      <c r="A4308" t="str">
        <f>HYPERLINK("http://bombeiros.sp.gov.br/hidrantes/03individual/16469.html","16469")</f>
        <v>16469</v>
      </c>
      <c r="B4308" t="str">
        <f>HYPERLINK("http://bombeiros.sp.gov.br/hidrantes/08bsg/qrcodeBSG.html?id=16469&amp;lat=-23.57798&amp;long=-46.59984&amp;tipo=S","QRCODE")</f>
        <v>QRCODE</v>
      </c>
      <c r="C4308" t="s">
        <v>5372</v>
      </c>
      <c r="D4308" t="s">
        <v>1618</v>
      </c>
      <c r="E4308" t="s">
        <v>403</v>
      </c>
      <c r="F4308" t="s">
        <v>21</v>
      </c>
      <c r="G4308" t="s">
        <v>3763</v>
      </c>
      <c r="H4308">
        <v>0</v>
      </c>
      <c r="I4308">
        <v>2</v>
      </c>
      <c r="J4308">
        <v>0</v>
      </c>
      <c r="K4308">
        <v>0</v>
      </c>
      <c r="L4308">
        <v>0</v>
      </c>
    </row>
    <row r="4309" spans="1:12">
      <c r="A4309" t="str">
        <f>HYPERLINK("http://bombeiros.sp.gov.br/hidrantes/03individual/16559.html","16559")</f>
        <v>16559</v>
      </c>
      <c r="B4309" t="str">
        <f>HYPERLINK("http://bombeiros.sp.gov.br/hidrantes/08bsg/qrcodeBSG.html?id=16559&amp;lat=-23.57800&amp;long=-46.60170&amp;tipo=S","QRCODE")</f>
        <v>QRCODE</v>
      </c>
      <c r="C4309" t="s">
        <v>5372</v>
      </c>
      <c r="D4309" t="s">
        <v>1618</v>
      </c>
      <c r="E4309" t="s">
        <v>403</v>
      </c>
      <c r="F4309" t="s">
        <v>21</v>
      </c>
      <c r="G4309" t="s">
        <v>4934</v>
      </c>
      <c r="H4309">
        <v>0</v>
      </c>
      <c r="I4309">
        <v>1</v>
      </c>
      <c r="J4309">
        <v>0</v>
      </c>
      <c r="K4309">
        <v>0</v>
      </c>
      <c r="L4309">
        <v>0</v>
      </c>
    </row>
    <row r="4310" spans="1:12">
      <c r="A4310" t="str">
        <f>HYPERLINK("http://bombeiros.sp.gov.br/hidrantes/03individual/16592.html","16592")</f>
        <v>16592</v>
      </c>
      <c r="B4310" t="str">
        <f>HYPERLINK("http://bombeiros.sp.gov.br/hidrantes/08bsg/qrcodeBSG.html?id=16592&amp;lat=-23.57484&amp;long=-46.60157&amp;tipo=S","QRCODE")</f>
        <v>QRCODE</v>
      </c>
      <c r="C4310" t="s">
        <v>5372</v>
      </c>
      <c r="D4310" t="s">
        <v>1618</v>
      </c>
      <c r="E4310" t="s">
        <v>403</v>
      </c>
      <c r="F4310" t="s">
        <v>21</v>
      </c>
      <c r="G4310" t="s">
        <v>3830</v>
      </c>
      <c r="H4310">
        <v>0</v>
      </c>
      <c r="I4310">
        <v>2</v>
      </c>
      <c r="J4310">
        <v>0</v>
      </c>
      <c r="K4310">
        <v>0</v>
      </c>
      <c r="L4310">
        <v>0</v>
      </c>
    </row>
    <row r="4311" spans="1:12">
      <c r="A4311" t="str">
        <f>HYPERLINK("http://bombeiros.sp.gov.br/hidrantes/03individual/25202.html","25202")</f>
        <v>25202</v>
      </c>
      <c r="B4311" t="str">
        <f>HYPERLINK("http://bombeiros.sp.gov.br/hidrantes/08bsg/qrcodeBSG.html?id=25202&amp;lat=-23.57695&amp;long=-46.60030&amp;tipo=S","QRCODE")</f>
        <v>QRCODE</v>
      </c>
      <c r="C4311" t="s">
        <v>5372</v>
      </c>
      <c r="D4311" t="s">
        <v>1618</v>
      </c>
      <c r="E4311" t="s">
        <v>403</v>
      </c>
      <c r="F4311" t="s">
        <v>21</v>
      </c>
      <c r="G4311" t="s">
        <v>3829</v>
      </c>
      <c r="H4311">
        <v>0</v>
      </c>
      <c r="I4311">
        <v>2</v>
      </c>
      <c r="J4311">
        <v>0</v>
      </c>
      <c r="K4311">
        <v>0</v>
      </c>
      <c r="L4311">
        <v>0</v>
      </c>
    </row>
    <row r="4312" spans="1:12">
      <c r="A4312" t="str">
        <f>HYPERLINK("http://bombeiros.sp.gov.br/hidrantes/03individual/23.html","23")</f>
        <v>23</v>
      </c>
      <c r="B4312" t="str">
        <f>HYPERLINK("http://bombeiros.sp.gov.br/hidrantes/08bsg/qrcodeBSG.html?id=23&amp;lat=-23.57856&amp;long=-46.60599&amp;tipo=S","QRCODE")</f>
        <v>QRCODE</v>
      </c>
      <c r="C4312" t="s">
        <v>5372</v>
      </c>
      <c r="D4312" t="s">
        <v>1618</v>
      </c>
      <c r="E4312" t="s">
        <v>761</v>
      </c>
      <c r="F4312" t="s">
        <v>21</v>
      </c>
      <c r="G4312" t="s">
        <v>1612</v>
      </c>
      <c r="H4312">
        <v>0</v>
      </c>
      <c r="I4312">
        <v>2</v>
      </c>
      <c r="J4312">
        <v>0</v>
      </c>
      <c r="K4312">
        <v>0</v>
      </c>
      <c r="L4312">
        <v>0</v>
      </c>
    </row>
    <row r="4313" spans="1:12">
      <c r="A4313" t="str">
        <f>HYPERLINK("http://bombeiros.sp.gov.br/hidrantes/03individual/37.html","37")</f>
        <v>37</v>
      </c>
      <c r="B4313" t="str">
        <f>HYPERLINK("http://bombeiros.sp.gov.br/hidrantes/08bsg/qrcodeBSG.html?id=37&amp;lat=-23.57720&amp;long=-46.60610&amp;tipo=S","QRCODE")</f>
        <v>QRCODE</v>
      </c>
      <c r="C4313" t="s">
        <v>5372</v>
      </c>
      <c r="D4313" t="s">
        <v>1618</v>
      </c>
      <c r="E4313" t="s">
        <v>761</v>
      </c>
      <c r="F4313" t="s">
        <v>21</v>
      </c>
      <c r="G4313" t="s">
        <v>2401</v>
      </c>
      <c r="H4313">
        <v>0</v>
      </c>
      <c r="I4313">
        <v>2</v>
      </c>
      <c r="J4313">
        <v>0</v>
      </c>
      <c r="K4313">
        <v>0</v>
      </c>
      <c r="L4313">
        <v>0</v>
      </c>
    </row>
    <row r="4314" spans="1:12">
      <c r="A4314" t="str">
        <f>HYPERLINK("http://bombeiros.sp.gov.br/hidrantes/03individual/84.html","84")</f>
        <v>84</v>
      </c>
      <c r="B4314" t="str">
        <f>HYPERLINK("http://bombeiros.sp.gov.br/hidrantes/08bsg/qrcodeBSG.html?id=84&amp;lat=-23.58089&amp;long=-46.60454&amp;tipo=S","QRCODE")</f>
        <v>QRCODE</v>
      </c>
      <c r="C4314" t="s">
        <v>5372</v>
      </c>
      <c r="D4314" t="s">
        <v>1618</v>
      </c>
      <c r="E4314" t="s">
        <v>761</v>
      </c>
      <c r="F4314" t="s">
        <v>21</v>
      </c>
      <c r="G4314" t="s">
        <v>1761</v>
      </c>
      <c r="H4314">
        <v>0</v>
      </c>
      <c r="I4314">
        <v>2</v>
      </c>
      <c r="J4314">
        <v>0</v>
      </c>
      <c r="K4314">
        <v>0</v>
      </c>
      <c r="L4314">
        <v>0</v>
      </c>
    </row>
    <row r="4315" spans="1:12">
      <c r="A4315" t="str">
        <f>HYPERLINK("http://bombeiros.sp.gov.br/hidrantes/03individual/135.html","135")</f>
        <v>135</v>
      </c>
      <c r="B4315" t="str">
        <f>HYPERLINK("http://bombeiros.sp.gov.br/hidrantes/08bsg/qrcodeBSG.html?id=135&amp;lat=-23.58167&amp;long=-46.60134&amp;tipo=S","QRCODE")</f>
        <v>QRCODE</v>
      </c>
      <c r="C4315" t="s">
        <v>5372</v>
      </c>
      <c r="D4315" t="s">
        <v>1618</v>
      </c>
      <c r="E4315" t="s">
        <v>761</v>
      </c>
      <c r="F4315" t="s">
        <v>21</v>
      </c>
      <c r="G4315" t="s">
        <v>1608</v>
      </c>
      <c r="H4315">
        <v>0</v>
      </c>
      <c r="I4315">
        <v>2</v>
      </c>
      <c r="J4315">
        <v>0</v>
      </c>
      <c r="K4315">
        <v>0</v>
      </c>
      <c r="L4315">
        <v>0</v>
      </c>
    </row>
    <row r="4316" spans="1:12">
      <c r="A4316" t="str">
        <f>HYPERLINK("http://bombeiros.sp.gov.br/hidrantes/03individual/136.html","136")</f>
        <v>136</v>
      </c>
      <c r="B4316" t="str">
        <f>HYPERLINK("http://bombeiros.sp.gov.br/hidrantes/08bsg/qrcodeBSG.html?id=136&amp;lat=-23.58083&amp;long=-46.60164&amp;tipo=S","QRCODE")</f>
        <v>QRCODE</v>
      </c>
      <c r="C4316" t="s">
        <v>5372</v>
      </c>
      <c r="D4316" t="s">
        <v>1618</v>
      </c>
      <c r="E4316" t="s">
        <v>761</v>
      </c>
      <c r="F4316" t="s">
        <v>21</v>
      </c>
      <c r="G4316" t="s">
        <v>1757</v>
      </c>
      <c r="H4316">
        <v>0</v>
      </c>
      <c r="I4316">
        <v>2</v>
      </c>
      <c r="J4316">
        <v>0</v>
      </c>
      <c r="K4316">
        <v>0</v>
      </c>
      <c r="L4316">
        <v>0</v>
      </c>
    </row>
    <row r="4317" spans="1:12">
      <c r="A4317" t="str">
        <f>HYPERLINK("http://bombeiros.sp.gov.br/hidrantes/03individual/150.html","150")</f>
        <v>150</v>
      </c>
      <c r="B4317" t="str">
        <f>HYPERLINK("http://bombeiros.sp.gov.br/hidrantes/08bsg/qrcodeBSG.html?id=150&amp;lat=-23.57972&amp;long=-46.60225&amp;tipo=S","QRCODE")</f>
        <v>QRCODE</v>
      </c>
      <c r="C4317" t="s">
        <v>5372</v>
      </c>
      <c r="D4317" t="s">
        <v>1618</v>
      </c>
      <c r="E4317" t="s">
        <v>761</v>
      </c>
      <c r="F4317" t="s">
        <v>21</v>
      </c>
      <c r="G4317" t="s">
        <v>2399</v>
      </c>
      <c r="H4317">
        <v>0</v>
      </c>
      <c r="I4317">
        <v>2</v>
      </c>
      <c r="J4317">
        <v>0</v>
      </c>
      <c r="K4317">
        <v>0</v>
      </c>
      <c r="L4317">
        <v>0</v>
      </c>
    </row>
    <row r="4318" spans="1:12">
      <c r="A4318" t="str">
        <f>HYPERLINK("http://bombeiros.sp.gov.br/hidrantes/03individual/176.html","176")</f>
        <v>176</v>
      </c>
      <c r="B4318" t="str">
        <f>HYPERLINK("http://bombeiros.sp.gov.br/hidrantes/08bsg/qrcodeBSG.html?id=176&amp;lat=-23.58019&amp;long=-46.61636&amp;tipo=S","QRCODE")</f>
        <v>QRCODE</v>
      </c>
      <c r="C4318" t="s">
        <v>5372</v>
      </c>
      <c r="D4318" t="s">
        <v>1618</v>
      </c>
      <c r="E4318" t="s">
        <v>761</v>
      </c>
      <c r="F4318" t="s">
        <v>21</v>
      </c>
      <c r="G4318" t="s">
        <v>4578</v>
      </c>
      <c r="H4318">
        <v>0</v>
      </c>
      <c r="I4318">
        <v>2</v>
      </c>
      <c r="J4318">
        <v>0</v>
      </c>
      <c r="K4318">
        <v>0</v>
      </c>
      <c r="L4318">
        <v>0</v>
      </c>
    </row>
    <row r="4319" spans="1:12">
      <c r="A4319" t="str">
        <f>HYPERLINK("http://bombeiros.sp.gov.br/hidrantes/03individual/218.html","218")</f>
        <v>218</v>
      </c>
      <c r="B4319" t="str">
        <f>HYPERLINK("http://bombeiros.sp.gov.br/hidrantes/08bsg/qrcodeBSG.html?id=218&amp;lat=-23.58102&amp;long=-46.60782&amp;tipo=S","QRCODE")</f>
        <v>QRCODE</v>
      </c>
      <c r="C4319" t="s">
        <v>5372</v>
      </c>
      <c r="D4319" t="s">
        <v>1618</v>
      </c>
      <c r="E4319" t="s">
        <v>761</v>
      </c>
      <c r="F4319" t="s">
        <v>21</v>
      </c>
      <c r="G4319" t="s">
        <v>2504</v>
      </c>
      <c r="H4319">
        <v>0</v>
      </c>
      <c r="I4319">
        <v>3</v>
      </c>
      <c r="J4319">
        <v>0</v>
      </c>
      <c r="K4319">
        <v>0</v>
      </c>
      <c r="L4319">
        <v>0</v>
      </c>
    </row>
    <row r="4320" spans="1:12">
      <c r="A4320" t="str">
        <f>HYPERLINK("http://bombeiros.sp.gov.br/hidrantes/03individual/265.html","265")</f>
        <v>265</v>
      </c>
      <c r="B4320" t="str">
        <f>HYPERLINK("http://bombeiros.sp.gov.br/hidrantes/08bsg/qrcodeBSG.html?id=265&amp;lat=-23.57462&amp;long=-46.61045&amp;tipo=S","QRCODE")</f>
        <v>QRCODE</v>
      </c>
      <c r="C4320" t="s">
        <v>5372</v>
      </c>
      <c r="D4320" t="s">
        <v>1618</v>
      </c>
      <c r="E4320" t="s">
        <v>761</v>
      </c>
      <c r="F4320" t="s">
        <v>21</v>
      </c>
      <c r="G4320" t="s">
        <v>2398</v>
      </c>
      <c r="H4320">
        <v>1</v>
      </c>
      <c r="I4320">
        <v>1</v>
      </c>
      <c r="J4320">
        <v>0</v>
      </c>
      <c r="K4320">
        <v>0</v>
      </c>
      <c r="L4320">
        <v>0</v>
      </c>
    </row>
    <row r="4321" spans="1:12">
      <c r="A4321" t="str">
        <f>HYPERLINK("http://bombeiros.sp.gov.br/hidrantes/03individual/1461.html","1461")</f>
        <v>1461</v>
      </c>
      <c r="B4321" t="str">
        <f>HYPERLINK("http://bombeiros.sp.gov.br/hidrantes/08bsg/qrcodeBSG.html?id=1461&amp;lat=-23.58202&amp;long=-46.60594&amp;tipo=S","QRCODE")</f>
        <v>QRCODE</v>
      </c>
      <c r="C4321" t="s">
        <v>5372</v>
      </c>
      <c r="D4321" t="s">
        <v>1618</v>
      </c>
      <c r="E4321" t="s">
        <v>761</v>
      </c>
      <c r="F4321" t="s">
        <v>21</v>
      </c>
      <c r="G4321" t="s">
        <v>4566</v>
      </c>
      <c r="H4321">
        <v>0</v>
      </c>
      <c r="I4321">
        <v>2</v>
      </c>
      <c r="J4321">
        <v>0</v>
      </c>
      <c r="K4321">
        <v>0</v>
      </c>
      <c r="L4321">
        <v>0</v>
      </c>
    </row>
    <row r="4322" spans="1:12">
      <c r="A4322" t="str">
        <f>HYPERLINK("http://bombeiros.sp.gov.br/hidrantes/03individual/1751.html","1751")</f>
        <v>1751</v>
      </c>
      <c r="B4322" t="str">
        <f>HYPERLINK("http://bombeiros.sp.gov.br/hidrantes/08bsg/qrcodeBSG.html?id=1751&amp;lat=-23.57982&amp;long=-46.60718&amp;tipo=S","QRCODE")</f>
        <v>QRCODE</v>
      </c>
      <c r="C4322" t="s">
        <v>5372</v>
      </c>
      <c r="D4322" t="s">
        <v>1618</v>
      </c>
      <c r="E4322" t="s">
        <v>761</v>
      </c>
      <c r="F4322" t="s">
        <v>21</v>
      </c>
      <c r="G4322" t="s">
        <v>2405</v>
      </c>
      <c r="H4322">
        <v>1</v>
      </c>
      <c r="I4322">
        <v>1</v>
      </c>
      <c r="J4322">
        <v>0</v>
      </c>
      <c r="K4322">
        <v>0</v>
      </c>
      <c r="L4322">
        <v>0</v>
      </c>
    </row>
    <row r="4323" spans="1:12">
      <c r="A4323" t="str">
        <f>HYPERLINK("http://bombeiros.sp.gov.br/hidrantes/03individual/1794.html","1794")</f>
        <v>1794</v>
      </c>
      <c r="B4323" t="str">
        <f>HYPERLINK("http://bombeiros.sp.gov.br/hidrantes/08bsg/qrcodeBSG.html?id=1794&amp;lat=-23.57056&amp;long=-46.61084&amp;tipo=S","QRCODE")</f>
        <v>QRCODE</v>
      </c>
      <c r="C4323" t="s">
        <v>5372</v>
      </c>
      <c r="D4323" t="s">
        <v>1618</v>
      </c>
      <c r="E4323" t="s">
        <v>761</v>
      </c>
      <c r="F4323" t="s">
        <v>21</v>
      </c>
      <c r="G4323" t="s">
        <v>760</v>
      </c>
      <c r="H4323">
        <v>1</v>
      </c>
      <c r="I4323">
        <v>2</v>
      </c>
      <c r="J4323">
        <v>0</v>
      </c>
      <c r="K4323">
        <v>0</v>
      </c>
      <c r="L4323">
        <v>0</v>
      </c>
    </row>
    <row r="4324" spans="1:12">
      <c r="A4324" t="str">
        <f>HYPERLINK("http://bombeiros.sp.gov.br/hidrantes/03individual/1887.html","1887")</f>
        <v>1887</v>
      </c>
      <c r="B4324" t="str">
        <f>HYPERLINK("http://bombeiros.sp.gov.br/hidrantes/08bsg/qrcodeBSG.html?id=1887&amp;lat=-23.57835&amp;long=-46.60359&amp;tipo=S","QRCODE")</f>
        <v>QRCODE</v>
      </c>
      <c r="C4324" t="s">
        <v>5372</v>
      </c>
      <c r="D4324" t="s">
        <v>1618</v>
      </c>
      <c r="E4324" t="s">
        <v>761</v>
      </c>
      <c r="F4324" t="s">
        <v>21</v>
      </c>
      <c r="G4324" t="s">
        <v>4890</v>
      </c>
      <c r="H4324">
        <v>0</v>
      </c>
      <c r="I4324">
        <v>1</v>
      </c>
      <c r="J4324">
        <v>0</v>
      </c>
      <c r="K4324">
        <v>0</v>
      </c>
      <c r="L4324">
        <v>0</v>
      </c>
    </row>
    <row r="4325" spans="1:12">
      <c r="A4325" t="str">
        <f>HYPERLINK("http://bombeiros.sp.gov.br/hidrantes/03individual/5607.html","5607")</f>
        <v>5607</v>
      </c>
      <c r="B4325" t="str">
        <f>HYPERLINK("http://bombeiros.sp.gov.br/hidrantes/08bsg/qrcodeBSG.html?id=5607&amp;lat=-23.58638&amp;long=-46.61048&amp;tipo=B","QRCODE")</f>
        <v>QRCODE</v>
      </c>
      <c r="C4325" t="s">
        <v>5372</v>
      </c>
      <c r="D4325" t="s">
        <v>1618</v>
      </c>
      <c r="E4325" t="s">
        <v>565</v>
      </c>
      <c r="F4325" t="s">
        <v>1719</v>
      </c>
      <c r="G4325" t="s">
        <v>2737</v>
      </c>
      <c r="H4325">
        <v>1</v>
      </c>
      <c r="I4325">
        <v>1</v>
      </c>
      <c r="J4325">
        <v>0</v>
      </c>
      <c r="K4325">
        <v>0</v>
      </c>
      <c r="L4325">
        <v>0</v>
      </c>
    </row>
    <row r="4326" spans="1:12">
      <c r="A4326" t="str">
        <f>HYPERLINK("http://bombeiros.sp.gov.br/hidrantes/03individual/260.html","260")</f>
        <v>260</v>
      </c>
      <c r="B4326" t="str">
        <f>HYPERLINK("http://bombeiros.sp.gov.br/hidrantes/08bsg/qrcodeBSG.html?id=260&amp;lat=-23.58851&amp;long=-46.60845&amp;tipo=C","QRCODE")</f>
        <v>QRCODE</v>
      </c>
      <c r="C4326" t="s">
        <v>5372</v>
      </c>
      <c r="D4326" t="s">
        <v>1618</v>
      </c>
      <c r="E4326" t="s">
        <v>565</v>
      </c>
      <c r="F4326" t="s">
        <v>12</v>
      </c>
      <c r="G4326" t="s">
        <v>2496</v>
      </c>
      <c r="H4326">
        <v>0</v>
      </c>
      <c r="I4326">
        <v>2</v>
      </c>
      <c r="J4326">
        <v>0</v>
      </c>
      <c r="K4326">
        <v>0</v>
      </c>
      <c r="L4326">
        <v>0</v>
      </c>
    </row>
    <row r="4327" spans="1:12">
      <c r="A4327" t="str">
        <f>HYPERLINK("http://bombeiros.sp.gov.br/hidrantes/03individual/2035.html","2035")</f>
        <v>2035</v>
      </c>
      <c r="B4327" t="str">
        <f>HYPERLINK("http://bombeiros.sp.gov.br/hidrantes/08bsg/qrcodeBSG.html?id=2035&amp;lat=-23.58656&amp;long=-46.61050&amp;tipo=C","QRCODE")</f>
        <v>QRCODE</v>
      </c>
      <c r="C4327" t="s">
        <v>5372</v>
      </c>
      <c r="D4327" t="s">
        <v>1618</v>
      </c>
      <c r="E4327" t="s">
        <v>565</v>
      </c>
      <c r="F4327" t="s">
        <v>12</v>
      </c>
      <c r="G4327" t="s">
        <v>564</v>
      </c>
      <c r="H4327">
        <v>0</v>
      </c>
      <c r="I4327">
        <v>2</v>
      </c>
      <c r="J4327">
        <v>0</v>
      </c>
      <c r="K4327">
        <v>0</v>
      </c>
      <c r="L4327">
        <v>0</v>
      </c>
    </row>
    <row r="4328" spans="1:12">
      <c r="A4328" t="str">
        <f>HYPERLINK("http://bombeiros.sp.gov.br/hidrantes/03individual/17914.html","17914")</f>
        <v>17914</v>
      </c>
      <c r="B4328" t="str">
        <f>HYPERLINK("http://bombeiros.sp.gov.br/hidrantes/08bsg/qrcodeBSG.html?id=17914&amp;lat=-23.58483&amp;long=-46.60858&amp;tipo=C","QRCODE")</f>
        <v>QRCODE</v>
      </c>
      <c r="C4328" t="s">
        <v>5372</v>
      </c>
      <c r="D4328" t="s">
        <v>1618</v>
      </c>
      <c r="E4328" t="s">
        <v>565</v>
      </c>
      <c r="F4328" t="s">
        <v>12</v>
      </c>
      <c r="G4328" t="s">
        <v>1693</v>
      </c>
      <c r="H4328">
        <v>0</v>
      </c>
      <c r="I4328">
        <v>2</v>
      </c>
      <c r="J4328">
        <v>0</v>
      </c>
      <c r="K4328">
        <v>0</v>
      </c>
      <c r="L4328">
        <v>0</v>
      </c>
    </row>
    <row r="4329" spans="1:12">
      <c r="A4329" t="str">
        <f>HYPERLINK("http://bombeiros.sp.gov.br/hidrantes/03individual/17915.html","17915")</f>
        <v>17915</v>
      </c>
      <c r="B4329" t="str">
        <f>HYPERLINK("http://bombeiros.sp.gov.br/hidrantes/08bsg/qrcodeBSG.html?id=17915&amp;lat=-23.58552&amp;long=-46.61051&amp;tipo=C","QRCODE")</f>
        <v>QRCODE</v>
      </c>
      <c r="C4329" t="s">
        <v>5372</v>
      </c>
      <c r="D4329" t="s">
        <v>1618</v>
      </c>
      <c r="E4329" t="s">
        <v>565</v>
      </c>
      <c r="F4329" t="s">
        <v>12</v>
      </c>
      <c r="G4329" t="s">
        <v>5384</v>
      </c>
      <c r="H4329">
        <v>0</v>
      </c>
      <c r="I4329">
        <v>0</v>
      </c>
      <c r="J4329">
        <v>0</v>
      </c>
      <c r="K4329">
        <v>0</v>
      </c>
      <c r="L4329">
        <v>0</v>
      </c>
    </row>
    <row r="4330" spans="1:12">
      <c r="A4330" t="str">
        <f>HYPERLINK("http://bombeiros.sp.gov.br/hidrantes/03individual/22.html","22")</f>
        <v>22</v>
      </c>
      <c r="B4330" t="str">
        <f>HYPERLINK("http://bombeiros.sp.gov.br/hidrantes/08bsg/qrcodeBSG.html?id=22&amp;lat=-23.59327&amp;long=-46.60695&amp;tipo=S","QRCODE")</f>
        <v>QRCODE</v>
      </c>
      <c r="C4330" t="s">
        <v>5372</v>
      </c>
      <c r="D4330" t="s">
        <v>1618</v>
      </c>
      <c r="E4330" t="s">
        <v>565</v>
      </c>
      <c r="F4330" t="s">
        <v>21</v>
      </c>
      <c r="G4330" t="s">
        <v>2481</v>
      </c>
      <c r="H4330">
        <v>0</v>
      </c>
      <c r="I4330">
        <v>2</v>
      </c>
      <c r="J4330">
        <v>0</v>
      </c>
      <c r="K4330">
        <v>0</v>
      </c>
      <c r="L4330">
        <v>0</v>
      </c>
    </row>
    <row r="4331" spans="1:12">
      <c r="A4331" t="str">
        <f>HYPERLINK("http://bombeiros.sp.gov.br/hidrantes/03individual/86.html","86")</f>
        <v>86</v>
      </c>
      <c r="B4331" t="str">
        <f>HYPERLINK("http://bombeiros.sp.gov.br/hidrantes/08bsg/qrcodeBSG.html?id=86&amp;lat=-23.58770&amp;long=-46.61502&amp;tipo=S","QRCODE")</f>
        <v>QRCODE</v>
      </c>
      <c r="C4331" t="s">
        <v>5372</v>
      </c>
      <c r="D4331" t="s">
        <v>1618</v>
      </c>
      <c r="E4331" t="s">
        <v>565</v>
      </c>
      <c r="F4331" t="s">
        <v>21</v>
      </c>
      <c r="G4331" t="s">
        <v>4806</v>
      </c>
      <c r="H4331">
        <v>1</v>
      </c>
      <c r="I4331">
        <v>1</v>
      </c>
      <c r="J4331">
        <v>0</v>
      </c>
      <c r="K4331">
        <v>0</v>
      </c>
      <c r="L4331">
        <v>0</v>
      </c>
    </row>
    <row r="4332" spans="1:12">
      <c r="A4332" t="str">
        <f>HYPERLINK("http://bombeiros.sp.gov.br/hidrantes/03individual/188.html","188")</f>
        <v>188</v>
      </c>
      <c r="B4332" t="str">
        <f>HYPERLINK("http://bombeiros.sp.gov.br/hidrantes/08bsg/qrcodeBSG.html?id=188&amp;lat=-23.58389&amp;long=-46.61124&amp;tipo=S","QRCODE")</f>
        <v>QRCODE</v>
      </c>
      <c r="C4332" t="s">
        <v>5372</v>
      </c>
      <c r="D4332" t="s">
        <v>1618</v>
      </c>
      <c r="E4332" t="s">
        <v>565</v>
      </c>
      <c r="F4332" t="s">
        <v>21</v>
      </c>
      <c r="G4332" t="s">
        <v>2687</v>
      </c>
      <c r="H4332">
        <v>0</v>
      </c>
      <c r="I4332">
        <v>2</v>
      </c>
      <c r="J4332">
        <v>0</v>
      </c>
      <c r="K4332">
        <v>0</v>
      </c>
      <c r="L4332">
        <v>0</v>
      </c>
    </row>
    <row r="4333" spans="1:12">
      <c r="A4333" t="str">
        <f>HYPERLINK("http://bombeiros.sp.gov.br/hidrantes/03individual/205.html","205")</f>
        <v>205</v>
      </c>
      <c r="B4333" t="str">
        <f>HYPERLINK("http://bombeiros.sp.gov.br/hidrantes/08bsg/qrcodeBSG.html?id=205&amp;lat=-23.59244&amp;long=-46.61974&amp;tipo=S","QRCODE")</f>
        <v>QRCODE</v>
      </c>
      <c r="C4333" t="s">
        <v>5372</v>
      </c>
      <c r="D4333" t="s">
        <v>1618</v>
      </c>
      <c r="E4333" t="s">
        <v>565</v>
      </c>
      <c r="F4333" t="s">
        <v>21</v>
      </c>
      <c r="G4333" t="s">
        <v>589</v>
      </c>
      <c r="H4333">
        <v>0</v>
      </c>
      <c r="I4333">
        <v>2</v>
      </c>
      <c r="J4333">
        <v>0</v>
      </c>
      <c r="K4333">
        <v>0</v>
      </c>
      <c r="L4333">
        <v>0</v>
      </c>
    </row>
    <row r="4334" spans="1:12">
      <c r="A4334" t="str">
        <f>HYPERLINK("http://bombeiros.sp.gov.br/hidrantes/03individual/223.html","223")</f>
        <v>223</v>
      </c>
      <c r="B4334" t="str">
        <f>HYPERLINK("http://bombeiros.sp.gov.br/hidrantes/08bsg/qrcodeBSG.html?id=223&amp;lat=-23.58537&amp;long=-46.61792&amp;tipo=S","QRCODE")</f>
        <v>QRCODE</v>
      </c>
      <c r="C4334" t="s">
        <v>5372</v>
      </c>
      <c r="D4334" t="s">
        <v>1618</v>
      </c>
      <c r="E4334" t="s">
        <v>565</v>
      </c>
      <c r="F4334" t="s">
        <v>21</v>
      </c>
      <c r="G4334" t="s">
        <v>3273</v>
      </c>
      <c r="H4334">
        <v>0</v>
      </c>
      <c r="I4334">
        <v>2</v>
      </c>
      <c r="J4334">
        <v>0</v>
      </c>
      <c r="K4334">
        <v>0</v>
      </c>
      <c r="L4334">
        <v>0</v>
      </c>
    </row>
    <row r="4335" spans="1:12">
      <c r="A4335" t="str">
        <f>HYPERLINK("http://bombeiros.sp.gov.br/hidrantes/03individual/224.html","224")</f>
        <v>224</v>
      </c>
      <c r="B4335" t="str">
        <f>HYPERLINK("http://bombeiros.sp.gov.br/hidrantes/08bsg/qrcodeBSG.html?id=224&amp;lat=-23.58703&amp;long=-46.61813&amp;tipo=S","QRCODE")</f>
        <v>QRCODE</v>
      </c>
      <c r="C4335" t="s">
        <v>5372</v>
      </c>
      <c r="D4335" t="s">
        <v>1618</v>
      </c>
      <c r="E4335" t="s">
        <v>565</v>
      </c>
      <c r="F4335" t="s">
        <v>21</v>
      </c>
      <c r="G4335" t="s">
        <v>813</v>
      </c>
      <c r="H4335">
        <v>2</v>
      </c>
      <c r="I4335">
        <v>2</v>
      </c>
      <c r="J4335">
        <v>0</v>
      </c>
      <c r="K4335">
        <v>0</v>
      </c>
      <c r="L4335">
        <v>0</v>
      </c>
    </row>
    <row r="4336" spans="1:12">
      <c r="A4336" t="str">
        <f>HYPERLINK("http://bombeiros.sp.gov.br/hidrantes/03individual/248.html","248")</f>
        <v>248</v>
      </c>
      <c r="B4336" t="str">
        <f>HYPERLINK("http://bombeiros.sp.gov.br/hidrantes/08bsg/qrcodeBSG.html?id=248&amp;lat=-23.58848&amp;long=-46.61079&amp;tipo=S","QRCODE")</f>
        <v>QRCODE</v>
      </c>
      <c r="C4336" t="s">
        <v>5372</v>
      </c>
      <c r="D4336" t="s">
        <v>1618</v>
      </c>
      <c r="E4336" t="s">
        <v>565</v>
      </c>
      <c r="F4336" t="s">
        <v>21</v>
      </c>
      <c r="G4336" t="s">
        <v>2498</v>
      </c>
      <c r="H4336">
        <v>1</v>
      </c>
      <c r="I4336">
        <v>1</v>
      </c>
      <c r="J4336">
        <v>0</v>
      </c>
      <c r="K4336">
        <v>0</v>
      </c>
      <c r="L4336">
        <v>0</v>
      </c>
    </row>
    <row r="4337" spans="1:12">
      <c r="A4337" t="str">
        <f>HYPERLINK("http://bombeiros.sp.gov.br/hidrantes/03individual/249.html","249")</f>
        <v>249</v>
      </c>
      <c r="B4337" t="str">
        <f>HYPERLINK("http://bombeiros.sp.gov.br/hidrantes/08bsg/qrcodeBSG.html?id=249&amp;lat=-23.59366&amp;long=-46.61752&amp;tipo=S","QRCODE")</f>
        <v>QRCODE</v>
      </c>
      <c r="C4337" t="s">
        <v>5372</v>
      </c>
      <c r="D4337" t="s">
        <v>1618</v>
      </c>
      <c r="E4337" t="s">
        <v>565</v>
      </c>
      <c r="F4337" t="s">
        <v>21</v>
      </c>
      <c r="G4337" t="s">
        <v>1750</v>
      </c>
      <c r="H4337">
        <v>0</v>
      </c>
      <c r="I4337">
        <v>2</v>
      </c>
      <c r="J4337">
        <v>0</v>
      </c>
      <c r="K4337">
        <v>0</v>
      </c>
      <c r="L4337">
        <v>0</v>
      </c>
    </row>
    <row r="4338" spans="1:12">
      <c r="A4338" t="str">
        <f>HYPERLINK("http://bombeiros.sp.gov.br/hidrantes/03individual/261.html","261")</f>
        <v>261</v>
      </c>
      <c r="B4338" t="str">
        <f>HYPERLINK("http://bombeiros.sp.gov.br/hidrantes/08bsg/qrcodeBSG.html?id=261&amp;lat=-23.58430&amp;long=-46.61605&amp;tipo=S","QRCODE")</f>
        <v>QRCODE</v>
      </c>
      <c r="C4338" t="s">
        <v>5372</v>
      </c>
      <c r="D4338" t="s">
        <v>1618</v>
      </c>
      <c r="E4338" t="s">
        <v>565</v>
      </c>
      <c r="F4338" t="s">
        <v>21</v>
      </c>
      <c r="G4338" t="s">
        <v>812</v>
      </c>
      <c r="H4338">
        <v>1</v>
      </c>
      <c r="I4338">
        <v>2</v>
      </c>
      <c r="J4338">
        <v>0</v>
      </c>
      <c r="K4338">
        <v>0</v>
      </c>
      <c r="L4338">
        <v>0</v>
      </c>
    </row>
    <row r="4339" spans="1:12">
      <c r="A4339" t="str">
        <f>HYPERLINK("http://bombeiros.sp.gov.br/hidrantes/03individual/1409.html","1409")</f>
        <v>1409</v>
      </c>
      <c r="B4339" t="str">
        <f>HYPERLINK("http://bombeiros.sp.gov.br/hidrantes/08bsg/qrcodeBSG.html?id=1409&amp;lat=-23.59166&amp;long=-46.60711&amp;tipo=S","QRCODE")</f>
        <v>QRCODE</v>
      </c>
      <c r="C4339" t="s">
        <v>5372</v>
      </c>
      <c r="D4339" t="s">
        <v>1618</v>
      </c>
      <c r="E4339" t="s">
        <v>565</v>
      </c>
      <c r="F4339" t="s">
        <v>21</v>
      </c>
      <c r="G4339" t="s">
        <v>4568</v>
      </c>
      <c r="H4339">
        <v>0</v>
      </c>
      <c r="I4339">
        <v>2</v>
      </c>
      <c r="J4339">
        <v>0</v>
      </c>
      <c r="K4339">
        <v>0</v>
      </c>
      <c r="L4339">
        <v>0</v>
      </c>
    </row>
    <row r="4340" spans="1:12">
      <c r="A4340" t="str">
        <f>HYPERLINK("http://bombeiros.sp.gov.br/hidrantes/03individual/1422.html","1422")</f>
        <v>1422</v>
      </c>
      <c r="B4340" t="str">
        <f>HYPERLINK("http://bombeiros.sp.gov.br/hidrantes/08bsg/qrcodeBSG.html?id=1422&amp;lat=-23.58843&amp;long=-46.60744&amp;tipo=S","QRCODE")</f>
        <v>QRCODE</v>
      </c>
      <c r="C4340" t="s">
        <v>5372</v>
      </c>
      <c r="D4340" t="s">
        <v>1618</v>
      </c>
      <c r="E4340" t="s">
        <v>565</v>
      </c>
      <c r="F4340" t="s">
        <v>21</v>
      </c>
      <c r="G4340" t="s">
        <v>1732</v>
      </c>
      <c r="H4340">
        <v>0</v>
      </c>
      <c r="I4340">
        <v>2</v>
      </c>
      <c r="J4340">
        <v>0</v>
      </c>
      <c r="K4340">
        <v>0</v>
      </c>
      <c r="L4340">
        <v>0</v>
      </c>
    </row>
    <row r="4341" spans="1:12">
      <c r="A4341" t="str">
        <f>HYPERLINK("http://bombeiros.sp.gov.br/hidrantes/03individual/1428.html","1428")</f>
        <v>1428</v>
      </c>
      <c r="B4341" t="str">
        <f>HYPERLINK("http://bombeiros.sp.gov.br/hidrantes/08bsg/qrcodeBSG.html?id=1428&amp;lat=-23.58681&amp;long=-46.60752&amp;tipo=S","QRCODE")</f>
        <v>QRCODE</v>
      </c>
      <c r="C4341" t="s">
        <v>5372</v>
      </c>
      <c r="D4341" t="s">
        <v>1618</v>
      </c>
      <c r="E4341" t="s">
        <v>565</v>
      </c>
      <c r="F4341" t="s">
        <v>21</v>
      </c>
      <c r="G4341" t="s">
        <v>4567</v>
      </c>
      <c r="H4341">
        <v>0</v>
      </c>
      <c r="I4341">
        <v>2</v>
      </c>
      <c r="J4341">
        <v>0</v>
      </c>
      <c r="K4341">
        <v>0</v>
      </c>
      <c r="L4341">
        <v>0</v>
      </c>
    </row>
    <row r="4342" spans="1:12">
      <c r="A4342" t="str">
        <f>HYPERLINK("http://bombeiros.sp.gov.br/hidrantes/03individual/1637.html","1637")</f>
        <v>1637</v>
      </c>
      <c r="B4342" t="str">
        <f>HYPERLINK("http://bombeiros.sp.gov.br/hidrantes/08bsg/qrcodeBSG.html?id=1637&amp;lat=-23.59507&amp;long=-46.61407&amp;tipo=S","QRCODE")</f>
        <v>QRCODE</v>
      </c>
      <c r="C4342" t="s">
        <v>5372</v>
      </c>
      <c r="D4342" t="s">
        <v>1618</v>
      </c>
      <c r="E4342" t="s">
        <v>565</v>
      </c>
      <c r="F4342" t="s">
        <v>21</v>
      </c>
      <c r="G4342" t="s">
        <v>3310</v>
      </c>
      <c r="H4342">
        <v>0</v>
      </c>
      <c r="I4342">
        <v>2</v>
      </c>
      <c r="J4342">
        <v>0</v>
      </c>
      <c r="K4342">
        <v>0</v>
      </c>
      <c r="L4342">
        <v>0</v>
      </c>
    </row>
    <row r="4343" spans="1:12">
      <c r="A4343" t="str">
        <f>HYPERLINK("http://bombeiros.sp.gov.br/hidrantes/03individual/1884.html","1884")</f>
        <v>1884</v>
      </c>
      <c r="B4343" t="str">
        <f>HYPERLINK("http://bombeiros.sp.gov.br/hidrantes/08bsg/qrcodeBSG.html?id=1884&amp;lat=-23.58597&amp;long=-46.61350&amp;tipo=S","QRCODE")</f>
        <v>QRCODE</v>
      </c>
      <c r="C4343" t="s">
        <v>5372</v>
      </c>
      <c r="D4343" t="s">
        <v>1618</v>
      </c>
      <c r="E4343" t="s">
        <v>565</v>
      </c>
      <c r="F4343" t="s">
        <v>21</v>
      </c>
      <c r="G4343" t="s">
        <v>2693</v>
      </c>
      <c r="H4343">
        <v>0</v>
      </c>
      <c r="I4343">
        <v>3</v>
      </c>
      <c r="J4343">
        <v>0</v>
      </c>
      <c r="K4343">
        <v>0</v>
      </c>
      <c r="L4343">
        <v>0</v>
      </c>
    </row>
    <row r="4344" spans="1:12">
      <c r="A4344" t="str">
        <f>HYPERLINK("http://bombeiros.sp.gov.br/hidrantes/03individual/1905.html","1905")</f>
        <v>1905</v>
      </c>
      <c r="B4344" t="str">
        <f>HYPERLINK("http://bombeiros.sp.gov.br/hidrantes/08bsg/qrcodeBSG.html?id=1905&amp;lat=-23.58563&amp;long=-46.61551&amp;tipo=S","QRCODE")</f>
        <v>QRCODE</v>
      </c>
      <c r="C4344" t="s">
        <v>5372</v>
      </c>
      <c r="D4344" t="s">
        <v>1618</v>
      </c>
      <c r="E4344" t="s">
        <v>565</v>
      </c>
      <c r="F4344" t="s">
        <v>21</v>
      </c>
      <c r="G4344" t="s">
        <v>2700</v>
      </c>
      <c r="H4344">
        <v>0</v>
      </c>
      <c r="I4344">
        <v>2</v>
      </c>
      <c r="J4344">
        <v>0</v>
      </c>
      <c r="K4344">
        <v>0</v>
      </c>
      <c r="L4344">
        <v>0</v>
      </c>
    </row>
    <row r="4345" spans="1:12">
      <c r="A4345" t="str">
        <f>HYPERLINK("http://bombeiros.sp.gov.br/hidrantes/03individual/2033.html","2033")</f>
        <v>2033</v>
      </c>
      <c r="B4345" t="str">
        <f>HYPERLINK("http://bombeiros.sp.gov.br/hidrantes/08bsg/qrcodeBSG.html?id=2033&amp;lat=-23.58574&amp;long=-46.61098&amp;tipo=S","QRCODE")</f>
        <v>QRCODE</v>
      </c>
      <c r="C4345" t="s">
        <v>5372</v>
      </c>
      <c r="D4345" t="s">
        <v>1618</v>
      </c>
      <c r="E4345" t="s">
        <v>565</v>
      </c>
      <c r="F4345" t="s">
        <v>21</v>
      </c>
      <c r="G4345" t="s">
        <v>849</v>
      </c>
      <c r="H4345">
        <v>1</v>
      </c>
      <c r="I4345">
        <v>2</v>
      </c>
      <c r="J4345">
        <v>0</v>
      </c>
      <c r="K4345">
        <v>0</v>
      </c>
      <c r="L4345">
        <v>0</v>
      </c>
    </row>
    <row r="4346" spans="1:12">
      <c r="A4346" t="str">
        <f>HYPERLINK("http://bombeiros.sp.gov.br/hidrantes/03individual/2274.html","2274")</f>
        <v>2274</v>
      </c>
      <c r="B4346" t="str">
        <f>HYPERLINK("http://bombeiros.sp.gov.br/hidrantes/08bsg/qrcodeBSG.html?id=2274&amp;lat=-23.58485&amp;long=-46.61198&amp;tipo=S","QRCODE")</f>
        <v>QRCODE</v>
      </c>
      <c r="C4346" t="s">
        <v>5372</v>
      </c>
      <c r="D4346" t="s">
        <v>1618</v>
      </c>
      <c r="E4346" t="s">
        <v>565</v>
      </c>
      <c r="F4346" t="s">
        <v>21</v>
      </c>
      <c r="G4346" t="s">
        <v>2757</v>
      </c>
      <c r="H4346">
        <v>0</v>
      </c>
      <c r="I4346">
        <v>2</v>
      </c>
      <c r="J4346">
        <v>0</v>
      </c>
      <c r="K4346">
        <v>0</v>
      </c>
      <c r="L4346">
        <v>0</v>
      </c>
    </row>
    <row r="4347" spans="1:12">
      <c r="A4347" t="str">
        <f>HYPERLINK("http://bombeiros.sp.gov.br/hidrantes/03individual/2327.html","2327")</f>
        <v>2327</v>
      </c>
      <c r="B4347" t="str">
        <f>HYPERLINK("http://bombeiros.sp.gov.br/hidrantes/08bsg/qrcodeBSG.html?id=2327&amp;lat=-23.58742&amp;long=-46.61205&amp;tipo=S","QRCODE")</f>
        <v>QRCODE</v>
      </c>
      <c r="C4347" t="s">
        <v>5372</v>
      </c>
      <c r="D4347" t="s">
        <v>1618</v>
      </c>
      <c r="E4347" t="s">
        <v>565</v>
      </c>
      <c r="F4347" t="s">
        <v>21</v>
      </c>
      <c r="G4347" t="s">
        <v>912</v>
      </c>
      <c r="H4347">
        <v>0</v>
      </c>
      <c r="I4347">
        <v>3</v>
      </c>
      <c r="J4347">
        <v>0</v>
      </c>
      <c r="K4347">
        <v>0</v>
      </c>
      <c r="L4347">
        <v>0</v>
      </c>
    </row>
    <row r="4348" spans="1:12">
      <c r="A4348" t="str">
        <f>HYPERLINK("http://bombeiros.sp.gov.br/hidrantes/03individual/4176.html","4176")</f>
        <v>4176</v>
      </c>
      <c r="B4348" t="str">
        <f>HYPERLINK("http://bombeiros.sp.gov.br/hidrantes/08bsg/qrcodeBSG.html?id=4176&amp;lat=-23.59054&amp;long=-46.61587&amp;tipo=S","QRCODE")</f>
        <v>QRCODE</v>
      </c>
      <c r="C4348" t="s">
        <v>5372</v>
      </c>
      <c r="D4348" t="s">
        <v>1618</v>
      </c>
      <c r="E4348" t="s">
        <v>565</v>
      </c>
      <c r="F4348" t="s">
        <v>21</v>
      </c>
      <c r="G4348" t="s">
        <v>3798</v>
      </c>
      <c r="H4348">
        <v>0</v>
      </c>
      <c r="I4348">
        <v>1</v>
      </c>
      <c r="J4348">
        <v>0</v>
      </c>
      <c r="K4348">
        <v>0</v>
      </c>
      <c r="L4348">
        <v>0</v>
      </c>
    </row>
    <row r="4349" spans="1:12">
      <c r="A4349" t="str">
        <f>HYPERLINK("http://bombeiros.sp.gov.br/hidrantes/03individual/4267.html","4267")</f>
        <v>4267</v>
      </c>
      <c r="B4349" t="str">
        <f>HYPERLINK("http://bombeiros.sp.gov.br/hidrantes/08bsg/qrcodeBSG.html?id=4267&amp;lat=-23.59107&amp;long=-46.61907&amp;tipo=S","QRCODE")</f>
        <v>QRCODE</v>
      </c>
      <c r="C4349" t="s">
        <v>5372</v>
      </c>
      <c r="D4349" t="s">
        <v>1618</v>
      </c>
      <c r="E4349" t="s">
        <v>565</v>
      </c>
      <c r="F4349" t="s">
        <v>21</v>
      </c>
      <c r="G4349" t="s">
        <v>1730</v>
      </c>
      <c r="H4349">
        <v>0</v>
      </c>
      <c r="I4349">
        <v>2</v>
      </c>
      <c r="J4349">
        <v>0</v>
      </c>
      <c r="K4349">
        <v>0</v>
      </c>
      <c r="L4349">
        <v>0</v>
      </c>
    </row>
    <row r="4350" spans="1:12">
      <c r="A4350" t="str">
        <f>HYPERLINK("http://bombeiros.sp.gov.br/hidrantes/03individual/26807.html","26807")</f>
        <v>26807</v>
      </c>
      <c r="B4350" t="str">
        <f>HYPERLINK("http://bombeiros.sp.gov.br/hidrantes/08bsg/qrcodeBSG.html?id=26807&amp;lat=-23.58448&amp;long=-46.61755&amp;tipo=S","QRCODE")</f>
        <v>QRCODE</v>
      </c>
      <c r="C4350" t="s">
        <v>5372</v>
      </c>
      <c r="D4350" t="s">
        <v>1618</v>
      </c>
      <c r="E4350" t="s">
        <v>565</v>
      </c>
      <c r="F4350" t="s">
        <v>21</v>
      </c>
      <c r="G4350" t="s">
        <v>3783</v>
      </c>
      <c r="H4350">
        <v>0</v>
      </c>
      <c r="I4350">
        <v>1</v>
      </c>
      <c r="J4350">
        <v>0</v>
      </c>
      <c r="K4350">
        <v>0</v>
      </c>
      <c r="L4350">
        <v>0</v>
      </c>
    </row>
    <row r="4351" spans="1:12">
      <c r="A4351" t="str">
        <f>HYPERLINK("http://bombeiros.sp.gov.br/hidrantes/03individual/4376.html","4376")</f>
        <v>4376</v>
      </c>
      <c r="B4351" t="str">
        <f>HYPERLINK("http://bombeiros.sp.gov.br/hidrantes/08bsg/qrcodeBSG.html?id=4376&amp;lat=-23.63542&amp;long=-46.64097&amp;tipo=C","QRCODE")</f>
        <v>QRCODE</v>
      </c>
      <c r="C4351" t="s">
        <v>5372</v>
      </c>
      <c r="D4351" t="s">
        <v>313</v>
      </c>
      <c r="E4351" t="s">
        <v>259</v>
      </c>
      <c r="F4351" t="s">
        <v>12</v>
      </c>
      <c r="G4351" t="s">
        <v>3362</v>
      </c>
      <c r="H4351">
        <v>0</v>
      </c>
      <c r="I4351">
        <v>2</v>
      </c>
      <c r="J4351">
        <v>0</v>
      </c>
      <c r="K4351">
        <v>0</v>
      </c>
      <c r="L4351">
        <v>0</v>
      </c>
    </row>
    <row r="4352" spans="1:12">
      <c r="A4352" t="str">
        <f>HYPERLINK("http://bombeiros.sp.gov.br/hidrantes/03individual/10008.html","10008")</f>
        <v>10008</v>
      </c>
      <c r="B4352" t="str">
        <f>HYPERLINK("http://bombeiros.sp.gov.br/hidrantes/08bsg/qrcodeBSG.html?id=10008&amp;lat=-23.64322&amp;long=-46.64110&amp;tipo=C","QRCODE")</f>
        <v>QRCODE</v>
      </c>
      <c r="C4352" t="s">
        <v>5372</v>
      </c>
      <c r="D4352" t="s">
        <v>313</v>
      </c>
      <c r="E4352" t="s">
        <v>259</v>
      </c>
      <c r="F4352" t="s">
        <v>12</v>
      </c>
      <c r="G4352" t="s">
        <v>2216</v>
      </c>
      <c r="H4352">
        <v>0</v>
      </c>
      <c r="I4352">
        <v>2</v>
      </c>
      <c r="J4352">
        <v>0</v>
      </c>
      <c r="K4352">
        <v>0</v>
      </c>
      <c r="L4352">
        <v>0</v>
      </c>
    </row>
    <row r="4353" spans="1:12">
      <c r="A4353" t="str">
        <f>HYPERLINK("http://bombeiros.sp.gov.br/hidrantes/03individual/16620.html","16620")</f>
        <v>16620</v>
      </c>
      <c r="B4353" t="str">
        <f>HYPERLINK("http://bombeiros.sp.gov.br/hidrantes/08bsg/qrcodeBSG.html?id=16620&amp;lat=-23.64996&amp;long=-46.63192&amp;tipo=C","QRCODE")</f>
        <v>QRCODE</v>
      </c>
      <c r="C4353" t="s">
        <v>5372</v>
      </c>
      <c r="D4353" t="s">
        <v>313</v>
      </c>
      <c r="E4353" t="s">
        <v>259</v>
      </c>
      <c r="F4353" t="s">
        <v>12</v>
      </c>
      <c r="G4353" t="s">
        <v>3514</v>
      </c>
      <c r="H4353">
        <v>0</v>
      </c>
      <c r="I4353">
        <v>1</v>
      </c>
      <c r="J4353">
        <v>0</v>
      </c>
      <c r="K4353">
        <v>0</v>
      </c>
      <c r="L4353">
        <v>0</v>
      </c>
    </row>
    <row r="4354" spans="1:12">
      <c r="A4354" t="str">
        <f>HYPERLINK("http://bombeiros.sp.gov.br/hidrantes/03individual/341.html","341")</f>
        <v>341</v>
      </c>
      <c r="B4354" t="str">
        <f>HYPERLINK("http://bombeiros.sp.gov.br/hidrantes/08bsg/qrcodeBSG.html?id=341&amp;lat=-23.63183&amp;long=-46.64629&amp;tipo=S","QRCODE")</f>
        <v>QRCODE</v>
      </c>
      <c r="C4354" t="s">
        <v>5372</v>
      </c>
      <c r="D4354" t="s">
        <v>313</v>
      </c>
      <c r="E4354" t="s">
        <v>259</v>
      </c>
      <c r="F4354" t="s">
        <v>21</v>
      </c>
      <c r="G4354" t="s">
        <v>608</v>
      </c>
      <c r="H4354">
        <v>0</v>
      </c>
      <c r="I4354">
        <v>2</v>
      </c>
      <c r="J4354">
        <v>0</v>
      </c>
      <c r="K4354">
        <v>0</v>
      </c>
      <c r="L4354">
        <v>0</v>
      </c>
    </row>
    <row r="4355" spans="1:12">
      <c r="A4355" t="str">
        <f>HYPERLINK("http://bombeiros.sp.gov.br/hidrantes/03individual/396.html","396")</f>
        <v>396</v>
      </c>
      <c r="B4355" t="str">
        <f>HYPERLINK("http://bombeiros.sp.gov.br/hidrantes/08bsg/qrcodeBSG.html?id=396&amp;lat=-23.63283&amp;long=-46.63796&amp;tipo=S","QRCODE")</f>
        <v>QRCODE</v>
      </c>
      <c r="C4355" t="s">
        <v>5372</v>
      </c>
      <c r="D4355" t="s">
        <v>313</v>
      </c>
      <c r="E4355" t="s">
        <v>259</v>
      </c>
      <c r="F4355" t="s">
        <v>21</v>
      </c>
      <c r="G4355" t="s">
        <v>2248</v>
      </c>
      <c r="H4355">
        <v>0</v>
      </c>
      <c r="I4355">
        <v>2</v>
      </c>
      <c r="J4355">
        <v>0</v>
      </c>
      <c r="K4355">
        <v>0</v>
      </c>
      <c r="L4355">
        <v>0</v>
      </c>
    </row>
    <row r="4356" spans="1:12">
      <c r="A4356" t="str">
        <f>HYPERLINK("http://bombeiros.sp.gov.br/hidrantes/03individual/409.html","409")</f>
        <v>409</v>
      </c>
      <c r="B4356" t="str">
        <f>HYPERLINK("http://bombeiros.sp.gov.br/hidrantes/08bsg/qrcodeBSG.html?id=409&amp;lat=-23.63133&amp;long=-46.63979&amp;tipo=S","QRCODE")</f>
        <v>QRCODE</v>
      </c>
      <c r="C4356" t="s">
        <v>5372</v>
      </c>
      <c r="D4356" t="s">
        <v>313</v>
      </c>
      <c r="E4356" t="s">
        <v>259</v>
      </c>
      <c r="F4356" t="s">
        <v>21</v>
      </c>
      <c r="G4356" t="s">
        <v>4448</v>
      </c>
      <c r="H4356">
        <v>0</v>
      </c>
      <c r="I4356">
        <v>2</v>
      </c>
      <c r="J4356">
        <v>0</v>
      </c>
      <c r="K4356">
        <v>0</v>
      </c>
      <c r="L4356">
        <v>0</v>
      </c>
    </row>
    <row r="4357" spans="1:12">
      <c r="A4357" t="str">
        <f>HYPERLINK("http://bombeiros.sp.gov.br/hidrantes/03individual/440.html","440")</f>
        <v>440</v>
      </c>
      <c r="B4357" t="str">
        <f>HYPERLINK("http://bombeiros.sp.gov.br/hidrantes/08bsg/qrcodeBSG.html?id=440&amp;lat=-23.64505&amp;long=-46.63623&amp;tipo=S","QRCODE")</f>
        <v>QRCODE</v>
      </c>
      <c r="C4357" t="s">
        <v>5372</v>
      </c>
      <c r="D4357" t="s">
        <v>313</v>
      </c>
      <c r="E4357" t="s">
        <v>259</v>
      </c>
      <c r="F4357" t="s">
        <v>21</v>
      </c>
      <c r="G4357" t="s">
        <v>4446</v>
      </c>
      <c r="H4357">
        <v>0</v>
      </c>
      <c r="I4357">
        <v>2</v>
      </c>
      <c r="J4357">
        <v>0</v>
      </c>
      <c r="K4357">
        <v>0</v>
      </c>
      <c r="L4357">
        <v>0</v>
      </c>
    </row>
    <row r="4358" spans="1:12">
      <c r="A4358" t="str">
        <f>HYPERLINK("http://bombeiros.sp.gov.br/hidrantes/03individual/466.html","466")</f>
        <v>466</v>
      </c>
      <c r="B4358" t="str">
        <f>HYPERLINK("http://bombeiros.sp.gov.br/hidrantes/08bsg/qrcodeBSG.html?id=466&amp;lat=-23.64073&amp;long=-46.63425&amp;tipo=S","QRCODE")</f>
        <v>QRCODE</v>
      </c>
      <c r="C4358" t="s">
        <v>5372</v>
      </c>
      <c r="D4358" t="s">
        <v>313</v>
      </c>
      <c r="E4358" t="s">
        <v>259</v>
      </c>
      <c r="F4358" t="s">
        <v>21</v>
      </c>
      <c r="G4358" t="s">
        <v>4444</v>
      </c>
      <c r="H4358">
        <v>0</v>
      </c>
      <c r="I4358">
        <v>2</v>
      </c>
      <c r="J4358">
        <v>0</v>
      </c>
      <c r="K4358">
        <v>0</v>
      </c>
      <c r="L4358">
        <v>0</v>
      </c>
    </row>
    <row r="4359" spans="1:12">
      <c r="A4359" t="str">
        <f>HYPERLINK("http://bombeiros.sp.gov.br/hidrantes/03individual/467.html","467")</f>
        <v>467</v>
      </c>
      <c r="B4359" t="str">
        <f>HYPERLINK("http://bombeiros.sp.gov.br/hidrantes/08bsg/qrcodeBSG.html?id=467&amp;lat=-23.63767&amp;long=-46.63529&amp;tipo=S","QRCODE")</f>
        <v>QRCODE</v>
      </c>
      <c r="C4359" t="s">
        <v>5372</v>
      </c>
      <c r="D4359" t="s">
        <v>313</v>
      </c>
      <c r="E4359" t="s">
        <v>259</v>
      </c>
      <c r="F4359" t="s">
        <v>21</v>
      </c>
      <c r="G4359" t="s">
        <v>4440</v>
      </c>
      <c r="H4359">
        <v>0</v>
      </c>
      <c r="I4359">
        <v>2</v>
      </c>
      <c r="J4359">
        <v>0</v>
      </c>
      <c r="K4359">
        <v>0</v>
      </c>
      <c r="L4359">
        <v>0</v>
      </c>
    </row>
    <row r="4360" spans="1:12">
      <c r="A4360" t="str">
        <f>HYPERLINK("http://bombeiros.sp.gov.br/hidrantes/03individual/484.html","484")</f>
        <v>484</v>
      </c>
      <c r="B4360" t="str">
        <f>HYPERLINK("http://bombeiros.sp.gov.br/hidrantes/08bsg/qrcodeBSG.html?id=484&amp;lat=-23.64029&amp;long=-46.63192&amp;tipo=S","QRCODE")</f>
        <v>QRCODE</v>
      </c>
      <c r="C4360" t="s">
        <v>5372</v>
      </c>
      <c r="D4360" t="s">
        <v>313</v>
      </c>
      <c r="E4360" t="s">
        <v>259</v>
      </c>
      <c r="F4360" t="s">
        <v>21</v>
      </c>
      <c r="G4360" t="s">
        <v>3146</v>
      </c>
      <c r="H4360">
        <v>1</v>
      </c>
      <c r="I4360">
        <v>1</v>
      </c>
      <c r="J4360">
        <v>0</v>
      </c>
      <c r="K4360">
        <v>0</v>
      </c>
      <c r="L4360">
        <v>0</v>
      </c>
    </row>
    <row r="4361" spans="1:12">
      <c r="A4361" t="str">
        <f>HYPERLINK("http://bombeiros.sp.gov.br/hidrantes/03individual/3789.html","3789")</f>
        <v>3789</v>
      </c>
      <c r="B4361" t="str">
        <f>HYPERLINK("http://bombeiros.sp.gov.br/hidrantes/08bsg/qrcodeBSG.html?id=3789&amp;lat=-23.64367&amp;long=-46.63253&amp;tipo=S","QRCODE")</f>
        <v>QRCODE</v>
      </c>
      <c r="C4361" t="s">
        <v>5372</v>
      </c>
      <c r="D4361" t="s">
        <v>313</v>
      </c>
      <c r="E4361" t="s">
        <v>259</v>
      </c>
      <c r="F4361" t="s">
        <v>21</v>
      </c>
      <c r="G4361" t="s">
        <v>3371</v>
      </c>
      <c r="H4361">
        <v>1</v>
      </c>
      <c r="I4361">
        <v>1</v>
      </c>
      <c r="J4361">
        <v>0</v>
      </c>
      <c r="K4361">
        <v>0</v>
      </c>
      <c r="L4361">
        <v>0</v>
      </c>
    </row>
    <row r="4362" spans="1:12">
      <c r="A4362" t="str">
        <f>HYPERLINK("http://bombeiros.sp.gov.br/hidrantes/03individual/3794.html","3794")</f>
        <v>3794</v>
      </c>
      <c r="B4362" t="str">
        <f>HYPERLINK("http://bombeiros.sp.gov.br/hidrantes/08bsg/qrcodeBSG.html?id=3794&amp;lat=-23.63356&amp;long=-46.63228&amp;tipo=S","QRCODE")</f>
        <v>QRCODE</v>
      </c>
      <c r="C4362" t="s">
        <v>5372</v>
      </c>
      <c r="D4362" t="s">
        <v>313</v>
      </c>
      <c r="E4362" t="s">
        <v>259</v>
      </c>
      <c r="F4362" t="s">
        <v>21</v>
      </c>
      <c r="G4362" t="s">
        <v>1540</v>
      </c>
      <c r="H4362">
        <v>1</v>
      </c>
      <c r="I4362">
        <v>2</v>
      </c>
      <c r="J4362">
        <v>0</v>
      </c>
      <c r="K4362">
        <v>0</v>
      </c>
      <c r="L4362">
        <v>0</v>
      </c>
    </row>
    <row r="4363" spans="1:12">
      <c r="A4363" t="str">
        <f>HYPERLINK("http://bombeiros.sp.gov.br/hidrantes/03individual/3840.html","3840")</f>
        <v>3840</v>
      </c>
      <c r="B4363" t="str">
        <f>HYPERLINK("http://bombeiros.sp.gov.br/hidrantes/08bsg/qrcodeBSG.html?id=3840&amp;lat=-23.63926&amp;long=-46.63708&amp;tipo=S","QRCODE")</f>
        <v>QRCODE</v>
      </c>
      <c r="C4363" t="s">
        <v>5372</v>
      </c>
      <c r="D4363" t="s">
        <v>313</v>
      </c>
      <c r="E4363" t="s">
        <v>259</v>
      </c>
      <c r="F4363" t="s">
        <v>21</v>
      </c>
      <c r="G4363" t="s">
        <v>4417</v>
      </c>
      <c r="H4363">
        <v>0</v>
      </c>
      <c r="I4363">
        <v>2</v>
      </c>
      <c r="J4363">
        <v>0</v>
      </c>
      <c r="K4363">
        <v>0</v>
      </c>
      <c r="L4363">
        <v>0</v>
      </c>
    </row>
    <row r="4364" spans="1:12">
      <c r="A4364" t="str">
        <f>HYPERLINK("http://bombeiros.sp.gov.br/hidrantes/03individual/3841.html","3841")</f>
        <v>3841</v>
      </c>
      <c r="B4364" t="str">
        <f>HYPERLINK("http://bombeiros.sp.gov.br/hidrantes/08bsg/qrcodeBSG.html?id=3841&amp;lat=-23.63624&amp;long=-46.63896&amp;tipo=S","QRCODE")</f>
        <v>QRCODE</v>
      </c>
      <c r="C4364" t="s">
        <v>5372</v>
      </c>
      <c r="D4364" t="s">
        <v>313</v>
      </c>
      <c r="E4364" t="s">
        <v>259</v>
      </c>
      <c r="F4364" t="s">
        <v>21</v>
      </c>
      <c r="G4364" t="s">
        <v>2225</v>
      </c>
      <c r="H4364">
        <v>0</v>
      </c>
      <c r="I4364">
        <v>2</v>
      </c>
      <c r="J4364">
        <v>0</v>
      </c>
      <c r="K4364">
        <v>0</v>
      </c>
      <c r="L4364">
        <v>0</v>
      </c>
    </row>
    <row r="4365" spans="1:12">
      <c r="A4365" t="str">
        <f>HYPERLINK("http://bombeiros.sp.gov.br/hidrantes/03individual/3930.html","3930")</f>
        <v>3930</v>
      </c>
      <c r="B4365" t="str">
        <f>HYPERLINK("http://bombeiros.sp.gov.br/hidrantes/08bsg/qrcodeBSG.html?id=3930&amp;lat=-23.63402&amp;long=-46.63624&amp;tipo=S","QRCODE")</f>
        <v>QRCODE</v>
      </c>
      <c r="C4365" t="s">
        <v>5372</v>
      </c>
      <c r="D4365" t="s">
        <v>313</v>
      </c>
      <c r="E4365" t="s">
        <v>259</v>
      </c>
      <c r="F4365" t="s">
        <v>21</v>
      </c>
      <c r="G4365" t="s">
        <v>2217</v>
      </c>
      <c r="H4365">
        <v>0</v>
      </c>
      <c r="I4365">
        <v>2</v>
      </c>
      <c r="J4365">
        <v>0</v>
      </c>
      <c r="K4365">
        <v>0</v>
      </c>
      <c r="L4365">
        <v>0</v>
      </c>
    </row>
    <row r="4366" spans="1:12">
      <c r="A4366" t="str">
        <f>HYPERLINK("http://bombeiros.sp.gov.br/hidrantes/03individual/3954.html","3954")</f>
        <v>3954</v>
      </c>
      <c r="B4366" t="str">
        <f>HYPERLINK("http://bombeiros.sp.gov.br/hidrantes/08bsg/qrcodeBSG.html?id=3954&amp;lat=-23.63207&amp;long=-46.63317&amp;tipo=S","QRCODE")</f>
        <v>QRCODE</v>
      </c>
      <c r="C4366" t="s">
        <v>5372</v>
      </c>
      <c r="D4366" t="s">
        <v>313</v>
      </c>
      <c r="E4366" t="s">
        <v>259</v>
      </c>
      <c r="F4366" t="s">
        <v>21</v>
      </c>
      <c r="G4366" t="s">
        <v>2219</v>
      </c>
      <c r="H4366">
        <v>0</v>
      </c>
      <c r="I4366">
        <v>2</v>
      </c>
      <c r="J4366">
        <v>0</v>
      </c>
      <c r="K4366">
        <v>0</v>
      </c>
      <c r="L4366">
        <v>0</v>
      </c>
    </row>
    <row r="4367" spans="1:12">
      <c r="A4367" t="str">
        <f>HYPERLINK("http://bombeiros.sp.gov.br/hidrantes/03individual/3955.html","3955")</f>
        <v>3955</v>
      </c>
      <c r="B4367" t="str">
        <f>HYPERLINK("http://bombeiros.sp.gov.br/hidrantes/08bsg/qrcodeBSG.html?id=3955&amp;lat=-23.63156&amp;long=-46.63797&amp;tipo=S","QRCODE")</f>
        <v>QRCODE</v>
      </c>
      <c r="C4367" t="s">
        <v>5372</v>
      </c>
      <c r="D4367" t="s">
        <v>313</v>
      </c>
      <c r="E4367" t="s">
        <v>259</v>
      </c>
      <c r="F4367" t="s">
        <v>21</v>
      </c>
      <c r="G4367" t="s">
        <v>522</v>
      </c>
      <c r="H4367">
        <v>0</v>
      </c>
      <c r="I4367">
        <v>2</v>
      </c>
      <c r="J4367">
        <v>0</v>
      </c>
      <c r="K4367">
        <v>0</v>
      </c>
      <c r="L4367">
        <v>0</v>
      </c>
    </row>
    <row r="4368" spans="1:12">
      <c r="A4368" t="str">
        <f>HYPERLINK("http://bombeiros.sp.gov.br/hidrantes/03individual/4358.html","4358")</f>
        <v>4358</v>
      </c>
      <c r="B4368" t="str">
        <f>HYPERLINK("http://bombeiros.sp.gov.br/hidrantes/08bsg/qrcodeBSG.html?id=4358&amp;lat=-23.64754&amp;long=-46.63769&amp;tipo=S","QRCODE")</f>
        <v>QRCODE</v>
      </c>
      <c r="C4368" t="s">
        <v>5372</v>
      </c>
      <c r="D4368" t="s">
        <v>313</v>
      </c>
      <c r="E4368" t="s">
        <v>259</v>
      </c>
      <c r="F4368" t="s">
        <v>21</v>
      </c>
      <c r="G4368" t="s">
        <v>2204</v>
      </c>
      <c r="H4368">
        <v>0</v>
      </c>
      <c r="I4368">
        <v>2</v>
      </c>
      <c r="J4368">
        <v>0</v>
      </c>
      <c r="K4368">
        <v>0</v>
      </c>
      <c r="L4368">
        <v>0</v>
      </c>
    </row>
    <row r="4369" spans="1:12">
      <c r="A4369" t="str">
        <f>HYPERLINK("http://bombeiros.sp.gov.br/hidrantes/03individual/4361.html","4361")</f>
        <v>4361</v>
      </c>
      <c r="B4369" t="str">
        <f>HYPERLINK("http://bombeiros.sp.gov.br/hidrantes/08bsg/qrcodeBSG.html?id=4361&amp;lat=-23.64547&amp;long=-46.63400&amp;tipo=S","QRCODE")</f>
        <v>QRCODE</v>
      </c>
      <c r="C4369" t="s">
        <v>5372</v>
      </c>
      <c r="D4369" t="s">
        <v>313</v>
      </c>
      <c r="E4369" t="s">
        <v>259</v>
      </c>
      <c r="F4369" t="s">
        <v>21</v>
      </c>
      <c r="G4369" t="s">
        <v>2605</v>
      </c>
      <c r="H4369">
        <v>0</v>
      </c>
      <c r="I4369">
        <v>2</v>
      </c>
      <c r="J4369">
        <v>0</v>
      </c>
      <c r="K4369">
        <v>0</v>
      </c>
      <c r="L4369">
        <v>0</v>
      </c>
    </row>
    <row r="4370" spans="1:12">
      <c r="A4370" t="str">
        <f>HYPERLINK("http://bombeiros.sp.gov.br/hidrantes/03individual/4375.html","4375")</f>
        <v>4375</v>
      </c>
      <c r="B4370" t="str">
        <f>HYPERLINK("http://bombeiros.sp.gov.br/hidrantes/08bsg/qrcodeBSG.html?id=4375&amp;lat=-23.63722&amp;long=-46.64108&amp;tipo=S","QRCODE")</f>
        <v>QRCODE</v>
      </c>
      <c r="C4370" t="s">
        <v>5372</v>
      </c>
      <c r="D4370" t="s">
        <v>313</v>
      </c>
      <c r="E4370" t="s">
        <v>259</v>
      </c>
      <c r="F4370" t="s">
        <v>21</v>
      </c>
      <c r="G4370" t="s">
        <v>5236</v>
      </c>
      <c r="H4370">
        <v>1</v>
      </c>
      <c r="I4370">
        <v>0</v>
      </c>
      <c r="J4370">
        <v>0</v>
      </c>
      <c r="K4370">
        <v>0</v>
      </c>
      <c r="L4370">
        <v>0</v>
      </c>
    </row>
    <row r="4371" spans="1:12">
      <c r="A4371" t="str">
        <f>HYPERLINK("http://bombeiros.sp.gov.br/hidrantes/03individual/16619.html","16619")</f>
        <v>16619</v>
      </c>
      <c r="B4371" t="str">
        <f>HYPERLINK("http://bombeiros.sp.gov.br/hidrantes/08bsg/qrcodeBSG.html?id=16619&amp;lat=-23.65013&amp;long=-46.63841&amp;tipo=S","QRCODE")</f>
        <v>QRCODE</v>
      </c>
      <c r="C4371" t="s">
        <v>5372</v>
      </c>
      <c r="D4371" t="s">
        <v>313</v>
      </c>
      <c r="E4371" t="s">
        <v>259</v>
      </c>
      <c r="F4371" t="s">
        <v>21</v>
      </c>
      <c r="G4371" t="s">
        <v>2179</v>
      </c>
      <c r="H4371">
        <v>0</v>
      </c>
      <c r="I4371">
        <v>2</v>
      </c>
      <c r="J4371">
        <v>0</v>
      </c>
      <c r="K4371">
        <v>0</v>
      </c>
      <c r="L4371">
        <v>0</v>
      </c>
    </row>
    <row r="4372" spans="1:12">
      <c r="A4372" t="str">
        <f>HYPERLINK("http://bombeiros.sp.gov.br/hidrantes/03individual/17855.html","17855")</f>
        <v>17855</v>
      </c>
      <c r="B4372" t="str">
        <f>HYPERLINK("http://bombeiros.sp.gov.br/hidrantes/08bsg/qrcodeBSG.html?id=17855&amp;lat=-23.65199&amp;long=-46.63626&amp;tipo=S","QRCODE")</f>
        <v>QRCODE</v>
      </c>
      <c r="C4372" t="s">
        <v>5372</v>
      </c>
      <c r="D4372" t="s">
        <v>313</v>
      </c>
      <c r="E4372" t="s">
        <v>259</v>
      </c>
      <c r="F4372" t="s">
        <v>21</v>
      </c>
      <c r="G4372" t="s">
        <v>258</v>
      </c>
      <c r="H4372">
        <v>0</v>
      </c>
      <c r="I4372">
        <v>2</v>
      </c>
      <c r="J4372">
        <v>0</v>
      </c>
      <c r="K4372">
        <v>0</v>
      </c>
      <c r="L4372">
        <v>0</v>
      </c>
    </row>
    <row r="4373" spans="1:12">
      <c r="A4373" t="str">
        <f>HYPERLINK("http://bombeiros.sp.gov.br/hidrantes/03individual/26635.html","26635")</f>
        <v>26635</v>
      </c>
      <c r="B4373" t="str">
        <f>HYPERLINK("http://bombeiros.sp.gov.br/hidrantes/08bsg/qrcodeBSG.html?id=26635&amp;lat=-23.64302&amp;long=-46.63399&amp;tipo=S","QRCODE")</f>
        <v>QRCODE</v>
      </c>
      <c r="C4373" t="s">
        <v>5372</v>
      </c>
      <c r="D4373" t="s">
        <v>313</v>
      </c>
      <c r="E4373" t="s">
        <v>259</v>
      </c>
      <c r="F4373" t="s">
        <v>21</v>
      </c>
      <c r="G4373" t="s">
        <v>2181</v>
      </c>
      <c r="H4373">
        <v>0</v>
      </c>
      <c r="I4373">
        <v>2</v>
      </c>
      <c r="J4373">
        <v>0</v>
      </c>
      <c r="K4373">
        <v>0</v>
      </c>
      <c r="L4373">
        <v>0</v>
      </c>
    </row>
    <row r="4374" spans="1:12">
      <c r="A4374" t="str">
        <f>HYPERLINK("http://bombeiros.sp.gov.br/hidrantes/03individual/26925.html","26925")</f>
        <v>26925</v>
      </c>
      <c r="B4374" t="str">
        <f>HYPERLINK("http://bombeiros.sp.gov.br/hidrantes/08bsg/qrcodeBSG.html?id=26925&amp;lat=-23.63703&amp;long=-46.63738&amp;tipo=S","QRCODE")</f>
        <v>QRCODE</v>
      </c>
      <c r="C4374" t="s">
        <v>5372</v>
      </c>
      <c r="D4374" t="s">
        <v>313</v>
      </c>
      <c r="E4374" t="s">
        <v>259</v>
      </c>
      <c r="F4374" t="s">
        <v>21</v>
      </c>
      <c r="G4374" t="s">
        <v>3508</v>
      </c>
      <c r="H4374">
        <v>0</v>
      </c>
      <c r="I4374">
        <v>1</v>
      </c>
      <c r="J4374">
        <v>0</v>
      </c>
      <c r="K4374">
        <v>0</v>
      </c>
      <c r="L4374">
        <v>0</v>
      </c>
    </row>
    <row r="4375" spans="1:12">
      <c r="A4375" t="str">
        <f>HYPERLINK("http://bombeiros.sp.gov.br/hidrantes/03individual/26926.html","26926")</f>
        <v>26926</v>
      </c>
      <c r="B4375" t="str">
        <f>HYPERLINK("http://bombeiros.sp.gov.br/hidrantes/08bsg/qrcodeBSG.html?id=26926&amp;lat=-23.65207&amp;long=-46.63704&amp;tipo=S","QRCODE")</f>
        <v>QRCODE</v>
      </c>
      <c r="C4375" t="s">
        <v>5372</v>
      </c>
      <c r="D4375" t="s">
        <v>313</v>
      </c>
      <c r="E4375" t="s">
        <v>259</v>
      </c>
      <c r="F4375" t="s">
        <v>21</v>
      </c>
      <c r="G4375" t="s">
        <v>671</v>
      </c>
      <c r="H4375">
        <v>0</v>
      </c>
      <c r="I4375">
        <v>2</v>
      </c>
      <c r="J4375">
        <v>0</v>
      </c>
      <c r="K4375">
        <v>0</v>
      </c>
      <c r="L4375">
        <v>0</v>
      </c>
    </row>
    <row r="4376" spans="1:12">
      <c r="A4376" t="str">
        <f>HYPERLINK("http://bombeiros.sp.gov.br/hidrantes/03individual/393.html","393")</f>
        <v>393</v>
      </c>
      <c r="B4376" t="str">
        <f>HYPERLINK("http://bombeiros.sp.gov.br/hidrantes/08bsg/qrcodeBSG.html?id=393&amp;lat=-23.65166&amp;long=-46.64086&amp;tipo=C","QRCODE")</f>
        <v>QRCODE</v>
      </c>
      <c r="C4376" t="s">
        <v>5372</v>
      </c>
      <c r="D4376" t="s">
        <v>313</v>
      </c>
      <c r="E4376" t="s">
        <v>313</v>
      </c>
      <c r="F4376" t="s">
        <v>12</v>
      </c>
      <c r="G4376" t="s">
        <v>3391</v>
      </c>
      <c r="H4376">
        <v>1</v>
      </c>
      <c r="I4376">
        <v>2</v>
      </c>
      <c r="J4376">
        <v>0</v>
      </c>
      <c r="K4376">
        <v>0</v>
      </c>
      <c r="L4376">
        <v>0</v>
      </c>
    </row>
    <row r="4377" spans="1:12">
      <c r="A4377" t="str">
        <f>HYPERLINK("http://bombeiros.sp.gov.br/hidrantes/03individual/4373.html","4373")</f>
        <v>4373</v>
      </c>
      <c r="B4377" t="str">
        <f>HYPERLINK("http://bombeiros.sp.gov.br/hidrantes/08bsg/qrcodeBSG.html?id=4373&amp;lat=-23.63811&amp;long=-46.64140&amp;tipo=C","QRCODE")</f>
        <v>QRCODE</v>
      </c>
      <c r="C4377" t="s">
        <v>5372</v>
      </c>
      <c r="D4377" t="s">
        <v>313</v>
      </c>
      <c r="E4377" t="s">
        <v>313</v>
      </c>
      <c r="F4377" t="s">
        <v>12</v>
      </c>
      <c r="G4377" t="s">
        <v>312</v>
      </c>
      <c r="H4377">
        <v>1</v>
      </c>
      <c r="I4377">
        <v>2</v>
      </c>
      <c r="J4377">
        <v>0</v>
      </c>
      <c r="K4377">
        <v>0</v>
      </c>
      <c r="L4377">
        <v>0</v>
      </c>
    </row>
    <row r="4378" spans="1:12">
      <c r="A4378" t="str">
        <f>HYPERLINK("http://bombeiros.sp.gov.br/hidrantes/03individual/16590.html","16590")</f>
        <v>16590</v>
      </c>
      <c r="B4378" t="str">
        <f>HYPERLINK("http://bombeiros.sp.gov.br/hidrantes/08bsg/qrcodeBSG.html?id=16590&amp;lat=-23.64661&amp;long=-46.64093&amp;tipo=C","QRCODE")</f>
        <v>QRCODE</v>
      </c>
      <c r="C4378" t="s">
        <v>5372</v>
      </c>
      <c r="D4378" t="s">
        <v>313</v>
      </c>
      <c r="E4378" t="s">
        <v>313</v>
      </c>
      <c r="F4378" t="s">
        <v>12</v>
      </c>
      <c r="G4378" t="s">
        <v>4962</v>
      </c>
      <c r="H4378">
        <v>0</v>
      </c>
      <c r="I4378">
        <v>1</v>
      </c>
      <c r="J4378">
        <v>0</v>
      </c>
      <c r="K4378">
        <v>0</v>
      </c>
      <c r="L4378">
        <v>0</v>
      </c>
    </row>
    <row r="4379" spans="1:12">
      <c r="A4379" t="str">
        <f>HYPERLINK("http://bombeiros.sp.gov.br/hidrantes/03individual/360.html","360")</f>
        <v>360</v>
      </c>
      <c r="B4379" t="str">
        <f>HYPERLINK("http://bombeiros.sp.gov.br/hidrantes/08bsg/qrcodeBSG.html?id=360&amp;lat=-23.64093&amp;long=-46.64344&amp;tipo=S","QRCODE")</f>
        <v>QRCODE</v>
      </c>
      <c r="C4379" t="s">
        <v>5372</v>
      </c>
      <c r="D4379" t="s">
        <v>313</v>
      </c>
      <c r="E4379" t="s">
        <v>313</v>
      </c>
      <c r="F4379" t="s">
        <v>21</v>
      </c>
      <c r="G4379" t="s">
        <v>1244</v>
      </c>
      <c r="H4379">
        <v>0</v>
      </c>
      <c r="I4379">
        <v>3</v>
      </c>
      <c r="J4379">
        <v>0</v>
      </c>
      <c r="K4379">
        <v>0</v>
      </c>
      <c r="L4379">
        <v>0</v>
      </c>
    </row>
    <row r="4380" spans="1:12">
      <c r="A4380" t="str">
        <f>HYPERLINK("http://bombeiros.sp.gov.br/hidrantes/03individual/361.html","361")</f>
        <v>361</v>
      </c>
      <c r="B4380" t="str">
        <f>HYPERLINK("http://bombeiros.sp.gov.br/hidrantes/08bsg/qrcodeBSG.html?id=361&amp;lat=-23.63085&amp;long=-46.64741&amp;tipo=S","QRCODE")</f>
        <v>QRCODE</v>
      </c>
      <c r="C4380" t="s">
        <v>5372</v>
      </c>
      <c r="D4380" t="s">
        <v>313</v>
      </c>
      <c r="E4380" t="s">
        <v>313</v>
      </c>
      <c r="F4380" t="s">
        <v>21</v>
      </c>
      <c r="G4380" t="s">
        <v>2246</v>
      </c>
      <c r="H4380">
        <v>0</v>
      </c>
      <c r="I4380">
        <v>2</v>
      </c>
      <c r="J4380">
        <v>0</v>
      </c>
      <c r="K4380">
        <v>0</v>
      </c>
      <c r="L4380">
        <v>0</v>
      </c>
    </row>
    <row r="4381" spans="1:12">
      <c r="A4381" t="str">
        <f>HYPERLINK("http://bombeiros.sp.gov.br/hidrantes/03individual/362.html","362")</f>
        <v>362</v>
      </c>
      <c r="B4381" t="str">
        <f>HYPERLINK("http://bombeiros.sp.gov.br/hidrantes/08bsg/qrcodeBSG.html?id=362&amp;lat=-23.64305&amp;long=-46.64155&amp;tipo=S","QRCODE")</f>
        <v>QRCODE</v>
      </c>
      <c r="C4381" t="s">
        <v>5372</v>
      </c>
      <c r="D4381" t="s">
        <v>313</v>
      </c>
      <c r="E4381" t="s">
        <v>313</v>
      </c>
      <c r="F4381" t="s">
        <v>21</v>
      </c>
      <c r="G4381" t="s">
        <v>5134</v>
      </c>
      <c r="H4381">
        <v>0</v>
      </c>
      <c r="I4381">
        <v>1</v>
      </c>
      <c r="J4381">
        <v>0</v>
      </c>
      <c r="K4381">
        <v>0</v>
      </c>
      <c r="L4381">
        <v>0</v>
      </c>
    </row>
    <row r="4382" spans="1:12">
      <c r="A4382" t="str">
        <f>HYPERLINK("http://bombeiros.sp.gov.br/hidrantes/03individual/459.html","459")</f>
        <v>459</v>
      </c>
      <c r="B4382" t="str">
        <f>HYPERLINK("http://bombeiros.sp.gov.br/hidrantes/08bsg/qrcodeBSG.html?id=459&amp;lat=-23.64938&amp;long=-46.64027&amp;tipo=S","QRCODE")</f>
        <v>QRCODE</v>
      </c>
      <c r="C4382" t="s">
        <v>5372</v>
      </c>
      <c r="D4382" t="s">
        <v>313</v>
      </c>
      <c r="E4382" t="s">
        <v>313</v>
      </c>
      <c r="F4382" t="s">
        <v>21</v>
      </c>
      <c r="G4382" t="s">
        <v>4441</v>
      </c>
      <c r="H4382">
        <v>0</v>
      </c>
      <c r="I4382">
        <v>2</v>
      </c>
      <c r="J4382">
        <v>0</v>
      </c>
      <c r="K4382">
        <v>0</v>
      </c>
      <c r="L4382">
        <v>0</v>
      </c>
    </row>
    <row r="4383" spans="1:12">
      <c r="A4383" t="str">
        <f>HYPERLINK("http://bombeiros.sp.gov.br/hidrantes/03individual/3768.html","3768")</f>
        <v>3768</v>
      </c>
      <c r="B4383" t="str">
        <f>HYPERLINK("http://bombeiros.sp.gov.br/hidrantes/08bsg/qrcodeBSG.html?id=3768&amp;lat=-23.63655&amp;long=-46.65019&amp;tipo=S","QRCODE")</f>
        <v>QRCODE</v>
      </c>
      <c r="C4383" t="s">
        <v>5372</v>
      </c>
      <c r="D4383" t="s">
        <v>313</v>
      </c>
      <c r="E4383" t="s">
        <v>313</v>
      </c>
      <c r="F4383" t="s">
        <v>21</v>
      </c>
      <c r="G4383" t="s">
        <v>2798</v>
      </c>
      <c r="H4383">
        <v>0</v>
      </c>
      <c r="I4383">
        <v>2</v>
      </c>
      <c r="J4383">
        <v>0</v>
      </c>
      <c r="K4383">
        <v>0</v>
      </c>
      <c r="L4383">
        <v>0</v>
      </c>
    </row>
    <row r="4384" spans="1:12">
      <c r="A4384" t="str">
        <f>HYPERLINK("http://bombeiros.sp.gov.br/hidrantes/03individual/3827.html","3827")</f>
        <v>3827</v>
      </c>
      <c r="B4384" t="str">
        <f>HYPERLINK("http://bombeiros.sp.gov.br/hidrantes/08bsg/qrcodeBSG.html?id=3827&amp;lat=-23.64874&amp;long=-46.64732&amp;tipo=S","QRCODE")</f>
        <v>QRCODE</v>
      </c>
      <c r="C4384" t="s">
        <v>5372</v>
      </c>
      <c r="D4384" t="s">
        <v>313</v>
      </c>
      <c r="E4384" t="s">
        <v>313</v>
      </c>
      <c r="F4384" t="s">
        <v>21</v>
      </c>
      <c r="G4384" t="s">
        <v>3368</v>
      </c>
      <c r="H4384">
        <v>0</v>
      </c>
      <c r="I4384">
        <v>2</v>
      </c>
      <c r="J4384">
        <v>0</v>
      </c>
      <c r="K4384">
        <v>0</v>
      </c>
      <c r="L4384">
        <v>0</v>
      </c>
    </row>
    <row r="4385" spans="1:12">
      <c r="A4385" t="str">
        <f>HYPERLINK("http://bombeiros.sp.gov.br/hidrantes/03individual/3828.html","3828")</f>
        <v>3828</v>
      </c>
      <c r="B4385" t="str">
        <f>HYPERLINK("http://bombeiros.sp.gov.br/hidrantes/08bsg/qrcodeBSG.html?id=3828&amp;lat=-23.64752&amp;long=-46.64908&amp;tipo=S","QRCODE")</f>
        <v>QRCODE</v>
      </c>
      <c r="C4385" t="s">
        <v>5372</v>
      </c>
      <c r="D4385" t="s">
        <v>313</v>
      </c>
      <c r="E4385" t="s">
        <v>313</v>
      </c>
      <c r="F4385" t="s">
        <v>21</v>
      </c>
      <c r="G4385" t="s">
        <v>4425</v>
      </c>
      <c r="H4385">
        <v>0</v>
      </c>
      <c r="I4385">
        <v>2</v>
      </c>
      <c r="J4385">
        <v>0</v>
      </c>
      <c r="K4385">
        <v>0</v>
      </c>
      <c r="L4385">
        <v>0</v>
      </c>
    </row>
    <row r="4386" spans="1:12">
      <c r="A4386" t="str">
        <f>HYPERLINK("http://bombeiros.sp.gov.br/hidrantes/03individual/3829.html","3829")</f>
        <v>3829</v>
      </c>
      <c r="B4386" t="str">
        <f>HYPERLINK("http://bombeiros.sp.gov.br/hidrantes/08bsg/qrcodeBSG.html?id=3829&amp;lat=-23.64639&amp;long=-46.64978&amp;tipo=S","QRCODE")</f>
        <v>QRCODE</v>
      </c>
      <c r="C4386" t="s">
        <v>5372</v>
      </c>
      <c r="D4386" t="s">
        <v>313</v>
      </c>
      <c r="E4386" t="s">
        <v>313</v>
      </c>
      <c r="F4386" t="s">
        <v>21</v>
      </c>
      <c r="G4386" t="s">
        <v>4426</v>
      </c>
      <c r="H4386">
        <v>0</v>
      </c>
      <c r="I4386">
        <v>2</v>
      </c>
      <c r="J4386">
        <v>0</v>
      </c>
      <c r="K4386">
        <v>0</v>
      </c>
      <c r="L4386">
        <v>0</v>
      </c>
    </row>
    <row r="4387" spans="1:12">
      <c r="A4387" t="str">
        <f>HYPERLINK("http://bombeiros.sp.gov.br/hidrantes/03individual/3831.html","3831")</f>
        <v>3831</v>
      </c>
      <c r="B4387" t="str">
        <f>HYPERLINK("http://bombeiros.sp.gov.br/hidrantes/08bsg/qrcodeBSG.html?id=3831&amp;lat=-23.64360&amp;long=-46.64724&amp;tipo=S","QRCODE")</f>
        <v>QRCODE</v>
      </c>
      <c r="C4387" t="s">
        <v>5372</v>
      </c>
      <c r="D4387" t="s">
        <v>313</v>
      </c>
      <c r="E4387" t="s">
        <v>313</v>
      </c>
      <c r="F4387" t="s">
        <v>21</v>
      </c>
      <c r="G4387" t="s">
        <v>3369</v>
      </c>
      <c r="H4387">
        <v>0</v>
      </c>
      <c r="I4387">
        <v>2</v>
      </c>
      <c r="J4387">
        <v>0</v>
      </c>
      <c r="K4387">
        <v>0</v>
      </c>
      <c r="L4387">
        <v>0</v>
      </c>
    </row>
    <row r="4388" spans="1:12">
      <c r="A4388" t="str">
        <f>HYPERLINK("http://bombeiros.sp.gov.br/hidrantes/03individual/3835.html","3835")</f>
        <v>3835</v>
      </c>
      <c r="B4388" t="str">
        <f>HYPERLINK("http://bombeiros.sp.gov.br/hidrantes/08bsg/qrcodeBSG.html?id=3835&amp;lat=-23.64226&amp;long=-46.64440&amp;tipo=S","QRCODE")</f>
        <v>QRCODE</v>
      </c>
      <c r="C4388" t="s">
        <v>5372</v>
      </c>
      <c r="D4388" t="s">
        <v>313</v>
      </c>
      <c r="E4388" t="s">
        <v>313</v>
      </c>
      <c r="F4388" t="s">
        <v>21</v>
      </c>
      <c r="G4388" t="s">
        <v>2795</v>
      </c>
      <c r="H4388">
        <v>0</v>
      </c>
      <c r="I4388">
        <v>2</v>
      </c>
      <c r="J4388">
        <v>0</v>
      </c>
      <c r="K4388">
        <v>0</v>
      </c>
      <c r="L4388">
        <v>0</v>
      </c>
    </row>
    <row r="4389" spans="1:12">
      <c r="A4389" t="str">
        <f>HYPERLINK("http://bombeiros.sp.gov.br/hidrantes/03individual/3848.html","3848")</f>
        <v>3848</v>
      </c>
      <c r="B4389" t="str">
        <f>HYPERLINK("http://bombeiros.sp.gov.br/hidrantes/08bsg/qrcodeBSG.html?id=3848&amp;lat=-23.64179&amp;long=-46.65609&amp;tipo=S","QRCODE")</f>
        <v>QRCODE</v>
      </c>
      <c r="C4389" t="s">
        <v>5372</v>
      </c>
      <c r="D4389" t="s">
        <v>313</v>
      </c>
      <c r="E4389" t="s">
        <v>313</v>
      </c>
      <c r="F4389" t="s">
        <v>21</v>
      </c>
      <c r="G4389" t="s">
        <v>4413</v>
      </c>
      <c r="H4389">
        <v>0</v>
      </c>
      <c r="I4389">
        <v>2</v>
      </c>
      <c r="J4389">
        <v>0</v>
      </c>
      <c r="K4389">
        <v>0</v>
      </c>
      <c r="L4389">
        <v>0</v>
      </c>
    </row>
    <row r="4390" spans="1:12">
      <c r="A4390" t="str">
        <f>HYPERLINK("http://bombeiros.sp.gov.br/hidrantes/03individual/3849.html","3849")</f>
        <v>3849</v>
      </c>
      <c r="B4390" t="str">
        <f>HYPERLINK("http://bombeiros.sp.gov.br/hidrantes/08bsg/qrcodeBSG.html?id=3849&amp;lat=-23.64310&amp;long=-46.65289&amp;tipo=S","QRCODE")</f>
        <v>QRCODE</v>
      </c>
      <c r="C4390" t="s">
        <v>5372</v>
      </c>
      <c r="D4390" t="s">
        <v>313</v>
      </c>
      <c r="E4390" t="s">
        <v>313</v>
      </c>
      <c r="F4390" t="s">
        <v>21</v>
      </c>
      <c r="G4390" t="s">
        <v>4414</v>
      </c>
      <c r="H4390">
        <v>0</v>
      </c>
      <c r="I4390">
        <v>2</v>
      </c>
      <c r="J4390">
        <v>0</v>
      </c>
      <c r="K4390">
        <v>0</v>
      </c>
      <c r="L4390">
        <v>0</v>
      </c>
    </row>
    <row r="4391" spans="1:12">
      <c r="A4391" t="str">
        <f>HYPERLINK("http://bombeiros.sp.gov.br/hidrantes/03individual/3850.html","3850")</f>
        <v>3850</v>
      </c>
      <c r="B4391" t="str">
        <f>HYPERLINK("http://bombeiros.sp.gov.br/hidrantes/08bsg/qrcodeBSG.html?id=3850&amp;lat=-23.63901&amp;long=-46.64771&amp;tipo=S","QRCODE")</f>
        <v>QRCODE</v>
      </c>
      <c r="C4391" t="s">
        <v>5372</v>
      </c>
      <c r="D4391" t="s">
        <v>313</v>
      </c>
      <c r="E4391" t="s">
        <v>313</v>
      </c>
      <c r="F4391" t="s">
        <v>21</v>
      </c>
      <c r="G4391" t="s">
        <v>2796</v>
      </c>
      <c r="H4391">
        <v>0</v>
      </c>
      <c r="I4391">
        <v>2</v>
      </c>
      <c r="J4391">
        <v>0</v>
      </c>
      <c r="K4391">
        <v>0</v>
      </c>
      <c r="L4391">
        <v>0</v>
      </c>
    </row>
    <row r="4392" spans="1:12">
      <c r="A4392" t="str">
        <f>HYPERLINK("http://bombeiros.sp.gov.br/hidrantes/03individual/3851.html","3851")</f>
        <v>3851</v>
      </c>
      <c r="B4392" t="str">
        <f>HYPERLINK("http://bombeiros.sp.gov.br/hidrantes/08bsg/qrcodeBSG.html?id=3851&amp;lat=-23.63679&amp;long=-46.64192&amp;tipo=S","QRCODE")</f>
        <v>QRCODE</v>
      </c>
      <c r="C4392" t="s">
        <v>5372</v>
      </c>
      <c r="D4392" t="s">
        <v>313</v>
      </c>
      <c r="E4392" t="s">
        <v>313</v>
      </c>
      <c r="F4392" t="s">
        <v>21</v>
      </c>
      <c r="G4392" t="s">
        <v>4415</v>
      </c>
      <c r="H4392">
        <v>0</v>
      </c>
      <c r="I4392">
        <v>2</v>
      </c>
      <c r="J4392">
        <v>0</v>
      </c>
      <c r="K4392">
        <v>0</v>
      </c>
      <c r="L4392">
        <v>0</v>
      </c>
    </row>
    <row r="4393" spans="1:12">
      <c r="A4393" t="str">
        <f>HYPERLINK("http://bombeiros.sp.gov.br/hidrantes/03individual/3852.html","3852")</f>
        <v>3852</v>
      </c>
      <c r="B4393" t="str">
        <f>HYPERLINK("http://bombeiros.sp.gov.br/hidrantes/08bsg/qrcodeBSG.html?id=3852&amp;lat=-23.63688&amp;long=-46.64189&amp;tipo=S","QRCODE")</f>
        <v>QRCODE</v>
      </c>
      <c r="C4393" t="s">
        <v>5372</v>
      </c>
      <c r="D4393" t="s">
        <v>313</v>
      </c>
      <c r="E4393" t="s">
        <v>313</v>
      </c>
      <c r="F4393" t="s">
        <v>21</v>
      </c>
      <c r="G4393" t="s">
        <v>4416</v>
      </c>
      <c r="H4393">
        <v>0</v>
      </c>
      <c r="I4393">
        <v>2</v>
      </c>
      <c r="J4393">
        <v>0</v>
      </c>
      <c r="K4393">
        <v>0</v>
      </c>
      <c r="L4393">
        <v>0</v>
      </c>
    </row>
    <row r="4394" spans="1:12">
      <c r="A4394" t="str">
        <f>HYPERLINK("http://bombeiros.sp.gov.br/hidrantes/03individual/3857.html","3857")</f>
        <v>3857</v>
      </c>
      <c r="B4394" t="str">
        <f>HYPERLINK("http://bombeiros.sp.gov.br/hidrantes/08bsg/qrcodeBSG.html?id=3857&amp;lat=-23.63670&amp;long=-46.64310&amp;tipo=S","QRCODE")</f>
        <v>QRCODE</v>
      </c>
      <c r="C4394" t="s">
        <v>5372</v>
      </c>
      <c r="D4394" t="s">
        <v>313</v>
      </c>
      <c r="E4394" t="s">
        <v>313</v>
      </c>
      <c r="F4394" t="s">
        <v>21</v>
      </c>
      <c r="G4394" t="s">
        <v>2797</v>
      </c>
      <c r="H4394">
        <v>0</v>
      </c>
      <c r="I4394">
        <v>2</v>
      </c>
      <c r="J4394">
        <v>0</v>
      </c>
      <c r="K4394">
        <v>0</v>
      </c>
      <c r="L4394">
        <v>0</v>
      </c>
    </row>
    <row r="4395" spans="1:12">
      <c r="A4395" t="str">
        <f>HYPERLINK("http://bombeiros.sp.gov.br/hidrantes/03individual/3938.html","3938")</f>
        <v>3938</v>
      </c>
      <c r="B4395" t="str">
        <f>HYPERLINK("http://bombeiros.sp.gov.br/hidrantes/08bsg/qrcodeBSG.html?id=3938&amp;lat=-23.63355&amp;long=-46.64711&amp;tipo=S","QRCODE")</f>
        <v>QRCODE</v>
      </c>
      <c r="C4395" t="s">
        <v>5372</v>
      </c>
      <c r="D4395" t="s">
        <v>313</v>
      </c>
      <c r="E4395" t="s">
        <v>313</v>
      </c>
      <c r="F4395" t="s">
        <v>21</v>
      </c>
      <c r="G4395" t="s">
        <v>4734</v>
      </c>
      <c r="H4395">
        <v>0</v>
      </c>
      <c r="I4395">
        <v>2</v>
      </c>
      <c r="J4395">
        <v>0</v>
      </c>
      <c r="K4395">
        <v>0</v>
      </c>
      <c r="L4395">
        <v>0</v>
      </c>
    </row>
    <row r="4396" spans="1:12">
      <c r="A4396" t="str">
        <f>HYPERLINK("http://bombeiros.sp.gov.br/hidrantes/03individual/4370.html","4370")</f>
        <v>4370</v>
      </c>
      <c r="B4396" t="str">
        <f>HYPERLINK("http://bombeiros.sp.gov.br/hidrantes/08bsg/qrcodeBSG.html?id=4370&amp;lat=-23.64548&amp;long=-46.64764&amp;tipo=S","QRCODE")</f>
        <v>QRCODE</v>
      </c>
      <c r="C4396" t="s">
        <v>5372</v>
      </c>
      <c r="D4396" t="s">
        <v>313</v>
      </c>
      <c r="E4396" t="s">
        <v>313</v>
      </c>
      <c r="F4396" t="s">
        <v>21</v>
      </c>
      <c r="G4396" t="s">
        <v>2793</v>
      </c>
      <c r="H4396">
        <v>0</v>
      </c>
      <c r="I4396">
        <v>2</v>
      </c>
      <c r="J4396">
        <v>0</v>
      </c>
      <c r="K4396">
        <v>0</v>
      </c>
      <c r="L4396">
        <v>0</v>
      </c>
    </row>
    <row r="4397" spans="1:12">
      <c r="A4397" t="str">
        <f>HYPERLINK("http://bombeiros.sp.gov.br/hidrantes/03individual/4371.html","4371")</f>
        <v>4371</v>
      </c>
      <c r="B4397" t="str">
        <f>HYPERLINK("http://bombeiros.sp.gov.br/hidrantes/08bsg/qrcodeBSG.html?id=4371&amp;lat=-23.64637&amp;long=-46.64339&amp;tipo=S","QRCODE")</f>
        <v>QRCODE</v>
      </c>
      <c r="C4397" t="s">
        <v>5372</v>
      </c>
      <c r="D4397" t="s">
        <v>313</v>
      </c>
      <c r="E4397" t="s">
        <v>313</v>
      </c>
      <c r="F4397" t="s">
        <v>21</v>
      </c>
      <c r="G4397" t="s">
        <v>5140</v>
      </c>
      <c r="H4397">
        <v>0</v>
      </c>
      <c r="I4397">
        <v>1</v>
      </c>
      <c r="J4397">
        <v>0</v>
      </c>
      <c r="K4397">
        <v>0</v>
      </c>
      <c r="L4397">
        <v>0</v>
      </c>
    </row>
    <row r="4398" spans="1:12">
      <c r="A4398" t="str">
        <f>HYPERLINK("http://bombeiros.sp.gov.br/hidrantes/03individual/4372.html","4372")</f>
        <v>4372</v>
      </c>
      <c r="B4398" t="str">
        <f>HYPERLINK("http://bombeiros.sp.gov.br/hidrantes/08bsg/qrcodeBSG.html?id=4372&amp;lat=-23.64336&amp;long=-46.64493&amp;tipo=S","QRCODE")</f>
        <v>QRCODE</v>
      </c>
      <c r="C4398" t="s">
        <v>5372</v>
      </c>
      <c r="D4398" t="s">
        <v>313</v>
      </c>
      <c r="E4398" t="s">
        <v>313</v>
      </c>
      <c r="F4398" t="s">
        <v>21</v>
      </c>
      <c r="G4398" t="s">
        <v>3361</v>
      </c>
      <c r="H4398">
        <v>0</v>
      </c>
      <c r="I4398">
        <v>2</v>
      </c>
      <c r="J4398">
        <v>0</v>
      </c>
      <c r="K4398">
        <v>0</v>
      </c>
      <c r="L4398">
        <v>0</v>
      </c>
    </row>
    <row r="4399" spans="1:12">
      <c r="A4399" t="str">
        <f>HYPERLINK("http://bombeiros.sp.gov.br/hidrantes/03individual/5649.html","5649")</f>
        <v>5649</v>
      </c>
      <c r="B4399" t="str">
        <f>HYPERLINK("http://bombeiros.sp.gov.br/hidrantes/08bsg/qrcodeBSG.html?id=5649&amp;lat=-23.64557&amp;long=-46.64365&amp;tipo=S","QRCODE")</f>
        <v>QRCODE</v>
      </c>
      <c r="C4399" t="s">
        <v>5372</v>
      </c>
      <c r="D4399" t="s">
        <v>313</v>
      </c>
      <c r="E4399" t="s">
        <v>313</v>
      </c>
      <c r="F4399" t="s">
        <v>21</v>
      </c>
      <c r="G4399" t="s">
        <v>5141</v>
      </c>
      <c r="H4399">
        <v>0</v>
      </c>
      <c r="I4399">
        <v>1</v>
      </c>
      <c r="J4399">
        <v>0</v>
      </c>
      <c r="K4399">
        <v>0</v>
      </c>
      <c r="L4399">
        <v>0</v>
      </c>
    </row>
    <row r="4400" spans="1:12">
      <c r="A4400" t="str">
        <f>HYPERLINK("http://bombeiros.sp.gov.br/hidrantes/03individual/10007.html","10007")</f>
        <v>10007</v>
      </c>
      <c r="B4400" t="str">
        <f>HYPERLINK("http://bombeiros.sp.gov.br/hidrantes/08bsg/qrcodeBSG.html?id=10007&amp;lat=-23.64515&amp;long=-46.64340&amp;tipo=S","QRCODE")</f>
        <v>QRCODE</v>
      </c>
      <c r="C4400" t="s">
        <v>5372</v>
      </c>
      <c r="D4400" t="s">
        <v>313</v>
      </c>
      <c r="E4400" t="s">
        <v>313</v>
      </c>
      <c r="F4400" t="s">
        <v>21</v>
      </c>
      <c r="G4400" t="s">
        <v>2789</v>
      </c>
      <c r="H4400">
        <v>0</v>
      </c>
      <c r="I4400">
        <v>2</v>
      </c>
      <c r="J4400">
        <v>0</v>
      </c>
      <c r="K4400">
        <v>0</v>
      </c>
      <c r="L4400">
        <v>0</v>
      </c>
    </row>
    <row r="4401" spans="1:12">
      <c r="A4401" t="str">
        <f>HYPERLINK("http://bombeiros.sp.gov.br/hidrantes/03individual/17851.html","17851")</f>
        <v>17851</v>
      </c>
      <c r="B4401" t="str">
        <f>HYPERLINK("http://bombeiros.sp.gov.br/hidrantes/08bsg/qrcodeBSG.html?id=17851&amp;lat=-23.65125&amp;long=-46.64664&amp;tipo=S","QRCODE")</f>
        <v>QRCODE</v>
      </c>
      <c r="C4401" t="s">
        <v>5372</v>
      </c>
      <c r="D4401" t="s">
        <v>313</v>
      </c>
      <c r="E4401" t="s">
        <v>313</v>
      </c>
      <c r="F4401" t="s">
        <v>21</v>
      </c>
      <c r="G4401" t="s">
        <v>2183</v>
      </c>
      <c r="H4401">
        <v>0</v>
      </c>
      <c r="I4401">
        <v>2</v>
      </c>
      <c r="J4401">
        <v>0</v>
      </c>
      <c r="K4401">
        <v>0</v>
      </c>
      <c r="L4401">
        <v>0</v>
      </c>
    </row>
    <row r="4402" spans="1:12">
      <c r="A4402" t="str">
        <f>HYPERLINK("http://bombeiros.sp.gov.br/hidrantes/03individual/17871.html","17871")</f>
        <v>17871</v>
      </c>
      <c r="B4402" t="str">
        <f>HYPERLINK("http://bombeiros.sp.gov.br/hidrantes/08bsg/qrcodeBSG.html?id=17871&amp;lat=-23.64035&amp;long=-46.65327&amp;tipo=S","QRCODE")</f>
        <v>QRCODE</v>
      </c>
      <c r="C4402" t="s">
        <v>5372</v>
      </c>
      <c r="D4402" t="s">
        <v>313</v>
      </c>
      <c r="E4402" t="s">
        <v>313</v>
      </c>
      <c r="F4402" t="s">
        <v>21</v>
      </c>
      <c r="G4402" t="s">
        <v>3353</v>
      </c>
      <c r="H4402">
        <v>0</v>
      </c>
      <c r="I4402">
        <v>2</v>
      </c>
      <c r="J4402">
        <v>0</v>
      </c>
      <c r="K4402">
        <v>0</v>
      </c>
      <c r="L4402">
        <v>0</v>
      </c>
    </row>
    <row r="4403" spans="1:12">
      <c r="A4403" t="str">
        <f>HYPERLINK("http://bombeiros.sp.gov.br/hidrantes/03individual/363.html","363")</f>
        <v>363</v>
      </c>
      <c r="B4403" t="str">
        <f>HYPERLINK("http://bombeiros.sp.gov.br/hidrantes/08bsg/qrcodeBSG.html?id=363&amp;lat=-23.66071&amp;long=-46.64349&amp;tipo=C","QRCODE")</f>
        <v>QRCODE</v>
      </c>
      <c r="C4403" t="s">
        <v>5372</v>
      </c>
      <c r="D4403" t="s">
        <v>313</v>
      </c>
      <c r="E4403" t="s">
        <v>614</v>
      </c>
      <c r="F4403" t="s">
        <v>12</v>
      </c>
      <c r="G4403" t="s">
        <v>4969</v>
      </c>
      <c r="H4403">
        <v>0</v>
      </c>
      <c r="I4403">
        <v>1</v>
      </c>
      <c r="J4403">
        <v>0</v>
      </c>
      <c r="K4403">
        <v>0</v>
      </c>
      <c r="L4403">
        <v>0</v>
      </c>
    </row>
    <row r="4404" spans="1:12">
      <c r="A4404" t="str">
        <f>HYPERLINK("http://bombeiros.sp.gov.br/hidrantes/03individual/3773.html","3773")</f>
        <v>3773</v>
      </c>
      <c r="B4404" t="str">
        <f>HYPERLINK("http://bombeiros.sp.gov.br/hidrantes/08bsg/qrcodeBSG.html?id=3773&amp;lat=-23.66462&amp;long=-46.64443&amp;tipo=C","QRCODE")</f>
        <v>QRCODE</v>
      </c>
      <c r="C4404" t="s">
        <v>5372</v>
      </c>
      <c r="D4404" t="s">
        <v>313</v>
      </c>
      <c r="E4404" t="s">
        <v>614</v>
      </c>
      <c r="F4404" t="s">
        <v>12</v>
      </c>
      <c r="G4404" t="s">
        <v>2726</v>
      </c>
      <c r="H4404">
        <v>0</v>
      </c>
      <c r="I4404">
        <v>2</v>
      </c>
      <c r="J4404">
        <v>0</v>
      </c>
      <c r="K4404">
        <v>0</v>
      </c>
      <c r="L4404">
        <v>0</v>
      </c>
    </row>
    <row r="4405" spans="1:12">
      <c r="A4405" t="str">
        <f>HYPERLINK("http://bombeiros.sp.gov.br/hidrantes/03individual/3779.html","3779")</f>
        <v>3779</v>
      </c>
      <c r="B4405" t="str">
        <f>HYPERLINK("http://bombeiros.sp.gov.br/hidrantes/08bsg/qrcodeBSG.html?id=3779&amp;lat=-23.65999&amp;long=-46.64426&amp;tipo=C","QRCODE")</f>
        <v>QRCODE</v>
      </c>
      <c r="C4405" t="s">
        <v>5372</v>
      </c>
      <c r="D4405" t="s">
        <v>313</v>
      </c>
      <c r="E4405" t="s">
        <v>614</v>
      </c>
      <c r="F4405" t="s">
        <v>12</v>
      </c>
      <c r="G4405" t="s">
        <v>1276</v>
      </c>
      <c r="H4405">
        <v>1</v>
      </c>
      <c r="I4405">
        <v>2</v>
      </c>
      <c r="J4405">
        <v>0</v>
      </c>
      <c r="K4405">
        <v>0</v>
      </c>
      <c r="L4405">
        <v>0</v>
      </c>
    </row>
    <row r="4406" spans="1:12">
      <c r="A4406" t="str">
        <f>HYPERLINK("http://bombeiros.sp.gov.br/hidrantes/03individual/10009.html","10009")</f>
        <v>10009</v>
      </c>
      <c r="B4406" t="str">
        <f>HYPERLINK("http://bombeiros.sp.gov.br/hidrantes/08bsg/qrcodeBSG.html?id=10009&amp;lat=-23.65383&amp;long=-46.64632&amp;tipo=C","QRCODE")</f>
        <v>QRCODE</v>
      </c>
      <c r="C4406" t="s">
        <v>5372</v>
      </c>
      <c r="D4406" t="s">
        <v>313</v>
      </c>
      <c r="E4406" t="s">
        <v>614</v>
      </c>
      <c r="F4406" t="s">
        <v>12</v>
      </c>
      <c r="G4406" t="s">
        <v>3365</v>
      </c>
      <c r="H4406">
        <v>0</v>
      </c>
      <c r="I4406">
        <v>3</v>
      </c>
      <c r="J4406">
        <v>0</v>
      </c>
      <c r="K4406">
        <v>0</v>
      </c>
      <c r="L4406">
        <v>0</v>
      </c>
    </row>
    <row r="4407" spans="1:12">
      <c r="A4407" t="str">
        <f>HYPERLINK("http://bombeiros.sp.gov.br/hidrantes/03individual/10010.html","10010")</f>
        <v>10010</v>
      </c>
      <c r="B4407" t="str">
        <f>HYPERLINK("http://bombeiros.sp.gov.br/hidrantes/08bsg/qrcodeBSG.html?id=10010&amp;lat=-23.65631&amp;long=-46.64770&amp;tipo=C","QRCODE")</f>
        <v>QRCODE</v>
      </c>
      <c r="C4407" t="s">
        <v>5372</v>
      </c>
      <c r="D4407" t="s">
        <v>313</v>
      </c>
      <c r="E4407" t="s">
        <v>614</v>
      </c>
      <c r="F4407" t="s">
        <v>12</v>
      </c>
      <c r="G4407" t="s">
        <v>613</v>
      </c>
      <c r="H4407">
        <v>0</v>
      </c>
      <c r="I4407">
        <v>2</v>
      </c>
      <c r="J4407">
        <v>0</v>
      </c>
      <c r="K4407">
        <v>0</v>
      </c>
      <c r="L4407">
        <v>0</v>
      </c>
    </row>
    <row r="4408" spans="1:12">
      <c r="A4408" t="str">
        <f>HYPERLINK("http://bombeiros.sp.gov.br/hidrantes/03individual/311.html","311")</f>
        <v>311</v>
      </c>
      <c r="B4408" t="str">
        <f>HYPERLINK("http://bombeiros.sp.gov.br/hidrantes/08bsg/qrcodeBSG.html?id=311&amp;lat=-23.66364&amp;long=-46.64551&amp;tipo=S","QRCODE")</f>
        <v>QRCODE</v>
      </c>
      <c r="C4408" t="s">
        <v>5372</v>
      </c>
      <c r="D4408" t="s">
        <v>313</v>
      </c>
      <c r="E4408" t="s">
        <v>614</v>
      </c>
      <c r="F4408" t="s">
        <v>21</v>
      </c>
      <c r="G4408" t="s">
        <v>2685</v>
      </c>
      <c r="H4408">
        <v>0</v>
      </c>
      <c r="I4408">
        <v>2</v>
      </c>
      <c r="J4408">
        <v>0</v>
      </c>
      <c r="K4408">
        <v>0</v>
      </c>
      <c r="L4408">
        <v>0</v>
      </c>
    </row>
    <row r="4409" spans="1:12">
      <c r="A4409" t="str">
        <f>HYPERLINK("http://bombeiros.sp.gov.br/hidrantes/03individual/312.html","312")</f>
        <v>312</v>
      </c>
      <c r="B4409" t="str">
        <f>HYPERLINK("http://bombeiros.sp.gov.br/hidrantes/08bsg/qrcodeBSG.html?id=312&amp;lat=-23.65762&amp;long=-46.64913&amp;tipo=S","QRCODE")</f>
        <v>QRCODE</v>
      </c>
      <c r="C4409" t="s">
        <v>5372</v>
      </c>
      <c r="D4409" t="s">
        <v>313</v>
      </c>
      <c r="E4409" t="s">
        <v>614</v>
      </c>
      <c r="F4409" t="s">
        <v>21</v>
      </c>
      <c r="G4409" t="s">
        <v>4463</v>
      </c>
      <c r="H4409">
        <v>0</v>
      </c>
      <c r="I4409">
        <v>2</v>
      </c>
      <c r="J4409">
        <v>0</v>
      </c>
      <c r="K4409">
        <v>0</v>
      </c>
      <c r="L4409">
        <v>0</v>
      </c>
    </row>
    <row r="4410" spans="1:12">
      <c r="A4410" t="str">
        <f>HYPERLINK("http://bombeiros.sp.gov.br/hidrantes/03individual/364.html","364")</f>
        <v>364</v>
      </c>
      <c r="B4410" t="str">
        <f>HYPERLINK("http://bombeiros.sp.gov.br/hidrantes/08bsg/qrcodeBSG.html?id=364&amp;lat=-23.65879&amp;long=-46.65486&amp;tipo=S","QRCODE")</f>
        <v>QRCODE</v>
      </c>
      <c r="C4410" t="s">
        <v>5372</v>
      </c>
      <c r="D4410" t="s">
        <v>313</v>
      </c>
      <c r="E4410" t="s">
        <v>614</v>
      </c>
      <c r="F4410" t="s">
        <v>21</v>
      </c>
      <c r="G4410" t="s">
        <v>4455</v>
      </c>
      <c r="H4410">
        <v>0</v>
      </c>
      <c r="I4410">
        <v>2</v>
      </c>
      <c r="J4410">
        <v>0</v>
      </c>
      <c r="K4410">
        <v>0</v>
      </c>
      <c r="L4410">
        <v>0</v>
      </c>
    </row>
    <row r="4411" spans="1:12">
      <c r="A4411" t="str">
        <f>HYPERLINK("http://bombeiros.sp.gov.br/hidrantes/03individual/407.html","407")</f>
        <v>407</v>
      </c>
      <c r="B4411" t="str">
        <f>HYPERLINK("http://bombeiros.sp.gov.br/hidrantes/08bsg/qrcodeBSG.html?id=407&amp;lat=-23.65242&amp;long=-46.63891&amp;tipo=S","QRCODE")</f>
        <v>QRCODE</v>
      </c>
      <c r="C4411" t="s">
        <v>5372</v>
      </c>
      <c r="D4411" t="s">
        <v>313</v>
      </c>
      <c r="E4411" t="s">
        <v>614</v>
      </c>
      <c r="F4411" t="s">
        <v>21</v>
      </c>
      <c r="G4411" t="s">
        <v>4467</v>
      </c>
      <c r="H4411">
        <v>0</v>
      </c>
      <c r="I4411">
        <v>2</v>
      </c>
      <c r="J4411">
        <v>0</v>
      </c>
      <c r="K4411">
        <v>0</v>
      </c>
      <c r="L4411">
        <v>0</v>
      </c>
    </row>
    <row r="4412" spans="1:12">
      <c r="A4412" t="str">
        <f>HYPERLINK("http://bombeiros.sp.gov.br/hidrantes/03individual/408.html","408")</f>
        <v>408</v>
      </c>
      <c r="B4412" t="str">
        <f>HYPERLINK("http://bombeiros.sp.gov.br/hidrantes/08bsg/qrcodeBSG.html?id=408&amp;lat=-23.65484&amp;long=-46.63879&amp;tipo=S","QRCODE")</f>
        <v>QRCODE</v>
      </c>
      <c r="C4412" t="s">
        <v>5372</v>
      </c>
      <c r="D4412" t="s">
        <v>313</v>
      </c>
      <c r="E4412" t="s">
        <v>614</v>
      </c>
      <c r="F4412" t="s">
        <v>21</v>
      </c>
      <c r="G4412" t="s">
        <v>3392</v>
      </c>
      <c r="H4412">
        <v>0</v>
      </c>
      <c r="I4412">
        <v>2</v>
      </c>
      <c r="J4412">
        <v>0</v>
      </c>
      <c r="K4412">
        <v>0</v>
      </c>
      <c r="L4412">
        <v>0</v>
      </c>
    </row>
    <row r="4413" spans="1:12">
      <c r="A4413" t="str">
        <f>HYPERLINK("http://bombeiros.sp.gov.br/hidrantes/03individual/443.html","443")</f>
        <v>443</v>
      </c>
      <c r="B4413" t="str">
        <f>HYPERLINK("http://bombeiros.sp.gov.br/hidrantes/08bsg/qrcodeBSG.html?id=443&amp;lat=-23.65601&amp;long=-46.63544&amp;tipo=S","QRCODE")</f>
        <v>QRCODE</v>
      </c>
      <c r="C4413" t="s">
        <v>5372</v>
      </c>
      <c r="D4413" t="s">
        <v>313</v>
      </c>
      <c r="E4413" t="s">
        <v>614</v>
      </c>
      <c r="F4413" t="s">
        <v>21</v>
      </c>
      <c r="G4413" t="s">
        <v>2673</v>
      </c>
      <c r="H4413">
        <v>0</v>
      </c>
      <c r="I4413">
        <v>2</v>
      </c>
      <c r="J4413">
        <v>0</v>
      </c>
      <c r="K4413">
        <v>0</v>
      </c>
      <c r="L4413">
        <v>0</v>
      </c>
    </row>
    <row r="4414" spans="1:12">
      <c r="A4414" t="str">
        <f>HYPERLINK("http://bombeiros.sp.gov.br/hidrantes/03individual/444.html","444")</f>
        <v>444</v>
      </c>
      <c r="B4414" t="str">
        <f>HYPERLINK("http://bombeiros.sp.gov.br/hidrantes/08bsg/qrcodeBSG.html?id=444&amp;lat=-23.66007&amp;long=-46.66062&amp;tipo=S","QRCODE")</f>
        <v>QRCODE</v>
      </c>
      <c r="C4414" t="s">
        <v>5372</v>
      </c>
      <c r="D4414" t="s">
        <v>313</v>
      </c>
      <c r="E4414" t="s">
        <v>614</v>
      </c>
      <c r="F4414" t="s">
        <v>21</v>
      </c>
      <c r="G4414" t="s">
        <v>4447</v>
      </c>
      <c r="H4414">
        <v>0</v>
      </c>
      <c r="I4414">
        <v>2</v>
      </c>
      <c r="J4414">
        <v>0</v>
      </c>
      <c r="K4414">
        <v>0</v>
      </c>
      <c r="L4414">
        <v>0</v>
      </c>
    </row>
    <row r="4415" spans="1:12">
      <c r="A4415" t="str">
        <f>HYPERLINK("http://bombeiros.sp.gov.br/hidrantes/03individual/462.html","462")</f>
        <v>462</v>
      </c>
      <c r="B4415" t="str">
        <f>HYPERLINK("http://bombeiros.sp.gov.br/hidrantes/08bsg/qrcodeBSG.html?id=462&amp;lat=-23.66938&amp;long=-46.63536&amp;tipo=S","QRCODE")</f>
        <v>QRCODE</v>
      </c>
      <c r="C4415" t="s">
        <v>5372</v>
      </c>
      <c r="D4415" t="s">
        <v>313</v>
      </c>
      <c r="E4415" t="s">
        <v>614</v>
      </c>
      <c r="F4415" t="s">
        <v>21</v>
      </c>
      <c r="G4415" t="s">
        <v>2256</v>
      </c>
      <c r="H4415">
        <v>0</v>
      </c>
      <c r="I4415">
        <v>2</v>
      </c>
      <c r="J4415">
        <v>0</v>
      </c>
      <c r="K4415">
        <v>0</v>
      </c>
      <c r="L4415">
        <v>0</v>
      </c>
    </row>
    <row r="4416" spans="1:12">
      <c r="A4416" t="str">
        <f>HYPERLINK("http://bombeiros.sp.gov.br/hidrantes/03individual/463.html","463")</f>
        <v>463</v>
      </c>
      <c r="B4416" t="str">
        <f>HYPERLINK("http://bombeiros.sp.gov.br/hidrantes/08bsg/qrcodeBSG.html?id=463&amp;lat=-23.65947&amp;long=-46.65035&amp;tipo=S","QRCODE")</f>
        <v>QRCODE</v>
      </c>
      <c r="C4416" t="s">
        <v>5372</v>
      </c>
      <c r="D4416" t="s">
        <v>313</v>
      </c>
      <c r="E4416" t="s">
        <v>614</v>
      </c>
      <c r="F4416" t="s">
        <v>21</v>
      </c>
      <c r="G4416" t="s">
        <v>1250</v>
      </c>
      <c r="H4416">
        <v>1</v>
      </c>
      <c r="I4416">
        <v>2</v>
      </c>
      <c r="J4416">
        <v>0</v>
      </c>
      <c r="K4416">
        <v>0</v>
      </c>
      <c r="L4416">
        <v>0</v>
      </c>
    </row>
    <row r="4417" spans="1:12">
      <c r="A4417" t="str">
        <f>HYPERLINK("http://bombeiros.sp.gov.br/hidrantes/03individual/465.html","465")</f>
        <v>465</v>
      </c>
      <c r="B4417" t="str">
        <f>HYPERLINK("http://bombeiros.sp.gov.br/hidrantes/08bsg/qrcodeBSG.html?id=465&amp;lat=-23.66381&amp;long=-46.65153&amp;tipo=S","QRCODE")</f>
        <v>QRCODE</v>
      </c>
      <c r="C4417" t="s">
        <v>5372</v>
      </c>
      <c r="D4417" t="s">
        <v>313</v>
      </c>
      <c r="E4417" t="s">
        <v>614</v>
      </c>
      <c r="F4417" t="s">
        <v>21</v>
      </c>
      <c r="G4417" t="s">
        <v>3876</v>
      </c>
      <c r="H4417">
        <v>0</v>
      </c>
      <c r="I4417">
        <v>1</v>
      </c>
      <c r="J4417">
        <v>0</v>
      </c>
      <c r="K4417">
        <v>0</v>
      </c>
      <c r="L4417">
        <v>0</v>
      </c>
    </row>
    <row r="4418" spans="1:12">
      <c r="A4418" t="str">
        <f>HYPERLINK("http://bombeiros.sp.gov.br/hidrantes/03individual/3772.html","3772")</f>
        <v>3772</v>
      </c>
      <c r="B4418" t="str">
        <f>HYPERLINK("http://bombeiros.sp.gov.br/hidrantes/08bsg/qrcodeBSG.html?id=3772&amp;lat=-23.66535&amp;long=-46.64739&amp;tipo=S","QRCODE")</f>
        <v>QRCODE</v>
      </c>
      <c r="C4418" t="s">
        <v>5372</v>
      </c>
      <c r="D4418" t="s">
        <v>313</v>
      </c>
      <c r="E4418" t="s">
        <v>614</v>
      </c>
      <c r="F4418" t="s">
        <v>21</v>
      </c>
      <c r="G4418" t="s">
        <v>4973</v>
      </c>
      <c r="H4418">
        <v>0</v>
      </c>
      <c r="I4418">
        <v>1</v>
      </c>
      <c r="J4418">
        <v>0</v>
      </c>
      <c r="K4418">
        <v>0</v>
      </c>
      <c r="L4418">
        <v>0</v>
      </c>
    </row>
    <row r="4419" spans="1:12">
      <c r="A4419" t="str">
        <f>HYPERLINK("http://bombeiros.sp.gov.br/hidrantes/03individual/3830.html","3830")</f>
        <v>3830</v>
      </c>
      <c r="B4419" t="str">
        <f>HYPERLINK("http://bombeiros.sp.gov.br/hidrantes/08bsg/qrcodeBSG.html?id=3830&amp;lat=-23.65860&amp;long=-46.65593&amp;tipo=S","QRCODE")</f>
        <v>QRCODE</v>
      </c>
      <c r="C4419" t="s">
        <v>5372</v>
      </c>
      <c r="D4419" t="s">
        <v>313</v>
      </c>
      <c r="E4419" t="s">
        <v>614</v>
      </c>
      <c r="F4419" t="s">
        <v>21</v>
      </c>
      <c r="G4419" t="s">
        <v>4427</v>
      </c>
      <c r="H4419">
        <v>0</v>
      </c>
      <c r="I4419">
        <v>2</v>
      </c>
      <c r="J4419">
        <v>0</v>
      </c>
      <c r="K4419">
        <v>0</v>
      </c>
      <c r="L4419">
        <v>0</v>
      </c>
    </row>
    <row r="4420" spans="1:12">
      <c r="A4420" t="str">
        <f>HYPERLINK("http://bombeiros.sp.gov.br/hidrantes/03individual/3842.html","3842")</f>
        <v>3842</v>
      </c>
      <c r="B4420" t="str">
        <f>HYPERLINK("http://bombeiros.sp.gov.br/hidrantes/08bsg/qrcodeBSG.html?id=3842&amp;lat=-23.65300&amp;long=-46.64016&amp;tipo=S","QRCODE")</f>
        <v>QRCODE</v>
      </c>
      <c r="C4420" t="s">
        <v>5372</v>
      </c>
      <c r="D4420" t="s">
        <v>313</v>
      </c>
      <c r="E4420" t="s">
        <v>614</v>
      </c>
      <c r="F4420" t="s">
        <v>21</v>
      </c>
      <c r="G4420" t="s">
        <v>3373</v>
      </c>
      <c r="H4420">
        <v>0</v>
      </c>
      <c r="I4420">
        <v>2</v>
      </c>
      <c r="J4420">
        <v>0</v>
      </c>
      <c r="K4420">
        <v>0</v>
      </c>
      <c r="L4420">
        <v>0</v>
      </c>
    </row>
    <row r="4421" spans="1:12">
      <c r="A4421" t="str">
        <f>HYPERLINK("http://bombeiros.sp.gov.br/hidrantes/03individual/4180.html","4180")</f>
        <v>4180</v>
      </c>
      <c r="B4421" t="str">
        <f>HYPERLINK("http://bombeiros.sp.gov.br/hidrantes/08bsg/qrcodeBSG.html?id=4180&amp;lat=-23.65143&amp;long=-46.63506&amp;tipo=S","QRCODE")</f>
        <v>QRCODE</v>
      </c>
      <c r="C4421" t="s">
        <v>5372</v>
      </c>
      <c r="D4421" t="s">
        <v>313</v>
      </c>
      <c r="E4421" t="s">
        <v>614</v>
      </c>
      <c r="F4421" t="s">
        <v>21</v>
      </c>
      <c r="G4421" t="s">
        <v>3108</v>
      </c>
      <c r="H4421">
        <v>1</v>
      </c>
      <c r="I4421">
        <v>1</v>
      </c>
      <c r="J4421">
        <v>0</v>
      </c>
      <c r="K4421">
        <v>0</v>
      </c>
      <c r="L4421">
        <v>0</v>
      </c>
    </row>
    <row r="4422" spans="1:12">
      <c r="A4422" t="str">
        <f>HYPERLINK("http://bombeiros.sp.gov.br/hidrantes/03individual/16621.html","16621")</f>
        <v>16621</v>
      </c>
      <c r="B4422" t="str">
        <f>HYPERLINK("http://bombeiros.sp.gov.br/hidrantes/08bsg/qrcodeBSG.html?id=16621&amp;lat=-23.66301&amp;long=-46.64307&amp;tipo=S","QRCODE")</f>
        <v>QRCODE</v>
      </c>
      <c r="C4422" t="s">
        <v>5372</v>
      </c>
      <c r="D4422" t="s">
        <v>313</v>
      </c>
      <c r="E4422" t="s">
        <v>614</v>
      </c>
      <c r="F4422" t="s">
        <v>21</v>
      </c>
      <c r="G4422" t="s">
        <v>4262</v>
      </c>
      <c r="H4422">
        <v>0</v>
      </c>
      <c r="I4422">
        <v>1</v>
      </c>
      <c r="J4422">
        <v>0</v>
      </c>
      <c r="K4422">
        <v>0</v>
      </c>
      <c r="L4422">
        <v>0</v>
      </c>
    </row>
    <row r="4423" spans="1:12">
      <c r="A4423" t="str">
        <f>HYPERLINK("http://bombeiros.sp.gov.br/hidrantes/03individual/16622.html","16622")</f>
        <v>16622</v>
      </c>
      <c r="B4423" t="str">
        <f>HYPERLINK("http://bombeiros.sp.gov.br/hidrantes/08bsg/qrcodeBSG.html?id=16622&amp;lat=-23.65915&amp;long=-46.64487&amp;tipo=S","QRCODE")</f>
        <v>QRCODE</v>
      </c>
      <c r="C4423" t="s">
        <v>5372</v>
      </c>
      <c r="D4423" t="s">
        <v>313</v>
      </c>
      <c r="E4423" t="s">
        <v>614</v>
      </c>
      <c r="F4423" t="s">
        <v>21</v>
      </c>
      <c r="G4423" t="s">
        <v>4963</v>
      </c>
      <c r="H4423">
        <v>0</v>
      </c>
      <c r="I4423">
        <v>1</v>
      </c>
      <c r="J4423">
        <v>0</v>
      </c>
      <c r="K4423">
        <v>0</v>
      </c>
      <c r="L4423">
        <v>0</v>
      </c>
    </row>
    <row r="4424" spans="1:12">
      <c r="A4424" t="str">
        <f>HYPERLINK("http://bombeiros.sp.gov.br/hidrantes/03individual/16623.html","16623")</f>
        <v>16623</v>
      </c>
      <c r="B4424" t="str">
        <f>HYPERLINK("http://bombeiros.sp.gov.br/hidrantes/08bsg/qrcodeBSG.html?id=16623&amp;lat=-23.65799&amp;long=-46.64124&amp;tipo=S","QRCODE")</f>
        <v>QRCODE</v>
      </c>
      <c r="C4424" t="s">
        <v>5372</v>
      </c>
      <c r="D4424" t="s">
        <v>313</v>
      </c>
      <c r="E4424" t="s">
        <v>614</v>
      </c>
      <c r="F4424" t="s">
        <v>21</v>
      </c>
      <c r="G4424" t="s">
        <v>2760</v>
      </c>
      <c r="H4424">
        <v>0</v>
      </c>
      <c r="I4424">
        <v>2</v>
      </c>
      <c r="J4424">
        <v>0</v>
      </c>
      <c r="K4424">
        <v>0</v>
      </c>
      <c r="L4424">
        <v>0</v>
      </c>
    </row>
    <row r="4425" spans="1:12">
      <c r="A4425" t="str">
        <f>HYPERLINK("http://bombeiros.sp.gov.br/hidrantes/03individual/17846.html","17846")</f>
        <v>17846</v>
      </c>
      <c r="B4425" t="str">
        <f>HYPERLINK("http://bombeiros.sp.gov.br/hidrantes/08bsg/qrcodeBSG.html?id=17846&amp;lat=-23.66108&amp;long=-46.65990&amp;tipo=S","QRCODE")</f>
        <v>QRCODE</v>
      </c>
      <c r="C4425" t="s">
        <v>5372</v>
      </c>
      <c r="D4425" t="s">
        <v>313</v>
      </c>
      <c r="E4425" t="s">
        <v>614</v>
      </c>
      <c r="F4425" t="s">
        <v>21</v>
      </c>
      <c r="G4425" t="s">
        <v>2184</v>
      </c>
      <c r="H4425">
        <v>0</v>
      </c>
      <c r="I4425">
        <v>2</v>
      </c>
      <c r="J4425">
        <v>0</v>
      </c>
      <c r="K4425">
        <v>0</v>
      </c>
      <c r="L4425">
        <v>0</v>
      </c>
    </row>
    <row r="4426" spans="1:12">
      <c r="A4426" t="str">
        <f>HYPERLINK("http://bombeiros.sp.gov.br/hidrantes/03individual/17852.html","17852")</f>
        <v>17852</v>
      </c>
      <c r="B4426" t="str">
        <f>HYPERLINK("http://bombeiros.sp.gov.br/hidrantes/08bsg/qrcodeBSG.html?id=17852&amp;lat=-23.65426&amp;long=-46.63726&amp;tipo=S","QRCODE")</f>
        <v>QRCODE</v>
      </c>
      <c r="C4426" t="s">
        <v>5372</v>
      </c>
      <c r="D4426" t="s">
        <v>313</v>
      </c>
      <c r="E4426" t="s">
        <v>614</v>
      </c>
      <c r="F4426" t="s">
        <v>21</v>
      </c>
      <c r="G4426" t="s">
        <v>4804</v>
      </c>
      <c r="H4426">
        <v>0</v>
      </c>
      <c r="I4426">
        <v>1</v>
      </c>
      <c r="J4426">
        <v>0</v>
      </c>
      <c r="K4426">
        <v>0</v>
      </c>
      <c r="L4426">
        <v>0</v>
      </c>
    </row>
    <row r="4427" spans="1:12">
      <c r="A4427" t="str">
        <f>HYPERLINK("http://bombeiros.sp.gov.br/hidrantes/03individual/3735.html","3735")</f>
        <v>3735</v>
      </c>
      <c r="B4427" t="str">
        <f>HYPERLINK("http://bombeiros.sp.gov.br/hidrantes/08bsg/qrcodeBSG.html?id=3735&amp;lat=-23.65438&amp;long=-46.65803&amp;tipo=C","QRCODE")</f>
        <v>QRCODE</v>
      </c>
      <c r="C4427" t="s">
        <v>5372</v>
      </c>
      <c r="D4427" t="s">
        <v>313</v>
      </c>
      <c r="E4427" t="s">
        <v>210</v>
      </c>
      <c r="F4427" t="s">
        <v>12</v>
      </c>
      <c r="G4427" t="s">
        <v>209</v>
      </c>
      <c r="H4427">
        <v>0</v>
      </c>
      <c r="I4427">
        <v>3</v>
      </c>
      <c r="J4427">
        <v>0</v>
      </c>
      <c r="K4427">
        <v>0</v>
      </c>
      <c r="L4427">
        <v>0</v>
      </c>
    </row>
    <row r="4428" spans="1:12">
      <c r="A4428" t="str">
        <f>HYPERLINK("http://bombeiros.sp.gov.br/hidrantes/03individual/3757.html","3757")</f>
        <v>3757</v>
      </c>
      <c r="B4428" t="str">
        <f>HYPERLINK("http://bombeiros.sp.gov.br/hidrantes/08bsg/qrcodeBSG.html?id=3757&amp;lat=-23.64476&amp;long=-46.65872&amp;tipo=C","QRCODE")</f>
        <v>QRCODE</v>
      </c>
      <c r="C4428" t="s">
        <v>5372</v>
      </c>
      <c r="D4428" t="s">
        <v>313</v>
      </c>
      <c r="E4428" t="s">
        <v>210</v>
      </c>
      <c r="F4428" t="s">
        <v>12</v>
      </c>
      <c r="G4428" t="s">
        <v>4434</v>
      </c>
      <c r="H4428">
        <v>0</v>
      </c>
      <c r="I4428">
        <v>2</v>
      </c>
      <c r="J4428">
        <v>0</v>
      </c>
      <c r="K4428">
        <v>0</v>
      </c>
      <c r="L4428">
        <v>0</v>
      </c>
    </row>
    <row r="4429" spans="1:12">
      <c r="A4429" t="str">
        <f>HYPERLINK("http://bombeiros.sp.gov.br/hidrantes/03individual/3782.html","3782")</f>
        <v>3782</v>
      </c>
      <c r="B4429" t="str">
        <f>HYPERLINK("http://bombeiros.sp.gov.br/hidrantes/08bsg/qrcodeBSG.html?id=3782&amp;lat=-23.65172&amp;long=-46.64814&amp;tipo=C","QRCODE")</f>
        <v>QRCODE</v>
      </c>
      <c r="C4429" t="s">
        <v>5372</v>
      </c>
      <c r="D4429" t="s">
        <v>313</v>
      </c>
      <c r="E4429" t="s">
        <v>210</v>
      </c>
      <c r="F4429" t="s">
        <v>12</v>
      </c>
      <c r="G4429" t="s">
        <v>709</v>
      </c>
      <c r="H4429">
        <v>1</v>
      </c>
      <c r="I4429">
        <v>3</v>
      </c>
      <c r="J4429">
        <v>0</v>
      </c>
      <c r="K4429">
        <v>0</v>
      </c>
      <c r="L4429">
        <v>0</v>
      </c>
    </row>
    <row r="4430" spans="1:12">
      <c r="A4430" t="str">
        <f>HYPERLINK("http://bombeiros.sp.gov.br/hidrantes/03individual/342.html","342")</f>
        <v>342</v>
      </c>
      <c r="B4430" t="str">
        <f>HYPERLINK("http://bombeiros.sp.gov.br/hidrantes/08bsg/qrcodeBSG.html?id=342&amp;lat=-23.65024&amp;long=-46.65452&amp;tipo=S","QRCODE")</f>
        <v>QRCODE</v>
      </c>
      <c r="C4430" t="s">
        <v>5372</v>
      </c>
      <c r="D4430" t="s">
        <v>313</v>
      </c>
      <c r="E4430" t="s">
        <v>210</v>
      </c>
      <c r="F4430" t="s">
        <v>21</v>
      </c>
      <c r="G4430" t="s">
        <v>4302</v>
      </c>
      <c r="H4430">
        <v>0</v>
      </c>
      <c r="I4430">
        <v>1</v>
      </c>
      <c r="J4430">
        <v>0</v>
      </c>
      <c r="K4430">
        <v>0</v>
      </c>
      <c r="L4430">
        <v>0</v>
      </c>
    </row>
    <row r="4431" spans="1:12">
      <c r="A4431" t="str">
        <f>HYPERLINK("http://bombeiros.sp.gov.br/hidrantes/03individual/410.html","410")</f>
        <v>410</v>
      </c>
      <c r="B4431" t="str">
        <f>HYPERLINK("http://bombeiros.sp.gov.br/hidrantes/08bsg/qrcodeBSG.html?id=410&amp;lat=-23.64698&amp;long=-46.65719&amp;tipo=S","QRCODE")</f>
        <v>QRCODE</v>
      </c>
      <c r="C4431" t="s">
        <v>5372</v>
      </c>
      <c r="D4431" t="s">
        <v>313</v>
      </c>
      <c r="E4431" t="s">
        <v>210</v>
      </c>
      <c r="F4431" t="s">
        <v>21</v>
      </c>
      <c r="G4431" t="s">
        <v>2675</v>
      </c>
      <c r="H4431">
        <v>0</v>
      </c>
      <c r="I4431">
        <v>2</v>
      </c>
      <c r="J4431">
        <v>0</v>
      </c>
      <c r="K4431">
        <v>0</v>
      </c>
      <c r="L4431">
        <v>0</v>
      </c>
    </row>
    <row r="4432" spans="1:12">
      <c r="A4432" t="str">
        <f>HYPERLINK("http://bombeiros.sp.gov.br/hidrantes/03individual/435.html","435")</f>
        <v>435</v>
      </c>
      <c r="B4432" t="str">
        <f>HYPERLINK("http://bombeiros.sp.gov.br/hidrantes/08bsg/qrcodeBSG.html?id=435&amp;lat=-23.64583&amp;long=-46.66354&amp;tipo=S","QRCODE")</f>
        <v>QRCODE</v>
      </c>
      <c r="C4432" t="s">
        <v>5372</v>
      </c>
      <c r="D4432" t="s">
        <v>313</v>
      </c>
      <c r="E4432" t="s">
        <v>210</v>
      </c>
      <c r="F4432" t="s">
        <v>21</v>
      </c>
      <c r="G4432" t="s">
        <v>4449</v>
      </c>
      <c r="H4432">
        <v>0</v>
      </c>
      <c r="I4432">
        <v>3</v>
      </c>
      <c r="J4432">
        <v>0</v>
      </c>
      <c r="K4432">
        <v>0</v>
      </c>
      <c r="L4432">
        <v>0</v>
      </c>
    </row>
    <row r="4433" spans="1:12">
      <c r="A4433" t="str">
        <f>HYPERLINK("http://bombeiros.sp.gov.br/hidrantes/03individual/436.html","436")</f>
        <v>436</v>
      </c>
      <c r="B4433" t="str">
        <f>HYPERLINK("http://bombeiros.sp.gov.br/hidrantes/08bsg/qrcodeBSG.html?id=436&amp;lat=-23.65103&amp;long=-46.66448&amp;tipo=S","QRCODE")</f>
        <v>QRCODE</v>
      </c>
      <c r="C4433" t="s">
        <v>5372</v>
      </c>
      <c r="D4433" t="s">
        <v>313</v>
      </c>
      <c r="E4433" t="s">
        <v>210</v>
      </c>
      <c r="F4433" t="s">
        <v>21</v>
      </c>
      <c r="G4433" t="s">
        <v>4451</v>
      </c>
      <c r="H4433">
        <v>0</v>
      </c>
      <c r="I4433">
        <v>2</v>
      </c>
      <c r="J4433">
        <v>0</v>
      </c>
      <c r="K4433">
        <v>0</v>
      </c>
      <c r="L4433">
        <v>0</v>
      </c>
    </row>
    <row r="4434" spans="1:12">
      <c r="A4434" t="str">
        <f>HYPERLINK("http://bombeiros.sp.gov.br/hidrantes/03individual/460.html","460")</f>
        <v>460</v>
      </c>
      <c r="B4434" t="str">
        <f>HYPERLINK("http://bombeiros.sp.gov.br/hidrantes/08bsg/qrcodeBSG.html?id=460&amp;lat=-23.65065&amp;long=-46.66140&amp;tipo=S","QRCODE")</f>
        <v>QRCODE</v>
      </c>
      <c r="C4434" t="s">
        <v>5372</v>
      </c>
      <c r="D4434" t="s">
        <v>313</v>
      </c>
      <c r="E4434" t="s">
        <v>210</v>
      </c>
      <c r="F4434" t="s">
        <v>21</v>
      </c>
      <c r="G4434" t="s">
        <v>1249</v>
      </c>
      <c r="H4434">
        <v>0</v>
      </c>
      <c r="I4434">
        <v>2</v>
      </c>
      <c r="J4434">
        <v>0</v>
      </c>
      <c r="K4434">
        <v>0</v>
      </c>
      <c r="L4434">
        <v>0</v>
      </c>
    </row>
    <row r="4435" spans="1:12">
      <c r="A4435" t="str">
        <f>HYPERLINK("http://bombeiros.sp.gov.br/hidrantes/03individual/461.html","461")</f>
        <v>461</v>
      </c>
      <c r="B4435" t="str">
        <f>HYPERLINK("http://bombeiros.sp.gov.br/hidrantes/08bsg/qrcodeBSG.html?id=461&amp;lat=-23.65287&amp;long=-46.66093&amp;tipo=S","QRCODE")</f>
        <v>QRCODE</v>
      </c>
      <c r="C4435" t="s">
        <v>5372</v>
      </c>
      <c r="D4435" t="s">
        <v>313</v>
      </c>
      <c r="E4435" t="s">
        <v>210</v>
      </c>
      <c r="F4435" t="s">
        <v>21</v>
      </c>
      <c r="G4435" t="s">
        <v>4301</v>
      </c>
      <c r="H4435">
        <v>0</v>
      </c>
      <c r="I4435">
        <v>1</v>
      </c>
      <c r="J4435">
        <v>0</v>
      </c>
      <c r="K4435">
        <v>0</v>
      </c>
      <c r="L4435">
        <v>0</v>
      </c>
    </row>
    <row r="4436" spans="1:12">
      <c r="A4436" t="str">
        <f>HYPERLINK("http://bombeiros.sp.gov.br/hidrantes/03individual/483.html","483")</f>
        <v>483</v>
      </c>
      <c r="B4436" t="str">
        <f>HYPERLINK("http://bombeiros.sp.gov.br/hidrantes/08bsg/qrcodeBSG.html?id=483&amp;lat=-23.65246&amp;long=-46.65564&amp;tipo=S","QRCODE")</f>
        <v>QRCODE</v>
      </c>
      <c r="C4436" t="s">
        <v>5372</v>
      </c>
      <c r="D4436" t="s">
        <v>313</v>
      </c>
      <c r="E4436" t="s">
        <v>210</v>
      </c>
      <c r="F4436" t="s">
        <v>21</v>
      </c>
      <c r="G4436" t="s">
        <v>4453</v>
      </c>
      <c r="H4436">
        <v>0</v>
      </c>
      <c r="I4436">
        <v>2</v>
      </c>
      <c r="J4436">
        <v>0</v>
      </c>
      <c r="K4436">
        <v>0</v>
      </c>
      <c r="L4436">
        <v>0</v>
      </c>
    </row>
    <row r="4437" spans="1:12">
      <c r="A4437" t="str">
        <f>HYPERLINK("http://bombeiros.sp.gov.br/hidrantes/03individual/496.html","496")</f>
        <v>496</v>
      </c>
      <c r="B4437" t="str">
        <f>HYPERLINK("http://bombeiros.sp.gov.br/hidrantes/08bsg/qrcodeBSG.html?id=496&amp;lat=-23.64791&amp;long=-46.65513&amp;tipo=S","QRCODE")</f>
        <v>QRCODE</v>
      </c>
      <c r="C4437" t="s">
        <v>5372</v>
      </c>
      <c r="D4437" t="s">
        <v>313</v>
      </c>
      <c r="E4437" t="s">
        <v>210</v>
      </c>
      <c r="F4437" t="s">
        <v>21</v>
      </c>
      <c r="G4437" t="s">
        <v>4454</v>
      </c>
      <c r="H4437">
        <v>0</v>
      </c>
      <c r="I4437">
        <v>2</v>
      </c>
      <c r="J4437">
        <v>0</v>
      </c>
      <c r="K4437">
        <v>0</v>
      </c>
      <c r="L4437">
        <v>0</v>
      </c>
    </row>
    <row r="4438" spans="1:12">
      <c r="A4438" t="str">
        <f>HYPERLINK("http://bombeiros.sp.gov.br/hidrantes/03individual/3734.html","3734")</f>
        <v>3734</v>
      </c>
      <c r="B4438" t="str">
        <f>HYPERLINK("http://bombeiros.sp.gov.br/hidrantes/08bsg/qrcodeBSG.html?id=3734&amp;lat=-23.65524&amp;long=-46.65869&amp;tipo=S","QRCODE")</f>
        <v>QRCODE</v>
      </c>
      <c r="C4438" t="s">
        <v>5372</v>
      </c>
      <c r="D4438" t="s">
        <v>313</v>
      </c>
      <c r="E4438" t="s">
        <v>210</v>
      </c>
      <c r="F4438" t="s">
        <v>21</v>
      </c>
      <c r="G4438" t="s">
        <v>3116</v>
      </c>
      <c r="H4438">
        <v>1</v>
      </c>
      <c r="I4438">
        <v>2</v>
      </c>
      <c r="J4438">
        <v>0</v>
      </c>
      <c r="K4438">
        <v>0</v>
      </c>
      <c r="L4438">
        <v>0</v>
      </c>
    </row>
    <row r="4439" spans="1:12">
      <c r="A4439" t="str">
        <f>HYPERLINK("http://bombeiros.sp.gov.br/hidrantes/03individual/3738.html","3738")</f>
        <v>3738</v>
      </c>
      <c r="B4439" t="str">
        <f>HYPERLINK("http://bombeiros.sp.gov.br/hidrantes/08bsg/qrcodeBSG.html?id=3738&amp;lat=-23.64733&amp;long=-46.66056&amp;tipo=S","QRCODE")</f>
        <v>QRCODE</v>
      </c>
      <c r="C4439" t="s">
        <v>5372</v>
      </c>
      <c r="D4439" t="s">
        <v>313</v>
      </c>
      <c r="E4439" t="s">
        <v>210</v>
      </c>
      <c r="F4439" t="s">
        <v>21</v>
      </c>
      <c r="G4439" t="s">
        <v>4286</v>
      </c>
      <c r="H4439">
        <v>0</v>
      </c>
      <c r="I4439">
        <v>1</v>
      </c>
      <c r="J4439">
        <v>0</v>
      </c>
      <c r="K4439">
        <v>0</v>
      </c>
      <c r="L4439">
        <v>0</v>
      </c>
    </row>
    <row r="4440" spans="1:12">
      <c r="A4440" t="str">
        <f>HYPERLINK("http://bombeiros.sp.gov.br/hidrantes/03individual/3741.html","3741")</f>
        <v>3741</v>
      </c>
      <c r="B4440" t="str">
        <f>HYPERLINK("http://bombeiros.sp.gov.br/hidrantes/08bsg/qrcodeBSG.html?id=3741&amp;lat=-23.64459&amp;long=-46.66265&amp;tipo=S","QRCODE")</f>
        <v>QRCODE</v>
      </c>
      <c r="C4440" t="s">
        <v>5372</v>
      </c>
      <c r="D4440" t="s">
        <v>313</v>
      </c>
      <c r="E4440" t="s">
        <v>210</v>
      </c>
      <c r="F4440" t="s">
        <v>21</v>
      </c>
      <c r="G4440" t="s">
        <v>4287</v>
      </c>
      <c r="H4440">
        <v>0</v>
      </c>
      <c r="I4440">
        <v>1</v>
      </c>
      <c r="J4440">
        <v>0</v>
      </c>
      <c r="K4440">
        <v>0</v>
      </c>
      <c r="L4440">
        <v>0</v>
      </c>
    </row>
    <row r="4441" spans="1:12">
      <c r="A4441" t="str">
        <f>HYPERLINK("http://bombeiros.sp.gov.br/hidrantes/03individual/3743.html","3743")</f>
        <v>3743</v>
      </c>
      <c r="B4441" t="str">
        <f>HYPERLINK("http://bombeiros.sp.gov.br/hidrantes/08bsg/qrcodeBSG.html?id=3743&amp;lat=-23.64702&amp;long=-46.66601&amp;tipo=S","QRCODE")</f>
        <v>QRCODE</v>
      </c>
      <c r="C4441" t="s">
        <v>5372</v>
      </c>
      <c r="D4441" t="s">
        <v>313</v>
      </c>
      <c r="E4441" t="s">
        <v>210</v>
      </c>
      <c r="F4441" t="s">
        <v>21</v>
      </c>
      <c r="G4441" t="s">
        <v>4288</v>
      </c>
      <c r="H4441">
        <v>0</v>
      </c>
      <c r="I4441">
        <v>1</v>
      </c>
      <c r="J4441">
        <v>0</v>
      </c>
      <c r="K4441">
        <v>0</v>
      </c>
      <c r="L4441">
        <v>0</v>
      </c>
    </row>
    <row r="4442" spans="1:12">
      <c r="A4442" t="str">
        <f>HYPERLINK("http://bombeiros.sp.gov.br/hidrantes/03individual/3745.html","3745")</f>
        <v>3745</v>
      </c>
      <c r="B4442" t="str">
        <f>HYPERLINK("http://bombeiros.sp.gov.br/hidrantes/08bsg/qrcodeBSG.html?id=3745&amp;lat=-23.64366&amp;long=-46.66731&amp;tipo=S","QRCODE")</f>
        <v>QRCODE</v>
      </c>
      <c r="C4442" t="s">
        <v>5372</v>
      </c>
      <c r="D4442" t="s">
        <v>313</v>
      </c>
      <c r="E4442" t="s">
        <v>210</v>
      </c>
      <c r="F4442" t="s">
        <v>21</v>
      </c>
      <c r="G4442" t="s">
        <v>4289</v>
      </c>
      <c r="H4442">
        <v>0</v>
      </c>
      <c r="I4442">
        <v>1</v>
      </c>
      <c r="J4442">
        <v>0</v>
      </c>
      <c r="K4442">
        <v>0</v>
      </c>
      <c r="L4442">
        <v>0</v>
      </c>
    </row>
    <row r="4443" spans="1:12">
      <c r="A4443" t="str">
        <f>HYPERLINK("http://bombeiros.sp.gov.br/hidrantes/03individual/3756.html","3756")</f>
        <v>3756</v>
      </c>
      <c r="B4443" t="str">
        <f>HYPERLINK("http://bombeiros.sp.gov.br/hidrantes/08bsg/qrcodeBSG.html?id=3756&amp;lat=-23.64195&amp;long=-46.66368&amp;tipo=S","QRCODE")</f>
        <v>QRCODE</v>
      </c>
      <c r="C4443" t="s">
        <v>5372</v>
      </c>
      <c r="D4443" t="s">
        <v>313</v>
      </c>
      <c r="E4443" t="s">
        <v>210</v>
      </c>
      <c r="F4443" t="s">
        <v>21</v>
      </c>
      <c r="G4443" t="s">
        <v>4433</v>
      </c>
      <c r="H4443">
        <v>1</v>
      </c>
      <c r="I4443">
        <v>1</v>
      </c>
      <c r="J4443">
        <v>0</v>
      </c>
      <c r="K4443">
        <v>0</v>
      </c>
      <c r="L4443">
        <v>0</v>
      </c>
    </row>
    <row r="4444" spans="1:12">
      <c r="A4444" t="str">
        <f>HYPERLINK("http://bombeiros.sp.gov.br/hidrantes/03individual/3825.html","3825")</f>
        <v>3825</v>
      </c>
      <c r="B4444" t="str">
        <f>HYPERLINK("http://bombeiros.sp.gov.br/hidrantes/08bsg/qrcodeBSG.html?id=3825&amp;lat=-23.65488&amp;long=-46.65346&amp;tipo=S","QRCODE")</f>
        <v>QRCODE</v>
      </c>
      <c r="C4444" t="s">
        <v>5372</v>
      </c>
      <c r="D4444" t="s">
        <v>313</v>
      </c>
      <c r="E4444" t="s">
        <v>210</v>
      </c>
      <c r="F4444" t="s">
        <v>21</v>
      </c>
      <c r="G4444" t="s">
        <v>634</v>
      </c>
      <c r="H4444">
        <v>0</v>
      </c>
      <c r="I4444">
        <v>2</v>
      </c>
      <c r="J4444">
        <v>0</v>
      </c>
      <c r="K4444">
        <v>0</v>
      </c>
      <c r="L4444">
        <v>0</v>
      </c>
    </row>
    <row r="4445" spans="1:12">
      <c r="A4445" t="str">
        <f>HYPERLINK("http://bombeiros.sp.gov.br/hidrantes/03individual/3826.html","3826")</f>
        <v>3826</v>
      </c>
      <c r="B4445" t="str">
        <f>HYPERLINK("http://bombeiros.sp.gov.br/hidrantes/08bsg/qrcodeBSG.html?id=3826&amp;lat=-23.65547&amp;long=-46.65548&amp;tipo=S","QRCODE")</f>
        <v>QRCODE</v>
      </c>
      <c r="C4445" t="s">
        <v>5372</v>
      </c>
      <c r="D4445" t="s">
        <v>313</v>
      </c>
      <c r="E4445" t="s">
        <v>210</v>
      </c>
      <c r="F4445" t="s">
        <v>21</v>
      </c>
      <c r="G4445" t="s">
        <v>2221</v>
      </c>
      <c r="H4445">
        <v>0</v>
      </c>
      <c r="I4445">
        <v>2</v>
      </c>
      <c r="J4445">
        <v>0</v>
      </c>
      <c r="K4445">
        <v>0</v>
      </c>
      <c r="L4445">
        <v>0</v>
      </c>
    </row>
    <row r="4446" spans="1:12">
      <c r="A4446" t="str">
        <f>HYPERLINK("http://bombeiros.sp.gov.br/hidrantes/03individual/16615.html","16615")</f>
        <v>16615</v>
      </c>
      <c r="B4446" t="str">
        <f>HYPERLINK("http://bombeiros.sp.gov.br/hidrantes/08bsg/qrcodeBSG.html?id=16615&amp;lat=-23.64998&amp;long=-46.65943&amp;tipo=S","QRCODE")</f>
        <v>QRCODE</v>
      </c>
      <c r="C4446" t="s">
        <v>5372</v>
      </c>
      <c r="D4446" t="s">
        <v>313</v>
      </c>
      <c r="E4446" t="s">
        <v>210</v>
      </c>
      <c r="F4446" t="s">
        <v>21</v>
      </c>
      <c r="G4446" t="s">
        <v>244</v>
      </c>
      <c r="H4446">
        <v>0</v>
      </c>
      <c r="I4446">
        <v>2</v>
      </c>
      <c r="J4446">
        <v>0</v>
      </c>
      <c r="K4446">
        <v>0</v>
      </c>
      <c r="L4446">
        <v>0</v>
      </c>
    </row>
    <row r="4447" spans="1:12">
      <c r="A4447" t="str">
        <f>HYPERLINK("http://bombeiros.sp.gov.br/hidrantes/03individual/16617.html","16617")</f>
        <v>16617</v>
      </c>
      <c r="B4447" t="str">
        <f>HYPERLINK("http://bombeiros.sp.gov.br/hidrantes/08bsg/qrcodeBSG.html?id=16617&amp;lat=-23.65170&amp;long=-46.65637&amp;tipo=S","QRCODE")</f>
        <v>QRCODE</v>
      </c>
      <c r="C4447" t="s">
        <v>5372</v>
      </c>
      <c r="D4447" t="s">
        <v>313</v>
      </c>
      <c r="E4447" t="s">
        <v>210</v>
      </c>
      <c r="F4447" t="s">
        <v>21</v>
      </c>
      <c r="G4447" t="s">
        <v>2178</v>
      </c>
      <c r="H4447">
        <v>0</v>
      </c>
      <c r="I4447">
        <v>2</v>
      </c>
      <c r="J4447">
        <v>0</v>
      </c>
      <c r="K4447">
        <v>0</v>
      </c>
      <c r="L4447">
        <v>0</v>
      </c>
    </row>
    <row r="4448" spans="1:12">
      <c r="A4448" t="str">
        <f>HYPERLINK("http://bombeiros.sp.gov.br/hidrantes/03individual/16618.html","16618")</f>
        <v>16618</v>
      </c>
      <c r="B4448" t="str">
        <f>HYPERLINK("http://bombeiros.sp.gov.br/hidrantes/08bsg/qrcodeBSG.html?id=16618&amp;lat=-23.64855&amp;long=-46.66248&amp;tipo=S","QRCODE")</f>
        <v>QRCODE</v>
      </c>
      <c r="C4448" t="s">
        <v>5372</v>
      </c>
      <c r="D4448" t="s">
        <v>313</v>
      </c>
      <c r="E4448" t="s">
        <v>210</v>
      </c>
      <c r="F4448" t="s">
        <v>21</v>
      </c>
      <c r="G4448" t="s">
        <v>245</v>
      </c>
      <c r="H4448">
        <v>0</v>
      </c>
      <c r="I4448">
        <v>3</v>
      </c>
      <c r="J4448">
        <v>0</v>
      </c>
      <c r="K4448">
        <v>0</v>
      </c>
      <c r="L4448">
        <v>0</v>
      </c>
    </row>
    <row r="4449" spans="1:12">
      <c r="A4449" t="str">
        <f>HYPERLINK("http://bombeiros.sp.gov.br/hidrantes/03individual/4400.html","4400")</f>
        <v>4400</v>
      </c>
      <c r="B4449" t="str">
        <f>HYPERLINK("http://bombeiros.sp.gov.br/hidrantes/08bsg/qrcodeBSG.html?id=4400&amp;lat=-23.69509&amp;long=-46.76293&amp;tipo=C","QRCODE")</f>
        <v>QRCODE</v>
      </c>
      <c r="C4449" t="s">
        <v>5372</v>
      </c>
      <c r="D4449" t="s">
        <v>511</v>
      </c>
      <c r="E4449" t="s">
        <v>511</v>
      </c>
      <c r="F4449" t="s">
        <v>12</v>
      </c>
      <c r="G4449" t="s">
        <v>1718</v>
      </c>
      <c r="H4449">
        <v>0</v>
      </c>
      <c r="I4449">
        <v>2</v>
      </c>
      <c r="J4449">
        <v>0</v>
      </c>
      <c r="K4449">
        <v>0</v>
      </c>
      <c r="L4449">
        <v>0</v>
      </c>
    </row>
    <row r="4450" spans="1:12">
      <c r="A4450" t="str">
        <f>HYPERLINK("http://bombeiros.sp.gov.br/hidrantes/03individual/2436.html","2436")</f>
        <v>2436</v>
      </c>
      <c r="B4450" t="str">
        <f>HYPERLINK("http://bombeiros.sp.gov.br/hidrantes/08bsg/qrcodeBSG.html?id=2436&amp;lat=-23.67952&amp;long=-46.75346&amp;tipo=S","QRCODE")</f>
        <v>QRCODE</v>
      </c>
      <c r="C4450" t="s">
        <v>5372</v>
      </c>
      <c r="D4450" t="s">
        <v>511</v>
      </c>
      <c r="E4450" t="s">
        <v>511</v>
      </c>
      <c r="F4450" t="s">
        <v>21</v>
      </c>
      <c r="G4450" t="s">
        <v>510</v>
      </c>
      <c r="H4450">
        <v>0</v>
      </c>
      <c r="I4450">
        <v>2</v>
      </c>
      <c r="J4450">
        <v>0</v>
      </c>
      <c r="K4450">
        <v>0</v>
      </c>
      <c r="L4450">
        <v>0</v>
      </c>
    </row>
    <row r="4451" spans="1:12">
      <c r="A4451" t="str">
        <f>HYPERLINK("http://bombeiros.sp.gov.br/hidrantes/03individual/17803.html","17803")</f>
        <v>17803</v>
      </c>
      <c r="B4451" t="str">
        <f>HYPERLINK("http://bombeiros.sp.gov.br/hidrantes/08bsg/qrcodeBSG.html?id=17803&amp;lat=-23.73633&amp;long=-46.78193&amp;tipo=C","QRCODE")</f>
        <v>QRCODE</v>
      </c>
      <c r="C4451" t="s">
        <v>5372</v>
      </c>
      <c r="D4451" t="s">
        <v>511</v>
      </c>
      <c r="E4451" t="s">
        <v>3659</v>
      </c>
      <c r="F4451" t="s">
        <v>12</v>
      </c>
      <c r="G4451" t="s">
        <v>3846</v>
      </c>
      <c r="H4451">
        <v>0</v>
      </c>
      <c r="I4451">
        <v>1</v>
      </c>
      <c r="J4451">
        <v>0</v>
      </c>
      <c r="K4451">
        <v>0</v>
      </c>
      <c r="L4451">
        <v>0</v>
      </c>
    </row>
    <row r="4452" spans="1:12">
      <c r="A4452" t="str">
        <f>HYPERLINK("http://bombeiros.sp.gov.br/hidrantes/03individual/17804.html","17804")</f>
        <v>17804</v>
      </c>
      <c r="B4452" t="str">
        <f>HYPERLINK("http://bombeiros.sp.gov.br/hidrantes/08bsg/qrcodeBSG.html?id=17804&amp;lat=-23.73145&amp;long=-46.78567&amp;tipo=C","QRCODE")</f>
        <v>QRCODE</v>
      </c>
      <c r="C4452" t="s">
        <v>5372</v>
      </c>
      <c r="D4452" t="s">
        <v>511</v>
      </c>
      <c r="E4452" t="s">
        <v>3659</v>
      </c>
      <c r="F4452" t="s">
        <v>12</v>
      </c>
      <c r="G4452" t="s">
        <v>3658</v>
      </c>
      <c r="H4452">
        <v>0</v>
      </c>
      <c r="I4452">
        <v>1</v>
      </c>
      <c r="J4452">
        <v>0</v>
      </c>
      <c r="K4452">
        <v>0</v>
      </c>
      <c r="L4452">
        <v>0</v>
      </c>
    </row>
    <row r="4453" spans="1:12">
      <c r="A4453" t="str">
        <f>HYPERLINK("http://bombeiros.sp.gov.br/hidrantes/03individual/26790.html","26790")</f>
        <v>26790</v>
      </c>
      <c r="B4453" t="str">
        <f>HYPERLINK("http://bombeiros.sp.gov.br/hidrantes/08bsg/qrcodeBSG.html?id=26790&amp;lat=-23.72917&amp;long=-46.77421&amp;tipo=C","QRCODE")</f>
        <v>QRCODE</v>
      </c>
      <c r="C4453" t="s">
        <v>5372</v>
      </c>
      <c r="D4453" t="s">
        <v>511</v>
      </c>
      <c r="E4453" t="s">
        <v>3659</v>
      </c>
      <c r="F4453" t="s">
        <v>12</v>
      </c>
      <c r="G4453" t="s">
        <v>3837</v>
      </c>
      <c r="H4453">
        <v>0</v>
      </c>
      <c r="I4453">
        <v>1</v>
      </c>
      <c r="J4453">
        <v>0</v>
      </c>
      <c r="K4453">
        <v>0</v>
      </c>
      <c r="L4453">
        <v>0</v>
      </c>
    </row>
    <row r="4454" spans="1:12">
      <c r="A4454" t="str">
        <f>HYPERLINK("http://bombeiros.sp.gov.br/hidrantes/03individual/4148.html","4148")</f>
        <v>4148</v>
      </c>
      <c r="B4454" t="str">
        <f>HYPERLINK("http://bombeiros.sp.gov.br/hidrantes/08bsg/qrcodeBSG.html?id=4148&amp;lat=-23.67951&amp;long=-46.77465&amp;tipo=C","QRCODE")</f>
        <v>QRCODE</v>
      </c>
      <c r="C4454" t="s">
        <v>5372</v>
      </c>
      <c r="D4454" t="s">
        <v>511</v>
      </c>
      <c r="E4454" t="s">
        <v>1723</v>
      </c>
      <c r="F4454" t="s">
        <v>12</v>
      </c>
      <c r="G4454" t="s">
        <v>1722</v>
      </c>
      <c r="H4454">
        <v>0</v>
      </c>
      <c r="I4454">
        <v>2</v>
      </c>
      <c r="J4454">
        <v>0</v>
      </c>
      <c r="K4454">
        <v>0</v>
      </c>
      <c r="L4454">
        <v>0</v>
      </c>
    </row>
    <row r="4455" spans="1:12">
      <c r="A4455" t="str">
        <f>HYPERLINK("http://bombeiros.sp.gov.br/hidrantes/03individual/26913.html","26913")</f>
        <v>26913</v>
      </c>
      <c r="B4455" t="str">
        <f>HYPERLINK("http://bombeiros.sp.gov.br/hidrantes/08bsg/qrcodeBSG.html?id=26913&amp;lat=-23.70156&amp;long=-46.76628&amp;tipo=S","QRCODE")</f>
        <v>QRCODE</v>
      </c>
      <c r="C4455" t="s">
        <v>5372</v>
      </c>
      <c r="D4455" t="s">
        <v>511</v>
      </c>
      <c r="E4455" t="s">
        <v>4078</v>
      </c>
      <c r="F4455" t="s">
        <v>21</v>
      </c>
      <c r="G4455" t="s">
        <v>4077</v>
      </c>
      <c r="H4455">
        <v>0</v>
      </c>
      <c r="I4455">
        <v>1</v>
      </c>
      <c r="J4455">
        <v>0</v>
      </c>
      <c r="K4455">
        <v>0</v>
      </c>
      <c r="L4455">
        <v>0</v>
      </c>
    </row>
    <row r="4456" spans="1:12">
      <c r="A4456" t="str">
        <f>HYPERLINK("http://bombeiros.sp.gov.br/hidrantes/03individual/10058.html","10058")</f>
        <v>10058</v>
      </c>
      <c r="B4456" t="str">
        <f>HYPERLINK("http://bombeiros.sp.gov.br/hidrantes/08bsg/qrcodeBSG.html?id=10058&amp;lat=-23.66009&amp;long=-46.74401&amp;tipo=B","QRCODE")</f>
        <v>QRCODE</v>
      </c>
      <c r="C4456" t="s">
        <v>5372</v>
      </c>
      <c r="D4456" t="s">
        <v>422</v>
      </c>
      <c r="E4456" t="s">
        <v>468</v>
      </c>
      <c r="F4456" t="s">
        <v>1719</v>
      </c>
      <c r="G4456" t="s">
        <v>5385</v>
      </c>
      <c r="H4456">
        <v>0</v>
      </c>
      <c r="I4456">
        <v>0</v>
      </c>
      <c r="J4456">
        <v>0</v>
      </c>
      <c r="K4456">
        <v>0</v>
      </c>
      <c r="L4456">
        <v>0</v>
      </c>
    </row>
    <row r="4457" spans="1:12">
      <c r="A4457" t="str">
        <f>HYPERLINK("http://bombeiros.sp.gov.br/hidrantes/03individual/4110.html","4110")</f>
        <v>4110</v>
      </c>
      <c r="B4457" t="str">
        <f>HYPERLINK("http://bombeiros.sp.gov.br/hidrantes/08bsg/qrcodeBSG.html?id=4110&amp;lat=-23.65656&amp;long=-46.73573&amp;tipo=C","QRCODE")</f>
        <v>QRCODE</v>
      </c>
      <c r="C4457" t="s">
        <v>5372</v>
      </c>
      <c r="D4457" t="s">
        <v>422</v>
      </c>
      <c r="E4457" t="s">
        <v>468</v>
      </c>
      <c r="F4457" t="s">
        <v>12</v>
      </c>
      <c r="G4457" t="s">
        <v>2357</v>
      </c>
      <c r="H4457">
        <v>0</v>
      </c>
      <c r="I4457">
        <v>2</v>
      </c>
      <c r="J4457">
        <v>0</v>
      </c>
      <c r="K4457">
        <v>0</v>
      </c>
      <c r="L4457">
        <v>0</v>
      </c>
    </row>
    <row r="4458" spans="1:12">
      <c r="A4458" t="str">
        <f>HYPERLINK("http://bombeiros.sp.gov.br/hidrantes/03individual/4133.html","4133")</f>
        <v>4133</v>
      </c>
      <c r="B4458" t="str">
        <f>HYPERLINK("http://bombeiros.sp.gov.br/hidrantes/08bsg/qrcodeBSG.html?id=4133&amp;lat=-23.66402&amp;long=-46.75347&amp;tipo=C","QRCODE")</f>
        <v>QRCODE</v>
      </c>
      <c r="C4458" t="s">
        <v>5372</v>
      </c>
      <c r="D4458" t="s">
        <v>422</v>
      </c>
      <c r="E4458" t="s">
        <v>468</v>
      </c>
      <c r="F4458" t="s">
        <v>12</v>
      </c>
      <c r="G4458" t="s">
        <v>1725</v>
      </c>
      <c r="H4458">
        <v>0</v>
      </c>
      <c r="I4458">
        <v>2</v>
      </c>
      <c r="J4458">
        <v>0</v>
      </c>
      <c r="K4458">
        <v>0</v>
      </c>
      <c r="L4458">
        <v>0</v>
      </c>
    </row>
    <row r="4459" spans="1:12">
      <c r="A4459" t="str">
        <f>HYPERLINK("http://bombeiros.sp.gov.br/hidrantes/03individual/4134.html","4134")</f>
        <v>4134</v>
      </c>
      <c r="B4459" t="str">
        <f>HYPERLINK("http://bombeiros.sp.gov.br/hidrantes/08bsg/qrcodeBSG.html?id=4134&amp;lat=-23.66751&amp;long=-46.75541&amp;tipo=C","QRCODE")</f>
        <v>QRCODE</v>
      </c>
      <c r="C4459" t="s">
        <v>5372</v>
      </c>
      <c r="D4459" t="s">
        <v>422</v>
      </c>
      <c r="E4459" t="s">
        <v>468</v>
      </c>
      <c r="F4459" t="s">
        <v>12</v>
      </c>
      <c r="G4459" t="s">
        <v>1726</v>
      </c>
      <c r="H4459">
        <v>0</v>
      </c>
      <c r="I4459">
        <v>2</v>
      </c>
      <c r="J4459">
        <v>0</v>
      </c>
      <c r="K4459">
        <v>0</v>
      </c>
      <c r="L4459">
        <v>0</v>
      </c>
    </row>
    <row r="4460" spans="1:12">
      <c r="A4460" t="str">
        <f>HYPERLINK("http://bombeiros.sp.gov.br/hidrantes/03individual/6736.html","6736")</f>
        <v>6736</v>
      </c>
      <c r="B4460" t="str">
        <f>HYPERLINK("http://bombeiros.sp.gov.br/hidrantes/08bsg/qrcodeBSG.html?id=6736&amp;lat=-23.66603&amp;long=-46.76110&amp;tipo=C","QRCODE")</f>
        <v>QRCODE</v>
      </c>
      <c r="C4460" t="s">
        <v>5372</v>
      </c>
      <c r="D4460" t="s">
        <v>422</v>
      </c>
      <c r="E4460" t="s">
        <v>468</v>
      </c>
      <c r="F4460" t="s">
        <v>12</v>
      </c>
      <c r="G4460" t="s">
        <v>2277</v>
      </c>
      <c r="H4460">
        <v>0</v>
      </c>
      <c r="I4460">
        <v>2</v>
      </c>
      <c r="J4460">
        <v>0</v>
      </c>
      <c r="K4460">
        <v>0</v>
      </c>
      <c r="L4460">
        <v>0</v>
      </c>
    </row>
    <row r="4461" spans="1:12">
      <c r="A4461" t="str">
        <f>HYPERLINK("http://bombeiros.sp.gov.br/hidrantes/03individual/16650.html","16650")</f>
        <v>16650</v>
      </c>
      <c r="B4461" t="str">
        <f>HYPERLINK("http://bombeiros.sp.gov.br/hidrantes/08bsg/qrcodeBSG.html?id=16650&amp;lat=-23.65960&amp;long=-46.74367&amp;tipo=C","QRCODE")</f>
        <v>QRCODE</v>
      </c>
      <c r="C4461" t="s">
        <v>5372</v>
      </c>
      <c r="D4461" t="s">
        <v>422</v>
      </c>
      <c r="E4461" t="s">
        <v>468</v>
      </c>
      <c r="F4461" t="s">
        <v>12</v>
      </c>
      <c r="G4461" t="s">
        <v>4088</v>
      </c>
      <c r="H4461">
        <v>0</v>
      </c>
      <c r="I4461">
        <v>1</v>
      </c>
      <c r="J4461">
        <v>0</v>
      </c>
      <c r="K4461">
        <v>0</v>
      </c>
      <c r="L4461">
        <v>0</v>
      </c>
    </row>
    <row r="4462" spans="1:12">
      <c r="A4462" t="str">
        <f>HYPERLINK("http://bombeiros.sp.gov.br/hidrantes/03individual/24149.html","24149")</f>
        <v>24149</v>
      </c>
      <c r="B4462" t="str">
        <f>HYPERLINK("http://bombeiros.sp.gov.br/hidrantes/08bsg/qrcodeBSG.html?id=24149&amp;lat=-23.66008&amp;long=-46.74398&amp;tipo=C","QRCODE")</f>
        <v>QRCODE</v>
      </c>
      <c r="C4462" t="s">
        <v>5372</v>
      </c>
      <c r="D4462" t="s">
        <v>422</v>
      </c>
      <c r="E4462" t="s">
        <v>468</v>
      </c>
      <c r="F4462" t="s">
        <v>12</v>
      </c>
      <c r="G4462" t="s">
        <v>481</v>
      </c>
      <c r="H4462">
        <v>0</v>
      </c>
      <c r="I4462">
        <v>2</v>
      </c>
      <c r="J4462">
        <v>0</v>
      </c>
      <c r="K4462">
        <v>0</v>
      </c>
      <c r="L4462">
        <v>0</v>
      </c>
    </row>
    <row r="4463" spans="1:12">
      <c r="A4463" t="str">
        <f>HYPERLINK("http://bombeiros.sp.gov.br/hidrantes/03individual/2345.html","2345")</f>
        <v>2345</v>
      </c>
      <c r="B4463" t="str">
        <f>HYPERLINK("http://bombeiros.sp.gov.br/hidrantes/08bsg/qrcodeBSG.html?id=2345&amp;lat=-23.66143&amp;long=-46.73604&amp;tipo=S","QRCODE")</f>
        <v>QRCODE</v>
      </c>
      <c r="C4463" t="s">
        <v>5372</v>
      </c>
      <c r="D4463" t="s">
        <v>422</v>
      </c>
      <c r="E4463" t="s">
        <v>468</v>
      </c>
      <c r="F4463" t="s">
        <v>21</v>
      </c>
      <c r="G4463" t="s">
        <v>2189</v>
      </c>
      <c r="H4463">
        <v>0</v>
      </c>
      <c r="I4463">
        <v>2</v>
      </c>
      <c r="J4463">
        <v>0</v>
      </c>
      <c r="K4463">
        <v>0</v>
      </c>
      <c r="L4463">
        <v>0</v>
      </c>
    </row>
    <row r="4464" spans="1:12">
      <c r="A4464" t="str">
        <f>HYPERLINK("http://bombeiros.sp.gov.br/hidrantes/03individual/2438.html","2438")</f>
        <v>2438</v>
      </c>
      <c r="B4464" t="str">
        <f>HYPERLINK("http://bombeiros.sp.gov.br/hidrantes/08bsg/qrcodeBSG.html?id=2438&amp;lat=-23.67133&amp;long=-46.75188&amp;tipo=S","QRCODE")</f>
        <v>QRCODE</v>
      </c>
      <c r="C4464" t="s">
        <v>5372</v>
      </c>
      <c r="D4464" t="s">
        <v>422</v>
      </c>
      <c r="E4464" t="s">
        <v>468</v>
      </c>
      <c r="F4464" t="s">
        <v>21</v>
      </c>
      <c r="G4464" t="s">
        <v>467</v>
      </c>
      <c r="H4464">
        <v>0</v>
      </c>
      <c r="I4464">
        <v>3</v>
      </c>
      <c r="J4464">
        <v>0</v>
      </c>
      <c r="K4464">
        <v>0</v>
      </c>
      <c r="L4464">
        <v>0</v>
      </c>
    </row>
    <row r="4465" spans="1:12">
      <c r="A4465" t="str">
        <f>HYPERLINK("http://bombeiros.sp.gov.br/hidrantes/03individual/2459.html","2459")</f>
        <v>2459</v>
      </c>
      <c r="B4465" t="str">
        <f>HYPERLINK("http://bombeiros.sp.gov.br/hidrantes/08bsg/qrcodeBSG.html?id=2459&amp;lat=-23.66863&amp;long=-46.74839&amp;tipo=S","QRCODE")</f>
        <v>QRCODE</v>
      </c>
      <c r="C4465" t="s">
        <v>5372</v>
      </c>
      <c r="D4465" t="s">
        <v>422</v>
      </c>
      <c r="E4465" t="s">
        <v>468</v>
      </c>
      <c r="F4465" t="s">
        <v>21</v>
      </c>
      <c r="G4465" t="s">
        <v>1702</v>
      </c>
      <c r="H4465">
        <v>0</v>
      </c>
      <c r="I4465">
        <v>2</v>
      </c>
      <c r="J4465">
        <v>0</v>
      </c>
      <c r="K4465">
        <v>0</v>
      </c>
      <c r="L4465">
        <v>0</v>
      </c>
    </row>
    <row r="4466" spans="1:12">
      <c r="A4466" t="str">
        <f>HYPERLINK("http://bombeiros.sp.gov.br/hidrantes/03individual/4149.html","4149")</f>
        <v>4149</v>
      </c>
      <c r="B4466" t="str">
        <f>HYPERLINK("http://bombeiros.sp.gov.br/hidrantes/08bsg/qrcodeBSG.html?id=4149&amp;lat=-23.66111&amp;long=-46.73323&amp;tipo=S","QRCODE")</f>
        <v>QRCODE</v>
      </c>
      <c r="C4466" t="s">
        <v>5372</v>
      </c>
      <c r="D4466" t="s">
        <v>422</v>
      </c>
      <c r="E4466" t="s">
        <v>468</v>
      </c>
      <c r="F4466" t="s">
        <v>21</v>
      </c>
      <c r="G4466" t="s">
        <v>2212</v>
      </c>
      <c r="H4466">
        <v>0</v>
      </c>
      <c r="I4466">
        <v>2</v>
      </c>
      <c r="J4466">
        <v>0</v>
      </c>
      <c r="K4466">
        <v>0</v>
      </c>
      <c r="L4466">
        <v>0</v>
      </c>
    </row>
    <row r="4467" spans="1:12">
      <c r="A4467" t="str">
        <f>HYPERLINK("http://bombeiros.sp.gov.br/hidrantes/03individual/4150.html","4150")</f>
        <v>4150</v>
      </c>
      <c r="B4467" t="str">
        <f>HYPERLINK("http://bombeiros.sp.gov.br/hidrantes/08bsg/qrcodeBSG.html?id=4150&amp;lat=-23.67059&amp;long=-46.76042&amp;tipo=S","QRCODE")</f>
        <v>QRCODE</v>
      </c>
      <c r="C4467" t="s">
        <v>5372</v>
      </c>
      <c r="D4467" t="s">
        <v>422</v>
      </c>
      <c r="E4467" t="s">
        <v>468</v>
      </c>
      <c r="F4467" t="s">
        <v>21</v>
      </c>
      <c r="G4467" t="s">
        <v>5079</v>
      </c>
      <c r="H4467">
        <v>0</v>
      </c>
      <c r="I4467">
        <v>1</v>
      </c>
      <c r="J4467">
        <v>0</v>
      </c>
      <c r="K4467">
        <v>0</v>
      </c>
      <c r="L4467">
        <v>0</v>
      </c>
    </row>
    <row r="4468" spans="1:12">
      <c r="A4468" t="str">
        <f>HYPERLINK("http://bombeiros.sp.gov.br/hidrantes/03individual/17805.html","17805")</f>
        <v>17805</v>
      </c>
      <c r="B4468" t="str">
        <f>HYPERLINK("http://bombeiros.sp.gov.br/hidrantes/08bsg/qrcodeBSG.html?id=17805&amp;lat=-23.65043&amp;long=-46.73171&amp;tipo=S","QRCODE")</f>
        <v>QRCODE</v>
      </c>
      <c r="C4468" t="s">
        <v>5372</v>
      </c>
      <c r="D4468" t="s">
        <v>422</v>
      </c>
      <c r="E4468" t="s">
        <v>468</v>
      </c>
      <c r="F4468" t="s">
        <v>21</v>
      </c>
      <c r="G4468" t="s">
        <v>485</v>
      </c>
      <c r="H4468">
        <v>0</v>
      </c>
      <c r="I4468">
        <v>2</v>
      </c>
      <c r="J4468">
        <v>0</v>
      </c>
      <c r="K4468">
        <v>0</v>
      </c>
      <c r="L4468">
        <v>0</v>
      </c>
    </row>
    <row r="4469" spans="1:12">
      <c r="A4469" t="str">
        <f>HYPERLINK("http://bombeiros.sp.gov.br/hidrantes/03individual/2492.html","2492")</f>
        <v>2492</v>
      </c>
      <c r="B4469" t="str">
        <f>HYPERLINK("http://bombeiros.sp.gov.br/hidrantes/08bsg/qrcodeBSG.html?id=2492&amp;lat=-23.67499&amp;long=-46.74089&amp;tipo=C","QRCODE")</f>
        <v>QRCODE</v>
      </c>
      <c r="C4469" t="s">
        <v>5372</v>
      </c>
      <c r="D4469" t="s">
        <v>422</v>
      </c>
      <c r="E4469" t="s">
        <v>429</v>
      </c>
      <c r="F4469" t="s">
        <v>12</v>
      </c>
      <c r="G4469" t="s">
        <v>5075</v>
      </c>
      <c r="H4469">
        <v>0</v>
      </c>
      <c r="I4469">
        <v>1</v>
      </c>
      <c r="J4469">
        <v>0</v>
      </c>
      <c r="K4469">
        <v>0</v>
      </c>
      <c r="L4469">
        <v>0</v>
      </c>
    </row>
    <row r="4470" spans="1:12">
      <c r="A4470" t="str">
        <f>HYPERLINK("http://bombeiros.sp.gov.br/hidrantes/03individual/4402.html","4402")</f>
        <v>4402</v>
      </c>
      <c r="B4470" t="str">
        <f>HYPERLINK("http://bombeiros.sp.gov.br/hidrantes/08bsg/qrcodeBSG.html?id=4402&amp;lat=-23.68903&amp;long=-46.74692&amp;tipo=C","QRCODE")</f>
        <v>QRCODE</v>
      </c>
      <c r="C4470" t="s">
        <v>5372</v>
      </c>
      <c r="D4470" t="s">
        <v>422</v>
      </c>
      <c r="E4470" t="s">
        <v>429</v>
      </c>
      <c r="F4470" t="s">
        <v>12</v>
      </c>
      <c r="G4470" t="s">
        <v>434</v>
      </c>
      <c r="H4470">
        <v>0</v>
      </c>
      <c r="I4470">
        <v>2</v>
      </c>
      <c r="J4470">
        <v>0</v>
      </c>
      <c r="K4470">
        <v>0</v>
      </c>
      <c r="L4470">
        <v>0</v>
      </c>
    </row>
    <row r="4471" spans="1:12">
      <c r="A4471" t="str">
        <f>HYPERLINK("http://bombeiros.sp.gov.br/hidrantes/03individual/6737.html","6737")</f>
        <v>6737</v>
      </c>
      <c r="B4471" t="str">
        <f>HYPERLINK("http://bombeiros.sp.gov.br/hidrantes/08bsg/qrcodeBSG.html?id=6737&amp;lat=-23.68347&amp;long=-46.74406&amp;tipo=C","QRCODE")</f>
        <v>QRCODE</v>
      </c>
      <c r="C4471" t="s">
        <v>5372</v>
      </c>
      <c r="D4471" t="s">
        <v>422</v>
      </c>
      <c r="E4471" t="s">
        <v>429</v>
      </c>
      <c r="F4471" t="s">
        <v>12</v>
      </c>
      <c r="G4471" t="s">
        <v>2278</v>
      </c>
      <c r="H4471">
        <v>0</v>
      </c>
      <c r="I4471">
        <v>2</v>
      </c>
      <c r="J4471">
        <v>0</v>
      </c>
      <c r="K4471">
        <v>0</v>
      </c>
      <c r="L4471">
        <v>0</v>
      </c>
    </row>
    <row r="4472" spans="1:12">
      <c r="A4472" t="str">
        <f>HYPERLINK("http://bombeiros.sp.gov.br/hidrantes/03individual/2347.html","2347")</f>
        <v>2347</v>
      </c>
      <c r="B4472" t="str">
        <f>HYPERLINK("http://bombeiros.sp.gov.br/hidrantes/08bsg/qrcodeBSG.html?id=2347&amp;lat=-23.68359&amp;long=-46.73610&amp;tipo=S","QRCODE")</f>
        <v>QRCODE</v>
      </c>
      <c r="C4472" t="s">
        <v>5372</v>
      </c>
      <c r="D4472" t="s">
        <v>422</v>
      </c>
      <c r="E4472" t="s">
        <v>429</v>
      </c>
      <c r="F4472" t="s">
        <v>21</v>
      </c>
      <c r="G4472" t="s">
        <v>3357</v>
      </c>
      <c r="H4472">
        <v>1</v>
      </c>
      <c r="I4472">
        <v>1</v>
      </c>
      <c r="J4472">
        <v>0</v>
      </c>
      <c r="K4472">
        <v>0</v>
      </c>
      <c r="L4472">
        <v>0</v>
      </c>
    </row>
    <row r="4473" spans="1:12">
      <c r="A4473" t="str">
        <f>HYPERLINK("http://bombeiros.sp.gov.br/hidrantes/03individual/4403.html","4403")</f>
        <v>4403</v>
      </c>
      <c r="B4473" t="str">
        <f>HYPERLINK("http://bombeiros.sp.gov.br/hidrantes/08bsg/qrcodeBSG.html?id=4403&amp;lat=-23.67264&amp;long=-46.74305&amp;tipo=S","QRCODE")</f>
        <v>QRCODE</v>
      </c>
      <c r="C4473" t="s">
        <v>5372</v>
      </c>
      <c r="D4473" t="s">
        <v>422</v>
      </c>
      <c r="E4473" t="s">
        <v>429</v>
      </c>
      <c r="F4473" t="s">
        <v>21</v>
      </c>
      <c r="G4473" t="s">
        <v>4792</v>
      </c>
      <c r="H4473">
        <v>0</v>
      </c>
      <c r="I4473">
        <v>1</v>
      </c>
      <c r="J4473">
        <v>0</v>
      </c>
      <c r="K4473">
        <v>0</v>
      </c>
      <c r="L4473">
        <v>0</v>
      </c>
    </row>
    <row r="4474" spans="1:12">
      <c r="A4474" t="str">
        <f>HYPERLINK("http://bombeiros.sp.gov.br/hidrantes/03individual/4405.html","4405")</f>
        <v>4405</v>
      </c>
      <c r="B4474" t="str">
        <f>HYPERLINK("http://bombeiros.sp.gov.br/hidrantes/08bsg/qrcodeBSG.html?id=4405&amp;lat=-23.67788&amp;long=-46.73817&amp;tipo=S","QRCODE")</f>
        <v>QRCODE</v>
      </c>
      <c r="C4474" t="s">
        <v>5372</v>
      </c>
      <c r="D4474" t="s">
        <v>422</v>
      </c>
      <c r="E4474" t="s">
        <v>429</v>
      </c>
      <c r="F4474" t="s">
        <v>21</v>
      </c>
      <c r="G4474" t="s">
        <v>428</v>
      </c>
      <c r="H4474">
        <v>0</v>
      </c>
      <c r="I4474">
        <v>3</v>
      </c>
      <c r="J4474">
        <v>0</v>
      </c>
      <c r="K4474">
        <v>0</v>
      </c>
      <c r="L4474">
        <v>0</v>
      </c>
    </row>
    <row r="4475" spans="1:12">
      <c r="A4475" t="str">
        <f>HYPERLINK("http://bombeiros.sp.gov.br/hidrantes/03individual/4406.html","4406")</f>
        <v>4406</v>
      </c>
      <c r="B4475" t="str">
        <f>HYPERLINK("http://bombeiros.sp.gov.br/hidrantes/08bsg/qrcodeBSG.html?id=4406&amp;lat=-23.68261&amp;long=-46.74556&amp;tipo=S","QRCODE")</f>
        <v>QRCODE</v>
      </c>
      <c r="C4475" t="s">
        <v>5372</v>
      </c>
      <c r="D4475" t="s">
        <v>422</v>
      </c>
      <c r="E4475" t="s">
        <v>429</v>
      </c>
      <c r="F4475" t="s">
        <v>21</v>
      </c>
      <c r="G4475" t="s">
        <v>431</v>
      </c>
      <c r="H4475">
        <v>0</v>
      </c>
      <c r="I4475">
        <v>2</v>
      </c>
      <c r="J4475">
        <v>0</v>
      </c>
      <c r="K4475">
        <v>0</v>
      </c>
      <c r="L4475">
        <v>0</v>
      </c>
    </row>
    <row r="4476" spans="1:12">
      <c r="A4476" t="str">
        <f>HYPERLINK("http://bombeiros.sp.gov.br/hidrantes/03individual/26912.html","26912")</f>
        <v>26912</v>
      </c>
      <c r="B4476" t="str">
        <f>HYPERLINK("http://bombeiros.sp.gov.br/hidrantes/08bsg/qrcodeBSG.html?id=26912&amp;lat=-23.67718&amp;long=-46.74438&amp;tipo=S","QRCODE")</f>
        <v>QRCODE</v>
      </c>
      <c r="C4476" t="s">
        <v>5372</v>
      </c>
      <c r="D4476" t="s">
        <v>422</v>
      </c>
      <c r="E4476" t="s">
        <v>429</v>
      </c>
      <c r="F4476" t="s">
        <v>21</v>
      </c>
      <c r="G4476" t="s">
        <v>476</v>
      </c>
      <c r="H4476">
        <v>0</v>
      </c>
      <c r="I4476">
        <v>2</v>
      </c>
      <c r="J4476">
        <v>0</v>
      </c>
      <c r="K4476">
        <v>0</v>
      </c>
      <c r="L4476">
        <v>0</v>
      </c>
    </row>
    <row r="4477" spans="1:12">
      <c r="A4477" t="str">
        <f>HYPERLINK("http://bombeiros.sp.gov.br/hidrantes/03individual/6721.html","6721")</f>
        <v>6721</v>
      </c>
      <c r="B4477" t="str">
        <f>HYPERLINK("http://bombeiros.sp.gov.br/hidrantes/08bsg/qrcodeBSG.html?id=6721&amp;lat=-23.64716&amp;long=-46.75084&amp;tipo=C","QRCODE")</f>
        <v>QRCODE</v>
      </c>
      <c r="C4477" t="s">
        <v>5372</v>
      </c>
      <c r="D4477" t="s">
        <v>422</v>
      </c>
      <c r="E4477" t="s">
        <v>422</v>
      </c>
      <c r="F4477" t="s">
        <v>12</v>
      </c>
      <c r="G4477" t="s">
        <v>421</v>
      </c>
      <c r="H4477">
        <v>0</v>
      </c>
      <c r="I4477">
        <v>2</v>
      </c>
      <c r="J4477">
        <v>0</v>
      </c>
      <c r="K4477">
        <v>0</v>
      </c>
      <c r="L4477">
        <v>0</v>
      </c>
    </row>
    <row r="4478" spans="1:12">
      <c r="A4478" t="str">
        <f>HYPERLINK("http://bombeiros.sp.gov.br/hidrantes/03individual/27404.html","27404")</f>
        <v>27404</v>
      </c>
      <c r="B4478" t="str">
        <f>HYPERLINK("http://bombeiros.sp.gov.br/hidrantes/08bsg/qrcodeBSG.html?id=27404&amp;lat=-23.64860&amp;long=-46.75281&amp;tipo=C","QRCODE")</f>
        <v>QRCODE</v>
      </c>
      <c r="C4478" t="s">
        <v>5372</v>
      </c>
      <c r="D4478" t="s">
        <v>422</v>
      </c>
      <c r="E4478" t="s">
        <v>422</v>
      </c>
      <c r="F4478" t="s">
        <v>12</v>
      </c>
      <c r="G4478" t="s">
        <v>5386</v>
      </c>
      <c r="H4478">
        <v>0</v>
      </c>
      <c r="I4478">
        <v>0</v>
      </c>
      <c r="J4478">
        <v>0</v>
      </c>
      <c r="K4478">
        <v>0</v>
      </c>
      <c r="L4478">
        <v>0</v>
      </c>
    </row>
    <row r="4479" spans="1:12">
      <c r="A4479" t="str">
        <f>HYPERLINK("http://bombeiros.sp.gov.br/hidrantes/03individual/2457.html","2457")</f>
        <v>2457</v>
      </c>
      <c r="B4479" t="str">
        <f>HYPERLINK("http://bombeiros.sp.gov.br/hidrantes/08bsg/qrcodeBSG.html?id=2457&amp;lat=-23.65328&amp;long=-46.74143&amp;tipo=S","QRCODE")</f>
        <v>QRCODE</v>
      </c>
      <c r="C4479" t="s">
        <v>5372</v>
      </c>
      <c r="D4479" t="s">
        <v>422</v>
      </c>
      <c r="E4479" t="s">
        <v>422</v>
      </c>
      <c r="F4479" t="s">
        <v>21</v>
      </c>
      <c r="G4479" t="s">
        <v>464</v>
      </c>
      <c r="H4479">
        <v>0</v>
      </c>
      <c r="I4479">
        <v>3</v>
      </c>
      <c r="J4479">
        <v>0</v>
      </c>
      <c r="K4479">
        <v>0</v>
      </c>
      <c r="L4479">
        <v>0</v>
      </c>
    </row>
    <row r="4480" spans="1:12">
      <c r="A4480" t="str">
        <f>HYPERLINK("http://bombeiros.sp.gov.br/hidrantes/03individual/2502.html","2502")</f>
        <v>2502</v>
      </c>
      <c r="B4480" t="str">
        <f>HYPERLINK("http://bombeiros.sp.gov.br/hidrantes/08bsg/qrcodeBSG.html?id=2502&amp;lat=-23.65655&amp;long=-46.74135&amp;tipo=S","QRCODE")</f>
        <v>QRCODE</v>
      </c>
      <c r="C4480" t="s">
        <v>5372</v>
      </c>
      <c r="D4480" t="s">
        <v>422</v>
      </c>
      <c r="E4480" t="s">
        <v>422</v>
      </c>
      <c r="F4480" t="s">
        <v>21</v>
      </c>
      <c r="G4480" t="s">
        <v>466</v>
      </c>
      <c r="H4480">
        <v>0</v>
      </c>
      <c r="I4480">
        <v>2</v>
      </c>
      <c r="J4480">
        <v>0</v>
      </c>
      <c r="K4480">
        <v>0</v>
      </c>
      <c r="L4480">
        <v>0</v>
      </c>
    </row>
    <row r="4481" spans="1:12">
      <c r="A4481" t="str">
        <f>HYPERLINK("http://bombeiros.sp.gov.br/hidrantes/03individual/2504.html","2504")</f>
        <v>2504</v>
      </c>
      <c r="B4481" t="str">
        <f>HYPERLINK("http://bombeiros.sp.gov.br/hidrantes/08bsg/qrcodeBSG.html?id=2504&amp;lat=-23.64337&amp;long=-46.74050&amp;tipo=S","QRCODE")</f>
        <v>QRCODE</v>
      </c>
      <c r="C4481" t="s">
        <v>5372</v>
      </c>
      <c r="D4481" t="s">
        <v>422</v>
      </c>
      <c r="E4481" t="s">
        <v>422</v>
      </c>
      <c r="F4481" t="s">
        <v>21</v>
      </c>
      <c r="G4481" t="s">
        <v>3439</v>
      </c>
      <c r="H4481">
        <v>0</v>
      </c>
      <c r="I4481">
        <v>2</v>
      </c>
      <c r="J4481">
        <v>0</v>
      </c>
      <c r="K4481">
        <v>0</v>
      </c>
      <c r="L4481">
        <v>0</v>
      </c>
    </row>
    <row r="4482" spans="1:12">
      <c r="A4482" t="str">
        <f>HYPERLINK("http://bombeiros.sp.gov.br/hidrantes/03individual/2505.html","2505")</f>
        <v>2505</v>
      </c>
      <c r="B4482" t="str">
        <f>HYPERLINK("http://bombeiros.sp.gov.br/hidrantes/08bsg/qrcodeBSG.html?id=2505&amp;lat=-23.64818&amp;long=-46.74065&amp;tipo=S","QRCODE")</f>
        <v>QRCODE</v>
      </c>
      <c r="C4482" t="s">
        <v>5372</v>
      </c>
      <c r="D4482" t="s">
        <v>422</v>
      </c>
      <c r="E4482" t="s">
        <v>422</v>
      </c>
      <c r="F4482" t="s">
        <v>21</v>
      </c>
      <c r="G4482" t="s">
        <v>3440</v>
      </c>
      <c r="H4482">
        <v>0</v>
      </c>
      <c r="I4482">
        <v>2</v>
      </c>
      <c r="J4482">
        <v>0</v>
      </c>
      <c r="K4482">
        <v>0</v>
      </c>
      <c r="L4482">
        <v>0</v>
      </c>
    </row>
    <row r="4483" spans="1:12">
      <c r="A4483" t="str">
        <f>HYPERLINK("http://bombeiros.sp.gov.br/hidrantes/03individual/4109.html","4109")</f>
        <v>4109</v>
      </c>
      <c r="B4483" t="str">
        <f>HYPERLINK("http://bombeiros.sp.gov.br/hidrantes/08bsg/qrcodeBSG.html?id=4109&amp;lat=-23.64439&amp;long=-46.74526&amp;tipo=S","QRCODE")</f>
        <v>QRCODE</v>
      </c>
      <c r="C4483" t="s">
        <v>5372</v>
      </c>
      <c r="D4483" t="s">
        <v>422</v>
      </c>
      <c r="E4483" t="s">
        <v>422</v>
      </c>
      <c r="F4483" t="s">
        <v>21</v>
      </c>
      <c r="G4483" t="s">
        <v>3445</v>
      </c>
      <c r="H4483">
        <v>0</v>
      </c>
      <c r="I4483">
        <v>2</v>
      </c>
      <c r="J4483">
        <v>0</v>
      </c>
      <c r="K4483">
        <v>0</v>
      </c>
      <c r="L4483">
        <v>0</v>
      </c>
    </row>
    <row r="4484" spans="1:12">
      <c r="A4484" t="str">
        <f>HYPERLINK("http://bombeiros.sp.gov.br/hidrantes/03individual/4111.html","4111")</f>
        <v>4111</v>
      </c>
      <c r="B4484" t="str">
        <f>HYPERLINK("http://bombeiros.sp.gov.br/hidrantes/08bsg/qrcodeBSG.html?id=4111&amp;lat=-23.64350&amp;long=-46.73811&amp;tipo=S","QRCODE")</f>
        <v>QRCODE</v>
      </c>
      <c r="C4484" t="s">
        <v>5372</v>
      </c>
      <c r="D4484" t="s">
        <v>422</v>
      </c>
      <c r="E4484" t="s">
        <v>422</v>
      </c>
      <c r="F4484" t="s">
        <v>21</v>
      </c>
      <c r="G4484" t="s">
        <v>3444</v>
      </c>
      <c r="H4484">
        <v>0</v>
      </c>
      <c r="I4484">
        <v>2</v>
      </c>
      <c r="J4484">
        <v>0</v>
      </c>
      <c r="K4484">
        <v>0</v>
      </c>
      <c r="L4484">
        <v>0</v>
      </c>
    </row>
    <row r="4485" spans="1:12">
      <c r="A4485" t="str">
        <f>HYPERLINK("http://bombeiros.sp.gov.br/hidrantes/03individual/16626.html","16626")</f>
        <v>16626</v>
      </c>
      <c r="B4485" t="str">
        <f>HYPERLINK("http://bombeiros.sp.gov.br/hidrantes/08bsg/qrcodeBSG.html?id=16626&amp;lat=-23.64602&amp;long=-46.74716&amp;tipo=S","QRCODE")</f>
        <v>QRCODE</v>
      </c>
      <c r="C4485" t="s">
        <v>5372</v>
      </c>
      <c r="D4485" t="s">
        <v>422</v>
      </c>
      <c r="E4485" t="s">
        <v>422</v>
      </c>
      <c r="F4485" t="s">
        <v>21</v>
      </c>
      <c r="G4485" t="s">
        <v>495</v>
      </c>
      <c r="H4485">
        <v>0</v>
      </c>
      <c r="I4485">
        <v>2</v>
      </c>
      <c r="J4485">
        <v>0</v>
      </c>
      <c r="K4485">
        <v>0</v>
      </c>
      <c r="L4485">
        <v>0</v>
      </c>
    </row>
    <row r="4486" spans="1:12">
      <c r="A4486" t="str">
        <f>HYPERLINK("http://bombeiros.sp.gov.br/hidrantes/03individual/3784.html","3784")</f>
        <v>3784</v>
      </c>
      <c r="B4486" t="str">
        <f>HYPERLINK("http://bombeiros.sp.gov.br/hidrantes/08bsg/qrcodeBSG.html?id=3784&amp;lat=-23.61374&amp;long=-46.66396&amp;tipo=B","QRCODE")</f>
        <v>QRCODE</v>
      </c>
      <c r="C4486" t="s">
        <v>5372</v>
      </c>
      <c r="D4486" t="s">
        <v>734</v>
      </c>
      <c r="E4486" t="s">
        <v>1711</v>
      </c>
      <c r="F4486" t="s">
        <v>1719</v>
      </c>
      <c r="G4486" t="s">
        <v>5242</v>
      </c>
      <c r="H4486">
        <v>1</v>
      </c>
      <c r="I4486">
        <v>0</v>
      </c>
      <c r="J4486">
        <v>0</v>
      </c>
      <c r="K4486">
        <v>0</v>
      </c>
      <c r="L4486">
        <v>0</v>
      </c>
    </row>
    <row r="4487" spans="1:12">
      <c r="A4487" t="str">
        <f>HYPERLINK("http://bombeiros.sp.gov.br/hidrantes/03individual/3698.html","3698")</f>
        <v>3698</v>
      </c>
      <c r="B4487" t="str">
        <f>HYPERLINK("http://bombeiros.sp.gov.br/hidrantes/08bsg/qrcodeBSG.html?id=3698&amp;lat=-23.60992&amp;long=-46.66580&amp;tipo=C","QRCODE")</f>
        <v>QRCODE</v>
      </c>
      <c r="C4487" t="s">
        <v>5372</v>
      </c>
      <c r="D4487" t="s">
        <v>734</v>
      </c>
      <c r="E4487" t="s">
        <v>1711</v>
      </c>
      <c r="F4487" t="s">
        <v>12</v>
      </c>
      <c r="G4487" t="s">
        <v>4926</v>
      </c>
      <c r="H4487">
        <v>0</v>
      </c>
      <c r="I4487">
        <v>1</v>
      </c>
      <c r="J4487">
        <v>0</v>
      </c>
      <c r="K4487">
        <v>0</v>
      </c>
      <c r="L4487">
        <v>0</v>
      </c>
    </row>
    <row r="4488" spans="1:12">
      <c r="A4488" t="str">
        <f>HYPERLINK("http://bombeiros.sp.gov.br/hidrantes/03individual/3783.html","3783")</f>
        <v>3783</v>
      </c>
      <c r="B4488" t="str">
        <f>HYPERLINK("http://bombeiros.sp.gov.br/hidrantes/08bsg/qrcodeBSG.html?id=3783&amp;lat=-23.61254&amp;long=-46.66578&amp;tipo=C","QRCODE")</f>
        <v>QRCODE</v>
      </c>
      <c r="C4488" t="s">
        <v>5372</v>
      </c>
      <c r="D4488" t="s">
        <v>734</v>
      </c>
      <c r="E4488" t="s">
        <v>1711</v>
      </c>
      <c r="F4488" t="s">
        <v>12</v>
      </c>
      <c r="G4488" t="s">
        <v>1710</v>
      </c>
      <c r="H4488">
        <v>0</v>
      </c>
      <c r="I4488">
        <v>2</v>
      </c>
      <c r="J4488">
        <v>0</v>
      </c>
      <c r="K4488">
        <v>0</v>
      </c>
      <c r="L4488">
        <v>0</v>
      </c>
    </row>
    <row r="4489" spans="1:12">
      <c r="A4489" t="str">
        <f>HYPERLINK("http://bombeiros.sp.gov.br/hidrantes/03individual/4005.html","4005")</f>
        <v>4005</v>
      </c>
      <c r="B4489" t="str">
        <f>HYPERLINK("http://bombeiros.sp.gov.br/hidrantes/08bsg/qrcodeBSG.html?id=4005&amp;lat=-23.61493&amp;long=-46.66100&amp;tipo=C","QRCODE")</f>
        <v>QRCODE</v>
      </c>
      <c r="C4489" t="s">
        <v>5372</v>
      </c>
      <c r="D4489" t="s">
        <v>734</v>
      </c>
      <c r="E4489" t="s">
        <v>1711</v>
      </c>
      <c r="F4489" t="s">
        <v>12</v>
      </c>
      <c r="G4489" t="s">
        <v>5188</v>
      </c>
      <c r="H4489">
        <v>0</v>
      </c>
      <c r="I4489">
        <v>1</v>
      </c>
      <c r="J4489">
        <v>0</v>
      </c>
      <c r="K4489">
        <v>0</v>
      </c>
      <c r="L4489">
        <v>0</v>
      </c>
    </row>
    <row r="4490" spans="1:12">
      <c r="A4490" t="str">
        <f>HYPERLINK("http://bombeiros.sp.gov.br/hidrantes/03individual/14930.html","14930")</f>
        <v>14930</v>
      </c>
      <c r="B4490" t="str">
        <f>HYPERLINK("http://bombeiros.sp.gov.br/hidrantes/08bsg/qrcodeBSG.html?id=14930&amp;lat=-23.61024&amp;long=-46.66871&amp;tipo=C","QRCODE")</f>
        <v>QRCODE</v>
      </c>
      <c r="C4490" t="s">
        <v>5372</v>
      </c>
      <c r="D4490" t="s">
        <v>734</v>
      </c>
      <c r="E4490" t="s">
        <v>1711</v>
      </c>
      <c r="F4490" t="s">
        <v>12</v>
      </c>
      <c r="G4490" t="s">
        <v>3992</v>
      </c>
      <c r="H4490">
        <v>0</v>
      </c>
      <c r="I4490">
        <v>2</v>
      </c>
      <c r="J4490">
        <v>0</v>
      </c>
      <c r="K4490">
        <v>0</v>
      </c>
      <c r="L4490">
        <v>0</v>
      </c>
    </row>
    <row r="4491" spans="1:12">
      <c r="A4491" t="str">
        <f>HYPERLINK("http://bombeiros.sp.gov.br/hidrantes/03individual/331.html","331")</f>
        <v>331</v>
      </c>
      <c r="B4491" t="str">
        <f>HYPERLINK("http://bombeiros.sp.gov.br/hidrantes/08bsg/qrcodeBSG.html?id=331&amp;lat=-23.60991&amp;long=-46.66569&amp;tipo=S","QRCODE")</f>
        <v>QRCODE</v>
      </c>
      <c r="C4491" t="s">
        <v>5372</v>
      </c>
      <c r="D4491" t="s">
        <v>734</v>
      </c>
      <c r="E4491" t="s">
        <v>1711</v>
      </c>
      <c r="F4491" t="s">
        <v>21</v>
      </c>
      <c r="G4491" t="s">
        <v>2686</v>
      </c>
      <c r="H4491">
        <v>0</v>
      </c>
      <c r="I4491">
        <v>2</v>
      </c>
      <c r="J4491">
        <v>0</v>
      </c>
      <c r="K4491">
        <v>0</v>
      </c>
      <c r="L4491">
        <v>0</v>
      </c>
    </row>
    <row r="4492" spans="1:12">
      <c r="A4492" t="str">
        <f>HYPERLINK("http://bombeiros.sp.gov.br/hidrantes/03individual/352.html","352")</f>
        <v>352</v>
      </c>
      <c r="B4492" t="str">
        <f>HYPERLINK("http://bombeiros.sp.gov.br/hidrantes/08bsg/qrcodeBSG.html?id=352&amp;lat=-23.61115&amp;long=-46.66456&amp;tipo=S","QRCODE")</f>
        <v>QRCODE</v>
      </c>
      <c r="C4492" t="s">
        <v>5372</v>
      </c>
      <c r="D4492" t="s">
        <v>734</v>
      </c>
      <c r="E4492" t="s">
        <v>1711</v>
      </c>
      <c r="F4492" t="s">
        <v>21</v>
      </c>
      <c r="G4492" t="s">
        <v>4923</v>
      </c>
      <c r="H4492">
        <v>0</v>
      </c>
      <c r="I4492">
        <v>1</v>
      </c>
      <c r="J4492">
        <v>0</v>
      </c>
      <c r="K4492">
        <v>0</v>
      </c>
      <c r="L4492">
        <v>0</v>
      </c>
    </row>
    <row r="4493" spans="1:12">
      <c r="A4493" t="str">
        <f>HYPERLINK("http://bombeiros.sp.gov.br/hidrantes/03individual/2177.html","2177")</f>
        <v>2177</v>
      </c>
      <c r="B4493" t="str">
        <f>HYPERLINK("http://bombeiros.sp.gov.br/hidrantes/08bsg/qrcodeBSG.html?id=2177&amp;lat=-23.60661&amp;long=-46.67360&amp;tipo=S","QRCODE")</f>
        <v>QRCODE</v>
      </c>
      <c r="C4493" t="s">
        <v>5372</v>
      </c>
      <c r="D4493" t="s">
        <v>734</v>
      </c>
      <c r="E4493" t="s">
        <v>1711</v>
      </c>
      <c r="F4493" t="s">
        <v>21</v>
      </c>
      <c r="G4493" t="s">
        <v>5104</v>
      </c>
      <c r="H4493">
        <v>0</v>
      </c>
      <c r="I4493">
        <v>1</v>
      </c>
      <c r="J4493">
        <v>0</v>
      </c>
      <c r="K4493">
        <v>0</v>
      </c>
      <c r="L4493">
        <v>0</v>
      </c>
    </row>
    <row r="4494" spans="1:12">
      <c r="A4494" t="str">
        <f>HYPERLINK("http://bombeiros.sp.gov.br/hidrantes/03individual/2178.html","2178")</f>
        <v>2178</v>
      </c>
      <c r="B4494" t="str">
        <f>HYPERLINK("http://bombeiros.sp.gov.br/hidrantes/08bsg/qrcodeBSG.html?id=2178&amp;lat=-23.60934&amp;long=-46.67321&amp;tipo=S","QRCODE")</f>
        <v>QRCODE</v>
      </c>
      <c r="C4494" t="s">
        <v>5372</v>
      </c>
      <c r="D4494" t="s">
        <v>734</v>
      </c>
      <c r="E4494" t="s">
        <v>1711</v>
      </c>
      <c r="F4494" t="s">
        <v>21</v>
      </c>
      <c r="G4494" t="s">
        <v>4014</v>
      </c>
      <c r="H4494">
        <v>0</v>
      </c>
      <c r="I4494">
        <v>3</v>
      </c>
      <c r="J4494">
        <v>0</v>
      </c>
      <c r="K4494">
        <v>0</v>
      </c>
      <c r="L4494">
        <v>0</v>
      </c>
    </row>
    <row r="4495" spans="1:12">
      <c r="A4495" t="str">
        <f>HYPERLINK("http://bombeiros.sp.gov.br/hidrantes/03individual/3993.html","3993")</f>
        <v>3993</v>
      </c>
      <c r="B4495" t="str">
        <f>HYPERLINK("http://bombeiros.sp.gov.br/hidrantes/08bsg/qrcodeBSG.html?id=3993&amp;lat=-23.60951&amp;long=-46.66952&amp;tipo=S","QRCODE")</f>
        <v>QRCODE</v>
      </c>
      <c r="C4495" t="s">
        <v>5372</v>
      </c>
      <c r="D4495" t="s">
        <v>734</v>
      </c>
      <c r="E4495" t="s">
        <v>1711</v>
      </c>
      <c r="F4495" t="s">
        <v>21</v>
      </c>
      <c r="G4495" t="s">
        <v>2723</v>
      </c>
      <c r="H4495">
        <v>0</v>
      </c>
      <c r="I4495">
        <v>2</v>
      </c>
      <c r="J4495">
        <v>0</v>
      </c>
      <c r="K4495">
        <v>0</v>
      </c>
      <c r="L4495">
        <v>0</v>
      </c>
    </row>
    <row r="4496" spans="1:12">
      <c r="A4496" t="str">
        <f>HYPERLINK("http://bombeiros.sp.gov.br/hidrantes/03individual/27286.html","27286")</f>
        <v>27286</v>
      </c>
      <c r="B4496" t="str">
        <f>HYPERLINK("http://bombeiros.sp.gov.br/hidrantes/08bsg/qrcodeBSG.html?id=27286&amp;lat=-23.59597&amp;long=-46.65425&amp;tipo=C","QRCODE")</f>
        <v>QRCODE</v>
      </c>
      <c r="C4496" t="s">
        <v>5372</v>
      </c>
      <c r="D4496" t="s">
        <v>734</v>
      </c>
      <c r="E4496" t="s">
        <v>1126</v>
      </c>
      <c r="F4496" t="s">
        <v>12</v>
      </c>
      <c r="G4496" t="s">
        <v>1129</v>
      </c>
      <c r="H4496">
        <v>0</v>
      </c>
      <c r="I4496">
        <v>1</v>
      </c>
      <c r="J4496">
        <v>0</v>
      </c>
      <c r="K4496">
        <v>0</v>
      </c>
      <c r="L4496">
        <v>0</v>
      </c>
    </row>
    <row r="4497" spans="1:12">
      <c r="A4497" t="str">
        <f>HYPERLINK("http://bombeiros.sp.gov.br/hidrantes/03individual/27287.html","27287")</f>
        <v>27287</v>
      </c>
      <c r="B4497" t="str">
        <f>HYPERLINK("http://bombeiros.sp.gov.br/hidrantes/08bsg/qrcodeBSG.html?id=27287&amp;lat=-23.59607&amp;long=-46.65311&amp;tipo=C","QRCODE")</f>
        <v>QRCODE</v>
      </c>
      <c r="C4497" t="s">
        <v>5372</v>
      </c>
      <c r="D4497" t="s">
        <v>734</v>
      </c>
      <c r="E4497" t="s">
        <v>1126</v>
      </c>
      <c r="F4497" t="s">
        <v>12</v>
      </c>
      <c r="G4497" t="s">
        <v>1130</v>
      </c>
      <c r="H4497">
        <v>0</v>
      </c>
      <c r="I4497">
        <v>1</v>
      </c>
      <c r="J4497">
        <v>0</v>
      </c>
      <c r="K4497">
        <v>0</v>
      </c>
      <c r="L4497">
        <v>0</v>
      </c>
    </row>
    <row r="4498" spans="1:12">
      <c r="A4498" t="str">
        <f>HYPERLINK("http://bombeiros.sp.gov.br/hidrantes/03individual/1757.html","1757")</f>
        <v>1757</v>
      </c>
      <c r="B4498" t="str">
        <f>HYPERLINK("http://bombeiros.sp.gov.br/hidrantes/08bsg/qrcodeBSG.html?id=1757&amp;lat=-23.59137&amp;long=-46.65228&amp;tipo=S","QRCODE")</f>
        <v>QRCODE</v>
      </c>
      <c r="C4498" t="s">
        <v>5372</v>
      </c>
      <c r="D4498" t="s">
        <v>734</v>
      </c>
      <c r="E4498" t="s">
        <v>1126</v>
      </c>
      <c r="F4498" t="s">
        <v>21</v>
      </c>
      <c r="G4498" t="s">
        <v>1733</v>
      </c>
      <c r="H4498">
        <v>0</v>
      </c>
      <c r="I4498">
        <v>2</v>
      </c>
      <c r="J4498">
        <v>0</v>
      </c>
      <c r="K4498">
        <v>0</v>
      </c>
      <c r="L4498">
        <v>0</v>
      </c>
    </row>
    <row r="4499" spans="1:12">
      <c r="A4499" t="str">
        <f>HYPERLINK("http://bombeiros.sp.gov.br/hidrantes/03individual/10017.html","10017")</f>
        <v>10017</v>
      </c>
      <c r="B4499" t="str">
        <f>HYPERLINK("http://bombeiros.sp.gov.br/hidrantes/08bsg/qrcodeBSG.html?id=10017&amp;lat=-23.59344&amp;long=-46.65395&amp;tipo=S","QRCODE")</f>
        <v>QRCODE</v>
      </c>
      <c r="C4499" t="s">
        <v>5372</v>
      </c>
      <c r="D4499" t="s">
        <v>734</v>
      </c>
      <c r="E4499" t="s">
        <v>1126</v>
      </c>
      <c r="F4499" t="s">
        <v>21</v>
      </c>
      <c r="G4499" t="s">
        <v>3367</v>
      </c>
      <c r="H4499">
        <v>1</v>
      </c>
      <c r="I4499">
        <v>1</v>
      </c>
      <c r="J4499">
        <v>0</v>
      </c>
      <c r="K4499">
        <v>0</v>
      </c>
      <c r="L4499">
        <v>0</v>
      </c>
    </row>
    <row r="4500" spans="1:12">
      <c r="A4500" t="str">
        <f>HYPERLINK("http://bombeiros.sp.gov.br/hidrantes/03individual/16570.html","16570")</f>
        <v>16570</v>
      </c>
      <c r="B4500" t="str">
        <f>HYPERLINK("http://bombeiros.sp.gov.br/hidrantes/08bsg/qrcodeBSG.html?id=16570&amp;lat=-23.59355&amp;long=-46.65615&amp;tipo=S","QRCODE")</f>
        <v>QRCODE</v>
      </c>
      <c r="C4500" t="s">
        <v>5372</v>
      </c>
      <c r="D4500" t="s">
        <v>734</v>
      </c>
      <c r="E4500" t="s">
        <v>1126</v>
      </c>
      <c r="F4500" t="s">
        <v>21</v>
      </c>
      <c r="G4500" t="s">
        <v>1125</v>
      </c>
      <c r="H4500">
        <v>1</v>
      </c>
      <c r="I4500">
        <v>2</v>
      </c>
      <c r="J4500">
        <v>0</v>
      </c>
      <c r="K4500">
        <v>0</v>
      </c>
      <c r="L4500">
        <v>0</v>
      </c>
    </row>
    <row r="4501" spans="1:12">
      <c r="A4501" t="str">
        <f>HYPERLINK("http://bombeiros.sp.gov.br/hidrantes/03individual/16571.html","16571")</f>
        <v>16571</v>
      </c>
      <c r="B4501" t="str">
        <f>HYPERLINK("http://bombeiros.sp.gov.br/hidrantes/08bsg/qrcodeBSG.html?id=16571&amp;lat=-23.59526&amp;long=-46.66196&amp;tipo=S","QRCODE")</f>
        <v>QRCODE</v>
      </c>
      <c r="C4501" t="s">
        <v>5372</v>
      </c>
      <c r="D4501" t="s">
        <v>734</v>
      </c>
      <c r="E4501" t="s">
        <v>1126</v>
      </c>
      <c r="F4501" t="s">
        <v>21</v>
      </c>
      <c r="G4501" t="s">
        <v>4263</v>
      </c>
      <c r="H4501">
        <v>0</v>
      </c>
      <c r="I4501">
        <v>1</v>
      </c>
      <c r="J4501">
        <v>0</v>
      </c>
      <c r="K4501">
        <v>0</v>
      </c>
      <c r="L4501">
        <v>0</v>
      </c>
    </row>
    <row r="4502" spans="1:12">
      <c r="A4502" t="str">
        <f>HYPERLINK("http://bombeiros.sp.gov.br/hidrantes/03individual/26786.html","26786")</f>
        <v>26786</v>
      </c>
      <c r="B4502" t="str">
        <f>HYPERLINK("http://bombeiros.sp.gov.br/hidrantes/08bsg/qrcodeBSG.html?id=26786&amp;lat=-23.59660&amp;long=-46.65719&amp;tipo=S","QRCODE")</f>
        <v>QRCODE</v>
      </c>
      <c r="C4502" t="s">
        <v>5372</v>
      </c>
      <c r="D4502" t="s">
        <v>734</v>
      </c>
      <c r="E4502" t="s">
        <v>1126</v>
      </c>
      <c r="F4502" t="s">
        <v>21</v>
      </c>
      <c r="G4502" t="s">
        <v>3922</v>
      </c>
      <c r="H4502">
        <v>0</v>
      </c>
      <c r="I4502">
        <v>1</v>
      </c>
      <c r="J4502">
        <v>0</v>
      </c>
      <c r="K4502">
        <v>0</v>
      </c>
      <c r="L4502">
        <v>0</v>
      </c>
    </row>
    <row r="4503" spans="1:12">
      <c r="A4503" t="str">
        <f>HYPERLINK("http://bombeiros.sp.gov.br/hidrantes/03individual/27288.html","27288")</f>
        <v>27288</v>
      </c>
      <c r="B4503" t="str">
        <f>HYPERLINK("http://bombeiros.sp.gov.br/hidrantes/08bsg/qrcodeBSG.html?id=27288&amp;lat=-23.59246&amp;long=-46.65144&amp;tipo=S","QRCODE")</f>
        <v>QRCODE</v>
      </c>
      <c r="C4503" t="s">
        <v>5372</v>
      </c>
      <c r="D4503" t="s">
        <v>734</v>
      </c>
      <c r="E4503" t="s">
        <v>1126</v>
      </c>
      <c r="F4503" t="s">
        <v>21</v>
      </c>
      <c r="G4503" t="s">
        <v>1131</v>
      </c>
      <c r="H4503">
        <v>0</v>
      </c>
      <c r="I4503">
        <v>1</v>
      </c>
      <c r="J4503">
        <v>0</v>
      </c>
      <c r="K4503">
        <v>0</v>
      </c>
      <c r="L4503">
        <v>0</v>
      </c>
    </row>
    <row r="4504" spans="1:12">
      <c r="A4504" t="str">
        <f>HYPERLINK("http://bombeiros.sp.gov.br/hidrantes/03individual/326.html","326")</f>
        <v>326</v>
      </c>
      <c r="B4504" t="str">
        <f>HYPERLINK("http://bombeiros.sp.gov.br/hidrantes/08bsg/qrcodeBSG.html?id=326&amp;lat=-23.60724&amp;long=-46.65268&amp;tipo=C","QRCODE")</f>
        <v>QRCODE</v>
      </c>
      <c r="C4504" t="s">
        <v>5372</v>
      </c>
      <c r="D4504" t="s">
        <v>734</v>
      </c>
      <c r="E4504" t="s">
        <v>734</v>
      </c>
      <c r="F4504" t="s">
        <v>12</v>
      </c>
      <c r="G4504" t="s">
        <v>3583</v>
      </c>
      <c r="H4504">
        <v>1</v>
      </c>
      <c r="I4504">
        <v>1</v>
      </c>
      <c r="J4504">
        <v>0</v>
      </c>
      <c r="K4504">
        <v>0</v>
      </c>
      <c r="L4504">
        <v>0</v>
      </c>
    </row>
    <row r="4505" spans="1:12">
      <c r="A4505" t="str">
        <f>HYPERLINK("http://bombeiros.sp.gov.br/hidrantes/03individual/389.html","389")</f>
        <v>389</v>
      </c>
      <c r="B4505" t="str">
        <f>HYPERLINK("http://bombeiros.sp.gov.br/hidrantes/08bsg/qrcodeBSG.html?id=389&amp;lat=-23.61001&amp;long=-46.66197&amp;tipo=C","QRCODE")</f>
        <v>QRCODE</v>
      </c>
      <c r="C4505" t="s">
        <v>5372</v>
      </c>
      <c r="D4505" t="s">
        <v>734</v>
      </c>
      <c r="E4505" t="s">
        <v>734</v>
      </c>
      <c r="F4505" t="s">
        <v>12</v>
      </c>
      <c r="G4505" t="s">
        <v>4654</v>
      </c>
      <c r="H4505">
        <v>1</v>
      </c>
      <c r="I4505">
        <v>1</v>
      </c>
      <c r="J4505">
        <v>0</v>
      </c>
      <c r="K4505">
        <v>0</v>
      </c>
      <c r="L4505">
        <v>0</v>
      </c>
    </row>
    <row r="4506" spans="1:12">
      <c r="A4506" t="str">
        <f>HYPERLINK("http://bombeiros.sp.gov.br/hidrantes/03individual/3697.html","3697")</f>
        <v>3697</v>
      </c>
      <c r="B4506" t="str">
        <f>HYPERLINK("http://bombeiros.sp.gov.br/hidrantes/08bsg/qrcodeBSG.html?id=3697&amp;lat=-23.60647&amp;long=-46.66465&amp;tipo=C","QRCODE")</f>
        <v>QRCODE</v>
      </c>
      <c r="C4506" t="s">
        <v>5372</v>
      </c>
      <c r="D4506" t="s">
        <v>734</v>
      </c>
      <c r="E4506" t="s">
        <v>734</v>
      </c>
      <c r="F4506" t="s">
        <v>12</v>
      </c>
      <c r="G4506" t="s">
        <v>1709</v>
      </c>
      <c r="H4506">
        <v>0</v>
      </c>
      <c r="I4506">
        <v>2</v>
      </c>
      <c r="J4506">
        <v>0</v>
      </c>
      <c r="K4506">
        <v>0</v>
      </c>
      <c r="L4506">
        <v>0</v>
      </c>
    </row>
    <row r="4507" spans="1:12">
      <c r="A4507" t="str">
        <f>HYPERLINK("http://bombeiros.sp.gov.br/hidrantes/03individual/3701.html","3701")</f>
        <v>3701</v>
      </c>
      <c r="B4507" t="str">
        <f>HYPERLINK("http://bombeiros.sp.gov.br/hidrantes/08bsg/qrcodeBSG.html?id=3701&amp;lat=-23.61117&amp;long=-46.65706&amp;tipo=C","QRCODE")</f>
        <v>QRCODE</v>
      </c>
      <c r="C4507" t="s">
        <v>5372</v>
      </c>
      <c r="D4507" t="s">
        <v>734</v>
      </c>
      <c r="E4507" t="s">
        <v>734</v>
      </c>
      <c r="F4507" t="s">
        <v>12</v>
      </c>
      <c r="G4507" t="s">
        <v>733</v>
      </c>
      <c r="H4507">
        <v>0</v>
      </c>
      <c r="I4507">
        <v>2</v>
      </c>
      <c r="J4507">
        <v>0</v>
      </c>
      <c r="K4507">
        <v>0</v>
      </c>
      <c r="L4507">
        <v>0</v>
      </c>
    </row>
    <row r="4508" spans="1:12">
      <c r="A4508" t="str">
        <f>HYPERLINK("http://bombeiros.sp.gov.br/hidrantes/03individual/3995.html","3995")</f>
        <v>3995</v>
      </c>
      <c r="B4508" t="str">
        <f>HYPERLINK("http://bombeiros.sp.gov.br/hidrantes/08bsg/qrcodeBSG.html?id=3995&amp;lat=-23.60647&amp;long=-46.65889&amp;tipo=C","QRCODE")</f>
        <v>QRCODE</v>
      </c>
      <c r="C4508" t="s">
        <v>5372</v>
      </c>
      <c r="D4508" t="s">
        <v>734</v>
      </c>
      <c r="E4508" t="s">
        <v>734</v>
      </c>
      <c r="F4508" t="s">
        <v>12</v>
      </c>
      <c r="G4508" t="s">
        <v>3608</v>
      </c>
      <c r="H4508">
        <v>1</v>
      </c>
      <c r="I4508">
        <v>1</v>
      </c>
      <c r="J4508">
        <v>0</v>
      </c>
      <c r="K4508">
        <v>0</v>
      </c>
      <c r="L4508">
        <v>0</v>
      </c>
    </row>
    <row r="4509" spans="1:12">
      <c r="A4509" t="str">
        <f>HYPERLINK("http://bombeiros.sp.gov.br/hidrantes/03individual/329.html","329")</f>
        <v>329</v>
      </c>
      <c r="B4509" t="str">
        <f>HYPERLINK("http://bombeiros.sp.gov.br/hidrantes/08bsg/qrcodeBSG.html?id=329&amp;lat=-23.60941&amp;long=-46.66301&amp;tipo=S","QRCODE")</f>
        <v>QRCODE</v>
      </c>
      <c r="C4509" t="s">
        <v>5372</v>
      </c>
      <c r="D4509" t="s">
        <v>734</v>
      </c>
      <c r="E4509" t="s">
        <v>734</v>
      </c>
      <c r="F4509" t="s">
        <v>21</v>
      </c>
      <c r="G4509" t="s">
        <v>3582</v>
      </c>
      <c r="H4509">
        <v>1</v>
      </c>
      <c r="I4509">
        <v>1</v>
      </c>
      <c r="J4509">
        <v>0</v>
      </c>
      <c r="K4509">
        <v>0</v>
      </c>
      <c r="L4509">
        <v>0</v>
      </c>
    </row>
    <row r="4510" spans="1:12">
      <c r="A4510" t="str">
        <f>HYPERLINK("http://bombeiros.sp.gov.br/hidrantes/03individual/383.html","383")</f>
        <v>383</v>
      </c>
      <c r="B4510" t="str">
        <f>HYPERLINK("http://bombeiros.sp.gov.br/hidrantes/08bsg/qrcodeBSG.html?id=383&amp;lat=-23.60467&amp;long=-46.66034&amp;tipo=S","QRCODE")</f>
        <v>QRCODE</v>
      </c>
      <c r="C4510" t="s">
        <v>5372</v>
      </c>
      <c r="D4510" t="s">
        <v>734</v>
      </c>
      <c r="E4510" t="s">
        <v>734</v>
      </c>
      <c r="F4510" t="s">
        <v>21</v>
      </c>
      <c r="G4510" t="s">
        <v>4653</v>
      </c>
      <c r="H4510">
        <v>1</v>
      </c>
      <c r="I4510">
        <v>1</v>
      </c>
      <c r="J4510">
        <v>0</v>
      </c>
      <c r="K4510">
        <v>0</v>
      </c>
      <c r="L4510">
        <v>0</v>
      </c>
    </row>
    <row r="4511" spans="1:12">
      <c r="A4511" t="str">
        <f>HYPERLINK("http://bombeiros.sp.gov.br/hidrantes/03individual/391.html","391")</f>
        <v>391</v>
      </c>
      <c r="B4511" t="str">
        <f>HYPERLINK("http://bombeiros.sp.gov.br/hidrantes/08bsg/qrcodeBSG.html?id=391&amp;lat=-23.60122&amp;long=-46.65407&amp;tipo=S","QRCODE")</f>
        <v>QRCODE</v>
      </c>
      <c r="C4511" t="s">
        <v>5372</v>
      </c>
      <c r="D4511" t="s">
        <v>734</v>
      </c>
      <c r="E4511" t="s">
        <v>734</v>
      </c>
      <c r="F4511" t="s">
        <v>21</v>
      </c>
      <c r="G4511" t="s">
        <v>3393</v>
      </c>
      <c r="H4511">
        <v>0</v>
      </c>
      <c r="I4511">
        <v>2</v>
      </c>
      <c r="J4511">
        <v>0</v>
      </c>
      <c r="K4511">
        <v>0</v>
      </c>
      <c r="L4511">
        <v>0</v>
      </c>
    </row>
    <row r="4512" spans="1:12">
      <c r="A4512" t="str">
        <f>HYPERLINK("http://bombeiros.sp.gov.br/hidrantes/03individual/402.html","402")</f>
        <v>402</v>
      </c>
      <c r="B4512" t="str">
        <f>HYPERLINK("http://bombeiros.sp.gov.br/hidrantes/08bsg/qrcodeBSG.html?id=402&amp;lat=-23.60629&amp;long=-46.66307&amp;tipo=S","QRCODE")</f>
        <v>QRCODE</v>
      </c>
      <c r="C4512" t="s">
        <v>5372</v>
      </c>
      <c r="D4512" t="s">
        <v>734</v>
      </c>
      <c r="E4512" t="s">
        <v>734</v>
      </c>
      <c r="F4512" t="s">
        <v>21</v>
      </c>
      <c r="G4512" t="s">
        <v>1956</v>
      </c>
      <c r="H4512">
        <v>0</v>
      </c>
      <c r="I4512">
        <v>2</v>
      </c>
      <c r="J4512">
        <v>0</v>
      </c>
      <c r="K4512">
        <v>0</v>
      </c>
      <c r="L4512">
        <v>0</v>
      </c>
    </row>
    <row r="4513" spans="1:12">
      <c r="A4513" t="str">
        <f>HYPERLINK("http://bombeiros.sp.gov.br/hidrantes/03individual/427.html","427")</f>
        <v>427</v>
      </c>
      <c r="B4513" t="str">
        <f>HYPERLINK("http://bombeiros.sp.gov.br/hidrantes/08bsg/qrcodeBSG.html?id=427&amp;lat=-23.60322&amp;long=-46.65710&amp;tipo=S","QRCODE")</f>
        <v>QRCODE</v>
      </c>
      <c r="C4513" t="s">
        <v>5372</v>
      </c>
      <c r="D4513" t="s">
        <v>734</v>
      </c>
      <c r="E4513" t="s">
        <v>734</v>
      </c>
      <c r="F4513" t="s">
        <v>21</v>
      </c>
      <c r="G4513" t="s">
        <v>4651</v>
      </c>
      <c r="H4513">
        <v>1</v>
      </c>
      <c r="I4513">
        <v>1</v>
      </c>
      <c r="J4513">
        <v>0</v>
      </c>
      <c r="K4513">
        <v>0</v>
      </c>
      <c r="L4513">
        <v>0</v>
      </c>
    </row>
    <row r="4514" spans="1:12">
      <c r="A4514" t="str">
        <f>HYPERLINK("http://bombeiros.sp.gov.br/hidrantes/03individual/433.html","433")</f>
        <v>433</v>
      </c>
      <c r="B4514" t="str">
        <f>HYPERLINK("http://bombeiros.sp.gov.br/hidrantes/08bsg/qrcodeBSG.html?id=433&amp;lat=-23.60929&amp;long=-46.65457&amp;tipo=S","QRCODE")</f>
        <v>QRCODE</v>
      </c>
      <c r="C4514" t="s">
        <v>5372</v>
      </c>
      <c r="D4514" t="s">
        <v>734</v>
      </c>
      <c r="E4514" t="s">
        <v>734</v>
      </c>
      <c r="F4514" t="s">
        <v>21</v>
      </c>
      <c r="G4514" t="s">
        <v>3576</v>
      </c>
      <c r="H4514">
        <v>1</v>
      </c>
      <c r="I4514">
        <v>1</v>
      </c>
      <c r="J4514">
        <v>0</v>
      </c>
      <c r="K4514">
        <v>0</v>
      </c>
      <c r="L4514">
        <v>0</v>
      </c>
    </row>
    <row r="4515" spans="1:12">
      <c r="A4515" t="str">
        <f>HYPERLINK("http://bombeiros.sp.gov.br/hidrantes/03individual/434.html","434")</f>
        <v>434</v>
      </c>
      <c r="B4515" t="str">
        <f>HYPERLINK("http://bombeiros.sp.gov.br/hidrantes/08bsg/qrcodeBSG.html?id=434&amp;lat=-23.60872&amp;long=-46.65664&amp;tipo=S","QRCODE")</f>
        <v>QRCODE</v>
      </c>
      <c r="C4515" t="s">
        <v>5372</v>
      </c>
      <c r="D4515" t="s">
        <v>734</v>
      </c>
      <c r="E4515" t="s">
        <v>734</v>
      </c>
      <c r="F4515" t="s">
        <v>21</v>
      </c>
      <c r="G4515" t="s">
        <v>1950</v>
      </c>
      <c r="H4515">
        <v>0</v>
      </c>
      <c r="I4515">
        <v>2</v>
      </c>
      <c r="J4515">
        <v>0</v>
      </c>
      <c r="K4515">
        <v>0</v>
      </c>
      <c r="L4515">
        <v>0</v>
      </c>
    </row>
    <row r="4516" spans="1:12">
      <c r="A4516" t="str">
        <f>HYPERLINK("http://bombeiros.sp.gov.br/hidrantes/03individual/455.html","455")</f>
        <v>455</v>
      </c>
      <c r="B4516" t="str">
        <f>HYPERLINK("http://bombeiros.sp.gov.br/hidrantes/08bsg/qrcodeBSG.html?id=455&amp;lat=-23.60666&amp;long=-46.65611&amp;tipo=S","QRCODE")</f>
        <v>QRCODE</v>
      </c>
      <c r="C4516" t="s">
        <v>5372</v>
      </c>
      <c r="D4516" t="s">
        <v>734</v>
      </c>
      <c r="E4516" t="s">
        <v>734</v>
      </c>
      <c r="F4516" t="s">
        <v>21</v>
      </c>
      <c r="G4516" t="s">
        <v>3575</v>
      </c>
      <c r="H4516">
        <v>1</v>
      </c>
      <c r="I4516">
        <v>1</v>
      </c>
      <c r="J4516">
        <v>0</v>
      </c>
      <c r="K4516">
        <v>0</v>
      </c>
      <c r="L4516">
        <v>0</v>
      </c>
    </row>
    <row r="4517" spans="1:12">
      <c r="A4517" t="str">
        <f>HYPERLINK("http://bombeiros.sp.gov.br/hidrantes/03individual/477.html","477")</f>
        <v>477</v>
      </c>
      <c r="B4517" t="str">
        <f>HYPERLINK("http://bombeiros.sp.gov.br/hidrantes/08bsg/qrcodeBSG.html?id=477&amp;lat=-23.60259&amp;long=-46.65543&amp;tipo=S","QRCODE")</f>
        <v>QRCODE</v>
      </c>
      <c r="C4517" t="s">
        <v>5372</v>
      </c>
      <c r="D4517" t="s">
        <v>734</v>
      </c>
      <c r="E4517" t="s">
        <v>734</v>
      </c>
      <c r="F4517" t="s">
        <v>21</v>
      </c>
      <c r="G4517" t="s">
        <v>3390</v>
      </c>
      <c r="H4517">
        <v>1</v>
      </c>
      <c r="I4517">
        <v>1</v>
      </c>
      <c r="J4517">
        <v>0</v>
      </c>
      <c r="K4517">
        <v>0</v>
      </c>
      <c r="L4517">
        <v>0</v>
      </c>
    </row>
    <row r="4518" spans="1:12">
      <c r="A4518" t="str">
        <f>HYPERLINK("http://bombeiros.sp.gov.br/hidrantes/03individual/2951.html","2951")</f>
        <v>2951</v>
      </c>
      <c r="B4518" t="str">
        <f>HYPERLINK("http://bombeiros.sp.gov.br/hidrantes/08bsg/qrcodeBSG.html?id=2951&amp;lat=-23.60004&amp;long=-46.66083&amp;tipo=S","QRCODE")</f>
        <v>QRCODE</v>
      </c>
      <c r="C4518" t="s">
        <v>5372</v>
      </c>
      <c r="D4518" t="s">
        <v>734</v>
      </c>
      <c r="E4518" t="s">
        <v>734</v>
      </c>
      <c r="F4518" t="s">
        <v>21</v>
      </c>
      <c r="G4518" t="s">
        <v>2741</v>
      </c>
      <c r="H4518">
        <v>0</v>
      </c>
      <c r="I4518">
        <v>2</v>
      </c>
      <c r="J4518">
        <v>0</v>
      </c>
      <c r="K4518">
        <v>0</v>
      </c>
      <c r="L4518">
        <v>0</v>
      </c>
    </row>
    <row r="4519" spans="1:12">
      <c r="A4519" t="str">
        <f>HYPERLINK("http://bombeiros.sp.gov.br/hidrantes/03individual/3990.html","3990")</f>
        <v>3990</v>
      </c>
      <c r="B4519" t="str">
        <f>HYPERLINK("http://bombeiros.sp.gov.br/hidrantes/08bsg/qrcodeBSG.html?id=3990&amp;lat=-23.60315&amp;long=-46.66400&amp;tipo=S","QRCODE")</f>
        <v>QRCODE</v>
      </c>
      <c r="C4519" t="s">
        <v>5372</v>
      </c>
      <c r="D4519" t="s">
        <v>734</v>
      </c>
      <c r="E4519" t="s">
        <v>734</v>
      </c>
      <c r="F4519" t="s">
        <v>21</v>
      </c>
      <c r="G4519" t="s">
        <v>4738</v>
      </c>
      <c r="H4519">
        <v>0</v>
      </c>
      <c r="I4519">
        <v>2</v>
      </c>
      <c r="J4519">
        <v>0</v>
      </c>
      <c r="K4519">
        <v>0</v>
      </c>
      <c r="L4519">
        <v>0</v>
      </c>
    </row>
    <row r="4520" spans="1:12">
      <c r="A4520" t="str">
        <f>HYPERLINK("http://bombeiros.sp.gov.br/hidrantes/03individual/3994.html","3994")</f>
        <v>3994</v>
      </c>
      <c r="B4520" t="str">
        <f>HYPERLINK("http://bombeiros.sp.gov.br/hidrantes/08bsg/qrcodeBSG.html?id=3994&amp;lat=-23.60652&amp;long=-46.66670&amp;tipo=S","QRCODE")</f>
        <v>QRCODE</v>
      </c>
      <c r="C4520" t="s">
        <v>5372</v>
      </c>
      <c r="D4520" t="s">
        <v>734</v>
      </c>
      <c r="E4520" t="s">
        <v>734</v>
      </c>
      <c r="F4520" t="s">
        <v>21</v>
      </c>
      <c r="G4520" t="s">
        <v>4293</v>
      </c>
      <c r="H4520">
        <v>0</v>
      </c>
      <c r="I4520">
        <v>1</v>
      </c>
      <c r="J4520">
        <v>0</v>
      </c>
      <c r="K4520">
        <v>0</v>
      </c>
      <c r="L4520">
        <v>0</v>
      </c>
    </row>
    <row r="4521" spans="1:12">
      <c r="A4521" t="str">
        <f>HYPERLINK("http://bombeiros.sp.gov.br/hidrantes/03individual/3996.html","3996")</f>
        <v>3996</v>
      </c>
      <c r="B4521" t="str">
        <f>HYPERLINK("http://bombeiros.sp.gov.br/hidrantes/08bsg/qrcodeBSG.html?id=3996&amp;lat=-23.60509&amp;long=-46.65768&amp;tipo=S","QRCODE")</f>
        <v>QRCODE</v>
      </c>
      <c r="C4521" t="s">
        <v>5372</v>
      </c>
      <c r="D4521" t="s">
        <v>734</v>
      </c>
      <c r="E4521" t="s">
        <v>734</v>
      </c>
      <c r="F4521" t="s">
        <v>21</v>
      </c>
      <c r="G4521" t="s">
        <v>4643</v>
      </c>
      <c r="H4521">
        <v>1</v>
      </c>
      <c r="I4521">
        <v>1</v>
      </c>
      <c r="J4521">
        <v>0</v>
      </c>
      <c r="K4521">
        <v>0</v>
      </c>
      <c r="L4521">
        <v>0</v>
      </c>
    </row>
    <row r="4522" spans="1:12">
      <c r="A4522" t="str">
        <f>HYPERLINK("http://bombeiros.sp.gov.br/hidrantes/03individual/4006.html","4006")</f>
        <v>4006</v>
      </c>
      <c r="B4522" t="str">
        <f>HYPERLINK("http://bombeiros.sp.gov.br/hidrantes/08bsg/qrcodeBSG.html?id=4006&amp;lat=-23.61235&amp;long=-46.65727&amp;tipo=S","QRCODE")</f>
        <v>QRCODE</v>
      </c>
      <c r="C4522" t="s">
        <v>5372</v>
      </c>
      <c r="D4522" t="s">
        <v>734</v>
      </c>
      <c r="E4522" t="s">
        <v>734</v>
      </c>
      <c r="F4522" t="s">
        <v>21</v>
      </c>
      <c r="G4522" t="s">
        <v>4294</v>
      </c>
      <c r="H4522">
        <v>0</v>
      </c>
      <c r="I4522">
        <v>1</v>
      </c>
      <c r="J4522">
        <v>0</v>
      </c>
      <c r="K4522">
        <v>0</v>
      </c>
      <c r="L4522">
        <v>0</v>
      </c>
    </row>
    <row r="4523" spans="1:12">
      <c r="A4523" t="str">
        <f>HYPERLINK("http://bombeiros.sp.gov.br/hidrantes/03individual/26695.html","26695")</f>
        <v>26695</v>
      </c>
      <c r="B4523" t="str">
        <f>HYPERLINK("http://bombeiros.sp.gov.br/hidrantes/08bsg/qrcodeBSG.html?id=26695&amp;lat=-23.60243&amp;long=-46.65970&amp;tipo=S","QRCODE")</f>
        <v>QRCODE</v>
      </c>
      <c r="C4523" t="s">
        <v>5372</v>
      </c>
      <c r="D4523" t="s">
        <v>734</v>
      </c>
      <c r="E4523" t="s">
        <v>734</v>
      </c>
      <c r="F4523" t="s">
        <v>21</v>
      </c>
      <c r="G4523" t="s">
        <v>1692</v>
      </c>
      <c r="H4523">
        <v>0</v>
      </c>
      <c r="I4523">
        <v>2</v>
      </c>
      <c r="J4523">
        <v>0</v>
      </c>
      <c r="K4523">
        <v>0</v>
      </c>
      <c r="L4523">
        <v>0</v>
      </c>
    </row>
    <row r="4524" spans="1:12">
      <c r="A4524" t="str">
        <f>HYPERLINK("http://bombeiros.sp.gov.br/hidrantes/03individual/2263.html","2263")</f>
        <v>2263</v>
      </c>
      <c r="B4524" t="str">
        <f>HYPERLINK("http://bombeiros.sp.gov.br/hidrantes/08bsg/qrcodeBSG.html?id=2263&amp;lat=-23.57877&amp;long=-46.65119&amp;tipo=S","QRCODE")</f>
        <v>QRCODE</v>
      </c>
      <c r="C4524" t="s">
        <v>5372</v>
      </c>
      <c r="D4524" t="s">
        <v>734</v>
      </c>
      <c r="E4524" t="s">
        <v>278</v>
      </c>
      <c r="F4524" t="s">
        <v>21</v>
      </c>
      <c r="G4524" t="s">
        <v>1143</v>
      </c>
      <c r="H4524">
        <v>0</v>
      </c>
      <c r="I4524">
        <v>2</v>
      </c>
      <c r="J4524">
        <v>0</v>
      </c>
      <c r="K4524">
        <v>0</v>
      </c>
      <c r="L4524">
        <v>0</v>
      </c>
    </row>
    <row r="4525" spans="1:12">
      <c r="A4525" t="str">
        <f>HYPERLINK("http://bombeiros.sp.gov.br/hidrantes/03individual/1771.html","1771")</f>
        <v>1771</v>
      </c>
      <c r="B4525" t="str">
        <f>HYPERLINK("http://bombeiros.sp.gov.br/hidrantes/08bsg/qrcodeBSG.html?id=1771&amp;lat=-23.58137&amp;long=-46.65799&amp;tipo=C","QRCODE")</f>
        <v>QRCODE</v>
      </c>
      <c r="C4525" t="s">
        <v>5372</v>
      </c>
      <c r="D4525" t="s">
        <v>734</v>
      </c>
      <c r="E4525" t="s">
        <v>1137</v>
      </c>
      <c r="F4525" t="s">
        <v>12</v>
      </c>
      <c r="G4525" t="s">
        <v>3158</v>
      </c>
      <c r="H4525">
        <v>1</v>
      </c>
      <c r="I4525">
        <v>1</v>
      </c>
      <c r="J4525">
        <v>0</v>
      </c>
      <c r="K4525">
        <v>0</v>
      </c>
      <c r="L4525">
        <v>0</v>
      </c>
    </row>
    <row r="4526" spans="1:12">
      <c r="A4526" t="str">
        <f>HYPERLINK("http://bombeiros.sp.gov.br/hidrantes/03individual/2196.html","2196")</f>
        <v>2196</v>
      </c>
      <c r="B4526" t="str">
        <f>HYPERLINK("http://bombeiros.sp.gov.br/hidrantes/08bsg/qrcodeBSG.html?id=2196&amp;lat=-23.57817&amp;long=-46.65836&amp;tipo=C","QRCODE")</f>
        <v>QRCODE</v>
      </c>
      <c r="C4526" t="s">
        <v>5372</v>
      </c>
      <c r="D4526" t="s">
        <v>734</v>
      </c>
      <c r="E4526" t="s">
        <v>1137</v>
      </c>
      <c r="F4526" t="s">
        <v>12</v>
      </c>
      <c r="G4526" t="s">
        <v>1150</v>
      </c>
      <c r="H4526">
        <v>0</v>
      </c>
      <c r="I4526">
        <v>2</v>
      </c>
      <c r="J4526">
        <v>0</v>
      </c>
      <c r="K4526">
        <v>0</v>
      </c>
      <c r="L4526">
        <v>0</v>
      </c>
    </row>
    <row r="4527" spans="1:12">
      <c r="A4527" t="str">
        <f>HYPERLINK("http://bombeiros.sp.gov.br/hidrantes/03individual/4271.html","4271")</f>
        <v>4271</v>
      </c>
      <c r="B4527" t="str">
        <f>HYPERLINK("http://bombeiros.sp.gov.br/hidrantes/08bsg/qrcodeBSG.html?id=4271&amp;lat=-23.57491&amp;long=-46.65275&amp;tipo=C","QRCODE")</f>
        <v>QRCODE</v>
      </c>
      <c r="C4527" t="s">
        <v>5372</v>
      </c>
      <c r="D4527" t="s">
        <v>734</v>
      </c>
      <c r="E4527" t="s">
        <v>1137</v>
      </c>
      <c r="F4527" t="s">
        <v>12</v>
      </c>
      <c r="G4527" t="s">
        <v>2794</v>
      </c>
      <c r="H4527">
        <v>0</v>
      </c>
      <c r="I4527">
        <v>2</v>
      </c>
      <c r="J4527">
        <v>0</v>
      </c>
      <c r="K4527">
        <v>0</v>
      </c>
      <c r="L4527">
        <v>0</v>
      </c>
    </row>
    <row r="4528" spans="1:12">
      <c r="A4528" t="str">
        <f>HYPERLINK("http://bombeiros.sp.gov.br/hidrantes/03individual/1698.html","1698")</f>
        <v>1698</v>
      </c>
      <c r="B4528" t="str">
        <f>HYPERLINK("http://bombeiros.sp.gov.br/hidrantes/08bsg/qrcodeBSG.html?id=1698&amp;lat=-23.59071&amp;long=-46.66105&amp;tipo=S","QRCODE")</f>
        <v>QRCODE</v>
      </c>
      <c r="C4528" t="s">
        <v>5372</v>
      </c>
      <c r="D4528" t="s">
        <v>734</v>
      </c>
      <c r="E4528" t="s">
        <v>1137</v>
      </c>
      <c r="F4528" t="s">
        <v>21</v>
      </c>
      <c r="G4528" t="s">
        <v>5387</v>
      </c>
      <c r="H4528">
        <v>0</v>
      </c>
      <c r="I4528">
        <v>0</v>
      </c>
      <c r="J4528">
        <v>0</v>
      </c>
      <c r="K4528">
        <v>0</v>
      </c>
      <c r="L4528">
        <v>0</v>
      </c>
    </row>
    <row r="4529" spans="1:12">
      <c r="A4529" t="str">
        <f>HYPERLINK("http://bombeiros.sp.gov.br/hidrantes/03individual/1702.html","1702")</f>
        <v>1702</v>
      </c>
      <c r="B4529" t="str">
        <f>HYPERLINK("http://bombeiros.sp.gov.br/hidrantes/08bsg/qrcodeBSG.html?id=1702&amp;lat=-23.58831&amp;long=-46.66290&amp;tipo=S","QRCODE")</f>
        <v>QRCODE</v>
      </c>
      <c r="C4529" t="s">
        <v>5372</v>
      </c>
      <c r="D4529" t="s">
        <v>734</v>
      </c>
      <c r="E4529" t="s">
        <v>1137</v>
      </c>
      <c r="F4529" t="s">
        <v>21</v>
      </c>
      <c r="G4529" t="s">
        <v>5108</v>
      </c>
      <c r="H4529">
        <v>0</v>
      </c>
      <c r="I4529">
        <v>1</v>
      </c>
      <c r="J4529">
        <v>0</v>
      </c>
      <c r="K4529">
        <v>0</v>
      </c>
      <c r="L4529">
        <v>0</v>
      </c>
    </row>
    <row r="4530" spans="1:12">
      <c r="A4530" t="str">
        <f>HYPERLINK("http://bombeiros.sp.gov.br/hidrantes/03individual/1704.html","1704")</f>
        <v>1704</v>
      </c>
      <c r="B4530" t="str">
        <f>HYPERLINK("http://bombeiros.sp.gov.br/hidrantes/08bsg/qrcodeBSG.html?id=1704&amp;lat=-23.58829&amp;long=-46.65933&amp;tipo=S","QRCODE")</f>
        <v>QRCODE</v>
      </c>
      <c r="C4530" t="s">
        <v>5372</v>
      </c>
      <c r="D4530" t="s">
        <v>734</v>
      </c>
      <c r="E4530" t="s">
        <v>1137</v>
      </c>
      <c r="F4530" t="s">
        <v>21</v>
      </c>
      <c r="G4530" t="s">
        <v>5108</v>
      </c>
      <c r="H4530">
        <v>0</v>
      </c>
      <c r="I4530">
        <v>1</v>
      </c>
      <c r="J4530">
        <v>0</v>
      </c>
      <c r="K4530">
        <v>0</v>
      </c>
      <c r="L4530">
        <v>0</v>
      </c>
    </row>
    <row r="4531" spans="1:12">
      <c r="A4531" t="str">
        <f>HYPERLINK("http://bombeiros.sp.gov.br/hidrantes/03individual/1705.html","1705")</f>
        <v>1705</v>
      </c>
      <c r="B4531" t="str">
        <f>HYPERLINK("http://bombeiros.sp.gov.br/hidrantes/08bsg/qrcodeBSG.html?id=1705&amp;lat=-23.58980&amp;long=-46.65859&amp;tipo=S","QRCODE")</f>
        <v>QRCODE</v>
      </c>
      <c r="C4531" t="s">
        <v>5372</v>
      </c>
      <c r="D4531" t="s">
        <v>734</v>
      </c>
      <c r="E4531" t="s">
        <v>1137</v>
      </c>
      <c r="F4531" t="s">
        <v>21</v>
      </c>
      <c r="G4531" t="s">
        <v>5388</v>
      </c>
      <c r="H4531">
        <v>0</v>
      </c>
      <c r="I4531">
        <v>0</v>
      </c>
      <c r="J4531">
        <v>0</v>
      </c>
      <c r="K4531">
        <v>0</v>
      </c>
      <c r="L4531">
        <v>0</v>
      </c>
    </row>
    <row r="4532" spans="1:12">
      <c r="A4532" t="str">
        <f>HYPERLINK("http://bombeiros.sp.gov.br/hidrantes/03individual/1708.html","1708")</f>
        <v>1708</v>
      </c>
      <c r="B4532" t="str">
        <f>HYPERLINK("http://bombeiros.sp.gov.br/hidrantes/08bsg/qrcodeBSG.html?id=1708&amp;lat=-23.59056&amp;long=-46.65870&amp;tipo=S","QRCODE")</f>
        <v>QRCODE</v>
      </c>
      <c r="C4532" t="s">
        <v>5372</v>
      </c>
      <c r="D4532" t="s">
        <v>734</v>
      </c>
      <c r="E4532" t="s">
        <v>1137</v>
      </c>
      <c r="F4532" t="s">
        <v>21</v>
      </c>
      <c r="G4532" t="s">
        <v>5389</v>
      </c>
      <c r="H4532">
        <v>0</v>
      </c>
      <c r="I4532">
        <v>0</v>
      </c>
      <c r="J4532">
        <v>0</v>
      </c>
      <c r="K4532">
        <v>0</v>
      </c>
      <c r="L4532">
        <v>0</v>
      </c>
    </row>
    <row r="4533" spans="1:12">
      <c r="A4533" t="str">
        <f>HYPERLINK("http://bombeiros.sp.gov.br/hidrantes/03individual/1711.html","1711")</f>
        <v>1711</v>
      </c>
      <c r="B4533" t="str">
        <f>HYPERLINK("http://bombeiros.sp.gov.br/hidrantes/08bsg/qrcodeBSG.html?id=1711&amp;lat=-23.58924&amp;long=-46.65571&amp;tipo=S","QRCODE")</f>
        <v>QRCODE</v>
      </c>
      <c r="C4533" t="s">
        <v>5372</v>
      </c>
      <c r="D4533" t="s">
        <v>734</v>
      </c>
      <c r="E4533" t="s">
        <v>1137</v>
      </c>
      <c r="F4533" t="s">
        <v>21</v>
      </c>
      <c r="G4533" t="s">
        <v>4762</v>
      </c>
      <c r="H4533">
        <v>0</v>
      </c>
      <c r="I4533">
        <v>1</v>
      </c>
      <c r="J4533">
        <v>0</v>
      </c>
      <c r="K4533">
        <v>0</v>
      </c>
      <c r="L4533">
        <v>0</v>
      </c>
    </row>
    <row r="4534" spans="1:12">
      <c r="A4534" t="str">
        <f>HYPERLINK("http://bombeiros.sp.gov.br/hidrantes/03individual/1763.html","1763")</f>
        <v>1763</v>
      </c>
      <c r="B4534" t="str">
        <f>HYPERLINK("http://bombeiros.sp.gov.br/hidrantes/08bsg/qrcodeBSG.html?id=1763&amp;lat=-23.58113&amp;long=-46.66353&amp;tipo=S","QRCODE")</f>
        <v>QRCODE</v>
      </c>
      <c r="C4534" t="s">
        <v>5372</v>
      </c>
      <c r="D4534" t="s">
        <v>734</v>
      </c>
      <c r="E4534" t="s">
        <v>1137</v>
      </c>
      <c r="F4534" t="s">
        <v>21</v>
      </c>
      <c r="G4534" t="s">
        <v>1212</v>
      </c>
      <c r="H4534">
        <v>0</v>
      </c>
      <c r="I4534">
        <v>2</v>
      </c>
      <c r="J4534">
        <v>0</v>
      </c>
      <c r="K4534">
        <v>0</v>
      </c>
      <c r="L4534">
        <v>0</v>
      </c>
    </row>
    <row r="4535" spans="1:12">
      <c r="A4535" t="str">
        <f>HYPERLINK("http://bombeiros.sp.gov.br/hidrantes/03individual/2241.html","2241")</f>
        <v>2241</v>
      </c>
      <c r="B4535" t="str">
        <f>HYPERLINK("http://bombeiros.sp.gov.br/hidrantes/08bsg/qrcodeBSG.html?id=2241&amp;lat=-23.57684&amp;long=-46.65668&amp;tipo=S","QRCODE")</f>
        <v>QRCODE</v>
      </c>
      <c r="C4535" t="s">
        <v>5372</v>
      </c>
      <c r="D4535" t="s">
        <v>734</v>
      </c>
      <c r="E4535" t="s">
        <v>1137</v>
      </c>
      <c r="F4535" t="s">
        <v>21</v>
      </c>
      <c r="G4535" t="s">
        <v>1140</v>
      </c>
      <c r="H4535">
        <v>1</v>
      </c>
      <c r="I4535">
        <v>2</v>
      </c>
      <c r="J4535">
        <v>0</v>
      </c>
      <c r="K4535">
        <v>0</v>
      </c>
      <c r="L4535">
        <v>0</v>
      </c>
    </row>
    <row r="4536" spans="1:12">
      <c r="A4536" t="str">
        <f>HYPERLINK("http://bombeiros.sp.gov.br/hidrantes/03individual/2265.html","2265")</f>
        <v>2265</v>
      </c>
      <c r="B4536" t="str">
        <f>HYPERLINK("http://bombeiros.sp.gov.br/hidrantes/08bsg/qrcodeBSG.html?id=2265&amp;lat=-23.57877&amp;long=-46.65305&amp;tipo=S","QRCODE")</f>
        <v>QRCODE</v>
      </c>
      <c r="C4536" t="s">
        <v>5372</v>
      </c>
      <c r="D4536" t="s">
        <v>734</v>
      </c>
      <c r="E4536" t="s">
        <v>1137</v>
      </c>
      <c r="F4536" t="s">
        <v>21</v>
      </c>
      <c r="G4536" t="s">
        <v>1146</v>
      </c>
      <c r="H4536">
        <v>1</v>
      </c>
      <c r="I4536">
        <v>2</v>
      </c>
      <c r="J4536">
        <v>0</v>
      </c>
      <c r="K4536">
        <v>0</v>
      </c>
      <c r="L4536">
        <v>0</v>
      </c>
    </row>
    <row r="4537" spans="1:12">
      <c r="A4537" t="str">
        <f>HYPERLINK("http://bombeiros.sp.gov.br/hidrantes/03individual/2310.html","2310")</f>
        <v>2310</v>
      </c>
      <c r="B4537" t="str">
        <f>HYPERLINK("http://bombeiros.sp.gov.br/hidrantes/08bsg/qrcodeBSG.html?id=2310&amp;lat=-23.57234&amp;long=-46.65360&amp;tipo=S","QRCODE")</f>
        <v>QRCODE</v>
      </c>
      <c r="C4537" t="s">
        <v>5372</v>
      </c>
      <c r="D4537" t="s">
        <v>734</v>
      </c>
      <c r="E4537" t="s">
        <v>1137</v>
      </c>
      <c r="F4537" t="s">
        <v>21</v>
      </c>
      <c r="G4537" t="s">
        <v>2768</v>
      </c>
      <c r="H4537">
        <v>0</v>
      </c>
      <c r="I4537">
        <v>2</v>
      </c>
      <c r="J4537">
        <v>0</v>
      </c>
      <c r="K4537">
        <v>0</v>
      </c>
      <c r="L4537">
        <v>0</v>
      </c>
    </row>
    <row r="4538" spans="1:12">
      <c r="A4538" t="str">
        <f>HYPERLINK("http://bombeiros.sp.gov.br/hidrantes/03individual/2315.html","2315")</f>
        <v>2315</v>
      </c>
      <c r="B4538" t="str">
        <f>HYPERLINK("http://bombeiros.sp.gov.br/hidrantes/08bsg/qrcodeBSG.html?id=2315&amp;lat=-23.58398&amp;long=-46.65150&amp;tipo=S","QRCODE")</f>
        <v>QRCODE</v>
      </c>
      <c r="C4538" t="s">
        <v>5372</v>
      </c>
      <c r="D4538" t="s">
        <v>734</v>
      </c>
      <c r="E4538" t="s">
        <v>1137</v>
      </c>
      <c r="F4538" t="s">
        <v>21</v>
      </c>
      <c r="G4538" t="s">
        <v>3176</v>
      </c>
      <c r="H4538">
        <v>1</v>
      </c>
      <c r="I4538">
        <v>1</v>
      </c>
      <c r="J4538">
        <v>0</v>
      </c>
      <c r="K4538">
        <v>0</v>
      </c>
      <c r="L4538">
        <v>0</v>
      </c>
    </row>
    <row r="4539" spans="1:12">
      <c r="A4539" t="str">
        <f>HYPERLINK("http://bombeiros.sp.gov.br/hidrantes/03individual/2328.html","2328")</f>
        <v>2328</v>
      </c>
      <c r="B4539" t="str">
        <f>HYPERLINK("http://bombeiros.sp.gov.br/hidrantes/08bsg/qrcodeBSG.html?id=2328&amp;lat=-23.58973&amp;long=-46.65400&amp;tipo=S","QRCODE")</f>
        <v>QRCODE</v>
      </c>
      <c r="C4539" t="s">
        <v>5372</v>
      </c>
      <c r="D4539" t="s">
        <v>734</v>
      </c>
      <c r="E4539" t="s">
        <v>1137</v>
      </c>
      <c r="F4539" t="s">
        <v>21</v>
      </c>
      <c r="G4539" t="s">
        <v>5202</v>
      </c>
      <c r="H4539">
        <v>1</v>
      </c>
      <c r="I4539">
        <v>0</v>
      </c>
      <c r="J4539">
        <v>0</v>
      </c>
      <c r="K4539">
        <v>0</v>
      </c>
      <c r="L4539">
        <v>0</v>
      </c>
    </row>
    <row r="4540" spans="1:12">
      <c r="A4540" t="str">
        <f>HYPERLINK("http://bombeiros.sp.gov.br/hidrantes/03individual/5379.html","5379")</f>
        <v>5379</v>
      </c>
      <c r="B4540" t="str">
        <f>HYPERLINK("http://bombeiros.sp.gov.br/hidrantes/08bsg/qrcodeBSG.html?id=5379&amp;lat=-23.58213&amp;long=-46.65309&amp;tipo=S","QRCODE")</f>
        <v>QRCODE</v>
      </c>
      <c r="C4540" t="s">
        <v>5372</v>
      </c>
      <c r="D4540" t="s">
        <v>734</v>
      </c>
      <c r="E4540" t="s">
        <v>1137</v>
      </c>
      <c r="F4540" t="s">
        <v>21</v>
      </c>
      <c r="G4540" t="s">
        <v>4780</v>
      </c>
      <c r="H4540">
        <v>0</v>
      </c>
      <c r="I4540">
        <v>2</v>
      </c>
      <c r="J4540">
        <v>0</v>
      </c>
      <c r="K4540">
        <v>0</v>
      </c>
      <c r="L4540">
        <v>0</v>
      </c>
    </row>
    <row r="4541" spans="1:12">
      <c r="A4541" t="str">
        <f>HYPERLINK("http://bombeiros.sp.gov.br/hidrantes/03individual/6693.html","6693")</f>
        <v>6693</v>
      </c>
      <c r="B4541" t="str">
        <f>HYPERLINK("http://bombeiros.sp.gov.br/hidrantes/08bsg/qrcodeBSG.html?id=6693&amp;lat=-23.58776&amp;long=-46.66077&amp;tipo=S","QRCODE")</f>
        <v>QRCODE</v>
      </c>
      <c r="C4541" t="s">
        <v>5372</v>
      </c>
      <c r="D4541" t="s">
        <v>734</v>
      </c>
      <c r="E4541" t="s">
        <v>1137</v>
      </c>
      <c r="F4541" t="s">
        <v>21</v>
      </c>
      <c r="G4541" t="s">
        <v>5390</v>
      </c>
      <c r="H4541">
        <v>0</v>
      </c>
      <c r="I4541">
        <v>0</v>
      </c>
      <c r="J4541">
        <v>0</v>
      </c>
      <c r="K4541">
        <v>0</v>
      </c>
      <c r="L4541">
        <v>0</v>
      </c>
    </row>
    <row r="4542" spans="1:12">
      <c r="A4542" t="str">
        <f>HYPERLINK("http://bombeiros.sp.gov.br/hidrantes/03individual/6694.html","6694")</f>
        <v>6694</v>
      </c>
      <c r="B4542" t="str">
        <f>HYPERLINK("http://bombeiros.sp.gov.br/hidrantes/08bsg/qrcodeBSG.html?id=6694&amp;lat=-23.58618&amp;long=-46.65909&amp;tipo=S","QRCODE")</f>
        <v>QRCODE</v>
      </c>
      <c r="C4542" t="s">
        <v>5372</v>
      </c>
      <c r="D4542" t="s">
        <v>734</v>
      </c>
      <c r="E4542" t="s">
        <v>1137</v>
      </c>
      <c r="F4542" t="s">
        <v>21</v>
      </c>
      <c r="G4542" t="s">
        <v>1177</v>
      </c>
      <c r="H4542">
        <v>0</v>
      </c>
      <c r="I4542">
        <v>1</v>
      </c>
      <c r="J4542">
        <v>0</v>
      </c>
      <c r="K4542">
        <v>0</v>
      </c>
      <c r="L4542">
        <v>0</v>
      </c>
    </row>
    <row r="4543" spans="1:12">
      <c r="A4543" t="str">
        <f>HYPERLINK("http://bombeiros.sp.gov.br/hidrantes/03individual/6695.html","6695")</f>
        <v>6695</v>
      </c>
      <c r="B4543" t="str">
        <f>HYPERLINK("http://bombeiros.sp.gov.br/hidrantes/08bsg/qrcodeBSG.html?id=6695&amp;lat=-23.58036&amp;long=-46.66120&amp;tipo=S","QRCODE")</f>
        <v>QRCODE</v>
      </c>
      <c r="C4543" t="s">
        <v>5372</v>
      </c>
      <c r="D4543" t="s">
        <v>734</v>
      </c>
      <c r="E4543" t="s">
        <v>1137</v>
      </c>
      <c r="F4543" t="s">
        <v>21</v>
      </c>
      <c r="G4543" t="s">
        <v>4949</v>
      </c>
      <c r="H4543">
        <v>0</v>
      </c>
      <c r="I4543">
        <v>1</v>
      </c>
      <c r="J4543">
        <v>0</v>
      </c>
      <c r="K4543">
        <v>0</v>
      </c>
      <c r="L4543">
        <v>0</v>
      </c>
    </row>
    <row r="4544" spans="1:12">
      <c r="A4544" t="str">
        <f>HYPERLINK("http://bombeiros.sp.gov.br/hidrantes/03individual/6696.html","6696")</f>
        <v>6696</v>
      </c>
      <c r="B4544" t="str">
        <f>HYPERLINK("http://bombeiros.sp.gov.br/hidrantes/08bsg/qrcodeBSG.html?id=6696&amp;lat=-23.58727&amp;long=-46.65394&amp;tipo=S","QRCODE")</f>
        <v>QRCODE</v>
      </c>
      <c r="C4544" t="s">
        <v>5372</v>
      </c>
      <c r="D4544" t="s">
        <v>734</v>
      </c>
      <c r="E4544" t="s">
        <v>1137</v>
      </c>
      <c r="F4544" t="s">
        <v>21</v>
      </c>
      <c r="G4544" t="s">
        <v>3162</v>
      </c>
      <c r="H4544">
        <v>1</v>
      </c>
      <c r="I4544">
        <v>1</v>
      </c>
      <c r="J4544">
        <v>0</v>
      </c>
      <c r="K4544">
        <v>0</v>
      </c>
      <c r="L4544">
        <v>0</v>
      </c>
    </row>
    <row r="4545" spans="1:12">
      <c r="A4545" t="str">
        <f>HYPERLINK("http://bombeiros.sp.gov.br/hidrantes/03individual/6697.html","6697")</f>
        <v>6697</v>
      </c>
      <c r="B4545" t="str">
        <f>HYPERLINK("http://bombeiros.sp.gov.br/hidrantes/08bsg/qrcodeBSG.html?id=6697&amp;lat=-23.58977&amp;long=-46.66251&amp;tipo=S","QRCODE")</f>
        <v>QRCODE</v>
      </c>
      <c r="C4545" t="s">
        <v>5372</v>
      </c>
      <c r="D4545" t="s">
        <v>734</v>
      </c>
      <c r="E4545" t="s">
        <v>1137</v>
      </c>
      <c r="F4545" t="s">
        <v>21</v>
      </c>
      <c r="G4545" t="s">
        <v>5391</v>
      </c>
      <c r="H4545">
        <v>0</v>
      </c>
      <c r="I4545">
        <v>0</v>
      </c>
      <c r="J4545">
        <v>0</v>
      </c>
      <c r="K4545">
        <v>0</v>
      </c>
      <c r="L4545">
        <v>0</v>
      </c>
    </row>
    <row r="4546" spans="1:12">
      <c r="A4546" t="str">
        <f>HYPERLINK("http://bombeiros.sp.gov.br/hidrantes/03individual/6716.html","6716")</f>
        <v>6716</v>
      </c>
      <c r="B4546" t="str">
        <f>HYPERLINK("http://bombeiros.sp.gov.br/hidrantes/08bsg/qrcodeBSG.html?id=6716&amp;lat=-23.58599&amp;long=-46.66126&amp;tipo=S","QRCODE")</f>
        <v>QRCODE</v>
      </c>
      <c r="C4546" t="s">
        <v>5372</v>
      </c>
      <c r="D4546" t="s">
        <v>734</v>
      </c>
      <c r="E4546" t="s">
        <v>1137</v>
      </c>
      <c r="F4546" t="s">
        <v>21</v>
      </c>
      <c r="G4546" t="s">
        <v>1173</v>
      </c>
      <c r="H4546">
        <v>0</v>
      </c>
      <c r="I4546">
        <v>1</v>
      </c>
      <c r="J4546">
        <v>0</v>
      </c>
      <c r="K4546">
        <v>0</v>
      </c>
      <c r="L4546">
        <v>0</v>
      </c>
    </row>
    <row r="4547" spans="1:12">
      <c r="A4547" t="str">
        <f>HYPERLINK("http://bombeiros.sp.gov.br/hidrantes/03individual/6717.html","6717")</f>
        <v>6717</v>
      </c>
      <c r="B4547" t="str">
        <f>HYPERLINK("http://bombeiros.sp.gov.br/hidrantes/08bsg/qrcodeBSG.html?id=6717&amp;lat=-23.58569&amp;long=-46.65955&amp;tipo=S","QRCODE")</f>
        <v>QRCODE</v>
      </c>
      <c r="C4547" t="s">
        <v>5372</v>
      </c>
      <c r="D4547" t="s">
        <v>734</v>
      </c>
      <c r="E4547" t="s">
        <v>1137</v>
      </c>
      <c r="F4547" t="s">
        <v>21</v>
      </c>
      <c r="G4547" t="s">
        <v>1174</v>
      </c>
      <c r="H4547">
        <v>0</v>
      </c>
      <c r="I4547">
        <v>1</v>
      </c>
      <c r="J4547">
        <v>0</v>
      </c>
      <c r="K4547">
        <v>0</v>
      </c>
      <c r="L4547">
        <v>0</v>
      </c>
    </row>
    <row r="4548" spans="1:12">
      <c r="A4548" t="str">
        <f>HYPERLINK("http://bombeiros.sp.gov.br/hidrantes/03individual/6718.html","6718")</f>
        <v>6718</v>
      </c>
      <c r="B4548" t="str">
        <f>HYPERLINK("http://bombeiros.sp.gov.br/hidrantes/08bsg/qrcodeBSG.html?id=6718&amp;lat=-23.58504&amp;long=-46.65911&amp;tipo=S","QRCODE")</f>
        <v>QRCODE</v>
      </c>
      <c r="C4548" t="s">
        <v>5372</v>
      </c>
      <c r="D4548" t="s">
        <v>734</v>
      </c>
      <c r="E4548" t="s">
        <v>1137</v>
      </c>
      <c r="F4548" t="s">
        <v>21</v>
      </c>
      <c r="G4548" t="s">
        <v>1175</v>
      </c>
      <c r="H4548">
        <v>0</v>
      </c>
      <c r="I4548">
        <v>2</v>
      </c>
      <c r="J4548">
        <v>0</v>
      </c>
      <c r="K4548">
        <v>0</v>
      </c>
      <c r="L4548">
        <v>0</v>
      </c>
    </row>
    <row r="4549" spans="1:12">
      <c r="A4549" t="str">
        <f>HYPERLINK("http://bombeiros.sp.gov.br/hidrantes/03individual/6719.html","6719")</f>
        <v>6719</v>
      </c>
      <c r="B4549" t="str">
        <f>HYPERLINK("http://bombeiros.sp.gov.br/hidrantes/08bsg/qrcodeBSG.html?id=6719&amp;lat=-23.58445&amp;long=-46.65956&amp;tipo=S","QRCODE")</f>
        <v>QRCODE</v>
      </c>
      <c r="C4549" t="s">
        <v>5372</v>
      </c>
      <c r="D4549" t="s">
        <v>734</v>
      </c>
      <c r="E4549" t="s">
        <v>1137</v>
      </c>
      <c r="F4549" t="s">
        <v>21</v>
      </c>
      <c r="G4549" t="s">
        <v>1176</v>
      </c>
      <c r="H4549">
        <v>0</v>
      </c>
      <c r="I4549">
        <v>1</v>
      </c>
      <c r="J4549">
        <v>0</v>
      </c>
      <c r="K4549">
        <v>0</v>
      </c>
      <c r="L4549">
        <v>0</v>
      </c>
    </row>
    <row r="4550" spans="1:12">
      <c r="A4550" t="str">
        <f>HYPERLINK("http://bombeiros.sp.gov.br/hidrantes/03individual/17711.html","17711")</f>
        <v>17711</v>
      </c>
      <c r="B4550" t="str">
        <f>HYPERLINK("http://bombeiros.sp.gov.br/hidrantes/08bsg/qrcodeBSG.html?id=17711&amp;lat=-23.58364&amp;long=-46.65796&amp;tipo=S","QRCODE")</f>
        <v>QRCODE</v>
      </c>
      <c r="C4550" t="s">
        <v>5372</v>
      </c>
      <c r="D4550" t="s">
        <v>734</v>
      </c>
      <c r="E4550" t="s">
        <v>1137</v>
      </c>
      <c r="F4550" t="s">
        <v>21</v>
      </c>
      <c r="G4550" t="s">
        <v>4715</v>
      </c>
      <c r="H4550">
        <v>0</v>
      </c>
      <c r="I4550">
        <v>1</v>
      </c>
      <c r="J4550">
        <v>0</v>
      </c>
      <c r="K4550">
        <v>0</v>
      </c>
      <c r="L4550">
        <v>0</v>
      </c>
    </row>
    <row r="4551" spans="1:12">
      <c r="A4551" t="str">
        <f>HYPERLINK("http://bombeiros.sp.gov.br/hidrantes/03individual/17899.html","17899")</f>
        <v>17899</v>
      </c>
      <c r="B4551" t="str">
        <f>HYPERLINK("http://bombeiros.sp.gov.br/hidrantes/08bsg/qrcodeBSG.html?id=17899&amp;lat=-23.57629&amp;long=-46.65558&amp;tipo=S","QRCODE")</f>
        <v>QRCODE</v>
      </c>
      <c r="C4551" t="s">
        <v>5372</v>
      </c>
      <c r="D4551" t="s">
        <v>734</v>
      </c>
      <c r="E4551" t="s">
        <v>1137</v>
      </c>
      <c r="F4551" t="s">
        <v>21</v>
      </c>
      <c r="G4551" t="s">
        <v>1136</v>
      </c>
      <c r="H4551">
        <v>1</v>
      </c>
      <c r="I4551">
        <v>2</v>
      </c>
      <c r="J4551">
        <v>0</v>
      </c>
      <c r="K4551">
        <v>0</v>
      </c>
      <c r="L4551">
        <v>0</v>
      </c>
    </row>
    <row r="4552" spans="1:12">
      <c r="A4552" t="str">
        <f>HYPERLINK("http://bombeiros.sp.gov.br/hidrantes/03individual/1611.html","1611")</f>
        <v>1611</v>
      </c>
      <c r="B4552" t="str">
        <f>HYPERLINK("http://bombeiros.sp.gov.br/hidrantes/08bsg/qrcodeBSG.html?id=1611&amp;lat=-23.59842&amp;long=-46.67199&amp;tipo=C","QRCODE")</f>
        <v>QRCODE</v>
      </c>
      <c r="C4552" t="s">
        <v>5372</v>
      </c>
      <c r="D4552" t="s">
        <v>734</v>
      </c>
      <c r="E4552" t="s">
        <v>1873</v>
      </c>
      <c r="F4552" t="s">
        <v>12</v>
      </c>
      <c r="G4552" t="s">
        <v>2707</v>
      </c>
      <c r="H4552">
        <v>0</v>
      </c>
      <c r="I4552">
        <v>2</v>
      </c>
      <c r="J4552">
        <v>0</v>
      </c>
      <c r="K4552">
        <v>0</v>
      </c>
      <c r="L4552">
        <v>0</v>
      </c>
    </row>
    <row r="4553" spans="1:12">
      <c r="A4553" t="str">
        <f>HYPERLINK("http://bombeiros.sp.gov.br/hidrantes/03individual/2190.html","2190")</f>
        <v>2190</v>
      </c>
      <c r="B4553" t="str">
        <f>HYPERLINK("http://bombeiros.sp.gov.br/hidrantes/08bsg/qrcodeBSG.html?id=2190&amp;lat=-23.59513&amp;long=-46.67279&amp;tipo=C","QRCODE")</f>
        <v>QRCODE</v>
      </c>
      <c r="C4553" t="s">
        <v>5372</v>
      </c>
      <c r="D4553" t="s">
        <v>734</v>
      </c>
      <c r="E4553" t="s">
        <v>1873</v>
      </c>
      <c r="F4553" t="s">
        <v>12</v>
      </c>
      <c r="G4553" t="s">
        <v>1872</v>
      </c>
      <c r="H4553">
        <v>0</v>
      </c>
      <c r="I4553">
        <v>3</v>
      </c>
      <c r="J4553">
        <v>0</v>
      </c>
      <c r="K4553">
        <v>0</v>
      </c>
      <c r="L4553">
        <v>0</v>
      </c>
    </row>
    <row r="4554" spans="1:12">
      <c r="A4554" t="str">
        <f>HYPERLINK("http://bombeiros.sp.gov.br/hidrantes/03individual/1613.html","1613")</f>
        <v>1613</v>
      </c>
      <c r="B4554" t="str">
        <f>HYPERLINK("http://bombeiros.sp.gov.br/hidrantes/08bsg/qrcodeBSG.html?id=1613&amp;lat=-23.59895&amp;long=-46.67013&amp;tipo=S","QRCODE")</f>
        <v>QRCODE</v>
      </c>
      <c r="C4554" t="s">
        <v>5372</v>
      </c>
      <c r="D4554" t="s">
        <v>734</v>
      </c>
      <c r="E4554" t="s">
        <v>1873</v>
      </c>
      <c r="F4554" t="s">
        <v>21</v>
      </c>
      <c r="G4554" t="s">
        <v>4142</v>
      </c>
      <c r="H4554">
        <v>0</v>
      </c>
      <c r="I4554">
        <v>1</v>
      </c>
      <c r="J4554">
        <v>0</v>
      </c>
      <c r="K4554">
        <v>0</v>
      </c>
      <c r="L4554">
        <v>0</v>
      </c>
    </row>
    <row r="4555" spans="1:12">
      <c r="A4555" t="str">
        <f>HYPERLINK("http://bombeiros.sp.gov.br/hidrantes/03individual/2214.html","2214")</f>
        <v>2214</v>
      </c>
      <c r="B4555" t="str">
        <f>HYPERLINK("http://bombeiros.sp.gov.br/hidrantes/08bsg/qrcodeBSG.html?id=2214&amp;lat=-23.60110&amp;long=-46.67140&amp;tipo=S","QRCODE")</f>
        <v>QRCODE</v>
      </c>
      <c r="C4555" t="s">
        <v>5372</v>
      </c>
      <c r="D4555" t="s">
        <v>734</v>
      </c>
      <c r="E4555" t="s">
        <v>1873</v>
      </c>
      <c r="F4555" t="s">
        <v>21</v>
      </c>
      <c r="G4555" t="s">
        <v>2753</v>
      </c>
      <c r="H4555">
        <v>0</v>
      </c>
      <c r="I4555">
        <v>2</v>
      </c>
      <c r="J4555">
        <v>0</v>
      </c>
      <c r="K4555">
        <v>0</v>
      </c>
      <c r="L4555">
        <v>0</v>
      </c>
    </row>
    <row r="4556" spans="1:12">
      <c r="A4556" t="str">
        <f>HYPERLINK("http://bombeiros.sp.gov.br/hidrantes/03individual/2227.html","2227")</f>
        <v>2227</v>
      </c>
      <c r="B4556" t="str">
        <f>HYPERLINK("http://bombeiros.sp.gov.br/hidrantes/08bsg/qrcodeBSG.html?id=2227&amp;lat=-23.60334&amp;long=-46.67025&amp;tipo=S","QRCODE")</f>
        <v>QRCODE</v>
      </c>
      <c r="C4556" t="s">
        <v>5372</v>
      </c>
      <c r="D4556" t="s">
        <v>734</v>
      </c>
      <c r="E4556" t="s">
        <v>1873</v>
      </c>
      <c r="F4556" t="s">
        <v>21</v>
      </c>
      <c r="G4556" t="s">
        <v>4013</v>
      </c>
      <c r="H4556">
        <v>0</v>
      </c>
      <c r="I4556">
        <v>3</v>
      </c>
      <c r="J4556">
        <v>0</v>
      </c>
      <c r="K4556">
        <v>0</v>
      </c>
      <c r="L4556">
        <v>0</v>
      </c>
    </row>
    <row r="4557" spans="1:12">
      <c r="A4557" t="str">
        <f>HYPERLINK("http://bombeiros.sp.gov.br/hidrantes/03individual/2237.html","2237")</f>
        <v>2237</v>
      </c>
      <c r="B4557" t="str">
        <f>HYPERLINK("http://bombeiros.sp.gov.br/hidrantes/08bsg/qrcodeBSG.html?id=2237&amp;lat=-23.60009&amp;long=-46.66971&amp;tipo=S","QRCODE")</f>
        <v>QRCODE</v>
      </c>
      <c r="C4557" t="s">
        <v>5372</v>
      </c>
      <c r="D4557" t="s">
        <v>734</v>
      </c>
      <c r="E4557" t="s">
        <v>1873</v>
      </c>
      <c r="F4557" t="s">
        <v>21</v>
      </c>
      <c r="G4557" t="s">
        <v>2755</v>
      </c>
      <c r="H4557">
        <v>0</v>
      </c>
      <c r="I4557">
        <v>2</v>
      </c>
      <c r="J4557">
        <v>0</v>
      </c>
      <c r="K4557">
        <v>0</v>
      </c>
      <c r="L4557">
        <v>0</v>
      </c>
    </row>
    <row r="4558" spans="1:12">
      <c r="A4558" t="str">
        <f>HYPERLINK("http://bombeiros.sp.gov.br/hidrantes/03individual/2946.html","2946")</f>
        <v>2946</v>
      </c>
      <c r="B4558" t="str">
        <f>HYPERLINK("http://bombeiros.sp.gov.br/hidrantes/08bsg/qrcodeBSG.html?id=2946&amp;lat=-23.59999&amp;long=-46.66449&amp;tipo=S","QRCODE")</f>
        <v>QRCODE</v>
      </c>
      <c r="C4558" t="s">
        <v>5372</v>
      </c>
      <c r="D4558" t="s">
        <v>734</v>
      </c>
      <c r="E4558" t="s">
        <v>1873</v>
      </c>
      <c r="F4558" t="s">
        <v>21</v>
      </c>
      <c r="G4558" t="s">
        <v>2740</v>
      </c>
      <c r="H4558">
        <v>0</v>
      </c>
      <c r="I4558">
        <v>2</v>
      </c>
      <c r="J4558">
        <v>0</v>
      </c>
      <c r="K4558">
        <v>0</v>
      </c>
      <c r="L4558">
        <v>0</v>
      </c>
    </row>
    <row r="4559" spans="1:12">
      <c r="A4559" t="str">
        <f>HYPERLINK("http://bombeiros.sp.gov.br/hidrantes/03individual/3991.html","3991")</f>
        <v>3991</v>
      </c>
      <c r="B4559" t="str">
        <f>HYPERLINK("http://bombeiros.sp.gov.br/hidrantes/08bsg/qrcodeBSG.html?id=3991&amp;lat=-23.60013&amp;long=-46.66746&amp;tipo=S","QRCODE")</f>
        <v>QRCODE</v>
      </c>
      <c r="C4559" t="s">
        <v>5372</v>
      </c>
      <c r="D4559" t="s">
        <v>734</v>
      </c>
      <c r="E4559" t="s">
        <v>1873</v>
      </c>
      <c r="F4559" t="s">
        <v>21</v>
      </c>
      <c r="G4559" t="s">
        <v>4292</v>
      </c>
      <c r="H4559">
        <v>0</v>
      </c>
      <c r="I4559">
        <v>1</v>
      </c>
      <c r="J4559">
        <v>0</v>
      </c>
      <c r="K4559">
        <v>0</v>
      </c>
      <c r="L4559">
        <v>0</v>
      </c>
    </row>
    <row r="4560" spans="1:12">
      <c r="A4560" t="str">
        <f>HYPERLINK("http://bombeiros.sp.gov.br/hidrantes/03individual/1536.html","1536")</f>
        <v>1536</v>
      </c>
      <c r="B4560" t="str">
        <f>HYPERLINK("http://bombeiros.sp.gov.br/hidrantes/08bsg/qrcodeBSG.html?id=1536&amp;lat=-23.58575&amp;long=-46.67080&amp;tipo=C","QRCODE")</f>
        <v>QRCODE</v>
      </c>
      <c r="C4560" t="s">
        <v>5372</v>
      </c>
      <c r="D4560" t="s">
        <v>734</v>
      </c>
      <c r="E4560" t="s">
        <v>1506</v>
      </c>
      <c r="F4560" t="s">
        <v>12</v>
      </c>
      <c r="G4560" t="s">
        <v>2638</v>
      </c>
      <c r="H4560">
        <v>0</v>
      </c>
      <c r="I4560">
        <v>2</v>
      </c>
      <c r="J4560">
        <v>0</v>
      </c>
      <c r="K4560">
        <v>0</v>
      </c>
      <c r="L4560">
        <v>0</v>
      </c>
    </row>
    <row r="4561" spans="1:12">
      <c r="A4561" t="str">
        <f>HYPERLINK("http://bombeiros.sp.gov.br/hidrantes/03individual/1726.html","1726")</f>
        <v>1726</v>
      </c>
      <c r="B4561" t="str">
        <f>HYPERLINK("http://bombeiros.sp.gov.br/hidrantes/08bsg/qrcodeBSG.html?id=1726&amp;lat=-23.59552&amp;long=-46.66697&amp;tipo=C","QRCODE")</f>
        <v>QRCODE</v>
      </c>
      <c r="C4561" t="s">
        <v>5372</v>
      </c>
      <c r="D4561" t="s">
        <v>734</v>
      </c>
      <c r="E4561" t="s">
        <v>1506</v>
      </c>
      <c r="F4561" t="s">
        <v>12</v>
      </c>
      <c r="G4561" t="s">
        <v>2692</v>
      </c>
      <c r="H4561">
        <v>0</v>
      </c>
      <c r="I4561">
        <v>2</v>
      </c>
      <c r="J4561">
        <v>0</v>
      </c>
      <c r="K4561">
        <v>0</v>
      </c>
      <c r="L4561">
        <v>0</v>
      </c>
    </row>
    <row r="4562" spans="1:12">
      <c r="A4562" t="str">
        <f>HYPERLINK("http://bombeiros.sp.gov.br/hidrantes/03individual/1736.html","1736")</f>
        <v>1736</v>
      </c>
      <c r="B4562" t="str">
        <f>HYPERLINK("http://bombeiros.sp.gov.br/hidrantes/08bsg/qrcodeBSG.html?id=1736&amp;lat=-23.59305&amp;long=-46.67140&amp;tipo=S","QRCODE")</f>
        <v>QRCODE</v>
      </c>
      <c r="C4562" t="s">
        <v>5372</v>
      </c>
      <c r="D4562" t="s">
        <v>734</v>
      </c>
      <c r="E4562" t="s">
        <v>1506</v>
      </c>
      <c r="F4562" t="s">
        <v>21</v>
      </c>
      <c r="G4562" t="s">
        <v>1916</v>
      </c>
      <c r="H4562">
        <v>0</v>
      </c>
      <c r="I4562">
        <v>3</v>
      </c>
      <c r="J4562">
        <v>0</v>
      </c>
      <c r="K4562">
        <v>0</v>
      </c>
      <c r="L4562">
        <v>0</v>
      </c>
    </row>
    <row r="4563" spans="1:12">
      <c r="A4563" t="str">
        <f>HYPERLINK("http://bombeiros.sp.gov.br/hidrantes/03individual/1739.html","1739")</f>
        <v>1739</v>
      </c>
      <c r="B4563" t="str">
        <f>HYPERLINK("http://bombeiros.sp.gov.br/hidrantes/08bsg/qrcodeBSG.html?id=1739&amp;lat=-23.58855&amp;long=-46.66990&amp;tipo=S","QRCODE")</f>
        <v>QRCODE</v>
      </c>
      <c r="C4563" t="s">
        <v>5372</v>
      </c>
      <c r="D4563" t="s">
        <v>734</v>
      </c>
      <c r="E4563" t="s">
        <v>1506</v>
      </c>
      <c r="F4563" t="s">
        <v>21</v>
      </c>
      <c r="G4563" t="s">
        <v>2662</v>
      </c>
      <c r="H4563">
        <v>0</v>
      </c>
      <c r="I4563">
        <v>2</v>
      </c>
      <c r="J4563">
        <v>0</v>
      </c>
      <c r="K4563">
        <v>0</v>
      </c>
      <c r="L4563">
        <v>0</v>
      </c>
    </row>
    <row r="4564" spans="1:12">
      <c r="A4564" t="str">
        <f>HYPERLINK("http://bombeiros.sp.gov.br/hidrantes/03individual/1760.html","1760")</f>
        <v>1760</v>
      </c>
      <c r="B4564" t="str">
        <f>HYPERLINK("http://bombeiros.sp.gov.br/hidrantes/08bsg/qrcodeBSG.html?id=1760&amp;lat=-23.58486&amp;long=-46.66531&amp;tipo=S","QRCODE")</f>
        <v>QRCODE</v>
      </c>
      <c r="C4564" t="s">
        <v>5372</v>
      </c>
      <c r="D4564" t="s">
        <v>734</v>
      </c>
      <c r="E4564" t="s">
        <v>1506</v>
      </c>
      <c r="F4564" t="s">
        <v>21</v>
      </c>
      <c r="G4564" t="s">
        <v>2659</v>
      </c>
      <c r="H4564">
        <v>0</v>
      </c>
      <c r="I4564">
        <v>2</v>
      </c>
      <c r="J4564">
        <v>0</v>
      </c>
      <c r="K4564">
        <v>0</v>
      </c>
      <c r="L4564">
        <v>0</v>
      </c>
    </row>
    <row r="4565" spans="1:12">
      <c r="A4565" t="str">
        <f>HYPERLINK("http://bombeiros.sp.gov.br/hidrantes/03individual/27200.html","27200")</f>
        <v>27200</v>
      </c>
      <c r="B4565" t="str">
        <f>HYPERLINK("http://bombeiros.sp.gov.br/hidrantes/08bsg/qrcodeBSG.html?id=27200&amp;lat=-23.58258&amp;long=-46.66713&amp;tipo=S","QRCODE")</f>
        <v>QRCODE</v>
      </c>
      <c r="C4565" t="s">
        <v>5372</v>
      </c>
      <c r="D4565" t="s">
        <v>734</v>
      </c>
      <c r="E4565" t="s">
        <v>1506</v>
      </c>
      <c r="F4565" t="s">
        <v>21</v>
      </c>
      <c r="G4565" t="s">
        <v>1505</v>
      </c>
      <c r="H4565">
        <v>0</v>
      </c>
      <c r="I4565">
        <v>1</v>
      </c>
      <c r="J4565">
        <v>0</v>
      </c>
      <c r="K4565">
        <v>0</v>
      </c>
      <c r="L4565">
        <v>0</v>
      </c>
    </row>
    <row r="4566" spans="1:12">
      <c r="A4566" t="str">
        <f>HYPERLINK("http://bombeiros.sp.gov.br/hidrantes/03individual/27201.html","27201")</f>
        <v>27201</v>
      </c>
      <c r="B4566" t="str">
        <f>HYPERLINK("http://bombeiros.sp.gov.br/hidrantes/08bsg/qrcodeBSG.html?id=27201&amp;lat=-23.58232&amp;long=-46.66360&amp;tipo=S","QRCODE")</f>
        <v>QRCODE</v>
      </c>
      <c r="C4566" t="s">
        <v>5372</v>
      </c>
      <c r="D4566" t="s">
        <v>734</v>
      </c>
      <c r="E4566" t="s">
        <v>1506</v>
      </c>
      <c r="F4566" t="s">
        <v>21</v>
      </c>
      <c r="G4566" t="s">
        <v>5392</v>
      </c>
      <c r="H4566">
        <v>0</v>
      </c>
      <c r="I4566">
        <v>0</v>
      </c>
      <c r="J4566">
        <v>0</v>
      </c>
      <c r="K4566">
        <v>0</v>
      </c>
      <c r="L4566">
        <v>0</v>
      </c>
    </row>
    <row r="4567" spans="1:12">
      <c r="A4567" t="str">
        <f>HYPERLINK("http://bombeiros.sp.gov.br/hidrantes/03individual/27211.html","27211")</f>
        <v>27211</v>
      </c>
      <c r="B4567" t="str">
        <f>HYPERLINK("http://bombeiros.sp.gov.br/hidrantes/08bsg/qrcodeBSG.html?id=27211&amp;lat=-23.58659&amp;long=-46.66602&amp;tipo=S","QRCODE")</f>
        <v>QRCODE</v>
      </c>
      <c r="C4567" t="s">
        <v>5372</v>
      </c>
      <c r="D4567" t="s">
        <v>734</v>
      </c>
      <c r="E4567" t="s">
        <v>1506</v>
      </c>
      <c r="F4567" t="s">
        <v>21</v>
      </c>
      <c r="G4567" t="s">
        <v>5393</v>
      </c>
      <c r="H4567">
        <v>0</v>
      </c>
      <c r="I4567">
        <v>0</v>
      </c>
      <c r="J4567">
        <v>0</v>
      </c>
      <c r="K4567">
        <v>0</v>
      </c>
      <c r="L4567">
        <v>0</v>
      </c>
    </row>
    <row r="4568" spans="1:12">
      <c r="A4568" t="str">
        <f>HYPERLINK("http://bombeiros.sp.gov.br/hidrantes/03individual/10072.html","10072")</f>
        <v>10072</v>
      </c>
      <c r="B4568" t="str">
        <f>HYPERLINK("http://bombeiros.sp.gov.br/hidrantes/08bsg/qrcodeBSG.html?id=10072&amp;lat=-23.76616&amp;long=-46.71750&amp;tipo=C","QRCODE")</f>
        <v>QRCODE</v>
      </c>
      <c r="C4568" t="s">
        <v>5372</v>
      </c>
      <c r="D4568" t="s">
        <v>5007</v>
      </c>
      <c r="E4568" t="s">
        <v>5077</v>
      </c>
      <c r="F4568" t="s">
        <v>12</v>
      </c>
      <c r="G4568" t="s">
        <v>5076</v>
      </c>
      <c r="H4568">
        <v>0</v>
      </c>
      <c r="I4568">
        <v>1</v>
      </c>
      <c r="J4568">
        <v>0</v>
      </c>
      <c r="K4568">
        <v>0</v>
      </c>
      <c r="L4568">
        <v>0</v>
      </c>
    </row>
    <row r="4569" spans="1:12">
      <c r="A4569" t="str">
        <f>HYPERLINK("http://bombeiros.sp.gov.br/hidrantes/03individual/27335.html","27335")</f>
        <v>27335</v>
      </c>
      <c r="B4569" t="str">
        <f>HYPERLINK("http://bombeiros.sp.gov.br/hidrantes/08bsg/qrcodeBSG.html?id=27335&amp;lat=-23.86907&amp;long=-46.75171&amp;tipo=C","QRCODE")</f>
        <v>QRCODE</v>
      </c>
      <c r="C4569" t="s">
        <v>5372</v>
      </c>
      <c r="D4569" t="s">
        <v>5007</v>
      </c>
      <c r="E4569" t="s">
        <v>5007</v>
      </c>
      <c r="F4569" t="s">
        <v>12</v>
      </c>
      <c r="G4569" t="s">
        <v>5394</v>
      </c>
      <c r="H4569">
        <v>0</v>
      </c>
      <c r="I4569">
        <v>0</v>
      </c>
      <c r="J4569">
        <v>0</v>
      </c>
      <c r="K4569">
        <v>0</v>
      </c>
      <c r="L4569">
        <v>0</v>
      </c>
    </row>
    <row r="4570" spans="1:12">
      <c r="A4570" t="str">
        <f>HYPERLINK("http://bombeiros.sp.gov.br/hidrantes/03individual/27336.html","27336")</f>
        <v>27336</v>
      </c>
      <c r="B4570" t="str">
        <f>HYPERLINK("http://bombeiros.sp.gov.br/hidrantes/08bsg/qrcodeBSG.html?id=27336&amp;lat=-23.85328&amp;long=-46.75537&amp;tipo=C","QRCODE")</f>
        <v>QRCODE</v>
      </c>
      <c r="C4570" t="s">
        <v>5372</v>
      </c>
      <c r="D4570" t="s">
        <v>5007</v>
      </c>
      <c r="E4570" t="s">
        <v>5007</v>
      </c>
      <c r="F4570" t="s">
        <v>12</v>
      </c>
      <c r="G4570" t="s">
        <v>5395</v>
      </c>
      <c r="H4570">
        <v>0</v>
      </c>
      <c r="I4570">
        <v>0</v>
      </c>
      <c r="J4570">
        <v>0</v>
      </c>
      <c r="K4570">
        <v>0</v>
      </c>
      <c r="L4570">
        <v>0</v>
      </c>
    </row>
    <row r="4571" spans="1:12">
      <c r="A4571" t="str">
        <f>HYPERLINK("http://bombeiros.sp.gov.br/hidrantes/03individual/6673.html","6673")</f>
        <v>6673</v>
      </c>
      <c r="B4571" t="str">
        <f>HYPERLINK("http://bombeiros.sp.gov.br/hidrantes/08bsg/qrcodeBSG.html?id=6673&amp;lat=-23.84855&amp;long=-46.69773&amp;tipo=S","QRCODE")</f>
        <v>QRCODE</v>
      </c>
      <c r="C4571" t="s">
        <v>5372</v>
      </c>
      <c r="D4571" t="s">
        <v>5007</v>
      </c>
      <c r="E4571" t="s">
        <v>5007</v>
      </c>
      <c r="F4571" t="s">
        <v>21</v>
      </c>
      <c r="G4571" t="s">
        <v>5006</v>
      </c>
      <c r="H4571">
        <v>0</v>
      </c>
      <c r="I4571">
        <v>1</v>
      </c>
      <c r="J4571">
        <v>0</v>
      </c>
      <c r="K4571">
        <v>0</v>
      </c>
      <c r="L4571">
        <v>0</v>
      </c>
    </row>
    <row r="4572" spans="1:12">
      <c r="A4572" t="str">
        <f>HYPERLINK("http://bombeiros.sp.gov.br/hidrantes/03individual/6674.html","6674")</f>
        <v>6674</v>
      </c>
      <c r="B4572" t="str">
        <f>HYPERLINK("http://bombeiros.sp.gov.br/hidrantes/08bsg/qrcodeBSG.html?id=6674&amp;lat=-23.82439&amp;long=-46.72940&amp;tipo=S","QRCODE")</f>
        <v>QRCODE</v>
      </c>
      <c r="C4572" t="s">
        <v>5372</v>
      </c>
      <c r="D4572" t="s">
        <v>5007</v>
      </c>
      <c r="E4572" t="s">
        <v>5007</v>
      </c>
      <c r="F4572" t="s">
        <v>21</v>
      </c>
      <c r="G4572" t="s">
        <v>5008</v>
      </c>
      <c r="H4572">
        <v>0</v>
      </c>
      <c r="I4572">
        <v>1</v>
      </c>
      <c r="J4572">
        <v>0</v>
      </c>
      <c r="K4572">
        <v>0</v>
      </c>
      <c r="L4572">
        <v>0</v>
      </c>
    </row>
    <row r="4573" spans="1:12">
      <c r="A4573" t="str">
        <f>HYPERLINK("http://bombeiros.sp.gov.br/hidrantes/03individual/14966.html","14966")</f>
        <v>14966</v>
      </c>
      <c r="B4573" t="str">
        <f>HYPERLINK("http://bombeiros.sp.gov.br/hidrantes/08bsg/qrcodeBSG.html?id=14966&amp;lat=-23.68965&amp;long=-46.66830&amp;tipo=C","QRCODE")</f>
        <v>QRCODE</v>
      </c>
      <c r="C4573" t="s">
        <v>5372</v>
      </c>
      <c r="D4573" t="s">
        <v>136</v>
      </c>
      <c r="E4573" t="s">
        <v>187</v>
      </c>
      <c r="F4573" t="s">
        <v>12</v>
      </c>
      <c r="G4573" t="s">
        <v>496</v>
      </c>
      <c r="H4573">
        <v>0</v>
      </c>
      <c r="I4573">
        <v>3</v>
      </c>
      <c r="J4573">
        <v>0</v>
      </c>
      <c r="K4573">
        <v>0</v>
      </c>
      <c r="L4573">
        <v>0</v>
      </c>
    </row>
    <row r="4574" spans="1:12">
      <c r="A4574" t="str">
        <f>HYPERLINK("http://bombeiros.sp.gov.br/hidrantes/03individual/2465.html","2465")</f>
        <v>2465</v>
      </c>
      <c r="B4574" t="str">
        <f>HYPERLINK("http://bombeiros.sp.gov.br/hidrantes/08bsg/qrcodeBSG.html?id=2465&amp;lat=-23.69931&amp;long=-46.67011&amp;tipo=S","QRCODE")</f>
        <v>QRCODE</v>
      </c>
      <c r="C4574" t="s">
        <v>5372</v>
      </c>
      <c r="D4574" t="s">
        <v>136</v>
      </c>
      <c r="E4574" t="s">
        <v>187</v>
      </c>
      <c r="F4574" t="s">
        <v>21</v>
      </c>
      <c r="G4574" t="s">
        <v>3060</v>
      </c>
      <c r="H4574">
        <v>0</v>
      </c>
      <c r="I4574">
        <v>2</v>
      </c>
      <c r="J4574">
        <v>0</v>
      </c>
      <c r="K4574">
        <v>0</v>
      </c>
      <c r="L4574">
        <v>0</v>
      </c>
    </row>
    <row r="4575" spans="1:12">
      <c r="A4575" t="str">
        <f>HYPERLINK("http://bombeiros.sp.gov.br/hidrantes/03individual/2477.html","2477")</f>
        <v>2477</v>
      </c>
      <c r="B4575" t="str">
        <f>HYPERLINK("http://bombeiros.sp.gov.br/hidrantes/08bsg/qrcodeBSG.html?id=2477&amp;lat=-23.69764&amp;long=-46.67370&amp;tipo=S","QRCODE")</f>
        <v>QRCODE</v>
      </c>
      <c r="C4575" t="s">
        <v>5372</v>
      </c>
      <c r="D4575" t="s">
        <v>136</v>
      </c>
      <c r="E4575" t="s">
        <v>187</v>
      </c>
      <c r="F4575" t="s">
        <v>21</v>
      </c>
      <c r="G4575" t="s">
        <v>1290</v>
      </c>
      <c r="H4575">
        <v>0</v>
      </c>
      <c r="I4575">
        <v>2</v>
      </c>
      <c r="J4575">
        <v>0</v>
      </c>
      <c r="K4575">
        <v>0</v>
      </c>
      <c r="L4575">
        <v>0</v>
      </c>
    </row>
    <row r="4576" spans="1:12">
      <c r="A4576" t="str">
        <f>HYPERLINK("http://bombeiros.sp.gov.br/hidrantes/03individual/2478.html","2478")</f>
        <v>2478</v>
      </c>
      <c r="B4576" t="str">
        <f>HYPERLINK("http://bombeiros.sp.gov.br/hidrantes/08bsg/qrcodeBSG.html?id=2478&amp;lat=-23.69583&amp;long=-46.67578&amp;tipo=S","QRCODE")</f>
        <v>QRCODE</v>
      </c>
      <c r="C4576" t="s">
        <v>5372</v>
      </c>
      <c r="D4576" t="s">
        <v>136</v>
      </c>
      <c r="E4576" t="s">
        <v>187</v>
      </c>
      <c r="F4576" t="s">
        <v>21</v>
      </c>
      <c r="G4576" t="s">
        <v>3089</v>
      </c>
      <c r="H4576">
        <v>1</v>
      </c>
      <c r="I4576">
        <v>2</v>
      </c>
      <c r="J4576">
        <v>0</v>
      </c>
      <c r="K4576">
        <v>0</v>
      </c>
      <c r="L4576">
        <v>0</v>
      </c>
    </row>
    <row r="4577" spans="1:12">
      <c r="A4577" t="str">
        <f>HYPERLINK("http://bombeiros.sp.gov.br/hidrantes/03individual/2482.html","2482")</f>
        <v>2482</v>
      </c>
      <c r="B4577" t="str">
        <f>HYPERLINK("http://bombeiros.sp.gov.br/hidrantes/08bsg/qrcodeBSG.html?id=2482&amp;lat=-23.68980&amp;long=-46.66886&amp;tipo=S","QRCODE")</f>
        <v>QRCODE</v>
      </c>
      <c r="C4577" t="s">
        <v>5372</v>
      </c>
      <c r="D4577" t="s">
        <v>136</v>
      </c>
      <c r="E4577" t="s">
        <v>187</v>
      </c>
      <c r="F4577" t="s">
        <v>21</v>
      </c>
      <c r="G4577" t="s">
        <v>3058</v>
      </c>
      <c r="H4577">
        <v>0</v>
      </c>
      <c r="I4577">
        <v>2</v>
      </c>
      <c r="J4577">
        <v>0</v>
      </c>
      <c r="K4577">
        <v>0</v>
      </c>
      <c r="L4577">
        <v>0</v>
      </c>
    </row>
    <row r="4578" spans="1:12">
      <c r="A4578" t="str">
        <f>HYPERLINK("http://bombeiros.sp.gov.br/hidrantes/03individual/2484.html","2484")</f>
        <v>2484</v>
      </c>
      <c r="B4578" t="str">
        <f>HYPERLINK("http://bombeiros.sp.gov.br/hidrantes/08bsg/qrcodeBSG.html?id=2484&amp;lat=-23.69622&amp;long=-46.66614&amp;tipo=S","QRCODE")</f>
        <v>QRCODE</v>
      </c>
      <c r="C4578" t="s">
        <v>5372</v>
      </c>
      <c r="D4578" t="s">
        <v>136</v>
      </c>
      <c r="E4578" t="s">
        <v>187</v>
      </c>
      <c r="F4578" t="s">
        <v>21</v>
      </c>
      <c r="G4578" t="s">
        <v>3057</v>
      </c>
      <c r="H4578">
        <v>0</v>
      </c>
      <c r="I4578">
        <v>2</v>
      </c>
      <c r="J4578">
        <v>0</v>
      </c>
      <c r="K4578">
        <v>0</v>
      </c>
      <c r="L4578">
        <v>0</v>
      </c>
    </row>
    <row r="4579" spans="1:12">
      <c r="A4579" t="str">
        <f>HYPERLINK("http://bombeiros.sp.gov.br/hidrantes/03individual/3594.html","3594")</f>
        <v>3594</v>
      </c>
      <c r="B4579" t="str">
        <f>HYPERLINK("http://bombeiros.sp.gov.br/hidrantes/08bsg/qrcodeBSG.html?id=3594&amp;lat=-23.69688&amp;long=-46.66982&amp;tipo=S","QRCODE")</f>
        <v>QRCODE</v>
      </c>
      <c r="C4579" t="s">
        <v>5372</v>
      </c>
      <c r="D4579" t="s">
        <v>136</v>
      </c>
      <c r="E4579" t="s">
        <v>187</v>
      </c>
      <c r="F4579" t="s">
        <v>21</v>
      </c>
      <c r="G4579" t="s">
        <v>3021</v>
      </c>
      <c r="H4579">
        <v>0</v>
      </c>
      <c r="I4579">
        <v>2</v>
      </c>
      <c r="J4579">
        <v>0</v>
      </c>
      <c r="K4579">
        <v>0</v>
      </c>
      <c r="L4579">
        <v>0</v>
      </c>
    </row>
    <row r="4580" spans="1:12">
      <c r="A4580" t="str">
        <f>HYPERLINK("http://bombeiros.sp.gov.br/hidrantes/03individual/3638.html","3638")</f>
        <v>3638</v>
      </c>
      <c r="B4580" t="str">
        <f>HYPERLINK("http://bombeiros.sp.gov.br/hidrantes/08bsg/qrcodeBSG.html?id=3638&amp;lat=-23.69241&amp;long=-46.66125&amp;tipo=S","QRCODE")</f>
        <v>QRCODE</v>
      </c>
      <c r="C4580" t="s">
        <v>5372</v>
      </c>
      <c r="D4580" t="s">
        <v>136</v>
      </c>
      <c r="E4580" t="s">
        <v>187</v>
      </c>
      <c r="F4580" t="s">
        <v>21</v>
      </c>
      <c r="G4580" t="s">
        <v>3024</v>
      </c>
      <c r="H4580">
        <v>0</v>
      </c>
      <c r="I4580">
        <v>2</v>
      </c>
      <c r="J4580">
        <v>0</v>
      </c>
      <c r="K4580">
        <v>0</v>
      </c>
      <c r="L4580">
        <v>0</v>
      </c>
    </row>
    <row r="4581" spans="1:12">
      <c r="A4581" t="str">
        <f>HYPERLINK("http://bombeiros.sp.gov.br/hidrantes/03individual/3640.html","3640")</f>
        <v>3640</v>
      </c>
      <c r="B4581" t="str">
        <f>HYPERLINK("http://bombeiros.sp.gov.br/hidrantes/08bsg/qrcodeBSG.html?id=3640&amp;lat=-23.69228&amp;long=-46.66517&amp;tipo=S","QRCODE")</f>
        <v>QRCODE</v>
      </c>
      <c r="C4581" t="s">
        <v>5372</v>
      </c>
      <c r="D4581" t="s">
        <v>136</v>
      </c>
      <c r="E4581" t="s">
        <v>187</v>
      </c>
      <c r="F4581" t="s">
        <v>21</v>
      </c>
      <c r="G4581" t="s">
        <v>3023</v>
      </c>
      <c r="H4581">
        <v>0</v>
      </c>
      <c r="I4581">
        <v>2</v>
      </c>
      <c r="J4581">
        <v>0</v>
      </c>
      <c r="K4581">
        <v>0</v>
      </c>
      <c r="L4581">
        <v>0</v>
      </c>
    </row>
    <row r="4582" spans="1:12">
      <c r="A4582" t="str">
        <f>HYPERLINK("http://bombeiros.sp.gov.br/hidrantes/03individual/4181.html","4181")</f>
        <v>4181</v>
      </c>
      <c r="B4582" t="str">
        <f>HYPERLINK("http://bombeiros.sp.gov.br/hidrantes/08bsg/qrcodeBSG.html?id=4181&amp;lat=-23.69428&amp;long=-46.65622&amp;tipo=S","QRCODE")</f>
        <v>QRCODE</v>
      </c>
      <c r="C4582" t="s">
        <v>5372</v>
      </c>
      <c r="D4582" t="s">
        <v>136</v>
      </c>
      <c r="E4582" t="s">
        <v>187</v>
      </c>
      <c r="F4582" t="s">
        <v>21</v>
      </c>
      <c r="G4582" t="s">
        <v>186</v>
      </c>
      <c r="H4582">
        <v>1</v>
      </c>
      <c r="I4582">
        <v>3</v>
      </c>
      <c r="J4582">
        <v>0</v>
      </c>
      <c r="K4582">
        <v>0</v>
      </c>
      <c r="L4582">
        <v>0</v>
      </c>
    </row>
    <row r="4583" spans="1:12">
      <c r="A4583" t="str">
        <f>HYPERLINK("http://bombeiros.sp.gov.br/hidrantes/03individual/4219.html","4219")</f>
        <v>4219</v>
      </c>
      <c r="B4583" t="str">
        <f>HYPERLINK("http://bombeiros.sp.gov.br/hidrantes/08bsg/qrcodeBSG.html?id=4219&amp;lat=-23.69400&amp;long=-46.67179&amp;tipo=S","QRCODE")</f>
        <v>QRCODE</v>
      </c>
      <c r="C4583" t="s">
        <v>5372</v>
      </c>
      <c r="D4583" t="s">
        <v>136</v>
      </c>
      <c r="E4583" t="s">
        <v>187</v>
      </c>
      <c r="F4583" t="s">
        <v>21</v>
      </c>
      <c r="G4583" t="s">
        <v>3052</v>
      </c>
      <c r="H4583">
        <v>0</v>
      </c>
      <c r="I4583">
        <v>2</v>
      </c>
      <c r="J4583">
        <v>0</v>
      </c>
      <c r="K4583">
        <v>0</v>
      </c>
      <c r="L4583">
        <v>0</v>
      </c>
    </row>
    <row r="4584" spans="1:12">
      <c r="A4584" t="str">
        <f>HYPERLINK("http://bombeiros.sp.gov.br/hidrantes/03individual/17842.html","17842")</f>
        <v>17842</v>
      </c>
      <c r="B4584" t="str">
        <f>HYPERLINK("http://bombeiros.sp.gov.br/hidrantes/08bsg/qrcodeBSG.html?id=17842&amp;lat=-23.69273&amp;long=-46.64506&amp;tipo=S","QRCODE")</f>
        <v>QRCODE</v>
      </c>
      <c r="C4584" t="s">
        <v>5372</v>
      </c>
      <c r="D4584" t="s">
        <v>136</v>
      </c>
      <c r="E4584" t="s">
        <v>187</v>
      </c>
      <c r="F4584" t="s">
        <v>21</v>
      </c>
      <c r="G4584" t="s">
        <v>2764</v>
      </c>
      <c r="H4584">
        <v>1</v>
      </c>
      <c r="I4584">
        <v>2</v>
      </c>
      <c r="J4584">
        <v>0</v>
      </c>
      <c r="K4584">
        <v>0</v>
      </c>
      <c r="L4584">
        <v>0</v>
      </c>
    </row>
    <row r="4585" spans="1:12">
      <c r="A4585" t="str">
        <f>HYPERLINK("http://bombeiros.sp.gov.br/hidrantes/03individual/15071.html","15071")</f>
        <v>15071</v>
      </c>
      <c r="B4585" t="str">
        <f>HYPERLINK("http://bombeiros.sp.gov.br/hidrantes/08bsg/qrcodeBSG.html?id=15071&amp;lat=-23.70298&amp;long=-46.64660&amp;tipo=C","QRCODE")</f>
        <v>QRCODE</v>
      </c>
      <c r="C4585" t="s">
        <v>5372</v>
      </c>
      <c r="D4585" t="s">
        <v>136</v>
      </c>
      <c r="E4585" t="s">
        <v>136</v>
      </c>
      <c r="F4585" t="s">
        <v>12</v>
      </c>
      <c r="G4585" t="s">
        <v>4935</v>
      </c>
      <c r="H4585">
        <v>0</v>
      </c>
      <c r="I4585">
        <v>1</v>
      </c>
      <c r="J4585">
        <v>0</v>
      </c>
      <c r="K4585">
        <v>0</v>
      </c>
      <c r="L4585">
        <v>0</v>
      </c>
    </row>
    <row r="4586" spans="1:12">
      <c r="A4586" t="str">
        <f>HYPERLINK("http://bombeiros.sp.gov.br/hidrantes/03individual/15072.html","15072")</f>
        <v>15072</v>
      </c>
      <c r="B4586" t="str">
        <f>HYPERLINK("http://bombeiros.sp.gov.br/hidrantes/08bsg/qrcodeBSG.html?id=15072&amp;lat=-23.70269&amp;long=-46.65008&amp;tipo=C","QRCODE")</f>
        <v>QRCODE</v>
      </c>
      <c r="C4586" t="s">
        <v>5372</v>
      </c>
      <c r="D4586" t="s">
        <v>136</v>
      </c>
      <c r="E4586" t="s">
        <v>136</v>
      </c>
      <c r="F4586" t="s">
        <v>12</v>
      </c>
      <c r="G4586" t="s">
        <v>4936</v>
      </c>
      <c r="H4586">
        <v>0</v>
      </c>
      <c r="I4586">
        <v>1</v>
      </c>
      <c r="J4586">
        <v>0</v>
      </c>
      <c r="K4586">
        <v>0</v>
      </c>
      <c r="L4586">
        <v>0</v>
      </c>
    </row>
    <row r="4587" spans="1:12">
      <c r="A4587" t="str">
        <f>HYPERLINK("http://bombeiros.sp.gov.br/hidrantes/03individual/314.html","314")</f>
        <v>314</v>
      </c>
      <c r="B4587" t="str">
        <f>HYPERLINK("http://bombeiros.sp.gov.br/hidrantes/08bsg/qrcodeBSG.html?id=314&amp;lat=-23.69892&amp;long=-46.64675&amp;tipo=S","QRCODE")</f>
        <v>QRCODE</v>
      </c>
      <c r="C4587" t="s">
        <v>5372</v>
      </c>
      <c r="D4587" t="s">
        <v>136</v>
      </c>
      <c r="E4587" t="s">
        <v>136</v>
      </c>
      <c r="F4587" t="s">
        <v>21</v>
      </c>
      <c r="G4587" t="s">
        <v>4940</v>
      </c>
      <c r="H4587">
        <v>0</v>
      </c>
      <c r="I4587">
        <v>1</v>
      </c>
      <c r="J4587">
        <v>0</v>
      </c>
      <c r="K4587">
        <v>0</v>
      </c>
      <c r="L4587">
        <v>0</v>
      </c>
    </row>
    <row r="4588" spans="1:12">
      <c r="A4588" t="str">
        <f>HYPERLINK("http://bombeiros.sp.gov.br/hidrantes/03individual/365.html","365")</f>
        <v>365</v>
      </c>
      <c r="B4588" t="str">
        <f>HYPERLINK("http://bombeiros.sp.gov.br/hidrantes/08bsg/qrcodeBSG.html?id=365&amp;lat=-23.70526&amp;long=-46.64253&amp;tipo=S","QRCODE")</f>
        <v>QRCODE</v>
      </c>
      <c r="C4588" t="s">
        <v>5372</v>
      </c>
      <c r="D4588" t="s">
        <v>136</v>
      </c>
      <c r="E4588" t="s">
        <v>136</v>
      </c>
      <c r="F4588" t="s">
        <v>21</v>
      </c>
      <c r="G4588" t="s">
        <v>2259</v>
      </c>
      <c r="H4588">
        <v>0</v>
      </c>
      <c r="I4588">
        <v>2</v>
      </c>
      <c r="J4588">
        <v>0</v>
      </c>
      <c r="K4588">
        <v>0</v>
      </c>
      <c r="L4588">
        <v>0</v>
      </c>
    </row>
    <row r="4589" spans="1:12">
      <c r="A4589" t="str">
        <f>HYPERLINK("http://bombeiros.sp.gov.br/hidrantes/03individual/441.html","441")</f>
        <v>441</v>
      </c>
      <c r="B4589" t="str">
        <f>HYPERLINK("http://bombeiros.sp.gov.br/hidrantes/08bsg/qrcodeBSG.html?id=441&amp;lat=-23.70209&amp;long=-46.63675&amp;tipo=S","QRCODE")</f>
        <v>QRCODE</v>
      </c>
      <c r="C4589" t="s">
        <v>5372</v>
      </c>
      <c r="D4589" t="s">
        <v>136</v>
      </c>
      <c r="E4589" t="s">
        <v>136</v>
      </c>
      <c r="F4589" t="s">
        <v>21</v>
      </c>
      <c r="G4589" t="s">
        <v>135</v>
      </c>
      <c r="H4589">
        <v>0</v>
      </c>
      <c r="I4589">
        <v>3</v>
      </c>
      <c r="J4589">
        <v>0</v>
      </c>
      <c r="K4589">
        <v>0</v>
      </c>
      <c r="L4589">
        <v>0</v>
      </c>
    </row>
    <row r="4590" spans="1:12">
      <c r="A4590" t="str">
        <f>HYPERLINK("http://bombeiros.sp.gov.br/hidrantes/03individual/3590.html","3590")</f>
        <v>3590</v>
      </c>
      <c r="B4590" t="str">
        <f>HYPERLINK("http://bombeiros.sp.gov.br/hidrantes/08bsg/qrcodeBSG.html?id=3590&amp;lat=-23.69802&amp;long=-46.62938&amp;tipo=S","QRCODE")</f>
        <v>QRCODE</v>
      </c>
      <c r="C4590" t="s">
        <v>5372</v>
      </c>
      <c r="D4590" t="s">
        <v>136</v>
      </c>
      <c r="E4590" t="s">
        <v>136</v>
      </c>
      <c r="F4590" t="s">
        <v>21</v>
      </c>
      <c r="G4590" t="s">
        <v>2717</v>
      </c>
      <c r="H4590">
        <v>1</v>
      </c>
      <c r="I4590">
        <v>2</v>
      </c>
      <c r="J4590">
        <v>0</v>
      </c>
      <c r="K4590">
        <v>0</v>
      </c>
      <c r="L4590">
        <v>0</v>
      </c>
    </row>
    <row r="4591" spans="1:12">
      <c r="A4591" t="str">
        <f>HYPERLINK("http://bombeiros.sp.gov.br/hidrantes/03individual/17839.html","17839")</f>
        <v>17839</v>
      </c>
      <c r="B4591" t="str">
        <f>HYPERLINK("http://bombeiros.sp.gov.br/hidrantes/08bsg/qrcodeBSG.html?id=17839&amp;lat=-23.70142&amp;long=-46.64327&amp;tipo=S","QRCODE")</f>
        <v>QRCODE</v>
      </c>
      <c r="C4591" t="s">
        <v>5372</v>
      </c>
      <c r="D4591" t="s">
        <v>136</v>
      </c>
      <c r="E4591" t="s">
        <v>136</v>
      </c>
      <c r="F4591" t="s">
        <v>21</v>
      </c>
      <c r="G4591" t="s">
        <v>2762</v>
      </c>
      <c r="H4591">
        <v>1</v>
      </c>
      <c r="I4591">
        <v>2</v>
      </c>
      <c r="J4591">
        <v>0</v>
      </c>
      <c r="K4591">
        <v>0</v>
      </c>
      <c r="L4591">
        <v>0</v>
      </c>
    </row>
    <row r="4592" spans="1:12">
      <c r="A4592" t="str">
        <f>HYPERLINK("http://bombeiros.sp.gov.br/hidrantes/03individual/17840.html","17840")</f>
        <v>17840</v>
      </c>
      <c r="B4592" t="str">
        <f>HYPERLINK("http://bombeiros.sp.gov.br/hidrantes/08bsg/qrcodeBSG.html?id=17840&amp;lat=-23.69728&amp;long=-46.63514&amp;tipo=S","QRCODE")</f>
        <v>QRCODE</v>
      </c>
      <c r="C4592" t="s">
        <v>5372</v>
      </c>
      <c r="D4592" t="s">
        <v>136</v>
      </c>
      <c r="E4592" t="s">
        <v>136</v>
      </c>
      <c r="F4592" t="s">
        <v>21</v>
      </c>
      <c r="G4592" t="s">
        <v>5067</v>
      </c>
      <c r="H4592">
        <v>1</v>
      </c>
      <c r="I4592">
        <v>1</v>
      </c>
      <c r="J4592">
        <v>0</v>
      </c>
      <c r="K4592">
        <v>0</v>
      </c>
      <c r="L4592">
        <v>0</v>
      </c>
    </row>
    <row r="4593" spans="1:12">
      <c r="A4593" t="str">
        <f>HYPERLINK("http://bombeiros.sp.gov.br/hidrantes/03individual/17843.html","17843")</f>
        <v>17843</v>
      </c>
      <c r="B4593" t="str">
        <f>HYPERLINK("http://bombeiros.sp.gov.br/hidrantes/08bsg/qrcodeBSG.html?id=17843&amp;lat=-23.71546&amp;long=-46.62651&amp;tipo=S","QRCODE")</f>
        <v>QRCODE</v>
      </c>
      <c r="C4593" t="s">
        <v>5372</v>
      </c>
      <c r="D4593" t="s">
        <v>136</v>
      </c>
      <c r="E4593" t="s">
        <v>136</v>
      </c>
      <c r="F4593" t="s">
        <v>21</v>
      </c>
      <c r="G4593" t="s">
        <v>2767</v>
      </c>
      <c r="H4593">
        <v>1</v>
      </c>
      <c r="I4593">
        <v>2</v>
      </c>
      <c r="J4593">
        <v>0</v>
      </c>
      <c r="K4593">
        <v>0</v>
      </c>
      <c r="L4593">
        <v>0</v>
      </c>
    </row>
    <row r="4594" spans="1:12">
      <c r="A4594" t="str">
        <f>HYPERLINK("http://bombeiros.sp.gov.br/hidrantes/03individual/26870.html","26870")</f>
        <v>26870</v>
      </c>
      <c r="B4594" t="str">
        <f>HYPERLINK("http://bombeiros.sp.gov.br/hidrantes/08bsg/qrcodeBSG.html?id=26870&amp;lat=-23.69914&amp;long=-46.64967&amp;tipo=S","QRCODE")</f>
        <v>QRCODE</v>
      </c>
      <c r="C4594" t="s">
        <v>5372</v>
      </c>
      <c r="D4594" t="s">
        <v>136</v>
      </c>
      <c r="E4594" t="s">
        <v>136</v>
      </c>
      <c r="F4594" t="s">
        <v>21</v>
      </c>
      <c r="G4594" t="s">
        <v>3507</v>
      </c>
      <c r="H4594">
        <v>0</v>
      </c>
      <c r="I4594">
        <v>1</v>
      </c>
      <c r="J4594">
        <v>0</v>
      </c>
      <c r="K4594">
        <v>0</v>
      </c>
      <c r="L4594">
        <v>0</v>
      </c>
    </row>
    <row r="4595" spans="1:12">
      <c r="A4595" t="str">
        <f>HYPERLINK("http://bombeiros.sp.gov.br/hidrantes/03individual/395.html","395")</f>
        <v>395</v>
      </c>
      <c r="B4595" t="str">
        <f>HYPERLINK("http://bombeiros.sp.gov.br/hidrantes/08bsg/qrcodeBSG.html?id=395&amp;lat=-23.64551&amp;long=-46.59346&amp;tipo=C","QRCODE")</f>
        <v>QRCODE</v>
      </c>
      <c r="C4595" t="s">
        <v>5372</v>
      </c>
      <c r="D4595" t="s">
        <v>398</v>
      </c>
      <c r="E4595" t="s">
        <v>1324</v>
      </c>
      <c r="F4595" t="s">
        <v>12</v>
      </c>
      <c r="G4595" t="s">
        <v>2247</v>
      </c>
      <c r="H4595">
        <v>0</v>
      </c>
      <c r="I4595">
        <v>2</v>
      </c>
      <c r="J4595">
        <v>0</v>
      </c>
      <c r="K4595">
        <v>0</v>
      </c>
      <c r="L4595">
        <v>0</v>
      </c>
    </row>
    <row r="4596" spans="1:12">
      <c r="A4596" t="str">
        <f>HYPERLINK("http://bombeiros.sp.gov.br/hidrantes/03individual/3595.html","3595")</f>
        <v>3595</v>
      </c>
      <c r="B4596" t="str">
        <f>HYPERLINK("http://bombeiros.sp.gov.br/hidrantes/08bsg/qrcodeBSG.html?id=3595&amp;lat=-23.64713&amp;long=-46.59634&amp;tipo=C","QRCODE")</f>
        <v>QRCODE</v>
      </c>
      <c r="C4596" t="s">
        <v>5372</v>
      </c>
      <c r="D4596" t="s">
        <v>398</v>
      </c>
      <c r="E4596" t="s">
        <v>1324</v>
      </c>
      <c r="F4596" t="s">
        <v>12</v>
      </c>
      <c r="G4596" t="s">
        <v>3454</v>
      </c>
      <c r="H4596">
        <v>0</v>
      </c>
      <c r="I4596">
        <v>2</v>
      </c>
      <c r="J4596">
        <v>0</v>
      </c>
      <c r="K4596">
        <v>0</v>
      </c>
      <c r="L4596">
        <v>0</v>
      </c>
    </row>
    <row r="4597" spans="1:12">
      <c r="A4597" t="str">
        <f>HYPERLINK("http://bombeiros.sp.gov.br/hidrantes/03individual/3610.html","3610")</f>
        <v>3610</v>
      </c>
      <c r="B4597" t="str">
        <f>HYPERLINK("http://bombeiros.sp.gov.br/hidrantes/08bsg/qrcodeBSG.html?id=3610&amp;lat=-23.64322&amp;long=-46.59504&amp;tipo=C","QRCODE")</f>
        <v>QRCODE</v>
      </c>
      <c r="C4597" t="s">
        <v>5372</v>
      </c>
      <c r="D4597" t="s">
        <v>398</v>
      </c>
      <c r="E4597" t="s">
        <v>1324</v>
      </c>
      <c r="F4597" t="s">
        <v>12</v>
      </c>
      <c r="G4597" t="s">
        <v>5181</v>
      </c>
      <c r="H4597">
        <v>0</v>
      </c>
      <c r="I4597">
        <v>1</v>
      </c>
      <c r="J4597">
        <v>0</v>
      </c>
      <c r="K4597">
        <v>0</v>
      </c>
      <c r="L4597">
        <v>0</v>
      </c>
    </row>
    <row r="4598" spans="1:12">
      <c r="A4598" t="str">
        <f>HYPERLINK("http://bombeiros.sp.gov.br/hidrantes/03individual/3622.html","3622")</f>
        <v>3622</v>
      </c>
      <c r="B4598" t="str">
        <f>HYPERLINK("http://bombeiros.sp.gov.br/hidrantes/08bsg/qrcodeBSG.html?id=3622&amp;lat=-23.64022&amp;long=-46.59115&amp;tipo=C","QRCODE")</f>
        <v>QRCODE</v>
      </c>
      <c r="C4598" t="s">
        <v>5372</v>
      </c>
      <c r="D4598" t="s">
        <v>398</v>
      </c>
      <c r="E4598" t="s">
        <v>1324</v>
      </c>
      <c r="F4598" t="s">
        <v>12</v>
      </c>
      <c r="G4598" t="s">
        <v>2230</v>
      </c>
      <c r="H4598">
        <v>0</v>
      </c>
      <c r="I4598">
        <v>2</v>
      </c>
      <c r="J4598">
        <v>0</v>
      </c>
      <c r="K4598">
        <v>0</v>
      </c>
      <c r="L4598">
        <v>0</v>
      </c>
    </row>
    <row r="4599" spans="1:12">
      <c r="A4599" t="str">
        <f>HYPERLINK("http://bombeiros.sp.gov.br/hidrantes/03individual/310.html","310")</f>
        <v>310</v>
      </c>
      <c r="B4599" t="str">
        <f>HYPERLINK("http://bombeiros.sp.gov.br/hidrantes/08bsg/qrcodeBSG.html?id=310&amp;lat=-23.65405&amp;long=-46.60225&amp;tipo=S","QRCODE")</f>
        <v>QRCODE</v>
      </c>
      <c r="C4599" t="s">
        <v>5372</v>
      </c>
      <c r="D4599" t="s">
        <v>398</v>
      </c>
      <c r="E4599" t="s">
        <v>1324</v>
      </c>
      <c r="F4599" t="s">
        <v>21</v>
      </c>
      <c r="G4599" t="s">
        <v>2250</v>
      </c>
      <c r="H4599">
        <v>0</v>
      </c>
      <c r="I4599">
        <v>2</v>
      </c>
      <c r="J4599">
        <v>0</v>
      </c>
      <c r="K4599">
        <v>0</v>
      </c>
      <c r="L4599">
        <v>0</v>
      </c>
    </row>
    <row r="4600" spans="1:12">
      <c r="A4600" t="str">
        <f>HYPERLINK("http://bombeiros.sp.gov.br/hidrantes/03individual/338.html","338")</f>
        <v>338</v>
      </c>
      <c r="B4600" t="str">
        <f>HYPERLINK("http://bombeiros.sp.gov.br/hidrantes/08bsg/qrcodeBSG.html?id=338&amp;lat=-23.63937&amp;long=-46.59680&amp;tipo=S","QRCODE")</f>
        <v>QRCODE</v>
      </c>
      <c r="C4600" t="s">
        <v>5372</v>
      </c>
      <c r="D4600" t="s">
        <v>398</v>
      </c>
      <c r="E4600" t="s">
        <v>1324</v>
      </c>
      <c r="F4600" t="s">
        <v>21</v>
      </c>
      <c r="G4600" t="s">
        <v>2672</v>
      </c>
      <c r="H4600">
        <v>0</v>
      </c>
      <c r="I4600">
        <v>2</v>
      </c>
      <c r="J4600">
        <v>0</v>
      </c>
      <c r="K4600">
        <v>0</v>
      </c>
      <c r="L4600">
        <v>0</v>
      </c>
    </row>
    <row r="4601" spans="1:12">
      <c r="A4601" t="str">
        <f>HYPERLINK("http://bombeiros.sp.gov.br/hidrantes/03individual/392.html","392")</f>
        <v>392</v>
      </c>
      <c r="B4601" t="str">
        <f>HYPERLINK("http://bombeiros.sp.gov.br/hidrantes/08bsg/qrcodeBSG.html?id=392&amp;lat=-23.64876&amp;long=-46.59690&amp;tipo=S","QRCODE")</f>
        <v>QRCODE</v>
      </c>
      <c r="C4601" t="s">
        <v>5372</v>
      </c>
      <c r="D4601" t="s">
        <v>398</v>
      </c>
      <c r="E4601" t="s">
        <v>1324</v>
      </c>
      <c r="F4601" t="s">
        <v>21</v>
      </c>
      <c r="G4601" t="s">
        <v>2669</v>
      </c>
      <c r="H4601">
        <v>0</v>
      </c>
      <c r="I4601">
        <v>2</v>
      </c>
      <c r="J4601">
        <v>0</v>
      </c>
      <c r="K4601">
        <v>0</v>
      </c>
      <c r="L4601">
        <v>0</v>
      </c>
    </row>
    <row r="4602" spans="1:12">
      <c r="A4602" t="str">
        <f>HYPERLINK("http://bombeiros.sp.gov.br/hidrantes/03individual/437.html","437")</f>
        <v>437</v>
      </c>
      <c r="B4602" t="str">
        <f>HYPERLINK("http://bombeiros.sp.gov.br/hidrantes/08bsg/qrcodeBSG.html?id=437&amp;lat=-23.64549&amp;long=-46.59083&amp;tipo=S","QRCODE")</f>
        <v>QRCODE</v>
      </c>
      <c r="C4602" t="s">
        <v>5372</v>
      </c>
      <c r="D4602" t="s">
        <v>398</v>
      </c>
      <c r="E4602" t="s">
        <v>1324</v>
      </c>
      <c r="F4602" t="s">
        <v>21</v>
      </c>
      <c r="G4602" t="s">
        <v>2252</v>
      </c>
      <c r="H4602">
        <v>0</v>
      </c>
      <c r="I4602">
        <v>2</v>
      </c>
      <c r="J4602">
        <v>0</v>
      </c>
      <c r="K4602">
        <v>0</v>
      </c>
      <c r="L4602">
        <v>0</v>
      </c>
    </row>
    <row r="4603" spans="1:12">
      <c r="A4603" t="str">
        <f>HYPERLINK("http://bombeiros.sp.gov.br/hidrantes/03individual/3596.html","3596")</f>
        <v>3596</v>
      </c>
      <c r="B4603" t="str">
        <f>HYPERLINK("http://bombeiros.sp.gov.br/hidrantes/08bsg/qrcodeBSG.html?id=3596&amp;lat=-23.64526&amp;long=-46.59356&amp;tipo=S","QRCODE")</f>
        <v>QRCODE</v>
      </c>
      <c r="C4603" t="s">
        <v>5372</v>
      </c>
      <c r="D4603" t="s">
        <v>398</v>
      </c>
      <c r="E4603" t="s">
        <v>1324</v>
      </c>
      <c r="F4603" t="s">
        <v>21</v>
      </c>
      <c r="G4603" t="s">
        <v>2247</v>
      </c>
      <c r="H4603">
        <v>0</v>
      </c>
      <c r="I4603">
        <v>2</v>
      </c>
      <c r="J4603">
        <v>0</v>
      </c>
      <c r="K4603">
        <v>0</v>
      </c>
      <c r="L4603">
        <v>0</v>
      </c>
    </row>
    <row r="4604" spans="1:12">
      <c r="A4604" t="str">
        <f>HYPERLINK("http://bombeiros.sp.gov.br/hidrantes/03individual/3601.html","3601")</f>
        <v>3601</v>
      </c>
      <c r="B4604" t="str">
        <f>HYPERLINK("http://bombeiros.sp.gov.br/hidrantes/08bsg/qrcodeBSG.html?id=3601&amp;lat=-23.64478&amp;long=-46.58718&amp;tipo=S","QRCODE")</f>
        <v>QRCODE</v>
      </c>
      <c r="C4604" t="s">
        <v>5372</v>
      </c>
      <c r="D4604" t="s">
        <v>398</v>
      </c>
      <c r="E4604" t="s">
        <v>1324</v>
      </c>
      <c r="F4604" t="s">
        <v>21</v>
      </c>
      <c r="G4604" t="s">
        <v>5180</v>
      </c>
      <c r="H4604">
        <v>0</v>
      </c>
      <c r="I4604">
        <v>1</v>
      </c>
      <c r="J4604">
        <v>0</v>
      </c>
      <c r="K4604">
        <v>0</v>
      </c>
      <c r="L4604">
        <v>0</v>
      </c>
    </row>
    <row r="4605" spans="1:12">
      <c r="A4605" t="str">
        <f>HYPERLINK("http://bombeiros.sp.gov.br/hidrantes/03individual/3614.html","3614")</f>
        <v>3614</v>
      </c>
      <c r="B4605" t="str">
        <f>HYPERLINK("http://bombeiros.sp.gov.br/hidrantes/08bsg/qrcodeBSG.html?id=3614&amp;lat=-23.63842&amp;long=-46.59604&amp;tipo=S","QRCODE")</f>
        <v>QRCODE</v>
      </c>
      <c r="C4605" t="s">
        <v>5372</v>
      </c>
      <c r="D4605" t="s">
        <v>398</v>
      </c>
      <c r="E4605" t="s">
        <v>1324</v>
      </c>
      <c r="F4605" t="s">
        <v>21</v>
      </c>
      <c r="G4605" t="s">
        <v>2627</v>
      </c>
      <c r="H4605">
        <v>0</v>
      </c>
      <c r="I4605">
        <v>2</v>
      </c>
      <c r="J4605">
        <v>0</v>
      </c>
      <c r="K4605">
        <v>0</v>
      </c>
      <c r="L4605">
        <v>0</v>
      </c>
    </row>
    <row r="4606" spans="1:12">
      <c r="A4606" t="str">
        <f>HYPERLINK("http://bombeiros.sp.gov.br/hidrantes/03individual/4179.html","4179")</f>
        <v>4179</v>
      </c>
      <c r="B4606" t="str">
        <f>HYPERLINK("http://bombeiros.sp.gov.br/hidrantes/08bsg/qrcodeBSG.html?id=4179&amp;lat=-23.65164&amp;long=-46.59908&amp;tipo=S","QRCODE")</f>
        <v>QRCODE</v>
      </c>
      <c r="C4606" t="s">
        <v>5372</v>
      </c>
      <c r="D4606" t="s">
        <v>398</v>
      </c>
      <c r="E4606" t="s">
        <v>1324</v>
      </c>
      <c r="F4606" t="s">
        <v>21</v>
      </c>
      <c r="G4606" t="s">
        <v>2608</v>
      </c>
      <c r="H4606">
        <v>0</v>
      </c>
      <c r="I4606">
        <v>2</v>
      </c>
      <c r="J4606">
        <v>0</v>
      </c>
      <c r="K4606">
        <v>0</v>
      </c>
      <c r="L4606">
        <v>0</v>
      </c>
    </row>
    <row r="4607" spans="1:12">
      <c r="A4607" t="str">
        <f>HYPERLINK("http://bombeiros.sp.gov.br/hidrantes/03individual/10011.html","10011")</f>
        <v>10011</v>
      </c>
      <c r="B4607" t="str">
        <f>HYPERLINK("http://bombeiros.sp.gov.br/hidrantes/08bsg/qrcodeBSG.html?id=10011&amp;lat=-23.64392&amp;long=-46.59995&amp;tipo=S","QRCODE")</f>
        <v>QRCODE</v>
      </c>
      <c r="C4607" t="s">
        <v>5372</v>
      </c>
      <c r="D4607" t="s">
        <v>398</v>
      </c>
      <c r="E4607" t="s">
        <v>1324</v>
      </c>
      <c r="F4607" t="s">
        <v>21</v>
      </c>
      <c r="G4607" t="s">
        <v>4216</v>
      </c>
      <c r="H4607">
        <v>0</v>
      </c>
      <c r="I4607">
        <v>1</v>
      </c>
      <c r="J4607">
        <v>0</v>
      </c>
      <c r="K4607">
        <v>0</v>
      </c>
      <c r="L4607">
        <v>0</v>
      </c>
    </row>
    <row r="4608" spans="1:12">
      <c r="A4608" t="str">
        <f>HYPERLINK("http://bombeiros.sp.gov.br/hidrantes/03individual/27059.html","27059")</f>
        <v>27059</v>
      </c>
      <c r="B4608" t="str">
        <f>HYPERLINK("http://bombeiros.sp.gov.br/hidrantes/08bsg/qrcodeBSG.html?id=27059&amp;lat=-23.64818&amp;long=-46.59868&amp;tipo=S","QRCODE")</f>
        <v>QRCODE</v>
      </c>
      <c r="C4608" t="s">
        <v>5372</v>
      </c>
      <c r="D4608" t="s">
        <v>398</v>
      </c>
      <c r="E4608" t="s">
        <v>1324</v>
      </c>
      <c r="F4608" t="s">
        <v>21</v>
      </c>
      <c r="G4608" t="s">
        <v>4004</v>
      </c>
      <c r="H4608">
        <v>0</v>
      </c>
      <c r="I4608">
        <v>1</v>
      </c>
      <c r="J4608">
        <v>0</v>
      </c>
      <c r="K4608">
        <v>0</v>
      </c>
      <c r="L4608">
        <v>0</v>
      </c>
    </row>
    <row r="4609" spans="1:12">
      <c r="A4609" t="str">
        <f>HYPERLINK("http://bombeiros.sp.gov.br/hidrantes/03individual/27227.html","27227")</f>
        <v>27227</v>
      </c>
      <c r="B4609" t="str">
        <f>HYPERLINK("http://bombeiros.sp.gov.br/hidrantes/08bsg/qrcodeBSG.html?id=27227&amp;lat=-23.64446&amp;long=-46.58915&amp;tipo=S","QRCODE")</f>
        <v>QRCODE</v>
      </c>
      <c r="C4609" t="s">
        <v>5372</v>
      </c>
      <c r="D4609" t="s">
        <v>398</v>
      </c>
      <c r="E4609" t="s">
        <v>1324</v>
      </c>
      <c r="F4609" t="s">
        <v>21</v>
      </c>
      <c r="G4609" t="s">
        <v>1323</v>
      </c>
      <c r="H4609">
        <v>0</v>
      </c>
      <c r="I4609">
        <v>1</v>
      </c>
      <c r="J4609">
        <v>0</v>
      </c>
      <c r="K4609">
        <v>0</v>
      </c>
      <c r="L4609">
        <v>0</v>
      </c>
    </row>
    <row r="4610" spans="1:12">
      <c r="A4610" t="str">
        <f>HYPERLINK("http://bombeiros.sp.gov.br/hidrantes/03individual/356.html","356")</f>
        <v>356</v>
      </c>
      <c r="B4610" t="str">
        <f>HYPERLINK("http://bombeiros.sp.gov.br/hidrantes/08bsg/qrcodeBSG.html?id=356&amp;lat=-23.62444&amp;long=-46.59914&amp;tipo=C","QRCODE")</f>
        <v>QRCODE</v>
      </c>
      <c r="C4610" t="s">
        <v>5372</v>
      </c>
      <c r="D4610" t="s">
        <v>398</v>
      </c>
      <c r="E4610" t="s">
        <v>392</v>
      </c>
      <c r="F4610" t="s">
        <v>12</v>
      </c>
      <c r="G4610" t="s">
        <v>2671</v>
      </c>
      <c r="H4610">
        <v>0</v>
      </c>
      <c r="I4610">
        <v>2</v>
      </c>
      <c r="J4610">
        <v>0</v>
      </c>
      <c r="K4610">
        <v>0</v>
      </c>
      <c r="L4610">
        <v>0</v>
      </c>
    </row>
    <row r="4611" spans="1:12">
      <c r="A4611" t="str">
        <f>HYPERLINK("http://bombeiros.sp.gov.br/hidrantes/03individual/3620.html","3620")</f>
        <v>3620</v>
      </c>
      <c r="B4611" t="str">
        <f>HYPERLINK("http://bombeiros.sp.gov.br/hidrantes/08bsg/qrcodeBSG.html?id=3620&amp;lat=-23.60758&amp;long=-46.60264&amp;tipo=C","QRCODE")</f>
        <v>QRCODE</v>
      </c>
      <c r="C4611" t="s">
        <v>5372</v>
      </c>
      <c r="D4611" t="s">
        <v>398</v>
      </c>
      <c r="E4611" t="s">
        <v>392</v>
      </c>
      <c r="F4611" t="s">
        <v>12</v>
      </c>
      <c r="G4611" t="s">
        <v>4150</v>
      </c>
      <c r="H4611">
        <v>0</v>
      </c>
      <c r="I4611">
        <v>1</v>
      </c>
      <c r="J4611">
        <v>0</v>
      </c>
      <c r="K4611">
        <v>0</v>
      </c>
      <c r="L4611">
        <v>0</v>
      </c>
    </row>
    <row r="4612" spans="1:12">
      <c r="A4612" t="str">
        <f>HYPERLINK("http://bombeiros.sp.gov.br/hidrantes/03individual/3624.html","3624")</f>
        <v>3624</v>
      </c>
      <c r="B4612" t="str">
        <f>HYPERLINK("http://bombeiros.sp.gov.br/hidrantes/08bsg/qrcodeBSG.html?id=3624&amp;lat=-23.61000&amp;long=-46.60018&amp;tipo=C","QRCODE")</f>
        <v>QRCODE</v>
      </c>
      <c r="C4612" t="s">
        <v>5372</v>
      </c>
      <c r="D4612" t="s">
        <v>398</v>
      </c>
      <c r="E4612" t="s">
        <v>392</v>
      </c>
      <c r="F4612" t="s">
        <v>12</v>
      </c>
      <c r="G4612" t="s">
        <v>2134</v>
      </c>
      <c r="H4612">
        <v>0</v>
      </c>
      <c r="I4612">
        <v>2</v>
      </c>
      <c r="J4612">
        <v>0</v>
      </c>
      <c r="K4612">
        <v>0</v>
      </c>
      <c r="L4612">
        <v>0</v>
      </c>
    </row>
    <row r="4613" spans="1:12">
      <c r="A4613" t="str">
        <f>HYPERLINK("http://bombeiros.sp.gov.br/hidrantes/03individual/3661.html","3661")</f>
        <v>3661</v>
      </c>
      <c r="B4613" t="str">
        <f>HYPERLINK("http://bombeiros.sp.gov.br/hidrantes/08bsg/qrcodeBSG.html?id=3661&amp;lat=-23.62220&amp;long=-46.59606&amp;tipo=C","QRCODE")</f>
        <v>QRCODE</v>
      </c>
      <c r="C4613" t="s">
        <v>5372</v>
      </c>
      <c r="D4613" t="s">
        <v>398</v>
      </c>
      <c r="E4613" t="s">
        <v>392</v>
      </c>
      <c r="F4613" t="s">
        <v>12</v>
      </c>
      <c r="G4613" t="s">
        <v>4741</v>
      </c>
      <c r="H4613">
        <v>1</v>
      </c>
      <c r="I4613">
        <v>1</v>
      </c>
      <c r="J4613">
        <v>0</v>
      </c>
      <c r="K4613">
        <v>0</v>
      </c>
      <c r="L4613">
        <v>0</v>
      </c>
    </row>
    <row r="4614" spans="1:12">
      <c r="A4614" t="str">
        <f>HYPERLINK("http://bombeiros.sp.gov.br/hidrantes/03individual/3670.html","3670")</f>
        <v>3670</v>
      </c>
      <c r="B4614" t="str">
        <f>HYPERLINK("http://bombeiros.sp.gov.br/hidrantes/08bsg/qrcodeBSG.html?id=3670&amp;lat=-23.62505&amp;long=-46.59524&amp;tipo=C","QRCODE")</f>
        <v>QRCODE</v>
      </c>
      <c r="C4614" t="s">
        <v>5372</v>
      </c>
      <c r="D4614" t="s">
        <v>398</v>
      </c>
      <c r="E4614" t="s">
        <v>392</v>
      </c>
      <c r="F4614" t="s">
        <v>12</v>
      </c>
      <c r="G4614" t="s">
        <v>2624</v>
      </c>
      <c r="H4614">
        <v>0</v>
      </c>
      <c r="I4614">
        <v>2</v>
      </c>
      <c r="J4614">
        <v>0</v>
      </c>
      <c r="K4614">
        <v>0</v>
      </c>
      <c r="L4614">
        <v>0</v>
      </c>
    </row>
    <row r="4615" spans="1:12">
      <c r="A4615" t="str">
        <f>HYPERLINK("http://bombeiros.sp.gov.br/hidrantes/03individual/3679.html","3679")</f>
        <v>3679</v>
      </c>
      <c r="B4615" t="str">
        <f>HYPERLINK("http://bombeiros.sp.gov.br/hidrantes/08bsg/qrcodeBSG.html?id=3679&amp;lat=-23.61402&amp;long=-46.59937&amp;tipo=C","QRCODE")</f>
        <v>QRCODE</v>
      </c>
      <c r="C4615" t="s">
        <v>5372</v>
      </c>
      <c r="D4615" t="s">
        <v>398</v>
      </c>
      <c r="E4615" t="s">
        <v>392</v>
      </c>
      <c r="F4615" t="s">
        <v>12</v>
      </c>
      <c r="G4615" t="s">
        <v>4383</v>
      </c>
      <c r="H4615">
        <v>0</v>
      </c>
      <c r="I4615">
        <v>2</v>
      </c>
      <c r="J4615">
        <v>0</v>
      </c>
      <c r="K4615">
        <v>0</v>
      </c>
      <c r="L4615">
        <v>0</v>
      </c>
    </row>
    <row r="4616" spans="1:12">
      <c r="A4616" t="str">
        <f>HYPERLINK("http://bombeiros.sp.gov.br/hidrantes/03individual/3684.html","3684")</f>
        <v>3684</v>
      </c>
      <c r="B4616" t="str">
        <f>HYPERLINK("http://bombeiros.sp.gov.br/hidrantes/08bsg/qrcodeBSG.html?id=3684&amp;lat=-23.61328&amp;long=-46.60052&amp;tipo=C","QRCODE")</f>
        <v>QRCODE</v>
      </c>
      <c r="C4616" t="s">
        <v>5372</v>
      </c>
      <c r="D4616" t="s">
        <v>398</v>
      </c>
      <c r="E4616" t="s">
        <v>392</v>
      </c>
      <c r="F4616" t="s">
        <v>12</v>
      </c>
      <c r="G4616" t="s">
        <v>1101</v>
      </c>
      <c r="H4616">
        <v>1</v>
      </c>
      <c r="I4616">
        <v>2</v>
      </c>
      <c r="J4616">
        <v>0</v>
      </c>
      <c r="K4616">
        <v>0</v>
      </c>
      <c r="L4616">
        <v>0</v>
      </c>
    </row>
    <row r="4617" spans="1:12">
      <c r="A4617" t="str">
        <f>HYPERLINK("http://bombeiros.sp.gov.br/hidrantes/03individual/3685.html","3685")</f>
        <v>3685</v>
      </c>
      <c r="B4617" t="str">
        <f>HYPERLINK("http://bombeiros.sp.gov.br/hidrantes/08bsg/qrcodeBSG.html?id=3685&amp;lat=-23.60568&amp;long=-46.60087&amp;tipo=C","QRCODE")</f>
        <v>QRCODE</v>
      </c>
      <c r="C4617" t="s">
        <v>5372</v>
      </c>
      <c r="D4617" t="s">
        <v>398</v>
      </c>
      <c r="E4617" t="s">
        <v>392</v>
      </c>
      <c r="F4617" t="s">
        <v>12</v>
      </c>
      <c r="G4617" t="s">
        <v>461</v>
      </c>
      <c r="H4617">
        <v>0</v>
      </c>
      <c r="I4617">
        <v>3</v>
      </c>
      <c r="J4617">
        <v>0</v>
      </c>
      <c r="K4617">
        <v>0</v>
      </c>
      <c r="L4617">
        <v>0</v>
      </c>
    </row>
    <row r="4618" spans="1:12">
      <c r="A4618" t="str">
        <f>HYPERLINK("http://bombeiros.sp.gov.br/hidrantes/03individual/3687.html","3687")</f>
        <v>3687</v>
      </c>
      <c r="B4618" t="str">
        <f>HYPERLINK("http://bombeiros.sp.gov.br/hidrantes/08bsg/qrcodeBSG.html?id=3687&amp;lat=-23.60774&amp;long=-46.59923&amp;tipo=C","QRCODE")</f>
        <v>QRCODE</v>
      </c>
      <c r="C4618" t="s">
        <v>5372</v>
      </c>
      <c r="D4618" t="s">
        <v>398</v>
      </c>
      <c r="E4618" t="s">
        <v>392</v>
      </c>
      <c r="F4618" t="s">
        <v>12</v>
      </c>
      <c r="G4618" t="s">
        <v>5113</v>
      </c>
      <c r="H4618">
        <v>0</v>
      </c>
      <c r="I4618">
        <v>1</v>
      </c>
      <c r="J4618">
        <v>0</v>
      </c>
      <c r="K4618">
        <v>0</v>
      </c>
      <c r="L4618">
        <v>0</v>
      </c>
    </row>
    <row r="4619" spans="1:12">
      <c r="A4619" t="str">
        <f>HYPERLINK("http://bombeiros.sp.gov.br/hidrantes/03individual/3925.html","3925")</f>
        <v>3925</v>
      </c>
      <c r="B4619" t="str">
        <f>HYPERLINK("http://bombeiros.sp.gov.br/hidrantes/08bsg/qrcodeBSG.html?id=3925&amp;lat=-23.61960&amp;long=-46.60208&amp;tipo=C","QRCODE")</f>
        <v>QRCODE</v>
      </c>
      <c r="C4619" t="s">
        <v>5372</v>
      </c>
      <c r="D4619" t="s">
        <v>398</v>
      </c>
      <c r="E4619" t="s">
        <v>392</v>
      </c>
      <c r="F4619" t="s">
        <v>12</v>
      </c>
      <c r="G4619" t="s">
        <v>2617</v>
      </c>
      <c r="H4619">
        <v>0</v>
      </c>
      <c r="I4619">
        <v>2</v>
      </c>
      <c r="J4619">
        <v>0</v>
      </c>
      <c r="K4619">
        <v>0</v>
      </c>
      <c r="L4619">
        <v>0</v>
      </c>
    </row>
    <row r="4620" spans="1:12">
      <c r="A4620" t="str">
        <f>HYPERLINK("http://bombeiros.sp.gov.br/hidrantes/03individual/298.html","298")</f>
        <v>298</v>
      </c>
      <c r="B4620" t="str">
        <f>HYPERLINK("http://bombeiros.sp.gov.br/hidrantes/08bsg/qrcodeBSG.html?id=298&amp;lat=-23.62202&amp;long=-46.59917&amp;tipo=S","QRCODE")</f>
        <v>QRCODE</v>
      </c>
      <c r="C4620" t="s">
        <v>5372</v>
      </c>
      <c r="D4620" t="s">
        <v>398</v>
      </c>
      <c r="E4620" t="s">
        <v>392</v>
      </c>
      <c r="F4620" t="s">
        <v>21</v>
      </c>
      <c r="G4620" t="s">
        <v>4464</v>
      </c>
      <c r="H4620">
        <v>0</v>
      </c>
      <c r="I4620">
        <v>2</v>
      </c>
      <c r="J4620">
        <v>0</v>
      </c>
      <c r="K4620">
        <v>0</v>
      </c>
      <c r="L4620">
        <v>0</v>
      </c>
    </row>
    <row r="4621" spans="1:12">
      <c r="A4621" t="str">
        <f>HYPERLINK("http://bombeiros.sp.gov.br/hidrantes/03individual/339.html","339")</f>
        <v>339</v>
      </c>
      <c r="B4621" t="str">
        <f>HYPERLINK("http://bombeiros.sp.gov.br/hidrantes/08bsg/qrcodeBSG.html?id=339&amp;lat=-23.61221&amp;long=-46.59828&amp;tipo=S","QRCODE")</f>
        <v>QRCODE</v>
      </c>
      <c r="C4621" t="s">
        <v>5372</v>
      </c>
      <c r="D4621" t="s">
        <v>398</v>
      </c>
      <c r="E4621" t="s">
        <v>392</v>
      </c>
      <c r="F4621" t="s">
        <v>21</v>
      </c>
      <c r="G4621" t="s">
        <v>4457</v>
      </c>
      <c r="H4621">
        <v>0</v>
      </c>
      <c r="I4621">
        <v>2</v>
      </c>
      <c r="J4621">
        <v>0</v>
      </c>
      <c r="K4621">
        <v>0</v>
      </c>
      <c r="L4621">
        <v>0</v>
      </c>
    </row>
    <row r="4622" spans="1:12">
      <c r="A4622" t="str">
        <f>HYPERLINK("http://bombeiros.sp.gov.br/hidrantes/03individual/357.html","357")</f>
        <v>357</v>
      </c>
      <c r="B4622" t="str">
        <f>HYPERLINK("http://bombeiros.sp.gov.br/hidrantes/08bsg/qrcodeBSG.html?id=357&amp;lat=-23.61658&amp;long=-46.59757&amp;tipo=S","QRCODE")</f>
        <v>QRCODE</v>
      </c>
      <c r="C4622" t="s">
        <v>5372</v>
      </c>
      <c r="D4622" t="s">
        <v>398</v>
      </c>
      <c r="E4622" t="s">
        <v>392</v>
      </c>
      <c r="F4622" t="s">
        <v>21</v>
      </c>
      <c r="G4622" t="s">
        <v>2092</v>
      </c>
      <c r="H4622">
        <v>0</v>
      </c>
      <c r="I4622">
        <v>2</v>
      </c>
      <c r="J4622">
        <v>0</v>
      </c>
      <c r="K4622">
        <v>0</v>
      </c>
      <c r="L4622">
        <v>0</v>
      </c>
    </row>
    <row r="4623" spans="1:12">
      <c r="A4623" t="str">
        <f>HYPERLINK("http://bombeiros.sp.gov.br/hidrantes/03individual/358.html","358")</f>
        <v>358</v>
      </c>
      <c r="B4623" t="str">
        <f>HYPERLINK("http://bombeiros.sp.gov.br/hidrantes/08bsg/qrcodeBSG.html?id=358&amp;lat=-23.60991&amp;long=-46.60539&amp;tipo=S","QRCODE")</f>
        <v>QRCODE</v>
      </c>
      <c r="C4623" t="s">
        <v>5372</v>
      </c>
      <c r="D4623" t="s">
        <v>398</v>
      </c>
      <c r="E4623" t="s">
        <v>392</v>
      </c>
      <c r="F4623" t="s">
        <v>21</v>
      </c>
      <c r="G4623" t="s">
        <v>4366</v>
      </c>
      <c r="H4623">
        <v>1</v>
      </c>
      <c r="I4623">
        <v>2</v>
      </c>
      <c r="J4623">
        <v>0</v>
      </c>
      <c r="K4623">
        <v>0</v>
      </c>
      <c r="L4623">
        <v>0</v>
      </c>
    </row>
    <row r="4624" spans="1:12">
      <c r="A4624" t="str">
        <f>HYPERLINK("http://bombeiros.sp.gov.br/hidrantes/03individual/404.html","404")</f>
        <v>404</v>
      </c>
      <c r="B4624" t="str">
        <f>HYPERLINK("http://bombeiros.sp.gov.br/hidrantes/08bsg/qrcodeBSG.html?id=404&amp;lat=-23.61793&amp;long=-46.60535&amp;tipo=S","QRCODE")</f>
        <v>QRCODE</v>
      </c>
      <c r="C4624" t="s">
        <v>5372</v>
      </c>
      <c r="D4624" t="s">
        <v>398</v>
      </c>
      <c r="E4624" t="s">
        <v>392</v>
      </c>
      <c r="F4624" t="s">
        <v>21</v>
      </c>
      <c r="G4624" t="s">
        <v>391</v>
      </c>
      <c r="H4624">
        <v>0</v>
      </c>
      <c r="I4624">
        <v>2</v>
      </c>
      <c r="J4624">
        <v>0</v>
      </c>
      <c r="K4624">
        <v>0</v>
      </c>
      <c r="L4624">
        <v>0</v>
      </c>
    </row>
    <row r="4625" spans="1:12">
      <c r="A4625" t="str">
        <f>HYPERLINK("http://bombeiros.sp.gov.br/hidrantes/03individual/405.html","405")</f>
        <v>405</v>
      </c>
      <c r="B4625" t="str">
        <f>HYPERLINK("http://bombeiros.sp.gov.br/hidrantes/08bsg/qrcodeBSG.html?id=405&amp;lat=-23.61895&amp;long=-46.59641&amp;tipo=S","QRCODE")</f>
        <v>QRCODE</v>
      </c>
      <c r="C4625" t="s">
        <v>5372</v>
      </c>
      <c r="D4625" t="s">
        <v>398</v>
      </c>
      <c r="E4625" t="s">
        <v>392</v>
      </c>
      <c r="F4625" t="s">
        <v>21</v>
      </c>
      <c r="G4625" t="s">
        <v>393</v>
      </c>
      <c r="H4625">
        <v>1</v>
      </c>
      <c r="I4625">
        <v>2</v>
      </c>
      <c r="J4625">
        <v>0</v>
      </c>
      <c r="K4625">
        <v>0</v>
      </c>
      <c r="L4625">
        <v>0</v>
      </c>
    </row>
    <row r="4626" spans="1:12">
      <c r="A4626" t="str">
        <f>HYPERLINK("http://bombeiros.sp.gov.br/hidrantes/03individual/406.html","406")</f>
        <v>406</v>
      </c>
      <c r="B4626" t="str">
        <f>HYPERLINK("http://bombeiros.sp.gov.br/hidrantes/08bsg/qrcodeBSG.html?id=406&amp;lat=-23.61492&amp;long=-46.59618&amp;tipo=S","QRCODE")</f>
        <v>QRCODE</v>
      </c>
      <c r="C4626" t="s">
        <v>5372</v>
      </c>
      <c r="D4626" t="s">
        <v>398</v>
      </c>
      <c r="E4626" t="s">
        <v>392</v>
      </c>
      <c r="F4626" t="s">
        <v>21</v>
      </c>
      <c r="G4626" t="s">
        <v>1080</v>
      </c>
      <c r="H4626">
        <v>1</v>
      </c>
      <c r="I4626">
        <v>2</v>
      </c>
      <c r="J4626">
        <v>0</v>
      </c>
      <c r="K4626">
        <v>0</v>
      </c>
      <c r="L4626">
        <v>0</v>
      </c>
    </row>
    <row r="4627" spans="1:12">
      <c r="A4627" t="str">
        <f>HYPERLINK("http://bombeiros.sp.gov.br/hidrantes/03individual/457.html","457")</f>
        <v>457</v>
      </c>
      <c r="B4627" t="str">
        <f>HYPERLINK("http://bombeiros.sp.gov.br/hidrantes/08bsg/qrcodeBSG.html?id=457&amp;lat=-23.62444&amp;long=-46.60705&amp;tipo=S","QRCODE")</f>
        <v>QRCODE</v>
      </c>
      <c r="C4627" t="s">
        <v>5372</v>
      </c>
      <c r="D4627" t="s">
        <v>398</v>
      </c>
      <c r="E4627" t="s">
        <v>392</v>
      </c>
      <c r="F4627" t="s">
        <v>21</v>
      </c>
      <c r="G4627" t="s">
        <v>4443</v>
      </c>
      <c r="H4627">
        <v>1</v>
      </c>
      <c r="I4627">
        <v>1</v>
      </c>
      <c r="J4627">
        <v>0</v>
      </c>
      <c r="K4627">
        <v>0</v>
      </c>
      <c r="L4627">
        <v>0</v>
      </c>
    </row>
    <row r="4628" spans="1:12">
      <c r="A4628" t="str">
        <f>HYPERLINK("http://bombeiros.sp.gov.br/hidrantes/03individual/482.html","482")</f>
        <v>482</v>
      </c>
      <c r="B4628" t="str">
        <f>HYPERLINK("http://bombeiros.sp.gov.br/hidrantes/08bsg/qrcodeBSG.html?id=482&amp;lat=-23.61971&amp;long=-46.60613&amp;tipo=S","QRCODE")</f>
        <v>QRCODE</v>
      </c>
      <c r="C4628" t="s">
        <v>5372</v>
      </c>
      <c r="D4628" t="s">
        <v>398</v>
      </c>
      <c r="E4628" t="s">
        <v>392</v>
      </c>
      <c r="F4628" t="s">
        <v>21</v>
      </c>
      <c r="G4628" t="s">
        <v>4452</v>
      </c>
      <c r="H4628">
        <v>1</v>
      </c>
      <c r="I4628">
        <v>1</v>
      </c>
      <c r="J4628">
        <v>0</v>
      </c>
      <c r="K4628">
        <v>0</v>
      </c>
      <c r="L4628">
        <v>0</v>
      </c>
    </row>
    <row r="4629" spans="1:12">
      <c r="A4629" t="str">
        <f>HYPERLINK("http://bombeiros.sp.gov.br/hidrantes/03individual/3644.html","3644")</f>
        <v>3644</v>
      </c>
      <c r="B4629" t="str">
        <f>HYPERLINK("http://bombeiros.sp.gov.br/hidrantes/08bsg/qrcodeBSG.html?id=3644&amp;lat=-23.62577&amp;long=-46.59123&amp;tipo=S","QRCODE")</f>
        <v>QRCODE</v>
      </c>
      <c r="C4629" t="s">
        <v>5372</v>
      </c>
      <c r="D4629" t="s">
        <v>398</v>
      </c>
      <c r="E4629" t="s">
        <v>392</v>
      </c>
      <c r="F4629" t="s">
        <v>21</v>
      </c>
      <c r="G4629" t="s">
        <v>4743</v>
      </c>
      <c r="H4629">
        <v>1</v>
      </c>
      <c r="I4629">
        <v>1</v>
      </c>
      <c r="J4629">
        <v>0</v>
      </c>
      <c r="K4629">
        <v>0</v>
      </c>
      <c r="L4629">
        <v>0</v>
      </c>
    </row>
    <row r="4630" spans="1:12">
      <c r="A4630" t="str">
        <f>HYPERLINK("http://bombeiros.sp.gov.br/hidrantes/03individual/3671.html","3671")</f>
        <v>3671</v>
      </c>
      <c r="B4630" t="str">
        <f>HYPERLINK("http://bombeiros.sp.gov.br/hidrantes/08bsg/qrcodeBSG.html?id=3671&amp;lat=-23.62092&amp;long=-46.59208&amp;tipo=S","QRCODE")</f>
        <v>QRCODE</v>
      </c>
      <c r="C4630" t="s">
        <v>5372</v>
      </c>
      <c r="D4630" t="s">
        <v>398</v>
      </c>
      <c r="E4630" t="s">
        <v>392</v>
      </c>
      <c r="F4630" t="s">
        <v>21</v>
      </c>
      <c r="G4630" t="s">
        <v>4744</v>
      </c>
      <c r="H4630">
        <v>1</v>
      </c>
      <c r="I4630">
        <v>1</v>
      </c>
      <c r="J4630">
        <v>0</v>
      </c>
      <c r="K4630">
        <v>0</v>
      </c>
      <c r="L4630">
        <v>0</v>
      </c>
    </row>
    <row r="4631" spans="1:12">
      <c r="A4631" t="str">
        <f>HYPERLINK("http://bombeiros.sp.gov.br/hidrantes/03individual/3678.html","3678")</f>
        <v>3678</v>
      </c>
      <c r="B4631" t="str">
        <f>HYPERLINK("http://bombeiros.sp.gov.br/hidrantes/08bsg/qrcodeBSG.html?id=3678&amp;lat=-23.61596&amp;long=-46.59906&amp;tipo=S","QRCODE")</f>
        <v>QRCODE</v>
      </c>
      <c r="C4631" t="s">
        <v>5372</v>
      </c>
      <c r="D4631" t="s">
        <v>398</v>
      </c>
      <c r="E4631" t="s">
        <v>392</v>
      </c>
      <c r="F4631" t="s">
        <v>21</v>
      </c>
      <c r="G4631" t="s">
        <v>1102</v>
      </c>
      <c r="H4631">
        <v>2</v>
      </c>
      <c r="I4631">
        <v>2</v>
      </c>
      <c r="J4631">
        <v>0</v>
      </c>
      <c r="K4631">
        <v>0</v>
      </c>
      <c r="L4631">
        <v>0</v>
      </c>
    </row>
    <row r="4632" spans="1:12">
      <c r="A4632" t="str">
        <f>HYPERLINK("http://bombeiros.sp.gov.br/hidrantes/03individual/3680.html","3680")</f>
        <v>3680</v>
      </c>
      <c r="B4632" t="str">
        <f>HYPERLINK("http://bombeiros.sp.gov.br/hidrantes/08bsg/qrcodeBSG.html?id=3680&amp;lat=-23.61049&amp;long=-46.59774&amp;tipo=S","QRCODE")</f>
        <v>QRCODE</v>
      </c>
      <c r="C4632" t="s">
        <v>5372</v>
      </c>
      <c r="D4632" t="s">
        <v>398</v>
      </c>
      <c r="E4632" t="s">
        <v>392</v>
      </c>
      <c r="F4632" t="s">
        <v>21</v>
      </c>
      <c r="G4632" t="s">
        <v>4341</v>
      </c>
      <c r="H4632">
        <v>1</v>
      </c>
      <c r="I4632">
        <v>2</v>
      </c>
      <c r="J4632">
        <v>0</v>
      </c>
      <c r="K4632">
        <v>0</v>
      </c>
      <c r="L4632">
        <v>0</v>
      </c>
    </row>
    <row r="4633" spans="1:12">
      <c r="A4633" t="str">
        <f>HYPERLINK("http://bombeiros.sp.gov.br/hidrantes/03individual/3816.html","3816")</f>
        <v>3816</v>
      </c>
      <c r="B4633" t="str">
        <f>HYPERLINK("http://bombeiros.sp.gov.br/hidrantes/08bsg/qrcodeBSG.html?id=3816&amp;lat=-23.61615&amp;long=-46.60372&amp;tipo=S","QRCODE")</f>
        <v>QRCODE</v>
      </c>
      <c r="C4633" t="s">
        <v>5372</v>
      </c>
      <c r="D4633" t="s">
        <v>398</v>
      </c>
      <c r="E4633" t="s">
        <v>392</v>
      </c>
      <c r="F4633" t="s">
        <v>21</v>
      </c>
      <c r="G4633" t="s">
        <v>3733</v>
      </c>
      <c r="H4633">
        <v>1</v>
      </c>
      <c r="I4633">
        <v>2</v>
      </c>
      <c r="J4633">
        <v>0</v>
      </c>
      <c r="K4633">
        <v>0</v>
      </c>
      <c r="L4633">
        <v>0</v>
      </c>
    </row>
    <row r="4634" spans="1:12">
      <c r="A4634" t="str">
        <f>HYPERLINK("http://bombeiros.sp.gov.br/hidrantes/03individual/3817.html","3817")</f>
        <v>3817</v>
      </c>
      <c r="B4634" t="str">
        <f>HYPERLINK("http://bombeiros.sp.gov.br/hidrantes/08bsg/qrcodeBSG.html?id=3817&amp;lat=-23.61770&amp;long=-46.60613&amp;tipo=S","QRCODE")</f>
        <v>QRCODE</v>
      </c>
      <c r="C4634" t="s">
        <v>5372</v>
      </c>
      <c r="D4634" t="s">
        <v>398</v>
      </c>
      <c r="E4634" t="s">
        <v>392</v>
      </c>
      <c r="F4634" t="s">
        <v>21</v>
      </c>
      <c r="G4634" t="s">
        <v>2611</v>
      </c>
      <c r="H4634">
        <v>0</v>
      </c>
      <c r="I4634">
        <v>2</v>
      </c>
      <c r="J4634">
        <v>0</v>
      </c>
      <c r="K4634">
        <v>0</v>
      </c>
      <c r="L4634">
        <v>0</v>
      </c>
    </row>
    <row r="4635" spans="1:12">
      <c r="A4635" t="str">
        <f>HYPERLINK("http://bombeiros.sp.gov.br/hidrantes/03individual/3876.html","3876")</f>
        <v>3876</v>
      </c>
      <c r="B4635" t="str">
        <f>HYPERLINK("http://bombeiros.sp.gov.br/hidrantes/08bsg/qrcodeBSG.html?id=3876&amp;lat=-23.61275&amp;long=-46.60085&amp;tipo=S","QRCODE")</f>
        <v>QRCODE</v>
      </c>
      <c r="C4635" t="s">
        <v>5372</v>
      </c>
      <c r="D4635" t="s">
        <v>398</v>
      </c>
      <c r="E4635" t="s">
        <v>392</v>
      </c>
      <c r="F4635" t="s">
        <v>21</v>
      </c>
      <c r="G4635" t="s">
        <v>4148</v>
      </c>
      <c r="H4635">
        <v>0</v>
      </c>
      <c r="I4635">
        <v>1</v>
      </c>
      <c r="J4635">
        <v>0</v>
      </c>
      <c r="K4635">
        <v>0</v>
      </c>
      <c r="L4635">
        <v>0</v>
      </c>
    </row>
    <row r="4636" spans="1:12">
      <c r="A4636" t="str">
        <f>HYPERLINK("http://bombeiros.sp.gov.br/hidrantes/03individual/3879.html","3879")</f>
        <v>3879</v>
      </c>
      <c r="B4636" t="str">
        <f>HYPERLINK("http://bombeiros.sp.gov.br/hidrantes/08bsg/qrcodeBSG.html?id=3879&amp;lat=-23.60809&amp;long=-46.60081&amp;tipo=S","QRCODE")</f>
        <v>QRCODE</v>
      </c>
      <c r="C4636" t="s">
        <v>5372</v>
      </c>
      <c r="D4636" t="s">
        <v>398</v>
      </c>
      <c r="E4636" t="s">
        <v>392</v>
      </c>
      <c r="F4636" t="s">
        <v>21</v>
      </c>
      <c r="G4636" t="s">
        <v>4421</v>
      </c>
      <c r="H4636">
        <v>1</v>
      </c>
      <c r="I4636">
        <v>1</v>
      </c>
      <c r="J4636">
        <v>0</v>
      </c>
      <c r="K4636">
        <v>0</v>
      </c>
      <c r="L4636">
        <v>0</v>
      </c>
    </row>
    <row r="4637" spans="1:12">
      <c r="A4637" t="str">
        <f>HYPERLINK("http://bombeiros.sp.gov.br/hidrantes/03individual/17678.html","17678")</f>
        <v>17678</v>
      </c>
      <c r="B4637" t="str">
        <f>HYPERLINK("http://bombeiros.sp.gov.br/hidrantes/08bsg/qrcodeBSG.html?id=17678&amp;lat=-23.61464&amp;long=-46.60197&amp;tipo=S","QRCODE")</f>
        <v>QRCODE</v>
      </c>
      <c r="C4637" t="s">
        <v>5372</v>
      </c>
      <c r="D4637" t="s">
        <v>398</v>
      </c>
      <c r="E4637" t="s">
        <v>392</v>
      </c>
      <c r="F4637" t="s">
        <v>21</v>
      </c>
      <c r="G4637" t="s">
        <v>4181</v>
      </c>
      <c r="H4637">
        <v>0</v>
      </c>
      <c r="I4637">
        <v>1</v>
      </c>
      <c r="J4637">
        <v>0</v>
      </c>
      <c r="K4637">
        <v>0</v>
      </c>
      <c r="L4637">
        <v>0</v>
      </c>
    </row>
    <row r="4638" spans="1:12">
      <c r="A4638" t="str">
        <f>HYPERLINK("http://bombeiros.sp.gov.br/hidrantes/03individual/17679.html","17679")</f>
        <v>17679</v>
      </c>
      <c r="B4638" t="str">
        <f>HYPERLINK("http://bombeiros.sp.gov.br/hidrantes/08bsg/qrcodeBSG.html?id=17679&amp;lat=-23.62214&amp;long=-46.60439&amp;tipo=S","QRCODE")</f>
        <v>QRCODE</v>
      </c>
      <c r="C4638" t="s">
        <v>5372</v>
      </c>
      <c r="D4638" t="s">
        <v>398</v>
      </c>
      <c r="E4638" t="s">
        <v>392</v>
      </c>
      <c r="F4638" t="s">
        <v>21</v>
      </c>
      <c r="G4638" t="s">
        <v>2594</v>
      </c>
      <c r="H4638">
        <v>0</v>
      </c>
      <c r="I4638">
        <v>2</v>
      </c>
      <c r="J4638">
        <v>0</v>
      </c>
      <c r="K4638">
        <v>0</v>
      </c>
      <c r="L4638">
        <v>0</v>
      </c>
    </row>
    <row r="4639" spans="1:12">
      <c r="A4639" t="str">
        <f>HYPERLINK("http://bombeiros.sp.gov.br/hidrantes/03individual/3621.html","3621")</f>
        <v>3621</v>
      </c>
      <c r="B4639" t="str">
        <f>HYPERLINK("http://bombeiros.sp.gov.br/hidrantes/08bsg/qrcodeBSG.html?id=3621&amp;lat=-23.64096&amp;long=-46.58712&amp;tipo=C","QRCODE")</f>
        <v>QRCODE</v>
      </c>
      <c r="C4639" t="s">
        <v>5372</v>
      </c>
      <c r="D4639" t="s">
        <v>398</v>
      </c>
      <c r="E4639" t="s">
        <v>463</v>
      </c>
      <c r="F4639" t="s">
        <v>12</v>
      </c>
      <c r="G4639" t="s">
        <v>1286</v>
      </c>
      <c r="H4639">
        <v>1</v>
      </c>
      <c r="I4639">
        <v>2</v>
      </c>
      <c r="J4639">
        <v>0</v>
      </c>
      <c r="K4639">
        <v>0</v>
      </c>
      <c r="L4639">
        <v>0</v>
      </c>
    </row>
    <row r="4640" spans="1:12">
      <c r="A4640" t="str">
        <f>HYPERLINK("http://bombeiros.sp.gov.br/hidrantes/03individual/3636.html","3636")</f>
        <v>3636</v>
      </c>
      <c r="B4640" t="str">
        <f>HYPERLINK("http://bombeiros.sp.gov.br/hidrantes/08bsg/qrcodeBSG.html?id=3636&amp;lat=-23.62960&amp;long=-46.59216&amp;tipo=C","QRCODE")</f>
        <v>QRCODE</v>
      </c>
      <c r="C4640" t="s">
        <v>5372</v>
      </c>
      <c r="D4640" t="s">
        <v>398</v>
      </c>
      <c r="E4640" t="s">
        <v>463</v>
      </c>
      <c r="F4640" t="s">
        <v>12</v>
      </c>
      <c r="G4640" t="s">
        <v>462</v>
      </c>
      <c r="H4640">
        <v>1</v>
      </c>
      <c r="I4640">
        <v>1</v>
      </c>
      <c r="J4640">
        <v>0</v>
      </c>
      <c r="K4640">
        <v>0</v>
      </c>
      <c r="L4640">
        <v>0</v>
      </c>
    </row>
    <row r="4641" spans="1:12">
      <c r="A4641" t="str">
        <f>HYPERLINK("http://bombeiros.sp.gov.br/hidrantes/03individual/10028.html","10028")</f>
        <v>10028</v>
      </c>
      <c r="B4641" t="str">
        <f>HYPERLINK("http://bombeiros.sp.gov.br/hidrantes/08bsg/qrcodeBSG.html?id=10028&amp;lat=-23.62955&amp;long=-46.58504&amp;tipo=C","QRCODE")</f>
        <v>QRCODE</v>
      </c>
      <c r="C4641" t="s">
        <v>5372</v>
      </c>
      <c r="D4641" t="s">
        <v>398</v>
      </c>
      <c r="E4641" t="s">
        <v>463</v>
      </c>
      <c r="F4641" t="s">
        <v>12</v>
      </c>
      <c r="G4641" t="s">
        <v>2145</v>
      </c>
      <c r="H4641">
        <v>0</v>
      </c>
      <c r="I4641">
        <v>2</v>
      </c>
      <c r="J4641">
        <v>0</v>
      </c>
      <c r="K4641">
        <v>0</v>
      </c>
      <c r="L4641">
        <v>0</v>
      </c>
    </row>
    <row r="4642" spans="1:12">
      <c r="A4642" t="str">
        <f>HYPERLINK("http://bombeiros.sp.gov.br/hidrantes/03individual/10029.html","10029")</f>
        <v>10029</v>
      </c>
      <c r="B4642" t="str">
        <f>HYPERLINK("http://bombeiros.sp.gov.br/hidrantes/08bsg/qrcodeBSG.html?id=10029&amp;lat=-23.62999&amp;long=-46.58557&amp;tipo=C","QRCODE")</f>
        <v>QRCODE</v>
      </c>
      <c r="C4642" t="s">
        <v>5372</v>
      </c>
      <c r="D4642" t="s">
        <v>398</v>
      </c>
      <c r="E4642" t="s">
        <v>463</v>
      </c>
      <c r="F4642" t="s">
        <v>12</v>
      </c>
      <c r="G4642" t="s">
        <v>2215</v>
      </c>
      <c r="H4642">
        <v>0</v>
      </c>
      <c r="I4642">
        <v>2</v>
      </c>
      <c r="J4642">
        <v>0</v>
      </c>
      <c r="K4642">
        <v>0</v>
      </c>
      <c r="L4642">
        <v>0</v>
      </c>
    </row>
    <row r="4643" spans="1:12">
      <c r="A4643" t="str">
        <f>HYPERLINK("http://bombeiros.sp.gov.br/hidrantes/03individual/10030.html","10030")</f>
        <v>10030</v>
      </c>
      <c r="B4643" t="str">
        <f>HYPERLINK("http://bombeiros.sp.gov.br/hidrantes/08bsg/qrcodeBSG.html?id=10030&amp;lat=-23.62902&amp;long=-46.58429&amp;tipo=C","QRCODE")</f>
        <v>QRCODE</v>
      </c>
      <c r="C4643" t="s">
        <v>5372</v>
      </c>
      <c r="D4643" t="s">
        <v>398</v>
      </c>
      <c r="E4643" t="s">
        <v>463</v>
      </c>
      <c r="F4643" t="s">
        <v>12</v>
      </c>
      <c r="G4643" t="s">
        <v>4749</v>
      </c>
      <c r="H4643">
        <v>1</v>
      </c>
      <c r="I4643">
        <v>1</v>
      </c>
      <c r="J4643">
        <v>0</v>
      </c>
      <c r="K4643">
        <v>0</v>
      </c>
      <c r="L4643">
        <v>0</v>
      </c>
    </row>
    <row r="4644" spans="1:12">
      <c r="A4644" t="str">
        <f>HYPERLINK("http://bombeiros.sp.gov.br/hidrantes/03individual/495.html","495")</f>
        <v>495</v>
      </c>
      <c r="B4644" t="str">
        <f>HYPERLINK("http://bombeiros.sp.gov.br/hidrantes/08bsg/qrcodeBSG.html?id=495&amp;lat=-23.63455&amp;long=-46.58587&amp;tipo=S","QRCODE")</f>
        <v>QRCODE</v>
      </c>
      <c r="C4644" t="s">
        <v>5372</v>
      </c>
      <c r="D4644" t="s">
        <v>398</v>
      </c>
      <c r="E4644" t="s">
        <v>463</v>
      </c>
      <c r="F4644" t="s">
        <v>21</v>
      </c>
      <c r="G4644" t="s">
        <v>3272</v>
      </c>
      <c r="H4644">
        <v>0</v>
      </c>
      <c r="I4644">
        <v>2</v>
      </c>
      <c r="J4644">
        <v>0</v>
      </c>
      <c r="K4644">
        <v>0</v>
      </c>
      <c r="L4644">
        <v>0</v>
      </c>
    </row>
    <row r="4645" spans="1:12">
      <c r="A4645" t="str">
        <f>HYPERLINK("http://bombeiros.sp.gov.br/hidrantes/03individual/3626.html","3626")</f>
        <v>3626</v>
      </c>
      <c r="B4645" t="str">
        <f>HYPERLINK("http://bombeiros.sp.gov.br/hidrantes/08bsg/qrcodeBSG.html?id=3626&amp;lat=-23.63512&amp;long=-46.59237&amp;tipo=S","QRCODE")</f>
        <v>QRCODE</v>
      </c>
      <c r="C4645" t="s">
        <v>5372</v>
      </c>
      <c r="D4645" t="s">
        <v>398</v>
      </c>
      <c r="E4645" t="s">
        <v>463</v>
      </c>
      <c r="F4645" t="s">
        <v>21</v>
      </c>
      <c r="G4645" t="s">
        <v>3314</v>
      </c>
      <c r="H4645">
        <v>0</v>
      </c>
      <c r="I4645">
        <v>2</v>
      </c>
      <c r="J4645">
        <v>0</v>
      </c>
      <c r="K4645">
        <v>0</v>
      </c>
      <c r="L4645">
        <v>0</v>
      </c>
    </row>
    <row r="4646" spans="1:12">
      <c r="A4646" t="str">
        <f>HYPERLINK("http://bombeiros.sp.gov.br/hidrantes/03individual/3628.html","3628")</f>
        <v>3628</v>
      </c>
      <c r="B4646" t="str">
        <f>HYPERLINK("http://bombeiros.sp.gov.br/hidrantes/08bsg/qrcodeBSG.html?id=3628&amp;lat=-23.63617&amp;long=-46.58951&amp;tipo=S","QRCODE")</f>
        <v>QRCODE</v>
      </c>
      <c r="C4646" t="s">
        <v>5372</v>
      </c>
      <c r="D4646" t="s">
        <v>398</v>
      </c>
      <c r="E4646" t="s">
        <v>463</v>
      </c>
      <c r="F4646" t="s">
        <v>21</v>
      </c>
      <c r="G4646" t="s">
        <v>1282</v>
      </c>
      <c r="H4646">
        <v>1</v>
      </c>
      <c r="I4646">
        <v>2</v>
      </c>
      <c r="J4646">
        <v>0</v>
      </c>
      <c r="K4646">
        <v>0</v>
      </c>
      <c r="L4646">
        <v>0</v>
      </c>
    </row>
    <row r="4647" spans="1:12">
      <c r="A4647" t="str">
        <f>HYPERLINK("http://bombeiros.sp.gov.br/hidrantes/03individual/3632.html","3632")</f>
        <v>3632</v>
      </c>
      <c r="B4647" t="str">
        <f>HYPERLINK("http://bombeiros.sp.gov.br/hidrantes/08bsg/qrcodeBSG.html?id=3632&amp;lat=-23.63274&amp;long=-46.58691&amp;tipo=S","QRCODE")</f>
        <v>QRCODE</v>
      </c>
      <c r="C4647" t="s">
        <v>5372</v>
      </c>
      <c r="D4647" t="s">
        <v>398</v>
      </c>
      <c r="E4647" t="s">
        <v>463</v>
      </c>
      <c r="F4647" t="s">
        <v>21</v>
      </c>
      <c r="G4647" t="s">
        <v>2228</v>
      </c>
      <c r="H4647">
        <v>0</v>
      </c>
      <c r="I4647">
        <v>2</v>
      </c>
      <c r="J4647">
        <v>0</v>
      </c>
      <c r="K4647">
        <v>0</v>
      </c>
      <c r="L4647">
        <v>0</v>
      </c>
    </row>
    <row r="4648" spans="1:12">
      <c r="A4648" t="str">
        <f>HYPERLINK("http://bombeiros.sp.gov.br/hidrantes/03individual/3634.html","3634")</f>
        <v>3634</v>
      </c>
      <c r="B4648" t="str">
        <f>HYPERLINK("http://bombeiros.sp.gov.br/hidrantes/08bsg/qrcodeBSG.html?id=3634&amp;lat=-23.63096&amp;long=-46.58558&amp;tipo=S","QRCODE")</f>
        <v>QRCODE</v>
      </c>
      <c r="C4648" t="s">
        <v>5372</v>
      </c>
      <c r="D4648" t="s">
        <v>398</v>
      </c>
      <c r="E4648" t="s">
        <v>463</v>
      </c>
      <c r="F4648" t="s">
        <v>21</v>
      </c>
      <c r="G4648" t="s">
        <v>2229</v>
      </c>
      <c r="H4648">
        <v>0</v>
      </c>
      <c r="I4648">
        <v>2</v>
      </c>
      <c r="J4648">
        <v>0</v>
      </c>
      <c r="K4648">
        <v>0</v>
      </c>
      <c r="L4648">
        <v>0</v>
      </c>
    </row>
    <row r="4649" spans="1:12">
      <c r="A4649" t="str">
        <f>HYPERLINK("http://bombeiros.sp.gov.br/hidrantes/03individual/3639.html","3639")</f>
        <v>3639</v>
      </c>
      <c r="B4649" t="str">
        <f>HYPERLINK("http://bombeiros.sp.gov.br/hidrantes/08bsg/qrcodeBSG.html?id=3639&amp;lat=-23.62943&amp;long=-46.58842&amp;tipo=S","QRCODE")</f>
        <v>QRCODE</v>
      </c>
      <c r="C4649" t="s">
        <v>5372</v>
      </c>
      <c r="D4649" t="s">
        <v>398</v>
      </c>
      <c r="E4649" t="s">
        <v>463</v>
      </c>
      <c r="F4649" t="s">
        <v>21</v>
      </c>
      <c r="G4649" t="s">
        <v>4155</v>
      </c>
      <c r="H4649">
        <v>0</v>
      </c>
      <c r="I4649">
        <v>1</v>
      </c>
      <c r="J4649">
        <v>0</v>
      </c>
      <c r="K4649">
        <v>0</v>
      </c>
      <c r="L4649">
        <v>0</v>
      </c>
    </row>
    <row r="4650" spans="1:12">
      <c r="A4650" t="str">
        <f>HYPERLINK("http://bombeiros.sp.gov.br/hidrantes/03individual/3652.html","3652")</f>
        <v>3652</v>
      </c>
      <c r="B4650" t="str">
        <f>HYPERLINK("http://bombeiros.sp.gov.br/hidrantes/08bsg/qrcodeBSG.html?id=3652&amp;lat=-23.62827&amp;long=-46.58627&amp;tipo=S","QRCODE")</f>
        <v>QRCODE</v>
      </c>
      <c r="C4650" t="s">
        <v>5372</v>
      </c>
      <c r="D4650" t="s">
        <v>398</v>
      </c>
      <c r="E4650" t="s">
        <v>463</v>
      </c>
      <c r="F4650" t="s">
        <v>21</v>
      </c>
      <c r="G4650" t="s">
        <v>4742</v>
      </c>
      <c r="H4650">
        <v>1</v>
      </c>
      <c r="I4650">
        <v>1</v>
      </c>
      <c r="J4650">
        <v>0</v>
      </c>
      <c r="K4650">
        <v>0</v>
      </c>
      <c r="L4650">
        <v>0</v>
      </c>
    </row>
    <row r="4651" spans="1:12">
      <c r="A4651" t="str">
        <f>HYPERLINK("http://bombeiros.sp.gov.br/hidrantes/03individual/3653.html","3653")</f>
        <v>3653</v>
      </c>
      <c r="B4651" t="str">
        <f>HYPERLINK("http://bombeiros.sp.gov.br/hidrantes/08bsg/qrcodeBSG.html?id=3653&amp;lat=-23.62709&amp;long=-46.58501&amp;tipo=S","QRCODE")</f>
        <v>QRCODE</v>
      </c>
      <c r="C4651" t="s">
        <v>5372</v>
      </c>
      <c r="D4651" t="s">
        <v>398</v>
      </c>
      <c r="E4651" t="s">
        <v>463</v>
      </c>
      <c r="F4651" t="s">
        <v>21</v>
      </c>
      <c r="G4651" t="s">
        <v>2135</v>
      </c>
      <c r="H4651">
        <v>0</v>
      </c>
      <c r="I4651">
        <v>2</v>
      </c>
      <c r="J4651">
        <v>0</v>
      </c>
      <c r="K4651">
        <v>0</v>
      </c>
      <c r="L4651">
        <v>0</v>
      </c>
    </row>
    <row r="4652" spans="1:12">
      <c r="A4652" t="str">
        <f>HYPERLINK("http://bombeiros.sp.gov.br/hidrantes/03individual/3665.html","3665")</f>
        <v>3665</v>
      </c>
      <c r="B4652" t="str">
        <f>HYPERLINK("http://bombeiros.sp.gov.br/hidrantes/08bsg/qrcodeBSG.html?id=3665&amp;lat=-23.62499&amp;long=-46.58802&amp;tipo=S","QRCODE")</f>
        <v>QRCODE</v>
      </c>
      <c r="C4652" t="s">
        <v>5372</v>
      </c>
      <c r="D4652" t="s">
        <v>398</v>
      </c>
      <c r="E4652" t="s">
        <v>463</v>
      </c>
      <c r="F4652" t="s">
        <v>21</v>
      </c>
      <c r="G4652" t="s">
        <v>2138</v>
      </c>
      <c r="H4652">
        <v>0</v>
      </c>
      <c r="I4652">
        <v>2</v>
      </c>
      <c r="J4652">
        <v>0</v>
      </c>
      <c r="K4652">
        <v>0</v>
      </c>
      <c r="L4652">
        <v>0</v>
      </c>
    </row>
    <row r="4653" spans="1:12">
      <c r="A4653" t="str">
        <f>HYPERLINK("http://bombeiros.sp.gov.br/hidrantes/03individual/10027.html","10027")</f>
        <v>10027</v>
      </c>
      <c r="B4653" t="str">
        <f>HYPERLINK("http://bombeiros.sp.gov.br/hidrantes/08bsg/qrcodeBSG.html?id=10027&amp;lat=-23.63320&amp;long=-46.58558&amp;tipo=S","QRCODE")</f>
        <v>QRCODE</v>
      </c>
      <c r="C4653" t="s">
        <v>5372</v>
      </c>
      <c r="D4653" t="s">
        <v>398</v>
      </c>
      <c r="E4653" t="s">
        <v>463</v>
      </c>
      <c r="F4653" t="s">
        <v>21</v>
      </c>
      <c r="G4653" t="s">
        <v>4747</v>
      </c>
      <c r="H4653">
        <v>1</v>
      </c>
      <c r="I4653">
        <v>1</v>
      </c>
      <c r="J4653">
        <v>0</v>
      </c>
      <c r="K4653">
        <v>0</v>
      </c>
      <c r="L4653">
        <v>0</v>
      </c>
    </row>
    <row r="4654" spans="1:12">
      <c r="A4654" t="str">
        <f>HYPERLINK("http://bombeiros.sp.gov.br/hidrantes/03individual/17756.html","17756")</f>
        <v>17756</v>
      </c>
      <c r="B4654" t="str">
        <f>HYPERLINK("http://bombeiros.sp.gov.br/hidrantes/08bsg/qrcodeBSG.html?id=17756&amp;lat=-23.62615&amp;long=-46.58666&amp;tipo=S","QRCODE")</f>
        <v>QRCODE</v>
      </c>
      <c r="C4654" t="s">
        <v>5372</v>
      </c>
      <c r="D4654" t="s">
        <v>398</v>
      </c>
      <c r="E4654" t="s">
        <v>463</v>
      </c>
      <c r="F4654" t="s">
        <v>21</v>
      </c>
      <c r="G4654" t="s">
        <v>4716</v>
      </c>
      <c r="H4654">
        <v>1</v>
      </c>
      <c r="I4654">
        <v>2</v>
      </c>
      <c r="J4654">
        <v>0</v>
      </c>
      <c r="K4654">
        <v>0</v>
      </c>
      <c r="L4654">
        <v>0</v>
      </c>
    </row>
    <row r="4655" spans="1:12">
      <c r="A4655" t="str">
        <f>HYPERLINK("http://bombeiros.sp.gov.br/hidrantes/03individual/479.html","479")</f>
        <v>479</v>
      </c>
      <c r="B4655" t="str">
        <f>HYPERLINK("http://bombeiros.sp.gov.br/hidrantes/08bsg/qrcodeBSG.html?id=479&amp;lat=-23.65744&amp;long=-46.61544&amp;tipo=C","QRCODE")</f>
        <v>QRCODE</v>
      </c>
      <c r="C4655" t="s">
        <v>5372</v>
      </c>
      <c r="D4655" t="s">
        <v>398</v>
      </c>
      <c r="E4655" t="s">
        <v>1247</v>
      </c>
      <c r="F4655" t="s">
        <v>12</v>
      </c>
      <c r="G4655" t="s">
        <v>1251</v>
      </c>
      <c r="H4655">
        <v>0</v>
      </c>
      <c r="I4655">
        <v>2</v>
      </c>
      <c r="J4655">
        <v>0</v>
      </c>
      <c r="K4655">
        <v>0</v>
      </c>
      <c r="L4655">
        <v>0</v>
      </c>
    </row>
    <row r="4656" spans="1:12">
      <c r="A4656" t="str">
        <f>HYPERLINK("http://bombeiros.sp.gov.br/hidrantes/03individual/3630.html","3630")</f>
        <v>3630</v>
      </c>
      <c r="B4656" t="str">
        <f>HYPERLINK("http://bombeiros.sp.gov.br/hidrantes/08bsg/qrcodeBSG.html?id=3630&amp;lat=-23.64300&amp;long=-46.60841&amp;tipo=C","QRCODE")</f>
        <v>QRCODE</v>
      </c>
      <c r="C4656" t="s">
        <v>5372</v>
      </c>
      <c r="D4656" t="s">
        <v>398</v>
      </c>
      <c r="E4656" t="s">
        <v>1247</v>
      </c>
      <c r="F4656" t="s">
        <v>12</v>
      </c>
      <c r="G4656" t="s">
        <v>2227</v>
      </c>
      <c r="H4656">
        <v>1</v>
      </c>
      <c r="I4656">
        <v>2</v>
      </c>
      <c r="J4656">
        <v>0</v>
      </c>
      <c r="K4656">
        <v>0</v>
      </c>
      <c r="L4656">
        <v>0</v>
      </c>
    </row>
    <row r="4657" spans="1:12">
      <c r="A4657" t="str">
        <f>HYPERLINK("http://bombeiros.sp.gov.br/hidrantes/03individual/3631.html","3631")</f>
        <v>3631</v>
      </c>
      <c r="B4657" t="str">
        <f>HYPERLINK("http://bombeiros.sp.gov.br/hidrantes/08bsg/qrcodeBSG.html?id=3631&amp;lat=-23.65265&amp;long=-46.60484&amp;tipo=C","QRCODE")</f>
        <v>QRCODE</v>
      </c>
      <c r="C4657" t="s">
        <v>5372</v>
      </c>
      <c r="D4657" t="s">
        <v>398</v>
      </c>
      <c r="E4657" t="s">
        <v>1247</v>
      </c>
      <c r="F4657" t="s">
        <v>12</v>
      </c>
      <c r="G4657" t="s">
        <v>1280</v>
      </c>
      <c r="H4657">
        <v>1</v>
      </c>
      <c r="I4657">
        <v>2</v>
      </c>
      <c r="J4657">
        <v>0</v>
      </c>
      <c r="K4657">
        <v>0</v>
      </c>
      <c r="L4657">
        <v>0</v>
      </c>
    </row>
    <row r="4658" spans="1:12">
      <c r="A4658" t="str">
        <f>HYPERLINK("http://bombeiros.sp.gov.br/hidrantes/03individual/3681.html","3681")</f>
        <v>3681</v>
      </c>
      <c r="B4658" t="str">
        <f>HYPERLINK("http://bombeiros.sp.gov.br/hidrantes/08bsg/qrcodeBSG.html?id=3681&amp;lat=-23.62466&amp;long=-46.60012&amp;tipo=C","QRCODE")</f>
        <v>QRCODE</v>
      </c>
      <c r="C4658" t="s">
        <v>5372</v>
      </c>
      <c r="D4658" t="s">
        <v>398</v>
      </c>
      <c r="E4658" t="s">
        <v>1247</v>
      </c>
      <c r="F4658" t="s">
        <v>12</v>
      </c>
      <c r="G4658" t="s">
        <v>4384</v>
      </c>
      <c r="H4658">
        <v>0</v>
      </c>
      <c r="I4658">
        <v>2</v>
      </c>
      <c r="J4658">
        <v>0</v>
      </c>
      <c r="K4658">
        <v>0</v>
      </c>
      <c r="L4658">
        <v>0</v>
      </c>
    </row>
    <row r="4659" spans="1:12">
      <c r="A4659" t="str">
        <f>HYPERLINK("http://bombeiros.sp.gov.br/hidrantes/03individual/3791.html","3791")</f>
        <v>3791</v>
      </c>
      <c r="B4659" t="str">
        <f>HYPERLINK("http://bombeiros.sp.gov.br/hidrantes/08bsg/qrcodeBSG.html?id=3791&amp;lat=-23.63913&amp;long=-46.60455&amp;tipo=C","QRCODE")</f>
        <v>QRCODE</v>
      </c>
      <c r="C4659" t="s">
        <v>5372</v>
      </c>
      <c r="D4659" t="s">
        <v>398</v>
      </c>
      <c r="E4659" t="s">
        <v>1247</v>
      </c>
      <c r="F4659" t="s">
        <v>12</v>
      </c>
      <c r="G4659" t="s">
        <v>4039</v>
      </c>
      <c r="H4659">
        <v>0</v>
      </c>
      <c r="I4659">
        <v>1</v>
      </c>
      <c r="J4659">
        <v>0</v>
      </c>
      <c r="K4659">
        <v>0</v>
      </c>
      <c r="L4659">
        <v>0</v>
      </c>
    </row>
    <row r="4660" spans="1:12">
      <c r="A4660" t="str">
        <f>HYPERLINK("http://bombeiros.sp.gov.br/hidrantes/03individual/27060.html","27060")</f>
        <v>27060</v>
      </c>
      <c r="B4660" t="str">
        <f>HYPERLINK("http://bombeiros.sp.gov.br/hidrantes/08bsg/qrcodeBSG.html?id=27060&amp;lat=-23.64215&amp;long=-46.60723&amp;tipo=C","QRCODE")</f>
        <v>QRCODE</v>
      </c>
      <c r="C4660" t="s">
        <v>5372</v>
      </c>
      <c r="D4660" t="s">
        <v>398</v>
      </c>
      <c r="E4660" t="s">
        <v>1247</v>
      </c>
      <c r="F4660" t="s">
        <v>12</v>
      </c>
      <c r="G4660" t="s">
        <v>3415</v>
      </c>
      <c r="H4660">
        <v>0</v>
      </c>
      <c r="I4660">
        <v>1</v>
      </c>
      <c r="J4660">
        <v>0</v>
      </c>
      <c r="K4660">
        <v>0</v>
      </c>
      <c r="L4660">
        <v>0</v>
      </c>
    </row>
    <row r="4661" spans="1:12">
      <c r="A4661" t="str">
        <f>HYPERLINK("http://bombeiros.sp.gov.br/hidrantes/03individual/334.html","334")</f>
        <v>334</v>
      </c>
      <c r="B4661" t="str">
        <f>HYPERLINK("http://bombeiros.sp.gov.br/hidrantes/08bsg/qrcodeBSG.html?id=334&amp;lat=-23.65222&amp;long=-46.60636&amp;tipo=S","QRCODE")</f>
        <v>QRCODE</v>
      </c>
      <c r="C4661" t="s">
        <v>5372</v>
      </c>
      <c r="D4661" t="s">
        <v>398</v>
      </c>
      <c r="E4661" t="s">
        <v>1247</v>
      </c>
      <c r="F4661" t="s">
        <v>21</v>
      </c>
      <c r="G4661" t="s">
        <v>2249</v>
      </c>
      <c r="H4661">
        <v>0</v>
      </c>
      <c r="I4661">
        <v>2</v>
      </c>
      <c r="J4661">
        <v>0</v>
      </c>
      <c r="K4661">
        <v>0</v>
      </c>
      <c r="L4661">
        <v>0</v>
      </c>
    </row>
    <row r="4662" spans="1:12">
      <c r="A4662" t="str">
        <f>HYPERLINK("http://bombeiros.sp.gov.br/hidrantes/03individual/438.html","438")</f>
        <v>438</v>
      </c>
      <c r="B4662" t="str">
        <f>HYPERLINK("http://bombeiros.sp.gov.br/hidrantes/08bsg/qrcodeBSG.html?id=438&amp;lat=-23.65019&amp;long=-46.60771&amp;tipo=S","QRCODE")</f>
        <v>QRCODE</v>
      </c>
      <c r="C4662" t="s">
        <v>5372</v>
      </c>
      <c r="D4662" t="s">
        <v>398</v>
      </c>
      <c r="E4662" t="s">
        <v>1247</v>
      </c>
      <c r="F4662" t="s">
        <v>21</v>
      </c>
      <c r="G4662" t="s">
        <v>1246</v>
      </c>
      <c r="H4662">
        <v>0</v>
      </c>
      <c r="I4662">
        <v>3</v>
      </c>
      <c r="J4662">
        <v>0</v>
      </c>
      <c r="K4662">
        <v>0</v>
      </c>
      <c r="L4662">
        <v>0</v>
      </c>
    </row>
    <row r="4663" spans="1:12">
      <c r="A4663" t="str">
        <f>HYPERLINK("http://bombeiros.sp.gov.br/hidrantes/03individual/439.html","439")</f>
        <v>439</v>
      </c>
      <c r="B4663" t="str">
        <f>HYPERLINK("http://bombeiros.sp.gov.br/hidrantes/08bsg/qrcodeBSG.html?id=439&amp;lat=-23.62715&amp;long=-46.60721&amp;tipo=S","QRCODE")</f>
        <v>QRCODE</v>
      </c>
      <c r="C4663" t="s">
        <v>5372</v>
      </c>
      <c r="D4663" t="s">
        <v>398</v>
      </c>
      <c r="E4663" t="s">
        <v>1247</v>
      </c>
      <c r="F4663" t="s">
        <v>21</v>
      </c>
      <c r="G4663" t="s">
        <v>2674</v>
      </c>
      <c r="H4663">
        <v>0</v>
      </c>
      <c r="I4663">
        <v>2</v>
      </c>
      <c r="J4663">
        <v>0</v>
      </c>
      <c r="K4663">
        <v>0</v>
      </c>
      <c r="L4663">
        <v>0</v>
      </c>
    </row>
    <row r="4664" spans="1:12">
      <c r="A4664" t="str">
        <f>HYPERLINK("http://bombeiros.sp.gov.br/hidrantes/03individual/458.html","458")</f>
        <v>458</v>
      </c>
      <c r="B4664" t="str">
        <f>HYPERLINK("http://bombeiros.sp.gov.br/hidrantes/08bsg/qrcodeBSG.html?id=458&amp;lat=-23.63164&amp;long=-46.60652&amp;tipo=S","QRCODE")</f>
        <v>QRCODE</v>
      </c>
      <c r="C4664" t="s">
        <v>5372</v>
      </c>
      <c r="D4664" t="s">
        <v>398</v>
      </c>
      <c r="E4664" t="s">
        <v>1247</v>
      </c>
      <c r="F4664" t="s">
        <v>21</v>
      </c>
      <c r="G4664" t="s">
        <v>2082</v>
      </c>
      <c r="H4664">
        <v>0</v>
      </c>
      <c r="I4664">
        <v>2</v>
      </c>
      <c r="J4664">
        <v>0</v>
      </c>
      <c r="K4664">
        <v>0</v>
      </c>
      <c r="L4664">
        <v>0</v>
      </c>
    </row>
    <row r="4665" spans="1:12">
      <c r="A4665" t="str">
        <f>HYPERLINK("http://bombeiros.sp.gov.br/hidrantes/03individual/3625.html","3625")</f>
        <v>3625</v>
      </c>
      <c r="B4665" t="str">
        <f>HYPERLINK("http://bombeiros.sp.gov.br/hidrantes/08bsg/qrcodeBSG.html?id=3625&amp;lat=-23.63694&amp;long=-46.59697&amp;tipo=S","QRCODE")</f>
        <v>QRCODE</v>
      </c>
      <c r="C4665" t="s">
        <v>5372</v>
      </c>
      <c r="D4665" t="s">
        <v>398</v>
      </c>
      <c r="E4665" t="s">
        <v>1247</v>
      </c>
      <c r="F4665" t="s">
        <v>21</v>
      </c>
      <c r="G4665" t="s">
        <v>1281</v>
      </c>
      <c r="H4665">
        <v>1</v>
      </c>
      <c r="I4665">
        <v>2</v>
      </c>
      <c r="J4665">
        <v>0</v>
      </c>
      <c r="K4665">
        <v>0</v>
      </c>
      <c r="L4665">
        <v>0</v>
      </c>
    </row>
    <row r="4666" spans="1:12">
      <c r="A4666" t="str">
        <f>HYPERLINK("http://bombeiros.sp.gov.br/hidrantes/03individual/3655.html","3655")</f>
        <v>3655</v>
      </c>
      <c r="B4666" t="str">
        <f>HYPERLINK("http://bombeiros.sp.gov.br/hidrantes/08bsg/qrcodeBSG.html?id=3655&amp;lat=-23.62875&amp;long=-46.59860&amp;tipo=S","QRCODE")</f>
        <v>QRCODE</v>
      </c>
      <c r="C4666" t="s">
        <v>5372</v>
      </c>
      <c r="D4666" t="s">
        <v>398</v>
      </c>
      <c r="E4666" t="s">
        <v>1247</v>
      </c>
      <c r="F4666" t="s">
        <v>21</v>
      </c>
      <c r="G4666" t="s">
        <v>3312</v>
      </c>
      <c r="H4666">
        <v>0</v>
      </c>
      <c r="I4666">
        <v>2</v>
      </c>
      <c r="J4666">
        <v>0</v>
      </c>
      <c r="K4666">
        <v>0</v>
      </c>
      <c r="L4666">
        <v>0</v>
      </c>
    </row>
    <row r="4667" spans="1:12">
      <c r="A4667" t="str">
        <f>HYPERLINK("http://bombeiros.sp.gov.br/hidrantes/03individual/3712.html","3712")</f>
        <v>3712</v>
      </c>
      <c r="B4667" t="str">
        <f>HYPERLINK("http://bombeiros.sp.gov.br/hidrantes/08bsg/qrcodeBSG.html?id=3712&amp;lat=-23.63518&amp;long=-46.59807&amp;tipo=S","QRCODE")</f>
        <v>QRCODE</v>
      </c>
      <c r="C4667" t="s">
        <v>5372</v>
      </c>
      <c r="D4667" t="s">
        <v>398</v>
      </c>
      <c r="E4667" t="s">
        <v>1247</v>
      </c>
      <c r="F4667" t="s">
        <v>21</v>
      </c>
      <c r="G4667" t="s">
        <v>1285</v>
      </c>
      <c r="H4667">
        <v>1</v>
      </c>
      <c r="I4667">
        <v>2</v>
      </c>
      <c r="J4667">
        <v>0</v>
      </c>
      <c r="K4667">
        <v>0</v>
      </c>
      <c r="L4667">
        <v>0</v>
      </c>
    </row>
    <row r="4668" spans="1:12">
      <c r="A4668" t="str">
        <f>HYPERLINK("http://bombeiros.sp.gov.br/hidrantes/03individual/3793.html","3793")</f>
        <v>3793</v>
      </c>
      <c r="B4668" t="str">
        <f>HYPERLINK("http://bombeiros.sp.gov.br/hidrantes/08bsg/qrcodeBSG.html?id=3793&amp;lat=-23.63784&amp;long=-46.60072&amp;tipo=S","QRCODE")</f>
        <v>QRCODE</v>
      </c>
      <c r="C4668" t="s">
        <v>5372</v>
      </c>
      <c r="D4668" t="s">
        <v>398</v>
      </c>
      <c r="E4668" t="s">
        <v>1247</v>
      </c>
      <c r="F4668" t="s">
        <v>21</v>
      </c>
      <c r="G4668" t="s">
        <v>2609</v>
      </c>
      <c r="H4668">
        <v>0</v>
      </c>
      <c r="I4668">
        <v>2</v>
      </c>
      <c r="J4668">
        <v>0</v>
      </c>
      <c r="K4668">
        <v>0</v>
      </c>
      <c r="L4668">
        <v>0</v>
      </c>
    </row>
    <row r="4669" spans="1:12">
      <c r="A4669" t="str">
        <f>HYPERLINK("http://bombeiros.sp.gov.br/hidrantes/03individual/3800.html","3800")</f>
        <v>3800</v>
      </c>
      <c r="B4669" t="str">
        <f>HYPERLINK("http://bombeiros.sp.gov.br/hidrantes/08bsg/qrcodeBSG.html?id=3800&amp;lat=-23.63607&amp;long=-46.60208&amp;tipo=S","QRCODE")</f>
        <v>QRCODE</v>
      </c>
      <c r="C4669" t="s">
        <v>5372</v>
      </c>
      <c r="D4669" t="s">
        <v>398</v>
      </c>
      <c r="E4669" t="s">
        <v>1247</v>
      </c>
      <c r="F4669" t="s">
        <v>21</v>
      </c>
      <c r="G4669" t="s">
        <v>1275</v>
      </c>
      <c r="H4669">
        <v>1</v>
      </c>
      <c r="I4669">
        <v>2</v>
      </c>
      <c r="J4669">
        <v>0</v>
      </c>
      <c r="K4669">
        <v>0</v>
      </c>
      <c r="L4669">
        <v>0</v>
      </c>
    </row>
    <row r="4670" spans="1:12">
      <c r="A4670" t="str">
        <f>HYPERLINK("http://bombeiros.sp.gov.br/hidrantes/03individual/3802.html","3802")</f>
        <v>3802</v>
      </c>
      <c r="B4670" t="str">
        <f>HYPERLINK("http://bombeiros.sp.gov.br/hidrantes/08bsg/qrcodeBSG.html?id=3802&amp;lat=-23.63601&amp;long=-46.60041&amp;tipo=S","QRCODE")</f>
        <v>QRCODE</v>
      </c>
      <c r="C4670" t="s">
        <v>5372</v>
      </c>
      <c r="D4670" t="s">
        <v>398</v>
      </c>
      <c r="E4670" t="s">
        <v>1247</v>
      </c>
      <c r="F4670" t="s">
        <v>21</v>
      </c>
      <c r="G4670" t="s">
        <v>3328</v>
      </c>
      <c r="H4670">
        <v>0</v>
      </c>
      <c r="I4670">
        <v>2</v>
      </c>
      <c r="J4670">
        <v>0</v>
      </c>
      <c r="K4670">
        <v>0</v>
      </c>
      <c r="L4670">
        <v>0</v>
      </c>
    </row>
    <row r="4671" spans="1:12">
      <c r="A4671" t="str">
        <f>HYPERLINK("http://bombeiros.sp.gov.br/hidrantes/03individual/3807.html","3807")</f>
        <v>3807</v>
      </c>
      <c r="B4671" t="str">
        <f>HYPERLINK("http://bombeiros.sp.gov.br/hidrantes/08bsg/qrcodeBSG.html?id=3807&amp;lat=-23.62847&amp;long=-46.60777&amp;tipo=S","QRCODE")</f>
        <v>QRCODE</v>
      </c>
      <c r="C4671" t="s">
        <v>5372</v>
      </c>
      <c r="D4671" t="s">
        <v>398</v>
      </c>
      <c r="E4671" t="s">
        <v>1247</v>
      </c>
      <c r="F4671" t="s">
        <v>21</v>
      </c>
      <c r="G4671" t="s">
        <v>2614</v>
      </c>
      <c r="H4671">
        <v>0</v>
      </c>
      <c r="I4671">
        <v>2</v>
      </c>
      <c r="J4671">
        <v>0</v>
      </c>
      <c r="K4671">
        <v>0</v>
      </c>
      <c r="L4671">
        <v>0</v>
      </c>
    </row>
    <row r="4672" spans="1:12">
      <c r="A4672" t="str">
        <f>HYPERLINK("http://bombeiros.sp.gov.br/hidrantes/03individual/3812.html","3812")</f>
        <v>3812</v>
      </c>
      <c r="B4672" t="str">
        <f>HYPERLINK("http://bombeiros.sp.gov.br/hidrantes/08bsg/qrcodeBSG.html?id=3812&amp;lat=-23.62655&amp;long=-46.60336&amp;tipo=S","QRCODE")</f>
        <v>QRCODE</v>
      </c>
      <c r="C4672" t="s">
        <v>5372</v>
      </c>
      <c r="D4672" t="s">
        <v>398</v>
      </c>
      <c r="E4672" t="s">
        <v>1247</v>
      </c>
      <c r="F4672" t="s">
        <v>21</v>
      </c>
      <c r="G4672" t="s">
        <v>2612</v>
      </c>
      <c r="H4672">
        <v>0</v>
      </c>
      <c r="I4672">
        <v>2</v>
      </c>
      <c r="J4672">
        <v>0</v>
      </c>
      <c r="K4672">
        <v>0</v>
      </c>
      <c r="L4672">
        <v>0</v>
      </c>
    </row>
    <row r="4673" spans="1:12">
      <c r="A4673" t="str">
        <f>HYPERLINK("http://bombeiros.sp.gov.br/hidrantes/03individual/3931.html","3931")</f>
        <v>3931</v>
      </c>
      <c r="B4673" t="str">
        <f>HYPERLINK("http://bombeiros.sp.gov.br/hidrantes/08bsg/qrcodeBSG.html?id=3931&amp;lat=-23.62620&amp;long=-46.60155&amp;tipo=S","QRCODE")</f>
        <v>QRCODE</v>
      </c>
      <c r="C4673" t="s">
        <v>5372</v>
      </c>
      <c r="D4673" t="s">
        <v>398</v>
      </c>
      <c r="E4673" t="s">
        <v>1247</v>
      </c>
      <c r="F4673" t="s">
        <v>21</v>
      </c>
      <c r="G4673" t="s">
        <v>2026</v>
      </c>
      <c r="H4673">
        <v>0</v>
      </c>
      <c r="I4673">
        <v>2</v>
      </c>
      <c r="J4673">
        <v>0</v>
      </c>
      <c r="K4673">
        <v>0</v>
      </c>
      <c r="L4673">
        <v>0</v>
      </c>
    </row>
    <row r="4674" spans="1:12">
      <c r="A4674" t="str">
        <f>HYPERLINK("http://bombeiros.sp.gov.br/hidrantes/03individual/4356.html","4356")</f>
        <v>4356</v>
      </c>
      <c r="B4674" t="str">
        <f>HYPERLINK("http://bombeiros.sp.gov.br/hidrantes/08bsg/qrcodeBSG.html?id=4356&amp;lat=-23.65384&amp;long=-46.61257&amp;tipo=S","QRCODE")</f>
        <v>QRCODE</v>
      </c>
      <c r="C4674" t="s">
        <v>5372</v>
      </c>
      <c r="D4674" t="s">
        <v>398</v>
      </c>
      <c r="E4674" t="s">
        <v>1247</v>
      </c>
      <c r="F4674" t="s">
        <v>21</v>
      </c>
      <c r="G4674" t="s">
        <v>1271</v>
      </c>
      <c r="H4674">
        <v>1</v>
      </c>
      <c r="I4674">
        <v>2</v>
      </c>
      <c r="J4674">
        <v>0</v>
      </c>
      <c r="K4674">
        <v>0</v>
      </c>
      <c r="L4674">
        <v>0</v>
      </c>
    </row>
    <row r="4675" spans="1:12">
      <c r="A4675" t="str">
        <f>HYPERLINK("http://bombeiros.sp.gov.br/hidrantes/03individual/4359.html","4359")</f>
        <v>4359</v>
      </c>
      <c r="B4675" t="str">
        <f>HYPERLINK("http://bombeiros.sp.gov.br/hidrantes/08bsg/qrcodeBSG.html?id=4359&amp;lat=-23.65231&amp;long=-46.60925&amp;tipo=S","QRCODE")</f>
        <v>QRCODE</v>
      </c>
      <c r="C4675" t="s">
        <v>5372</v>
      </c>
      <c r="D4675" t="s">
        <v>398</v>
      </c>
      <c r="E4675" t="s">
        <v>1247</v>
      </c>
      <c r="F4675" t="s">
        <v>21</v>
      </c>
      <c r="G4675" t="s">
        <v>1272</v>
      </c>
      <c r="H4675">
        <v>0</v>
      </c>
      <c r="I4675">
        <v>2</v>
      </c>
      <c r="J4675">
        <v>0</v>
      </c>
      <c r="K4675">
        <v>0</v>
      </c>
      <c r="L4675">
        <v>0</v>
      </c>
    </row>
    <row r="4676" spans="1:12">
      <c r="A4676" t="str">
        <f>HYPERLINK("http://bombeiros.sp.gov.br/hidrantes/03individual/4360.html","4360")</f>
        <v>4360</v>
      </c>
      <c r="B4676" t="str">
        <f>HYPERLINK("http://bombeiros.sp.gov.br/hidrantes/08bsg/qrcodeBSG.html?id=4360&amp;lat=-23.64828&amp;long=-46.61330&amp;tipo=S","QRCODE")</f>
        <v>QRCODE</v>
      </c>
      <c r="C4676" t="s">
        <v>5372</v>
      </c>
      <c r="D4676" t="s">
        <v>398</v>
      </c>
      <c r="E4676" t="s">
        <v>1247</v>
      </c>
      <c r="F4676" t="s">
        <v>21</v>
      </c>
      <c r="G4676" t="s">
        <v>4205</v>
      </c>
      <c r="H4676">
        <v>0</v>
      </c>
      <c r="I4676">
        <v>1</v>
      </c>
      <c r="J4676">
        <v>0</v>
      </c>
      <c r="K4676">
        <v>0</v>
      </c>
      <c r="L4676">
        <v>0</v>
      </c>
    </row>
    <row r="4677" spans="1:12">
      <c r="A4677" t="str">
        <f>HYPERLINK("http://bombeiros.sp.gov.br/hidrantes/03individual/4363.html","4363")</f>
        <v>4363</v>
      </c>
      <c r="B4677" t="str">
        <f>HYPERLINK("http://bombeiros.sp.gov.br/hidrantes/08bsg/qrcodeBSG.html?id=4363&amp;lat=-23.64598&amp;long=-46.60807&amp;tipo=S","QRCODE")</f>
        <v>QRCODE</v>
      </c>
      <c r="C4677" t="s">
        <v>5372</v>
      </c>
      <c r="D4677" t="s">
        <v>398</v>
      </c>
      <c r="E4677" t="s">
        <v>1247</v>
      </c>
      <c r="F4677" t="s">
        <v>21</v>
      </c>
      <c r="G4677" t="s">
        <v>3400</v>
      </c>
      <c r="H4677">
        <v>0</v>
      </c>
      <c r="I4677">
        <v>1</v>
      </c>
      <c r="J4677">
        <v>0</v>
      </c>
      <c r="K4677">
        <v>0</v>
      </c>
      <c r="L4677">
        <v>0</v>
      </c>
    </row>
    <row r="4678" spans="1:12">
      <c r="A4678" t="str">
        <f>HYPERLINK("http://bombeiros.sp.gov.br/hidrantes/03individual/4364.html","4364")</f>
        <v>4364</v>
      </c>
      <c r="B4678" t="str">
        <f>HYPERLINK("http://bombeiros.sp.gov.br/hidrantes/08bsg/qrcodeBSG.html?id=4364&amp;lat=-23.64482&amp;long=-46.60970&amp;tipo=S","QRCODE")</f>
        <v>QRCODE</v>
      </c>
      <c r="C4678" t="s">
        <v>5372</v>
      </c>
      <c r="D4678" t="s">
        <v>398</v>
      </c>
      <c r="E4678" t="s">
        <v>1247</v>
      </c>
      <c r="F4678" t="s">
        <v>21</v>
      </c>
      <c r="G4678" t="s">
        <v>2205</v>
      </c>
      <c r="H4678">
        <v>0</v>
      </c>
      <c r="I4678">
        <v>2</v>
      </c>
      <c r="J4678">
        <v>0</v>
      </c>
      <c r="K4678">
        <v>0</v>
      </c>
      <c r="L4678">
        <v>0</v>
      </c>
    </row>
    <row r="4679" spans="1:12">
      <c r="A4679" t="str">
        <f>HYPERLINK("http://bombeiros.sp.gov.br/hidrantes/03individual/4366.html","4366")</f>
        <v>4366</v>
      </c>
      <c r="B4679" t="str">
        <f>HYPERLINK("http://bombeiros.sp.gov.br/hidrantes/08bsg/qrcodeBSG.html?id=4366&amp;lat=-23.63823&amp;long=-46.60788&amp;tipo=S","QRCODE")</f>
        <v>QRCODE</v>
      </c>
      <c r="C4679" t="s">
        <v>5372</v>
      </c>
      <c r="D4679" t="s">
        <v>398</v>
      </c>
      <c r="E4679" t="s">
        <v>1247</v>
      </c>
      <c r="F4679" t="s">
        <v>21</v>
      </c>
      <c r="G4679" t="s">
        <v>2606</v>
      </c>
      <c r="H4679">
        <v>0</v>
      </c>
      <c r="I4679">
        <v>2</v>
      </c>
      <c r="J4679">
        <v>0</v>
      </c>
      <c r="K4679">
        <v>0</v>
      </c>
      <c r="L4679">
        <v>0</v>
      </c>
    </row>
    <row r="4680" spans="1:12">
      <c r="A4680" t="str">
        <f>HYPERLINK("http://bombeiros.sp.gov.br/hidrantes/03individual/4367.html","4367")</f>
        <v>4367</v>
      </c>
      <c r="B4680" t="str">
        <f>HYPERLINK("http://bombeiros.sp.gov.br/hidrantes/08bsg/qrcodeBSG.html?id=4367&amp;lat=-23.64317&amp;long=-46.60567&amp;tipo=S","QRCODE")</f>
        <v>QRCODE</v>
      </c>
      <c r="C4680" t="s">
        <v>5372</v>
      </c>
      <c r="D4680" t="s">
        <v>398</v>
      </c>
      <c r="E4680" t="s">
        <v>1247</v>
      </c>
      <c r="F4680" t="s">
        <v>21</v>
      </c>
      <c r="G4680" t="s">
        <v>2607</v>
      </c>
      <c r="H4680">
        <v>0</v>
      </c>
      <c r="I4680">
        <v>2</v>
      </c>
      <c r="J4680">
        <v>0</v>
      </c>
      <c r="K4680">
        <v>0</v>
      </c>
      <c r="L4680">
        <v>0</v>
      </c>
    </row>
    <row r="4681" spans="1:12">
      <c r="A4681" t="str">
        <f>HYPERLINK("http://bombeiros.sp.gov.br/hidrantes/03individual/3674.html","3674")</f>
        <v>3674</v>
      </c>
      <c r="B4681" t="str">
        <f>HYPERLINK("http://bombeiros.sp.gov.br/hidrantes/08bsg/qrcodeBSG.html?id=3674&amp;lat=-23.61780&amp;long=-46.58318&amp;tipo=C","QRCODE")</f>
        <v>QRCODE</v>
      </c>
      <c r="C4681" t="s">
        <v>5372</v>
      </c>
      <c r="D4681" t="s">
        <v>398</v>
      </c>
      <c r="E4681" t="s">
        <v>1253</v>
      </c>
      <c r="F4681" t="s">
        <v>12</v>
      </c>
      <c r="G4681" t="s">
        <v>4338</v>
      </c>
      <c r="H4681">
        <v>1</v>
      </c>
      <c r="I4681">
        <v>1</v>
      </c>
      <c r="J4681">
        <v>0</v>
      </c>
      <c r="K4681">
        <v>0</v>
      </c>
      <c r="L4681">
        <v>0</v>
      </c>
    </row>
    <row r="4682" spans="1:12">
      <c r="A4682" t="str">
        <f>HYPERLINK("http://bombeiros.sp.gov.br/hidrantes/03individual/3682.html","3682")</f>
        <v>3682</v>
      </c>
      <c r="B4682" t="str">
        <f>HYPERLINK("http://bombeiros.sp.gov.br/hidrantes/08bsg/qrcodeBSG.html?id=3682&amp;lat=-23.60939&amp;long=-46.59466&amp;tipo=C","QRCODE")</f>
        <v>QRCODE</v>
      </c>
      <c r="C4682" t="s">
        <v>5372</v>
      </c>
      <c r="D4682" t="s">
        <v>398</v>
      </c>
      <c r="E4682" t="s">
        <v>1253</v>
      </c>
      <c r="F4682" t="s">
        <v>12</v>
      </c>
      <c r="G4682" t="s">
        <v>4036</v>
      </c>
      <c r="H4682">
        <v>0</v>
      </c>
      <c r="I4682">
        <v>1</v>
      </c>
      <c r="J4682">
        <v>0</v>
      </c>
      <c r="K4682">
        <v>0</v>
      </c>
      <c r="L4682">
        <v>0</v>
      </c>
    </row>
    <row r="4683" spans="1:12">
      <c r="A4683" t="str">
        <f>HYPERLINK("http://bombeiros.sp.gov.br/hidrantes/03individual/3686.html","3686")</f>
        <v>3686</v>
      </c>
      <c r="B4683" t="str">
        <f>HYPERLINK("http://bombeiros.sp.gov.br/hidrantes/08bsg/qrcodeBSG.html?id=3686&amp;lat=-23.60340&amp;long=-46.59911&amp;tipo=C","QRCODE")</f>
        <v>QRCODE</v>
      </c>
      <c r="C4683" t="s">
        <v>5372</v>
      </c>
      <c r="D4683" t="s">
        <v>398</v>
      </c>
      <c r="E4683" t="s">
        <v>1253</v>
      </c>
      <c r="F4683" t="s">
        <v>12</v>
      </c>
      <c r="G4683" t="s">
        <v>4340</v>
      </c>
      <c r="H4683">
        <v>1</v>
      </c>
      <c r="I4683">
        <v>2</v>
      </c>
      <c r="J4683">
        <v>0</v>
      </c>
      <c r="K4683">
        <v>0</v>
      </c>
      <c r="L4683">
        <v>0</v>
      </c>
    </row>
    <row r="4684" spans="1:12">
      <c r="A4684" t="str">
        <f>HYPERLINK("http://bombeiros.sp.gov.br/hidrantes/03individual/3689.html","3689")</f>
        <v>3689</v>
      </c>
      <c r="B4684" t="str">
        <f>HYPERLINK("http://bombeiros.sp.gov.br/hidrantes/08bsg/qrcodeBSG.html?id=3689&amp;lat=-23.60726&amp;long=-46.59554&amp;tipo=C","QRCODE")</f>
        <v>QRCODE</v>
      </c>
      <c r="C4684" t="s">
        <v>5372</v>
      </c>
      <c r="D4684" t="s">
        <v>398</v>
      </c>
      <c r="E4684" t="s">
        <v>1253</v>
      </c>
      <c r="F4684" t="s">
        <v>12</v>
      </c>
      <c r="G4684" t="s">
        <v>4339</v>
      </c>
      <c r="H4684">
        <v>1</v>
      </c>
      <c r="I4684">
        <v>3</v>
      </c>
      <c r="J4684">
        <v>0</v>
      </c>
      <c r="K4684">
        <v>0</v>
      </c>
      <c r="L4684">
        <v>0</v>
      </c>
    </row>
    <row r="4685" spans="1:12">
      <c r="A4685" t="str">
        <f>HYPERLINK("http://bombeiros.sp.gov.br/hidrantes/03individual/3691.html","3691")</f>
        <v>3691</v>
      </c>
      <c r="B4685" t="str">
        <f>HYPERLINK("http://bombeiros.sp.gov.br/hidrantes/08bsg/qrcodeBSG.html?id=3691&amp;lat=-23.60701&amp;long=-46.59474&amp;tipo=C","QRCODE")</f>
        <v>QRCODE</v>
      </c>
      <c r="C4685" t="s">
        <v>5372</v>
      </c>
      <c r="D4685" t="s">
        <v>398</v>
      </c>
      <c r="E4685" t="s">
        <v>1253</v>
      </c>
      <c r="F4685" t="s">
        <v>12</v>
      </c>
      <c r="G4685" t="s">
        <v>2467</v>
      </c>
      <c r="H4685">
        <v>1</v>
      </c>
      <c r="I4685">
        <v>1</v>
      </c>
      <c r="J4685">
        <v>0</v>
      </c>
      <c r="K4685">
        <v>0</v>
      </c>
      <c r="L4685">
        <v>0</v>
      </c>
    </row>
    <row r="4686" spans="1:12">
      <c r="A4686" t="str">
        <f>HYPERLINK("http://bombeiros.sp.gov.br/hidrantes/03individual/480.html","480")</f>
        <v>480</v>
      </c>
      <c r="B4686" t="str">
        <f>HYPERLINK("http://bombeiros.sp.gov.br/hidrantes/08bsg/qrcodeBSG.html?id=480&amp;lat=-23.61797&amp;long=-46.58619&amp;tipo=S","QRCODE")</f>
        <v>QRCODE</v>
      </c>
      <c r="C4686" t="s">
        <v>5372</v>
      </c>
      <c r="D4686" t="s">
        <v>398</v>
      </c>
      <c r="E4686" t="s">
        <v>1253</v>
      </c>
      <c r="F4686" t="s">
        <v>21</v>
      </c>
      <c r="G4686" t="s">
        <v>1252</v>
      </c>
      <c r="H4686">
        <v>1</v>
      </c>
      <c r="I4686">
        <v>2</v>
      </c>
      <c r="J4686">
        <v>0</v>
      </c>
      <c r="K4686">
        <v>0</v>
      </c>
      <c r="L4686">
        <v>0</v>
      </c>
    </row>
    <row r="4687" spans="1:12">
      <c r="A4687" t="str">
        <f>HYPERLINK("http://bombeiros.sp.gov.br/hidrantes/03individual/3666.html","3666")</f>
        <v>3666</v>
      </c>
      <c r="B4687" t="str">
        <f>HYPERLINK("http://bombeiros.sp.gov.br/hidrantes/08bsg/qrcodeBSG.html?id=3666&amp;lat=-23.62293&amp;long=-46.58913&amp;tipo=S","QRCODE")</f>
        <v>QRCODE</v>
      </c>
      <c r="C4687" t="s">
        <v>5372</v>
      </c>
      <c r="D4687" t="s">
        <v>398</v>
      </c>
      <c r="E4687" t="s">
        <v>1253</v>
      </c>
      <c r="F4687" t="s">
        <v>21</v>
      </c>
      <c r="G4687" t="s">
        <v>4745</v>
      </c>
      <c r="H4687">
        <v>1</v>
      </c>
      <c r="I4687">
        <v>2</v>
      </c>
      <c r="J4687">
        <v>0</v>
      </c>
      <c r="K4687">
        <v>0</v>
      </c>
      <c r="L4687">
        <v>0</v>
      </c>
    </row>
    <row r="4688" spans="1:12">
      <c r="A4688" t="str">
        <f>HYPERLINK("http://bombeiros.sp.gov.br/hidrantes/03individual/3667.html","3667")</f>
        <v>3667</v>
      </c>
      <c r="B4688" t="str">
        <f>HYPERLINK("http://bombeiros.sp.gov.br/hidrantes/08bsg/qrcodeBSG.html?id=3667&amp;lat=-23.62352&amp;long=-46.59103&amp;tipo=S","QRCODE")</f>
        <v>QRCODE</v>
      </c>
      <c r="C4688" t="s">
        <v>5372</v>
      </c>
      <c r="D4688" t="s">
        <v>398</v>
      </c>
      <c r="E4688" t="s">
        <v>1253</v>
      </c>
      <c r="F4688" t="s">
        <v>21</v>
      </c>
      <c r="G4688" t="s">
        <v>4386</v>
      </c>
      <c r="H4688">
        <v>0</v>
      </c>
      <c r="I4688">
        <v>2</v>
      </c>
      <c r="J4688">
        <v>0</v>
      </c>
      <c r="K4688">
        <v>0</v>
      </c>
      <c r="L4688">
        <v>0</v>
      </c>
    </row>
    <row r="4689" spans="1:12">
      <c r="A4689" t="str">
        <f>HYPERLINK("http://bombeiros.sp.gov.br/hidrantes/03individual/3672.html","3672")</f>
        <v>3672</v>
      </c>
      <c r="B4689" t="str">
        <f>HYPERLINK("http://bombeiros.sp.gov.br/hidrantes/08bsg/qrcodeBSG.html?id=3672&amp;lat=-23.62050&amp;long=-46.58526&amp;tipo=S","QRCODE")</f>
        <v>QRCODE</v>
      </c>
      <c r="C4689" t="s">
        <v>5372</v>
      </c>
      <c r="D4689" t="s">
        <v>398</v>
      </c>
      <c r="E4689" t="s">
        <v>1253</v>
      </c>
      <c r="F4689" t="s">
        <v>21</v>
      </c>
      <c r="G4689" t="s">
        <v>1279</v>
      </c>
      <c r="H4689">
        <v>1</v>
      </c>
      <c r="I4689">
        <v>2</v>
      </c>
      <c r="J4689">
        <v>0</v>
      </c>
      <c r="K4689">
        <v>0</v>
      </c>
      <c r="L4689">
        <v>0</v>
      </c>
    </row>
    <row r="4690" spans="1:12">
      <c r="A4690" t="str">
        <f>HYPERLINK("http://bombeiros.sp.gov.br/hidrantes/03individual/2359.html","2359")</f>
        <v>2359</v>
      </c>
      <c r="B4690" t="str">
        <f>HYPERLINK("http://bombeiros.sp.gov.br/hidrantes/08bsg/qrcodeBSG.html?id=2359&amp;lat=-23.64361&amp;long=-46.69155&amp;tipo=C","QRCODE")</f>
        <v>QRCODE</v>
      </c>
      <c r="C4690" t="s">
        <v>5372</v>
      </c>
      <c r="D4690" t="s">
        <v>137</v>
      </c>
      <c r="E4690" t="s">
        <v>472</v>
      </c>
      <c r="F4690" t="s">
        <v>12</v>
      </c>
      <c r="G4690" t="s">
        <v>474</v>
      </c>
      <c r="H4690">
        <v>0</v>
      </c>
      <c r="I4690">
        <v>3</v>
      </c>
      <c r="J4690">
        <v>0</v>
      </c>
      <c r="K4690">
        <v>0</v>
      </c>
      <c r="L4690">
        <v>0</v>
      </c>
    </row>
    <row r="4691" spans="1:12">
      <c r="A4691" t="str">
        <f>HYPERLINK("http://bombeiros.sp.gov.br/hidrantes/03individual/2385.html","2385")</f>
        <v>2385</v>
      </c>
      <c r="B4691" t="str">
        <f>HYPERLINK("http://bombeiros.sp.gov.br/hidrantes/08bsg/qrcodeBSG.html?id=2385&amp;lat=-23.62838&amp;long=-46.68578&amp;tipo=C","QRCODE")</f>
        <v>QRCODE</v>
      </c>
      <c r="C4691" t="s">
        <v>5372</v>
      </c>
      <c r="D4691" t="s">
        <v>137</v>
      </c>
      <c r="E4691" t="s">
        <v>472</v>
      </c>
      <c r="F4691" t="s">
        <v>12</v>
      </c>
      <c r="G4691" t="s">
        <v>2011</v>
      </c>
      <c r="H4691">
        <v>0</v>
      </c>
      <c r="I4691">
        <v>4</v>
      </c>
      <c r="J4691">
        <v>0</v>
      </c>
      <c r="K4691">
        <v>0</v>
      </c>
      <c r="L4691">
        <v>0</v>
      </c>
    </row>
    <row r="4692" spans="1:12">
      <c r="A4692" t="str">
        <f>HYPERLINK("http://bombeiros.sp.gov.br/hidrantes/03individual/403.html","403")</f>
        <v>403</v>
      </c>
      <c r="B4692" t="str">
        <f>HYPERLINK("http://bombeiros.sp.gov.br/hidrantes/08bsg/qrcodeBSG.html?id=403&amp;lat=-23.63005&amp;long=-46.68460&amp;tipo=S","QRCODE")</f>
        <v>QRCODE</v>
      </c>
      <c r="C4692" t="s">
        <v>5372</v>
      </c>
      <c r="D4692" t="s">
        <v>137</v>
      </c>
      <c r="E4692" t="s">
        <v>472</v>
      </c>
      <c r="F4692" t="s">
        <v>21</v>
      </c>
      <c r="G4692" t="s">
        <v>4466</v>
      </c>
      <c r="H4692">
        <v>0</v>
      </c>
      <c r="I4692">
        <v>2</v>
      </c>
      <c r="J4692">
        <v>0</v>
      </c>
      <c r="K4692">
        <v>0</v>
      </c>
      <c r="L4692">
        <v>0</v>
      </c>
    </row>
    <row r="4693" spans="1:12">
      <c r="A4693" t="str">
        <f>HYPERLINK("http://bombeiros.sp.gov.br/hidrantes/03individual/2348.html","2348")</f>
        <v>2348</v>
      </c>
      <c r="B4693" t="str">
        <f>HYPERLINK("http://bombeiros.sp.gov.br/hidrantes/08bsg/qrcodeBSG.html?id=2348&amp;lat=-23.64454&amp;long=-46.68809&amp;tipo=S","QRCODE")</f>
        <v>QRCODE</v>
      </c>
      <c r="C4693" t="s">
        <v>5372</v>
      </c>
      <c r="D4693" t="s">
        <v>137</v>
      </c>
      <c r="E4693" t="s">
        <v>472</v>
      </c>
      <c r="F4693" t="s">
        <v>21</v>
      </c>
      <c r="G4693" t="s">
        <v>4527</v>
      </c>
      <c r="H4693">
        <v>0</v>
      </c>
      <c r="I4693">
        <v>2</v>
      </c>
      <c r="J4693">
        <v>0</v>
      </c>
      <c r="K4693">
        <v>0</v>
      </c>
      <c r="L4693">
        <v>0</v>
      </c>
    </row>
    <row r="4694" spans="1:12">
      <c r="A4694" t="str">
        <f>HYPERLINK("http://bombeiros.sp.gov.br/hidrantes/03individual/2352.html","2352")</f>
        <v>2352</v>
      </c>
      <c r="B4694" t="str">
        <f>HYPERLINK("http://bombeiros.sp.gov.br/hidrantes/08bsg/qrcodeBSG.html?id=2352&amp;lat=-23.64089&amp;long=-46.69287&amp;tipo=S","QRCODE")</f>
        <v>QRCODE</v>
      </c>
      <c r="C4694" t="s">
        <v>5372</v>
      </c>
      <c r="D4694" t="s">
        <v>137</v>
      </c>
      <c r="E4694" t="s">
        <v>472</v>
      </c>
      <c r="F4694" t="s">
        <v>21</v>
      </c>
      <c r="G4694" t="s">
        <v>3063</v>
      </c>
      <c r="H4694">
        <v>0</v>
      </c>
      <c r="I4694">
        <v>2</v>
      </c>
      <c r="J4694">
        <v>0</v>
      </c>
      <c r="K4694">
        <v>0</v>
      </c>
      <c r="L4694">
        <v>0</v>
      </c>
    </row>
    <row r="4695" spans="1:12">
      <c r="A4695" t="str">
        <f>HYPERLINK("http://bombeiros.sp.gov.br/hidrantes/03individual/2371.html","2371")</f>
        <v>2371</v>
      </c>
      <c r="B4695" t="str">
        <f>HYPERLINK("http://bombeiros.sp.gov.br/hidrantes/08bsg/qrcodeBSG.html?id=2371&amp;lat=-23.64042&amp;long=-46.68174&amp;tipo=S","QRCODE")</f>
        <v>QRCODE</v>
      </c>
      <c r="C4695" t="s">
        <v>5372</v>
      </c>
      <c r="D4695" t="s">
        <v>137</v>
      </c>
      <c r="E4695" t="s">
        <v>472</v>
      </c>
      <c r="F4695" t="s">
        <v>21</v>
      </c>
      <c r="G4695" t="s">
        <v>4523</v>
      </c>
      <c r="H4695">
        <v>0</v>
      </c>
      <c r="I4695">
        <v>2</v>
      </c>
      <c r="J4695">
        <v>0</v>
      </c>
      <c r="K4695">
        <v>0</v>
      </c>
      <c r="L4695">
        <v>0</v>
      </c>
    </row>
    <row r="4696" spans="1:12">
      <c r="A4696" t="str">
        <f>HYPERLINK("http://bombeiros.sp.gov.br/hidrantes/03individual/2373.html","2373")</f>
        <v>2373</v>
      </c>
      <c r="B4696" t="str">
        <f>HYPERLINK("http://bombeiros.sp.gov.br/hidrantes/08bsg/qrcodeBSG.html?id=2373&amp;lat=-23.63324&amp;long=-46.68745&amp;tipo=S","QRCODE")</f>
        <v>QRCODE</v>
      </c>
      <c r="C4696" t="s">
        <v>5372</v>
      </c>
      <c r="D4696" t="s">
        <v>137</v>
      </c>
      <c r="E4696" t="s">
        <v>472</v>
      </c>
      <c r="F4696" t="s">
        <v>21</v>
      </c>
      <c r="G4696" t="s">
        <v>3340</v>
      </c>
      <c r="H4696">
        <v>1</v>
      </c>
      <c r="I4696">
        <v>2</v>
      </c>
      <c r="J4696">
        <v>0</v>
      </c>
      <c r="K4696">
        <v>0</v>
      </c>
      <c r="L4696">
        <v>0</v>
      </c>
    </row>
    <row r="4697" spans="1:12">
      <c r="A4697" t="str">
        <f>HYPERLINK("http://bombeiros.sp.gov.br/hidrantes/03individual/2386.html","2386")</f>
        <v>2386</v>
      </c>
      <c r="B4697" t="str">
        <f>HYPERLINK("http://bombeiros.sp.gov.br/hidrantes/08bsg/qrcodeBSG.html?id=2386&amp;lat=-23.62978&amp;long=-46.68593&amp;tipo=S","QRCODE")</f>
        <v>QRCODE</v>
      </c>
      <c r="C4697" t="s">
        <v>5372</v>
      </c>
      <c r="D4697" t="s">
        <v>137</v>
      </c>
      <c r="E4697" t="s">
        <v>472</v>
      </c>
      <c r="F4697" t="s">
        <v>21</v>
      </c>
      <c r="G4697" t="s">
        <v>471</v>
      </c>
      <c r="H4697">
        <v>0</v>
      </c>
      <c r="I4697">
        <v>2</v>
      </c>
      <c r="J4697">
        <v>0</v>
      </c>
      <c r="K4697">
        <v>0</v>
      </c>
      <c r="L4697">
        <v>0</v>
      </c>
    </row>
    <row r="4698" spans="1:12">
      <c r="A4698" t="str">
        <f>HYPERLINK("http://bombeiros.sp.gov.br/hidrantes/03individual/2396.html","2396")</f>
        <v>2396</v>
      </c>
      <c r="B4698" t="str">
        <f>HYPERLINK("http://bombeiros.sp.gov.br/hidrantes/08bsg/qrcodeBSG.html?id=2396&amp;lat=-23.63758&amp;long=-46.68554&amp;tipo=S","QRCODE")</f>
        <v>QRCODE</v>
      </c>
      <c r="C4698" t="s">
        <v>5372</v>
      </c>
      <c r="D4698" t="s">
        <v>137</v>
      </c>
      <c r="E4698" t="s">
        <v>472</v>
      </c>
      <c r="F4698" t="s">
        <v>21</v>
      </c>
      <c r="G4698" t="s">
        <v>4270</v>
      </c>
      <c r="H4698">
        <v>0</v>
      </c>
      <c r="I4698">
        <v>1</v>
      </c>
      <c r="J4698">
        <v>0</v>
      </c>
      <c r="K4698">
        <v>0</v>
      </c>
      <c r="L4698">
        <v>0</v>
      </c>
    </row>
    <row r="4699" spans="1:12">
      <c r="A4699" t="str">
        <f>HYPERLINK("http://bombeiros.sp.gov.br/hidrantes/03individual/2398.html","2398")</f>
        <v>2398</v>
      </c>
      <c r="B4699" t="str">
        <f>HYPERLINK("http://bombeiros.sp.gov.br/hidrantes/08bsg/qrcodeBSG.html?id=2398&amp;lat=-23.63425&amp;long=-46.68355&amp;tipo=S","QRCODE")</f>
        <v>QRCODE</v>
      </c>
      <c r="C4699" t="s">
        <v>5372</v>
      </c>
      <c r="D4699" t="s">
        <v>137</v>
      </c>
      <c r="E4699" t="s">
        <v>472</v>
      </c>
      <c r="F4699" t="s">
        <v>21</v>
      </c>
      <c r="G4699" t="s">
        <v>4526</v>
      </c>
      <c r="H4699">
        <v>0</v>
      </c>
      <c r="I4699">
        <v>2</v>
      </c>
      <c r="J4699">
        <v>0</v>
      </c>
      <c r="K4699">
        <v>0</v>
      </c>
      <c r="L4699">
        <v>0</v>
      </c>
    </row>
    <row r="4700" spans="1:12">
      <c r="A4700" t="str">
        <f>HYPERLINK("http://bombeiros.sp.gov.br/hidrantes/03individual/3844.html","3844")</f>
        <v>3844</v>
      </c>
      <c r="B4700" t="str">
        <f>HYPERLINK("http://bombeiros.sp.gov.br/hidrantes/08bsg/qrcodeBSG.html?id=3844&amp;lat=-23.64301&amp;long=-46.69273&amp;tipo=S","QRCODE")</f>
        <v>QRCODE</v>
      </c>
      <c r="C4700" t="s">
        <v>5372</v>
      </c>
      <c r="D4700" t="s">
        <v>137</v>
      </c>
      <c r="E4700" t="s">
        <v>472</v>
      </c>
      <c r="F4700" t="s">
        <v>21</v>
      </c>
      <c r="G4700" t="s">
        <v>4685</v>
      </c>
      <c r="H4700">
        <v>0</v>
      </c>
      <c r="I4700">
        <v>2</v>
      </c>
      <c r="J4700">
        <v>0</v>
      </c>
      <c r="K4700">
        <v>0</v>
      </c>
      <c r="L4700">
        <v>0</v>
      </c>
    </row>
    <row r="4701" spans="1:12">
      <c r="A4701" t="str">
        <f>HYPERLINK("http://bombeiros.sp.gov.br/hidrantes/03individual/3846.html","3846")</f>
        <v>3846</v>
      </c>
      <c r="B4701" t="str">
        <f>HYPERLINK("http://bombeiros.sp.gov.br/hidrantes/08bsg/qrcodeBSG.html?id=3846&amp;lat=-23.64424&amp;long=-46.69350&amp;tipo=S","QRCODE")</f>
        <v>QRCODE</v>
      </c>
      <c r="C4701" t="s">
        <v>5372</v>
      </c>
      <c r="D4701" t="s">
        <v>137</v>
      </c>
      <c r="E4701" t="s">
        <v>472</v>
      </c>
      <c r="F4701" t="s">
        <v>21</v>
      </c>
      <c r="G4701" t="s">
        <v>4494</v>
      </c>
      <c r="H4701">
        <v>0</v>
      </c>
      <c r="I4701">
        <v>2</v>
      </c>
      <c r="J4701">
        <v>0</v>
      </c>
      <c r="K4701">
        <v>0</v>
      </c>
      <c r="L4701">
        <v>0</v>
      </c>
    </row>
    <row r="4702" spans="1:12">
      <c r="A4702" t="str">
        <f>HYPERLINK("http://bombeiros.sp.gov.br/hidrantes/03individual/6728.html","6728")</f>
        <v>6728</v>
      </c>
      <c r="B4702" t="str">
        <f>HYPERLINK("http://bombeiros.sp.gov.br/hidrantes/08bsg/qrcodeBSG.html?id=6728&amp;lat=-23.64714&amp;long=-46.68621&amp;tipo=S","QRCODE")</f>
        <v>QRCODE</v>
      </c>
      <c r="C4702" t="s">
        <v>5372</v>
      </c>
      <c r="D4702" t="s">
        <v>137</v>
      </c>
      <c r="E4702" t="s">
        <v>472</v>
      </c>
      <c r="F4702" t="s">
        <v>21</v>
      </c>
      <c r="G4702" t="s">
        <v>4214</v>
      </c>
      <c r="H4702">
        <v>0</v>
      </c>
      <c r="I4702">
        <v>1</v>
      </c>
      <c r="J4702">
        <v>0</v>
      </c>
      <c r="K4702">
        <v>0</v>
      </c>
      <c r="L4702">
        <v>0</v>
      </c>
    </row>
    <row r="4703" spans="1:12">
      <c r="A4703" t="str">
        <f>HYPERLINK("http://bombeiros.sp.gov.br/hidrantes/03individual/6732.html","6732")</f>
        <v>6732</v>
      </c>
      <c r="B4703" t="str">
        <f>HYPERLINK("http://bombeiros.sp.gov.br/hidrantes/08bsg/qrcodeBSG.html?id=6732&amp;lat=-23.64638&amp;long=-46.68290&amp;tipo=S","QRCODE")</f>
        <v>QRCODE</v>
      </c>
      <c r="C4703" t="s">
        <v>5372</v>
      </c>
      <c r="D4703" t="s">
        <v>137</v>
      </c>
      <c r="E4703" t="s">
        <v>472</v>
      </c>
      <c r="F4703" t="s">
        <v>21</v>
      </c>
      <c r="G4703" t="s">
        <v>4283</v>
      </c>
      <c r="H4703">
        <v>0</v>
      </c>
      <c r="I4703">
        <v>1</v>
      </c>
      <c r="J4703">
        <v>0</v>
      </c>
      <c r="K4703">
        <v>0</v>
      </c>
      <c r="L4703">
        <v>0</v>
      </c>
    </row>
    <row r="4704" spans="1:12">
      <c r="A4704" t="str">
        <f>HYPERLINK("http://bombeiros.sp.gov.br/hidrantes/03individual/6735.html","6735")</f>
        <v>6735</v>
      </c>
      <c r="B4704" t="str">
        <f>HYPERLINK("http://bombeiros.sp.gov.br/hidrantes/08bsg/qrcodeBSG.html?id=6735&amp;lat=-23.64441&amp;long=-46.68048&amp;tipo=S","QRCODE")</f>
        <v>QRCODE</v>
      </c>
      <c r="C4704" t="s">
        <v>5372</v>
      </c>
      <c r="D4704" t="s">
        <v>137</v>
      </c>
      <c r="E4704" t="s">
        <v>472</v>
      </c>
      <c r="F4704" t="s">
        <v>21</v>
      </c>
      <c r="G4704" t="s">
        <v>5234</v>
      </c>
      <c r="H4704">
        <v>1</v>
      </c>
      <c r="I4704">
        <v>0</v>
      </c>
      <c r="J4704">
        <v>0</v>
      </c>
      <c r="K4704">
        <v>0</v>
      </c>
      <c r="L4704">
        <v>0</v>
      </c>
    </row>
    <row r="4705" spans="1:12">
      <c r="A4705" t="str">
        <f>HYPERLINK("http://bombeiros.sp.gov.br/hidrantes/03individual/16612.html","16612")</f>
        <v>16612</v>
      </c>
      <c r="B4705" t="str">
        <f>HYPERLINK("http://bombeiros.sp.gov.br/hidrantes/08bsg/qrcodeBSG.html?id=16612&amp;lat=-23.63917&amp;long=-46.69532&amp;tipo=S","QRCODE")</f>
        <v>QRCODE</v>
      </c>
      <c r="C4705" t="s">
        <v>5372</v>
      </c>
      <c r="D4705" t="s">
        <v>137</v>
      </c>
      <c r="E4705" t="s">
        <v>472</v>
      </c>
      <c r="F4705" t="s">
        <v>21</v>
      </c>
      <c r="G4705" t="s">
        <v>493</v>
      </c>
      <c r="H4705">
        <v>0</v>
      </c>
      <c r="I4705">
        <v>3</v>
      </c>
      <c r="J4705">
        <v>0</v>
      </c>
      <c r="K4705">
        <v>0</v>
      </c>
      <c r="L4705">
        <v>0</v>
      </c>
    </row>
    <row r="4706" spans="1:12">
      <c r="A4706" t="str">
        <f>HYPERLINK("http://bombeiros.sp.gov.br/hidrantes/03individual/17850.html","17850")</f>
        <v>17850</v>
      </c>
      <c r="B4706" t="str">
        <f>HYPERLINK("http://bombeiros.sp.gov.br/hidrantes/08bsg/qrcodeBSG.html?id=17850&amp;lat=-23.65229&amp;long=-46.67941&amp;tipo=S","QRCODE")</f>
        <v>QRCODE</v>
      </c>
      <c r="C4706" t="s">
        <v>5372</v>
      </c>
      <c r="D4706" t="s">
        <v>137</v>
      </c>
      <c r="E4706" t="s">
        <v>472</v>
      </c>
      <c r="F4706" t="s">
        <v>21</v>
      </c>
      <c r="G4706" t="s">
        <v>4875</v>
      </c>
      <c r="H4706">
        <v>1</v>
      </c>
      <c r="I4706">
        <v>1</v>
      </c>
      <c r="J4706">
        <v>0</v>
      </c>
      <c r="K4706">
        <v>0</v>
      </c>
      <c r="L4706">
        <v>0</v>
      </c>
    </row>
    <row r="4707" spans="1:12">
      <c r="A4707" t="str">
        <f>HYPERLINK("http://bombeiros.sp.gov.br/hidrantes/03individual/25205.html","25205")</f>
        <v>25205</v>
      </c>
      <c r="B4707" t="str">
        <f>HYPERLINK("http://bombeiros.sp.gov.br/hidrantes/08bsg/qrcodeBSG.html?id=25205&amp;lat=-23.64629&amp;long=-46.69597&amp;tipo=S","QRCODE")</f>
        <v>QRCODE</v>
      </c>
      <c r="C4707" t="s">
        <v>5372</v>
      </c>
      <c r="D4707" t="s">
        <v>137</v>
      </c>
      <c r="E4707" t="s">
        <v>472</v>
      </c>
      <c r="F4707" t="s">
        <v>21</v>
      </c>
      <c r="G4707" t="s">
        <v>3075</v>
      </c>
      <c r="H4707">
        <v>0</v>
      </c>
      <c r="I4707">
        <v>2</v>
      </c>
      <c r="J4707">
        <v>0</v>
      </c>
      <c r="K4707">
        <v>0</v>
      </c>
      <c r="L4707">
        <v>0</v>
      </c>
    </row>
    <row r="4708" spans="1:12">
      <c r="A4708" t="str">
        <f>HYPERLINK("http://bombeiros.sp.gov.br/hidrantes/03individual/2361.html","2361")</f>
        <v>2361</v>
      </c>
      <c r="B4708" t="str">
        <f>HYPERLINK("http://bombeiros.sp.gov.br/hidrantes/08bsg/qrcodeBSG.html?id=2361&amp;lat=-23.63169&amp;long=-46.69167&amp;tipo=C","QRCODE")</f>
        <v>QRCODE</v>
      </c>
      <c r="C4708" t="s">
        <v>5372</v>
      </c>
      <c r="D4708" t="s">
        <v>137</v>
      </c>
      <c r="E4708" t="s">
        <v>256</v>
      </c>
      <c r="F4708" t="s">
        <v>12</v>
      </c>
      <c r="G4708" t="s">
        <v>4531</v>
      </c>
      <c r="H4708">
        <v>0</v>
      </c>
      <c r="I4708">
        <v>2</v>
      </c>
      <c r="J4708">
        <v>0</v>
      </c>
      <c r="K4708">
        <v>0</v>
      </c>
      <c r="L4708">
        <v>0</v>
      </c>
    </row>
    <row r="4709" spans="1:12">
      <c r="A4709" t="str">
        <f>HYPERLINK("http://bombeiros.sp.gov.br/hidrantes/03individual/3863.html","3863")</f>
        <v>3863</v>
      </c>
      <c r="B4709" t="str">
        <f>HYPERLINK("http://bombeiros.sp.gov.br/hidrantes/08bsg/qrcodeBSG.html?id=3863&amp;lat=-23.63068&amp;long=-46.69633&amp;tipo=C","QRCODE")</f>
        <v>QRCODE</v>
      </c>
      <c r="C4709" t="s">
        <v>5372</v>
      </c>
      <c r="D4709" t="s">
        <v>137</v>
      </c>
      <c r="E4709" t="s">
        <v>256</v>
      </c>
      <c r="F4709" t="s">
        <v>12</v>
      </c>
      <c r="G4709" t="s">
        <v>3731</v>
      </c>
      <c r="H4709">
        <v>2</v>
      </c>
      <c r="I4709">
        <v>1</v>
      </c>
      <c r="J4709">
        <v>0</v>
      </c>
      <c r="K4709">
        <v>0</v>
      </c>
      <c r="L4709">
        <v>0</v>
      </c>
    </row>
    <row r="4710" spans="1:12">
      <c r="A4710" t="str">
        <f>HYPERLINK("http://bombeiros.sp.gov.br/hidrantes/03individual/4014.html","4014")</f>
        <v>4014</v>
      </c>
      <c r="B4710" t="str">
        <f>HYPERLINK("http://bombeiros.sp.gov.br/hidrantes/08bsg/qrcodeBSG.html?id=4014&amp;lat=-23.64553&amp;long=-46.71097&amp;tipo=C","QRCODE")</f>
        <v>QRCODE</v>
      </c>
      <c r="C4710" t="s">
        <v>5372</v>
      </c>
      <c r="D4710" t="s">
        <v>137</v>
      </c>
      <c r="E4710" t="s">
        <v>256</v>
      </c>
      <c r="F4710" t="s">
        <v>12</v>
      </c>
      <c r="G4710" t="s">
        <v>3378</v>
      </c>
      <c r="H4710">
        <v>0</v>
      </c>
      <c r="I4710">
        <v>2</v>
      </c>
      <c r="J4710">
        <v>0</v>
      </c>
      <c r="K4710">
        <v>0</v>
      </c>
      <c r="L4710">
        <v>0</v>
      </c>
    </row>
    <row r="4711" spans="1:12">
      <c r="A4711" t="str">
        <f>HYPERLINK("http://bombeiros.sp.gov.br/hidrantes/03individual/4388.html","4388")</f>
        <v>4388</v>
      </c>
      <c r="B4711" t="str">
        <f>HYPERLINK("http://bombeiros.sp.gov.br/hidrantes/08bsg/qrcodeBSG.html?id=4388&amp;lat=-23.63048&amp;long=-46.71365&amp;tipo=C","QRCODE")</f>
        <v>QRCODE</v>
      </c>
      <c r="C4711" t="s">
        <v>5372</v>
      </c>
      <c r="D4711" t="s">
        <v>137</v>
      </c>
      <c r="E4711" t="s">
        <v>256</v>
      </c>
      <c r="F4711" t="s">
        <v>12</v>
      </c>
      <c r="G4711" t="s">
        <v>3852</v>
      </c>
      <c r="H4711">
        <v>1</v>
      </c>
      <c r="I4711">
        <v>1</v>
      </c>
      <c r="J4711">
        <v>0</v>
      </c>
      <c r="K4711">
        <v>0</v>
      </c>
      <c r="L4711">
        <v>0</v>
      </c>
    </row>
    <row r="4712" spans="1:12">
      <c r="A4712" t="str">
        <f>HYPERLINK("http://bombeiros.sp.gov.br/hidrantes/03individual/6703.html","6703")</f>
        <v>6703</v>
      </c>
      <c r="B4712" t="str">
        <f>HYPERLINK("http://bombeiros.sp.gov.br/hidrantes/08bsg/qrcodeBSG.html?id=6703&amp;lat=-23.63419&amp;long=-46.70775&amp;tipo=C","QRCODE")</f>
        <v>QRCODE</v>
      </c>
      <c r="C4712" t="s">
        <v>5372</v>
      </c>
      <c r="D4712" t="s">
        <v>137</v>
      </c>
      <c r="E4712" t="s">
        <v>256</v>
      </c>
      <c r="F4712" t="s">
        <v>12</v>
      </c>
      <c r="G4712" t="s">
        <v>4026</v>
      </c>
      <c r="H4712">
        <v>0</v>
      </c>
      <c r="I4712">
        <v>3</v>
      </c>
      <c r="J4712">
        <v>0</v>
      </c>
      <c r="K4712">
        <v>0</v>
      </c>
      <c r="L4712">
        <v>0</v>
      </c>
    </row>
    <row r="4713" spans="1:12">
      <c r="A4713" t="str">
        <f>HYPERLINK("http://bombeiros.sp.gov.br/hidrantes/03individual/6704.html","6704")</f>
        <v>6704</v>
      </c>
      <c r="B4713" t="str">
        <f>HYPERLINK("http://bombeiros.sp.gov.br/hidrantes/08bsg/qrcodeBSG.html?id=6704&amp;lat=-23.63383&amp;long=-46.70757&amp;tipo=C","QRCODE")</f>
        <v>QRCODE</v>
      </c>
      <c r="C4713" t="s">
        <v>5372</v>
      </c>
      <c r="D4713" t="s">
        <v>137</v>
      </c>
      <c r="E4713" t="s">
        <v>256</v>
      </c>
      <c r="F4713" t="s">
        <v>12</v>
      </c>
      <c r="G4713" t="s">
        <v>3740</v>
      </c>
      <c r="H4713">
        <v>0</v>
      </c>
      <c r="I4713">
        <v>1</v>
      </c>
      <c r="J4713">
        <v>0</v>
      </c>
      <c r="K4713">
        <v>0</v>
      </c>
      <c r="L4713">
        <v>0</v>
      </c>
    </row>
    <row r="4714" spans="1:12">
      <c r="A4714" t="str">
        <f>HYPERLINK("http://bombeiros.sp.gov.br/hidrantes/03individual/6705.html","6705")</f>
        <v>6705</v>
      </c>
      <c r="B4714" t="str">
        <f>HYPERLINK("http://bombeiros.sp.gov.br/hidrantes/08bsg/qrcodeBSG.html?id=6705&amp;lat=-23.63523&amp;long=-46.70997&amp;tipo=C","QRCODE")</f>
        <v>QRCODE</v>
      </c>
      <c r="C4714" t="s">
        <v>5372</v>
      </c>
      <c r="D4714" t="s">
        <v>137</v>
      </c>
      <c r="E4714" t="s">
        <v>256</v>
      </c>
      <c r="F4714" t="s">
        <v>12</v>
      </c>
      <c r="G4714" t="s">
        <v>4974</v>
      </c>
      <c r="H4714">
        <v>0</v>
      </c>
      <c r="I4714">
        <v>1</v>
      </c>
      <c r="J4714">
        <v>0</v>
      </c>
      <c r="K4714">
        <v>0</v>
      </c>
      <c r="L4714">
        <v>0</v>
      </c>
    </row>
    <row r="4715" spans="1:12">
      <c r="A4715" t="str">
        <f>HYPERLINK("http://bombeiros.sp.gov.br/hidrantes/03individual/27104.html","27104")</f>
        <v>27104</v>
      </c>
      <c r="B4715" t="str">
        <f>HYPERLINK("http://bombeiros.sp.gov.br/hidrantes/08bsg/qrcodeBSG.html?id=27104&amp;lat=-23.63696&amp;long=-46.71810&amp;tipo=C","QRCODE")</f>
        <v>QRCODE</v>
      </c>
      <c r="C4715" t="s">
        <v>5372</v>
      </c>
      <c r="D4715" t="s">
        <v>137</v>
      </c>
      <c r="E4715" t="s">
        <v>256</v>
      </c>
      <c r="F4715" t="s">
        <v>12</v>
      </c>
      <c r="G4715" t="s">
        <v>4099</v>
      </c>
      <c r="H4715">
        <v>0</v>
      </c>
      <c r="I4715">
        <v>1</v>
      </c>
      <c r="J4715">
        <v>0</v>
      </c>
      <c r="K4715">
        <v>0</v>
      </c>
      <c r="L4715">
        <v>0</v>
      </c>
    </row>
    <row r="4716" spans="1:12">
      <c r="A4716" t="str">
        <f>HYPERLINK("http://bombeiros.sp.gov.br/hidrantes/03individual/27120.html","27120")</f>
        <v>27120</v>
      </c>
      <c r="B4716" t="str">
        <f>HYPERLINK("http://bombeiros.sp.gov.br/hidrantes/08bsg/qrcodeBSG.html?id=27120&amp;lat=-23.63648&amp;long=-46.71709&amp;tipo=C","QRCODE")</f>
        <v>QRCODE</v>
      </c>
      <c r="C4716" t="s">
        <v>5372</v>
      </c>
      <c r="D4716" t="s">
        <v>137</v>
      </c>
      <c r="E4716" t="s">
        <v>256</v>
      </c>
      <c r="F4716" t="s">
        <v>12</v>
      </c>
      <c r="G4716" t="s">
        <v>3660</v>
      </c>
      <c r="H4716">
        <v>0</v>
      </c>
      <c r="I4716">
        <v>1</v>
      </c>
      <c r="J4716">
        <v>0</v>
      </c>
      <c r="K4716">
        <v>0</v>
      </c>
      <c r="L4716">
        <v>0</v>
      </c>
    </row>
    <row r="4717" spans="1:12">
      <c r="A4717" t="str">
        <f>HYPERLINK("http://bombeiros.sp.gov.br/hidrantes/03individual/2356.html","2356")</f>
        <v>2356</v>
      </c>
      <c r="B4717" t="str">
        <f>HYPERLINK("http://bombeiros.sp.gov.br/hidrantes/08bsg/qrcodeBSG.html?id=2356&amp;lat=-23.63177&amp;long=-46.69326&amp;tipo=S","QRCODE")</f>
        <v>QRCODE</v>
      </c>
      <c r="C4717" t="s">
        <v>5372</v>
      </c>
      <c r="D4717" t="s">
        <v>137</v>
      </c>
      <c r="E4717" t="s">
        <v>256</v>
      </c>
      <c r="F4717" t="s">
        <v>21</v>
      </c>
      <c r="G4717" t="s">
        <v>4530</v>
      </c>
      <c r="H4717">
        <v>0</v>
      </c>
      <c r="I4717">
        <v>2</v>
      </c>
      <c r="J4717">
        <v>0</v>
      </c>
      <c r="K4717">
        <v>0</v>
      </c>
      <c r="L4717">
        <v>0</v>
      </c>
    </row>
    <row r="4718" spans="1:12">
      <c r="A4718" t="str">
        <f>HYPERLINK("http://bombeiros.sp.gov.br/hidrantes/03individual/3853.html","3853")</f>
        <v>3853</v>
      </c>
      <c r="B4718" t="str">
        <f>HYPERLINK("http://bombeiros.sp.gov.br/hidrantes/08bsg/qrcodeBSG.html?id=3853&amp;lat=-23.63588&amp;long=-46.69975&amp;tipo=S","QRCODE")</f>
        <v>QRCODE</v>
      </c>
      <c r="C4718" t="s">
        <v>5372</v>
      </c>
      <c r="D4718" t="s">
        <v>137</v>
      </c>
      <c r="E4718" t="s">
        <v>256</v>
      </c>
      <c r="F4718" t="s">
        <v>21</v>
      </c>
      <c r="G4718" t="s">
        <v>4493</v>
      </c>
      <c r="H4718">
        <v>0</v>
      </c>
      <c r="I4718">
        <v>2</v>
      </c>
      <c r="J4718">
        <v>0</v>
      </c>
      <c r="K4718">
        <v>0</v>
      </c>
      <c r="L4718">
        <v>0</v>
      </c>
    </row>
    <row r="4719" spans="1:12">
      <c r="A4719" t="str">
        <f>HYPERLINK("http://bombeiros.sp.gov.br/hidrantes/03individual/3897.html","3897")</f>
        <v>3897</v>
      </c>
      <c r="B4719" t="str">
        <f>HYPERLINK("http://bombeiros.sp.gov.br/hidrantes/08bsg/qrcodeBSG.html?id=3897&amp;lat=-23.62840&amp;long=-46.69190&amp;tipo=S","QRCODE")</f>
        <v>QRCODE</v>
      </c>
      <c r="C4719" t="s">
        <v>5372</v>
      </c>
      <c r="D4719" t="s">
        <v>137</v>
      </c>
      <c r="E4719" t="s">
        <v>256</v>
      </c>
      <c r="F4719" t="s">
        <v>21</v>
      </c>
      <c r="G4719" t="s">
        <v>310</v>
      </c>
      <c r="H4719">
        <v>0</v>
      </c>
      <c r="I4719">
        <v>3</v>
      </c>
      <c r="J4719">
        <v>0</v>
      </c>
      <c r="K4719">
        <v>0</v>
      </c>
      <c r="L4719">
        <v>0</v>
      </c>
    </row>
    <row r="4720" spans="1:12">
      <c r="A4720" t="str">
        <f>HYPERLINK("http://bombeiros.sp.gov.br/hidrantes/03individual/3903.html","3903")</f>
        <v>3903</v>
      </c>
      <c r="B4720" t="str">
        <f>HYPERLINK("http://bombeiros.sp.gov.br/hidrantes/08bsg/qrcodeBSG.html?id=3903&amp;lat=-23.62516&amp;long=-46.69963&amp;tipo=S","QRCODE")</f>
        <v>QRCODE</v>
      </c>
      <c r="C4720" t="s">
        <v>5372</v>
      </c>
      <c r="D4720" t="s">
        <v>137</v>
      </c>
      <c r="E4720" t="s">
        <v>256</v>
      </c>
      <c r="F4720" t="s">
        <v>21</v>
      </c>
      <c r="G4720" t="s">
        <v>3032</v>
      </c>
      <c r="H4720">
        <v>0</v>
      </c>
      <c r="I4720">
        <v>2</v>
      </c>
      <c r="J4720">
        <v>0</v>
      </c>
      <c r="K4720">
        <v>0</v>
      </c>
      <c r="L4720">
        <v>0</v>
      </c>
    </row>
    <row r="4721" spans="1:12">
      <c r="A4721" t="str">
        <f>HYPERLINK("http://bombeiros.sp.gov.br/hidrantes/03individual/4036.html","4036")</f>
        <v>4036</v>
      </c>
      <c r="B4721" t="str">
        <f>HYPERLINK("http://bombeiros.sp.gov.br/hidrantes/08bsg/qrcodeBSG.html?id=4036&amp;lat=-23.62582&amp;long=-46.70841&amp;tipo=S","QRCODE")</f>
        <v>QRCODE</v>
      </c>
      <c r="C4721" t="s">
        <v>5372</v>
      </c>
      <c r="D4721" t="s">
        <v>137</v>
      </c>
      <c r="E4721" t="s">
        <v>256</v>
      </c>
      <c r="F4721" t="s">
        <v>21</v>
      </c>
      <c r="G4721" t="s">
        <v>5123</v>
      </c>
      <c r="H4721">
        <v>0</v>
      </c>
      <c r="I4721">
        <v>1</v>
      </c>
      <c r="J4721">
        <v>0</v>
      </c>
      <c r="K4721">
        <v>0</v>
      </c>
      <c r="L4721">
        <v>0</v>
      </c>
    </row>
    <row r="4722" spans="1:12">
      <c r="A4722" t="str">
        <f>HYPERLINK("http://bombeiros.sp.gov.br/hidrantes/03individual/4037.html","4037")</f>
        <v>4037</v>
      </c>
      <c r="B4722" t="str">
        <f>HYPERLINK("http://bombeiros.sp.gov.br/hidrantes/08bsg/qrcodeBSG.html?id=4037&amp;lat=-23.62851&amp;long=-46.70379&amp;tipo=S","QRCODE")</f>
        <v>QRCODE</v>
      </c>
      <c r="C4722" t="s">
        <v>5372</v>
      </c>
      <c r="D4722" t="s">
        <v>137</v>
      </c>
      <c r="E4722" t="s">
        <v>256</v>
      </c>
      <c r="F4722" t="s">
        <v>21</v>
      </c>
      <c r="G4722" t="s">
        <v>4488</v>
      </c>
      <c r="H4722">
        <v>0</v>
      </c>
      <c r="I4722">
        <v>2</v>
      </c>
      <c r="J4722">
        <v>0</v>
      </c>
      <c r="K4722">
        <v>0</v>
      </c>
      <c r="L4722">
        <v>0</v>
      </c>
    </row>
    <row r="4723" spans="1:12">
      <c r="A4723" t="str">
        <f>HYPERLINK("http://bombeiros.sp.gov.br/hidrantes/03individual/4049.html","4049")</f>
        <v>4049</v>
      </c>
      <c r="B4723" t="str">
        <f>HYPERLINK("http://bombeiros.sp.gov.br/hidrantes/08bsg/qrcodeBSG.html?id=4049&amp;lat=-23.63707&amp;long=-46.70059&amp;tipo=S","QRCODE")</f>
        <v>QRCODE</v>
      </c>
      <c r="C4723" t="s">
        <v>5372</v>
      </c>
      <c r="D4723" t="s">
        <v>137</v>
      </c>
      <c r="E4723" t="s">
        <v>256</v>
      </c>
      <c r="F4723" t="s">
        <v>21</v>
      </c>
      <c r="G4723" t="s">
        <v>2274</v>
      </c>
      <c r="H4723">
        <v>0</v>
      </c>
      <c r="I4723">
        <v>2</v>
      </c>
      <c r="J4723">
        <v>0</v>
      </c>
      <c r="K4723">
        <v>0</v>
      </c>
      <c r="L4723">
        <v>0</v>
      </c>
    </row>
    <row r="4724" spans="1:12">
      <c r="A4724" t="str">
        <f>HYPERLINK("http://bombeiros.sp.gov.br/hidrantes/03individual/4050.html","4050")</f>
        <v>4050</v>
      </c>
      <c r="B4724" t="str">
        <f>HYPERLINK("http://bombeiros.sp.gov.br/hidrantes/08bsg/qrcodeBSG.html?id=4050&amp;lat=-23.64359&amp;long=-46.70142&amp;tipo=S","QRCODE")</f>
        <v>QRCODE</v>
      </c>
      <c r="C4724" t="s">
        <v>5372</v>
      </c>
      <c r="D4724" t="s">
        <v>137</v>
      </c>
      <c r="E4724" t="s">
        <v>256</v>
      </c>
      <c r="F4724" t="s">
        <v>21</v>
      </c>
      <c r="G4724" t="s">
        <v>2275</v>
      </c>
      <c r="H4724">
        <v>0</v>
      </c>
      <c r="I4724">
        <v>2</v>
      </c>
      <c r="J4724">
        <v>0</v>
      </c>
      <c r="K4724">
        <v>0</v>
      </c>
      <c r="L4724">
        <v>0</v>
      </c>
    </row>
    <row r="4725" spans="1:12">
      <c r="A4725" t="str">
        <f>HYPERLINK("http://bombeiros.sp.gov.br/hidrantes/03individual/4051.html","4051")</f>
        <v>4051</v>
      </c>
      <c r="B4725" t="str">
        <f>HYPERLINK("http://bombeiros.sp.gov.br/hidrantes/08bsg/qrcodeBSG.html?id=4051&amp;lat=-23.64421&amp;long=-46.70256&amp;tipo=S","QRCODE")</f>
        <v>QRCODE</v>
      </c>
      <c r="C4725" t="s">
        <v>5372</v>
      </c>
      <c r="D4725" t="s">
        <v>137</v>
      </c>
      <c r="E4725" t="s">
        <v>256</v>
      </c>
      <c r="F4725" t="s">
        <v>21</v>
      </c>
      <c r="G4725" t="s">
        <v>3730</v>
      </c>
      <c r="H4725">
        <v>1</v>
      </c>
      <c r="I4725">
        <v>1</v>
      </c>
      <c r="J4725">
        <v>0</v>
      </c>
      <c r="K4725">
        <v>0</v>
      </c>
      <c r="L4725">
        <v>0</v>
      </c>
    </row>
    <row r="4726" spans="1:12">
      <c r="A4726" t="str">
        <f>HYPERLINK("http://bombeiros.sp.gov.br/hidrantes/03individual/4058.html","4058")</f>
        <v>4058</v>
      </c>
      <c r="B4726" t="str">
        <f>HYPERLINK("http://bombeiros.sp.gov.br/hidrantes/08bsg/qrcodeBSG.html?id=4058&amp;lat=-23.64321&amp;long=-46.71588&amp;tipo=S","QRCODE")</f>
        <v>QRCODE</v>
      </c>
      <c r="C4726" t="s">
        <v>5372</v>
      </c>
      <c r="D4726" t="s">
        <v>137</v>
      </c>
      <c r="E4726" t="s">
        <v>256</v>
      </c>
      <c r="F4726" t="s">
        <v>21</v>
      </c>
      <c r="G4726" t="s">
        <v>4060</v>
      </c>
      <c r="H4726">
        <v>0</v>
      </c>
      <c r="I4726">
        <v>1</v>
      </c>
      <c r="J4726">
        <v>0</v>
      </c>
      <c r="K4726">
        <v>0</v>
      </c>
      <c r="L4726">
        <v>0</v>
      </c>
    </row>
    <row r="4727" spans="1:12">
      <c r="A4727" t="str">
        <f>HYPERLINK("http://bombeiros.sp.gov.br/hidrantes/03individual/4059.html","4059")</f>
        <v>4059</v>
      </c>
      <c r="B4727" t="str">
        <f>HYPERLINK("http://bombeiros.sp.gov.br/hidrantes/08bsg/qrcodeBSG.html?id=4059&amp;lat=-23.64365&amp;long=-46.71157&amp;tipo=S","QRCODE")</f>
        <v>QRCODE</v>
      </c>
      <c r="C4727" t="s">
        <v>5372</v>
      </c>
      <c r="D4727" t="s">
        <v>137</v>
      </c>
      <c r="E4727" t="s">
        <v>256</v>
      </c>
      <c r="F4727" t="s">
        <v>21</v>
      </c>
      <c r="G4727" t="s">
        <v>3377</v>
      </c>
      <c r="H4727">
        <v>0</v>
      </c>
      <c r="I4727">
        <v>2</v>
      </c>
      <c r="J4727">
        <v>0</v>
      </c>
      <c r="K4727">
        <v>0</v>
      </c>
      <c r="L4727">
        <v>0</v>
      </c>
    </row>
    <row r="4728" spans="1:12">
      <c r="A4728" t="str">
        <f>HYPERLINK("http://bombeiros.sp.gov.br/hidrantes/03individual/4215.html","4215")</f>
        <v>4215</v>
      </c>
      <c r="B4728" t="str">
        <f>HYPERLINK("http://bombeiros.sp.gov.br/hidrantes/08bsg/qrcodeBSG.html?id=4215&amp;lat=-23.62877&amp;long=-46.69323&amp;tipo=S","QRCODE")</f>
        <v>QRCODE</v>
      </c>
      <c r="C4728" t="s">
        <v>5372</v>
      </c>
      <c r="D4728" t="s">
        <v>137</v>
      </c>
      <c r="E4728" t="s">
        <v>256</v>
      </c>
      <c r="F4728" t="s">
        <v>21</v>
      </c>
      <c r="G4728" t="s">
        <v>5196</v>
      </c>
      <c r="H4728">
        <v>0</v>
      </c>
      <c r="I4728">
        <v>1</v>
      </c>
      <c r="J4728">
        <v>0</v>
      </c>
      <c r="K4728">
        <v>0</v>
      </c>
      <c r="L4728">
        <v>0</v>
      </c>
    </row>
    <row r="4729" spans="1:12">
      <c r="A4729" t="str">
        <f>HYPERLINK("http://bombeiros.sp.gov.br/hidrantes/03individual/4374.html","4374")</f>
        <v>4374</v>
      </c>
      <c r="B4729" t="str">
        <f>HYPERLINK("http://bombeiros.sp.gov.br/hidrantes/08bsg/qrcodeBSG.html?id=4374&amp;lat=-23.63953&amp;long=-46.69807&amp;tipo=S","QRCODE")</f>
        <v>QRCODE</v>
      </c>
      <c r="C4729" t="s">
        <v>5372</v>
      </c>
      <c r="D4729" t="s">
        <v>137</v>
      </c>
      <c r="E4729" t="s">
        <v>256</v>
      </c>
      <c r="F4729" t="s">
        <v>21</v>
      </c>
      <c r="G4729" t="s">
        <v>2281</v>
      </c>
      <c r="H4729">
        <v>0</v>
      </c>
      <c r="I4729">
        <v>2</v>
      </c>
      <c r="J4729">
        <v>0</v>
      </c>
      <c r="K4729">
        <v>0</v>
      </c>
      <c r="L4729">
        <v>0</v>
      </c>
    </row>
    <row r="4730" spans="1:12">
      <c r="A4730" t="str">
        <f>HYPERLINK("http://bombeiros.sp.gov.br/hidrantes/03individual/4391.html","4391")</f>
        <v>4391</v>
      </c>
      <c r="B4730" t="str">
        <f>HYPERLINK("http://bombeiros.sp.gov.br/hidrantes/08bsg/qrcodeBSG.html?id=4391&amp;lat=-23.63139&amp;long=-46.70019&amp;tipo=S","QRCODE")</f>
        <v>QRCODE</v>
      </c>
      <c r="C4730" t="s">
        <v>5372</v>
      </c>
      <c r="D4730" t="s">
        <v>137</v>
      </c>
      <c r="E4730" t="s">
        <v>256</v>
      </c>
      <c r="F4730" t="s">
        <v>21</v>
      </c>
      <c r="G4730" t="s">
        <v>4503</v>
      </c>
      <c r="H4730">
        <v>0</v>
      </c>
      <c r="I4730">
        <v>2</v>
      </c>
      <c r="J4730">
        <v>0</v>
      </c>
      <c r="K4730">
        <v>0</v>
      </c>
      <c r="L4730">
        <v>0</v>
      </c>
    </row>
    <row r="4731" spans="1:12">
      <c r="A4731" t="str">
        <f>HYPERLINK("http://bombeiros.sp.gov.br/hidrantes/03individual/4394.html","4394")</f>
        <v>4394</v>
      </c>
      <c r="B4731" t="str">
        <f>HYPERLINK("http://bombeiros.sp.gov.br/hidrantes/08bsg/qrcodeBSG.html?id=4394&amp;lat=-23.64504&amp;long=-46.71369&amp;tipo=S","QRCODE")</f>
        <v>QRCODE</v>
      </c>
      <c r="C4731" t="s">
        <v>5372</v>
      </c>
      <c r="D4731" t="s">
        <v>137</v>
      </c>
      <c r="E4731" t="s">
        <v>256</v>
      </c>
      <c r="F4731" t="s">
        <v>21</v>
      </c>
      <c r="G4731" t="s">
        <v>3449</v>
      </c>
      <c r="H4731">
        <v>0</v>
      </c>
      <c r="I4731">
        <v>2</v>
      </c>
      <c r="J4731">
        <v>0</v>
      </c>
      <c r="K4731">
        <v>0</v>
      </c>
      <c r="L4731">
        <v>0</v>
      </c>
    </row>
    <row r="4732" spans="1:12">
      <c r="A4732" t="str">
        <f>HYPERLINK("http://bombeiros.sp.gov.br/hidrantes/03individual/4428.html","4428")</f>
        <v>4428</v>
      </c>
      <c r="B4732" t="str">
        <f>HYPERLINK("http://bombeiros.sp.gov.br/hidrantes/08bsg/qrcodeBSG.html?id=4428&amp;lat=-23.64227&amp;long=-46.70217&amp;tipo=S","QRCODE")</f>
        <v>QRCODE</v>
      </c>
      <c r="C4732" t="s">
        <v>5372</v>
      </c>
      <c r="D4732" t="s">
        <v>137</v>
      </c>
      <c r="E4732" t="s">
        <v>256</v>
      </c>
      <c r="F4732" t="s">
        <v>21</v>
      </c>
      <c r="G4732" t="s">
        <v>2284</v>
      </c>
      <c r="H4732">
        <v>0</v>
      </c>
      <c r="I4732">
        <v>2</v>
      </c>
      <c r="J4732">
        <v>0</v>
      </c>
      <c r="K4732">
        <v>0</v>
      </c>
      <c r="L4732">
        <v>0</v>
      </c>
    </row>
    <row r="4733" spans="1:12">
      <c r="A4733" t="str">
        <f>HYPERLINK("http://bombeiros.sp.gov.br/hidrantes/03individual/6702.html","6702")</f>
        <v>6702</v>
      </c>
      <c r="B4733" t="str">
        <f>HYPERLINK("http://bombeiros.sp.gov.br/hidrantes/08bsg/qrcodeBSG.html?id=6702&amp;lat=-23.63922&amp;long=-46.70900&amp;tipo=S","QRCODE")</f>
        <v>QRCODE</v>
      </c>
      <c r="C4733" t="s">
        <v>5372</v>
      </c>
      <c r="D4733" t="s">
        <v>137</v>
      </c>
      <c r="E4733" t="s">
        <v>256</v>
      </c>
      <c r="F4733" t="s">
        <v>21</v>
      </c>
      <c r="G4733" t="s">
        <v>4025</v>
      </c>
      <c r="H4733">
        <v>0</v>
      </c>
      <c r="I4733">
        <v>1</v>
      </c>
      <c r="J4733">
        <v>0</v>
      </c>
      <c r="K4733">
        <v>0</v>
      </c>
      <c r="L4733">
        <v>0</v>
      </c>
    </row>
    <row r="4734" spans="1:12">
      <c r="A4734" t="str">
        <f>HYPERLINK("http://bombeiros.sp.gov.br/hidrantes/03individual/6706.html","6706")</f>
        <v>6706</v>
      </c>
      <c r="B4734" t="str">
        <f>HYPERLINK("http://bombeiros.sp.gov.br/hidrantes/08bsg/qrcodeBSG.html?id=6706&amp;lat=-23.63524&amp;long=-46.70927&amp;tipo=S","QRCODE")</f>
        <v>QRCODE</v>
      </c>
      <c r="C4734" t="s">
        <v>5372</v>
      </c>
      <c r="D4734" t="s">
        <v>137</v>
      </c>
      <c r="E4734" t="s">
        <v>256</v>
      </c>
      <c r="F4734" t="s">
        <v>21</v>
      </c>
      <c r="G4734" t="s">
        <v>4504</v>
      </c>
      <c r="H4734">
        <v>1</v>
      </c>
      <c r="I4734">
        <v>1</v>
      </c>
      <c r="J4734">
        <v>0</v>
      </c>
      <c r="K4734">
        <v>0</v>
      </c>
      <c r="L4734">
        <v>0</v>
      </c>
    </row>
    <row r="4735" spans="1:12">
      <c r="A4735" t="str">
        <f>HYPERLINK("http://bombeiros.sp.gov.br/hidrantes/03individual/6712.html","6712")</f>
        <v>6712</v>
      </c>
      <c r="B4735" t="str">
        <f>HYPERLINK("http://bombeiros.sp.gov.br/hidrantes/08bsg/qrcodeBSG.html?id=6712&amp;lat=-23.63270&amp;long=-46.69441&amp;tipo=S","QRCODE")</f>
        <v>QRCODE</v>
      </c>
      <c r="C4735" t="s">
        <v>5372</v>
      </c>
      <c r="D4735" t="s">
        <v>137</v>
      </c>
      <c r="E4735" t="s">
        <v>256</v>
      </c>
      <c r="F4735" t="s">
        <v>21</v>
      </c>
      <c r="G4735" t="s">
        <v>4975</v>
      </c>
      <c r="H4735">
        <v>0</v>
      </c>
      <c r="I4735">
        <v>1</v>
      </c>
      <c r="J4735">
        <v>0</v>
      </c>
      <c r="K4735">
        <v>0</v>
      </c>
      <c r="L4735">
        <v>0</v>
      </c>
    </row>
    <row r="4736" spans="1:12">
      <c r="A4736" t="str">
        <f>HYPERLINK("http://bombeiros.sp.gov.br/hidrantes/03individual/6723.html","6723")</f>
        <v>6723</v>
      </c>
      <c r="B4736" t="str">
        <f>HYPERLINK("http://bombeiros.sp.gov.br/hidrantes/08bsg/qrcodeBSG.html?id=6723&amp;lat=-23.64286&amp;long=-46.70599&amp;tipo=S","QRCODE")</f>
        <v>QRCODE</v>
      </c>
      <c r="C4736" t="s">
        <v>5372</v>
      </c>
      <c r="D4736" t="s">
        <v>137</v>
      </c>
      <c r="E4736" t="s">
        <v>256</v>
      </c>
      <c r="F4736" t="s">
        <v>21</v>
      </c>
      <c r="G4736" t="s">
        <v>3363</v>
      </c>
      <c r="H4736">
        <v>0</v>
      </c>
      <c r="I4736">
        <v>2</v>
      </c>
      <c r="J4736">
        <v>0</v>
      </c>
      <c r="K4736">
        <v>0</v>
      </c>
      <c r="L4736">
        <v>0</v>
      </c>
    </row>
    <row r="4737" spans="1:12">
      <c r="A4737" t="str">
        <f>HYPERLINK("http://bombeiros.sp.gov.br/hidrantes/03individual/6724.html","6724")</f>
        <v>6724</v>
      </c>
      <c r="B4737" t="str">
        <f>HYPERLINK("http://bombeiros.sp.gov.br/hidrantes/08bsg/qrcodeBSG.html?id=6724&amp;lat=-23.64222&amp;long=-46.70638&amp;tipo=S","QRCODE")</f>
        <v>QRCODE</v>
      </c>
      <c r="C4737" t="s">
        <v>5372</v>
      </c>
      <c r="D4737" t="s">
        <v>137</v>
      </c>
      <c r="E4737" t="s">
        <v>256</v>
      </c>
      <c r="F4737" t="s">
        <v>21</v>
      </c>
      <c r="G4737" t="s">
        <v>4215</v>
      </c>
      <c r="H4737">
        <v>0</v>
      </c>
      <c r="I4737">
        <v>1</v>
      </c>
      <c r="J4737">
        <v>0</v>
      </c>
      <c r="K4737">
        <v>0</v>
      </c>
      <c r="L4737">
        <v>0</v>
      </c>
    </row>
    <row r="4738" spans="1:12">
      <c r="A4738" t="str">
        <f>HYPERLINK("http://bombeiros.sp.gov.br/hidrantes/03individual/6725.html","6725")</f>
        <v>6725</v>
      </c>
      <c r="B4738" t="str">
        <f>HYPERLINK("http://bombeiros.sp.gov.br/hidrantes/08bsg/qrcodeBSG.html?id=6725&amp;lat=-23.64341&amp;long=-46.70667&amp;tipo=S","QRCODE")</f>
        <v>QRCODE</v>
      </c>
      <c r="C4738" t="s">
        <v>5372</v>
      </c>
      <c r="D4738" t="s">
        <v>137</v>
      </c>
      <c r="E4738" t="s">
        <v>256</v>
      </c>
      <c r="F4738" t="s">
        <v>21</v>
      </c>
      <c r="G4738" t="s">
        <v>4752</v>
      </c>
      <c r="H4738">
        <v>1</v>
      </c>
      <c r="I4738">
        <v>1</v>
      </c>
      <c r="J4738">
        <v>0</v>
      </c>
      <c r="K4738">
        <v>0</v>
      </c>
      <c r="L4738">
        <v>0</v>
      </c>
    </row>
    <row r="4739" spans="1:12">
      <c r="A4739" t="str">
        <f>HYPERLINK("http://bombeiros.sp.gov.br/hidrantes/03individual/16535.html","16535")</f>
        <v>16535</v>
      </c>
      <c r="B4739" t="str">
        <f>HYPERLINK("http://bombeiros.sp.gov.br/hidrantes/08bsg/qrcodeBSG.html?id=16535&amp;lat=-23.62983&amp;long=-46.69467&amp;tipo=S","QRCODE")</f>
        <v>QRCODE</v>
      </c>
      <c r="C4739" t="s">
        <v>5372</v>
      </c>
      <c r="D4739" t="s">
        <v>137</v>
      </c>
      <c r="E4739" t="s">
        <v>256</v>
      </c>
      <c r="F4739" t="s">
        <v>21</v>
      </c>
      <c r="G4739" t="s">
        <v>255</v>
      </c>
      <c r="H4739">
        <v>0</v>
      </c>
      <c r="I4739">
        <v>3</v>
      </c>
      <c r="J4739">
        <v>0</v>
      </c>
      <c r="K4739">
        <v>0</v>
      </c>
      <c r="L4739">
        <v>0</v>
      </c>
    </row>
    <row r="4740" spans="1:12">
      <c r="A4740" t="str">
        <f>HYPERLINK("http://bombeiros.sp.gov.br/hidrantes/03individual/16609.html","16609")</f>
        <v>16609</v>
      </c>
      <c r="B4740" t="str">
        <f>HYPERLINK("http://bombeiros.sp.gov.br/hidrantes/08bsg/qrcodeBSG.html?id=16609&amp;lat=-23.64037&amp;long=-46.69854&amp;tipo=S","QRCODE")</f>
        <v>QRCODE</v>
      </c>
      <c r="C4740" t="s">
        <v>5372</v>
      </c>
      <c r="D4740" t="s">
        <v>137</v>
      </c>
      <c r="E4740" t="s">
        <v>256</v>
      </c>
      <c r="F4740" t="s">
        <v>21</v>
      </c>
      <c r="G4740" t="s">
        <v>492</v>
      </c>
      <c r="H4740">
        <v>0</v>
      </c>
      <c r="I4740">
        <v>3</v>
      </c>
      <c r="J4740">
        <v>0</v>
      </c>
      <c r="K4740">
        <v>0</v>
      </c>
      <c r="L4740">
        <v>0</v>
      </c>
    </row>
    <row r="4741" spans="1:12">
      <c r="A4741" t="str">
        <f>HYPERLINK("http://bombeiros.sp.gov.br/hidrantes/03individual/16610.html","16610")</f>
        <v>16610</v>
      </c>
      <c r="B4741" t="str">
        <f>HYPERLINK("http://bombeiros.sp.gov.br/hidrantes/08bsg/qrcodeBSG.html?id=16610&amp;lat=-23.63987&amp;long=-46.70407&amp;tipo=S","QRCODE")</f>
        <v>QRCODE</v>
      </c>
      <c r="C4741" t="s">
        <v>5372</v>
      </c>
      <c r="D4741" t="s">
        <v>137</v>
      </c>
      <c r="E4741" t="s">
        <v>256</v>
      </c>
      <c r="F4741" t="s">
        <v>21</v>
      </c>
      <c r="G4741" t="s">
        <v>657</v>
      </c>
      <c r="H4741">
        <v>1</v>
      </c>
      <c r="I4741">
        <v>2</v>
      </c>
      <c r="J4741">
        <v>0</v>
      </c>
      <c r="K4741">
        <v>0</v>
      </c>
      <c r="L4741">
        <v>0</v>
      </c>
    </row>
    <row r="4742" spans="1:12">
      <c r="A4742" t="str">
        <f>HYPERLINK("http://bombeiros.sp.gov.br/hidrantes/03individual/16611.html","16611")</f>
        <v>16611</v>
      </c>
      <c r="B4742" t="str">
        <f>HYPERLINK("http://bombeiros.sp.gov.br/hidrantes/08bsg/qrcodeBSG.html?id=16611&amp;lat=-23.63862&amp;long=-46.70202&amp;tipo=S","QRCODE")</f>
        <v>QRCODE</v>
      </c>
      <c r="C4742" t="s">
        <v>5372</v>
      </c>
      <c r="D4742" t="s">
        <v>137</v>
      </c>
      <c r="E4742" t="s">
        <v>256</v>
      </c>
      <c r="F4742" t="s">
        <v>21</v>
      </c>
      <c r="G4742" t="s">
        <v>3653</v>
      </c>
      <c r="H4742">
        <v>1</v>
      </c>
      <c r="I4742">
        <v>1</v>
      </c>
      <c r="J4742">
        <v>0</v>
      </c>
      <c r="K4742">
        <v>0</v>
      </c>
      <c r="L4742">
        <v>0</v>
      </c>
    </row>
    <row r="4743" spans="1:12">
      <c r="A4743" t="str">
        <f>HYPERLINK("http://bombeiros.sp.gov.br/hidrantes/03individual/17712.html","17712")</f>
        <v>17712</v>
      </c>
      <c r="B4743" t="str">
        <f>HYPERLINK("http://bombeiros.sp.gov.br/hidrantes/08bsg/qrcodeBSG.html?id=17712&amp;lat=-23.64442&amp;long=-46.71862&amp;tipo=S","QRCODE")</f>
        <v>QRCODE</v>
      </c>
      <c r="C4743" t="s">
        <v>5372</v>
      </c>
      <c r="D4743" t="s">
        <v>137</v>
      </c>
      <c r="E4743" t="s">
        <v>256</v>
      </c>
      <c r="F4743" t="s">
        <v>21</v>
      </c>
      <c r="G4743" t="s">
        <v>257</v>
      </c>
      <c r="H4743">
        <v>1</v>
      </c>
      <c r="I4743">
        <v>2</v>
      </c>
      <c r="J4743">
        <v>0</v>
      </c>
      <c r="K4743">
        <v>0</v>
      </c>
      <c r="L4743">
        <v>0</v>
      </c>
    </row>
    <row r="4744" spans="1:12">
      <c r="A4744" t="str">
        <f>HYPERLINK("http://bombeiros.sp.gov.br/hidrantes/03individual/26816.html","26816")</f>
        <v>26816</v>
      </c>
      <c r="B4744" t="str">
        <f>HYPERLINK("http://bombeiros.sp.gov.br/hidrantes/08bsg/qrcodeBSG.html?id=26816&amp;lat=-23.63730&amp;long=-46.70410&amp;tipo=S","QRCODE")</f>
        <v>QRCODE</v>
      </c>
      <c r="C4744" t="s">
        <v>5372</v>
      </c>
      <c r="D4744" t="s">
        <v>137</v>
      </c>
      <c r="E4744" t="s">
        <v>256</v>
      </c>
      <c r="F4744" t="s">
        <v>21</v>
      </c>
      <c r="G4744" t="s">
        <v>4086</v>
      </c>
      <c r="H4744">
        <v>0</v>
      </c>
      <c r="I4744">
        <v>1</v>
      </c>
      <c r="J4744">
        <v>0</v>
      </c>
      <c r="K4744">
        <v>0</v>
      </c>
      <c r="L4744">
        <v>0</v>
      </c>
    </row>
    <row r="4745" spans="1:12">
      <c r="A4745" t="str">
        <f>HYPERLINK("http://bombeiros.sp.gov.br/hidrantes/03individual/26821.html","26821")</f>
        <v>26821</v>
      </c>
      <c r="B4745" t="str">
        <f>HYPERLINK("http://bombeiros.sp.gov.br/hidrantes/08bsg/qrcodeBSG.html?id=26821&amp;lat=-23.64104&amp;long=-46.70291&amp;tipo=S","QRCODE")</f>
        <v>QRCODE</v>
      </c>
      <c r="C4745" t="s">
        <v>5372</v>
      </c>
      <c r="D4745" t="s">
        <v>137</v>
      </c>
      <c r="E4745" t="s">
        <v>256</v>
      </c>
      <c r="F4745" t="s">
        <v>21</v>
      </c>
      <c r="G4745" t="s">
        <v>4085</v>
      </c>
      <c r="H4745">
        <v>0</v>
      </c>
      <c r="I4745">
        <v>1</v>
      </c>
      <c r="J4745">
        <v>0</v>
      </c>
      <c r="K4745">
        <v>0</v>
      </c>
      <c r="L4745">
        <v>0</v>
      </c>
    </row>
    <row r="4746" spans="1:12">
      <c r="A4746" t="str">
        <f>HYPERLINK("http://bombeiros.sp.gov.br/hidrantes/03individual/3856.html","3856")</f>
        <v>3856</v>
      </c>
      <c r="B4746" t="str">
        <f>HYPERLINK("http://bombeiros.sp.gov.br/hidrantes/08bsg/qrcodeBSG.html?id=3856&amp;lat=-23.65074&amp;long=-46.70024&amp;tipo=C","QRCODE")</f>
        <v>QRCODE</v>
      </c>
      <c r="C4746" t="s">
        <v>5372</v>
      </c>
      <c r="D4746" t="s">
        <v>137</v>
      </c>
      <c r="E4746" t="s">
        <v>137</v>
      </c>
      <c r="F4746" t="s">
        <v>12</v>
      </c>
      <c r="G4746" t="s">
        <v>4492</v>
      </c>
      <c r="H4746">
        <v>0</v>
      </c>
      <c r="I4746">
        <v>2</v>
      </c>
      <c r="J4746">
        <v>0</v>
      </c>
      <c r="K4746">
        <v>0</v>
      </c>
      <c r="L4746">
        <v>0</v>
      </c>
    </row>
    <row r="4747" spans="1:12">
      <c r="A4747" t="str">
        <f>HYPERLINK("http://bombeiros.sp.gov.br/hidrantes/03individual/119.html","119")</f>
        <v>119</v>
      </c>
      <c r="B4747" t="str">
        <f>HYPERLINK("http://bombeiros.sp.gov.br/hidrantes/08bsg/qrcodeBSG.html?id=119&amp;lat=-23.64462&amp;long=-46.70017&amp;tipo=S","QRCODE")</f>
        <v>QRCODE</v>
      </c>
      <c r="C4747" t="s">
        <v>5372</v>
      </c>
      <c r="D4747" t="s">
        <v>137</v>
      </c>
      <c r="E4747" t="s">
        <v>137</v>
      </c>
      <c r="F4747" t="s">
        <v>21</v>
      </c>
      <c r="G4747" t="s">
        <v>605</v>
      </c>
      <c r="H4747">
        <v>0</v>
      </c>
      <c r="I4747">
        <v>2</v>
      </c>
      <c r="J4747">
        <v>0</v>
      </c>
      <c r="K4747">
        <v>0</v>
      </c>
      <c r="L4747">
        <v>0</v>
      </c>
    </row>
    <row r="4748" spans="1:12">
      <c r="A4748" t="str">
        <f>HYPERLINK("http://bombeiros.sp.gov.br/hidrantes/03individual/3799.html","3799")</f>
        <v>3799</v>
      </c>
      <c r="B4748" t="str">
        <f>HYPERLINK("http://bombeiros.sp.gov.br/hidrantes/08bsg/qrcodeBSG.html?id=3799&amp;lat=-23.65869&amp;long=-46.69911&amp;tipo=S","QRCODE")</f>
        <v>QRCODE</v>
      </c>
      <c r="C4748" t="s">
        <v>5372</v>
      </c>
      <c r="D4748" t="s">
        <v>137</v>
      </c>
      <c r="E4748" t="s">
        <v>137</v>
      </c>
      <c r="F4748" t="s">
        <v>21</v>
      </c>
      <c r="G4748" t="s">
        <v>3734</v>
      </c>
      <c r="H4748">
        <v>1</v>
      </c>
      <c r="I4748">
        <v>1</v>
      </c>
      <c r="J4748">
        <v>0</v>
      </c>
      <c r="K4748">
        <v>0</v>
      </c>
      <c r="L4748">
        <v>0</v>
      </c>
    </row>
    <row r="4749" spans="1:12">
      <c r="A4749" t="str">
        <f>HYPERLINK("http://bombeiros.sp.gov.br/hidrantes/03individual/3833.html","3833")</f>
        <v>3833</v>
      </c>
      <c r="B4749" t="str">
        <f>HYPERLINK("http://bombeiros.sp.gov.br/hidrantes/08bsg/qrcodeBSG.html?id=3833&amp;lat=-23.65310&amp;long=-46.69719&amp;tipo=S","QRCODE")</f>
        <v>QRCODE</v>
      </c>
      <c r="C4749" t="s">
        <v>5372</v>
      </c>
      <c r="D4749" t="s">
        <v>137</v>
      </c>
      <c r="E4749" t="s">
        <v>137</v>
      </c>
      <c r="F4749" t="s">
        <v>21</v>
      </c>
      <c r="G4749" t="s">
        <v>4424</v>
      </c>
      <c r="H4749">
        <v>0</v>
      </c>
      <c r="I4749">
        <v>2</v>
      </c>
      <c r="J4749">
        <v>0</v>
      </c>
      <c r="K4749">
        <v>0</v>
      </c>
      <c r="L4749">
        <v>0</v>
      </c>
    </row>
    <row r="4750" spans="1:12">
      <c r="A4750" t="str">
        <f>HYPERLINK("http://bombeiros.sp.gov.br/hidrantes/03individual/3836.html","3836")</f>
        <v>3836</v>
      </c>
      <c r="B4750" t="str">
        <f>HYPERLINK("http://bombeiros.sp.gov.br/hidrantes/08bsg/qrcodeBSG.html?id=3836&amp;lat=-23.65327&amp;long=-46.69788&amp;tipo=S","QRCODE")</f>
        <v>QRCODE</v>
      </c>
      <c r="C4750" t="s">
        <v>5372</v>
      </c>
      <c r="D4750" t="s">
        <v>137</v>
      </c>
      <c r="E4750" t="s">
        <v>137</v>
      </c>
      <c r="F4750" t="s">
        <v>21</v>
      </c>
      <c r="G4750" t="s">
        <v>4418</v>
      </c>
      <c r="H4750">
        <v>0</v>
      </c>
      <c r="I4750">
        <v>2</v>
      </c>
      <c r="J4750">
        <v>0</v>
      </c>
      <c r="K4750">
        <v>0</v>
      </c>
      <c r="L4750">
        <v>0</v>
      </c>
    </row>
    <row r="4751" spans="1:12">
      <c r="A4751" t="str">
        <f>HYPERLINK("http://bombeiros.sp.gov.br/hidrantes/03individual/3837.html","3837")</f>
        <v>3837</v>
      </c>
      <c r="B4751" t="str">
        <f>HYPERLINK("http://bombeiros.sp.gov.br/hidrantes/08bsg/qrcodeBSG.html?id=3837&amp;lat=-23.65364&amp;long=-46.69996&amp;tipo=S","QRCODE")</f>
        <v>QRCODE</v>
      </c>
      <c r="C4751" t="s">
        <v>5372</v>
      </c>
      <c r="D4751" t="s">
        <v>137</v>
      </c>
      <c r="E4751" t="s">
        <v>137</v>
      </c>
      <c r="F4751" t="s">
        <v>21</v>
      </c>
      <c r="G4751" t="s">
        <v>3372</v>
      </c>
      <c r="H4751">
        <v>2</v>
      </c>
      <c r="I4751">
        <v>2</v>
      </c>
      <c r="J4751">
        <v>0</v>
      </c>
      <c r="K4751">
        <v>0</v>
      </c>
      <c r="L4751">
        <v>0</v>
      </c>
    </row>
    <row r="4752" spans="1:12">
      <c r="A4752" t="str">
        <f>HYPERLINK("http://bombeiros.sp.gov.br/hidrantes/03individual/4052.html","4052")</f>
        <v>4052</v>
      </c>
      <c r="B4752" t="str">
        <f>HYPERLINK("http://bombeiros.sp.gov.br/hidrantes/08bsg/qrcodeBSG.html?id=4052&amp;lat=-23.64635&amp;long=-46.70429&amp;tipo=S","QRCODE")</f>
        <v>QRCODE</v>
      </c>
      <c r="C4752" t="s">
        <v>5372</v>
      </c>
      <c r="D4752" t="s">
        <v>137</v>
      </c>
      <c r="E4752" t="s">
        <v>137</v>
      </c>
      <c r="F4752" t="s">
        <v>21</v>
      </c>
      <c r="G4752" t="s">
        <v>2276</v>
      </c>
      <c r="H4752">
        <v>0</v>
      </c>
      <c r="I4752">
        <v>2</v>
      </c>
      <c r="J4752">
        <v>0</v>
      </c>
      <c r="K4752">
        <v>0</v>
      </c>
      <c r="L4752">
        <v>0</v>
      </c>
    </row>
    <row r="4753" spans="1:12">
      <c r="A4753" t="str">
        <f>HYPERLINK("http://bombeiros.sp.gov.br/hidrantes/03individual/4053.html","4053")</f>
        <v>4053</v>
      </c>
      <c r="B4753" t="str">
        <f>HYPERLINK("http://bombeiros.sp.gov.br/hidrantes/08bsg/qrcodeBSG.html?id=4053&amp;lat=-23.65009&amp;long=-46.70530&amp;tipo=S","QRCODE")</f>
        <v>QRCODE</v>
      </c>
      <c r="C4753" t="s">
        <v>5372</v>
      </c>
      <c r="D4753" t="s">
        <v>137</v>
      </c>
      <c r="E4753" t="s">
        <v>137</v>
      </c>
      <c r="F4753" t="s">
        <v>21</v>
      </c>
      <c r="G4753" t="s">
        <v>4487</v>
      </c>
      <c r="H4753">
        <v>0</v>
      </c>
      <c r="I4753">
        <v>2</v>
      </c>
      <c r="J4753">
        <v>0</v>
      </c>
      <c r="K4753">
        <v>0</v>
      </c>
      <c r="L4753">
        <v>0</v>
      </c>
    </row>
    <row r="4754" spans="1:12">
      <c r="A4754" t="str">
        <f>HYPERLINK("http://bombeiros.sp.gov.br/hidrantes/03individual/4060.html","4060")</f>
        <v>4060</v>
      </c>
      <c r="B4754" t="str">
        <f>HYPERLINK("http://bombeiros.sp.gov.br/hidrantes/08bsg/qrcodeBSG.html?id=4060&amp;lat=-23.64634&amp;long=-46.70869&amp;tipo=S","QRCODE")</f>
        <v>QRCODE</v>
      </c>
      <c r="C4754" t="s">
        <v>5372</v>
      </c>
      <c r="D4754" t="s">
        <v>137</v>
      </c>
      <c r="E4754" t="s">
        <v>137</v>
      </c>
      <c r="F4754" t="s">
        <v>21</v>
      </c>
      <c r="G4754" t="s">
        <v>526</v>
      </c>
      <c r="H4754">
        <v>0</v>
      </c>
      <c r="I4754">
        <v>2</v>
      </c>
      <c r="J4754">
        <v>0</v>
      </c>
      <c r="K4754">
        <v>0</v>
      </c>
      <c r="L4754">
        <v>0</v>
      </c>
    </row>
    <row r="4755" spans="1:12">
      <c r="A4755" t="str">
        <f>HYPERLINK("http://bombeiros.sp.gov.br/hidrantes/03individual/4065.html","4065")</f>
        <v>4065</v>
      </c>
      <c r="B4755" t="str">
        <f>HYPERLINK("http://bombeiros.sp.gov.br/hidrantes/08bsg/qrcodeBSG.html?id=4065&amp;lat=-23.65070&amp;long=-46.70743&amp;tipo=S","QRCODE")</f>
        <v>QRCODE</v>
      </c>
      <c r="C4755" t="s">
        <v>5372</v>
      </c>
      <c r="D4755" t="s">
        <v>137</v>
      </c>
      <c r="E4755" t="s">
        <v>137</v>
      </c>
      <c r="F4755" t="s">
        <v>21</v>
      </c>
      <c r="G4755" t="s">
        <v>4274</v>
      </c>
      <c r="H4755">
        <v>0</v>
      </c>
      <c r="I4755">
        <v>1</v>
      </c>
      <c r="J4755">
        <v>0</v>
      </c>
      <c r="K4755">
        <v>0</v>
      </c>
      <c r="L4755">
        <v>0</v>
      </c>
    </row>
    <row r="4756" spans="1:12">
      <c r="A4756" t="str">
        <f>HYPERLINK("http://bombeiros.sp.gov.br/hidrantes/03individual/4066.html","4066")</f>
        <v>4066</v>
      </c>
      <c r="B4756" t="str">
        <f>HYPERLINK("http://bombeiros.sp.gov.br/hidrantes/08bsg/qrcodeBSG.html?id=4066&amp;lat=-23.65235&amp;long=-46.70858&amp;tipo=S","QRCODE")</f>
        <v>QRCODE</v>
      </c>
      <c r="C4756" t="s">
        <v>5372</v>
      </c>
      <c r="D4756" t="s">
        <v>137</v>
      </c>
      <c r="E4756" t="s">
        <v>137</v>
      </c>
      <c r="F4756" t="s">
        <v>21</v>
      </c>
      <c r="G4756" t="s">
        <v>626</v>
      </c>
      <c r="H4756">
        <v>1</v>
      </c>
      <c r="I4756">
        <v>2</v>
      </c>
      <c r="J4756">
        <v>0</v>
      </c>
      <c r="K4756">
        <v>0</v>
      </c>
      <c r="L4756">
        <v>0</v>
      </c>
    </row>
    <row r="4757" spans="1:12">
      <c r="A4757" t="str">
        <f>HYPERLINK("http://bombeiros.sp.gov.br/hidrantes/03individual/4069.html","4069")</f>
        <v>4069</v>
      </c>
      <c r="B4757" t="str">
        <f>HYPERLINK("http://bombeiros.sp.gov.br/hidrantes/08bsg/qrcodeBSG.html?id=4069&amp;lat=-23.65602&amp;long=-46.70640&amp;tipo=S","QRCODE")</f>
        <v>QRCODE</v>
      </c>
      <c r="C4757" t="s">
        <v>5372</v>
      </c>
      <c r="D4757" t="s">
        <v>137</v>
      </c>
      <c r="E4757" t="s">
        <v>137</v>
      </c>
      <c r="F4757" t="s">
        <v>21</v>
      </c>
      <c r="G4757" t="s">
        <v>4410</v>
      </c>
      <c r="H4757">
        <v>0</v>
      </c>
      <c r="I4757">
        <v>3</v>
      </c>
      <c r="J4757">
        <v>0</v>
      </c>
      <c r="K4757">
        <v>0</v>
      </c>
      <c r="L4757">
        <v>0</v>
      </c>
    </row>
    <row r="4758" spans="1:12">
      <c r="A4758" t="str">
        <f>HYPERLINK("http://bombeiros.sp.gov.br/hidrantes/03individual/4070.html","4070")</f>
        <v>4070</v>
      </c>
      <c r="B4758" t="str">
        <f>HYPERLINK("http://bombeiros.sp.gov.br/hidrantes/08bsg/qrcodeBSG.html?id=4070&amp;lat=-23.65963&amp;long=-46.70409&amp;tipo=S","QRCODE")</f>
        <v>QRCODE</v>
      </c>
      <c r="C4758" t="s">
        <v>5372</v>
      </c>
      <c r="D4758" t="s">
        <v>137</v>
      </c>
      <c r="E4758" t="s">
        <v>137</v>
      </c>
      <c r="F4758" t="s">
        <v>21</v>
      </c>
      <c r="G4758" t="s">
        <v>627</v>
      </c>
      <c r="H4758">
        <v>1</v>
      </c>
      <c r="I4758">
        <v>2</v>
      </c>
      <c r="J4758">
        <v>0</v>
      </c>
      <c r="K4758">
        <v>0</v>
      </c>
      <c r="L4758">
        <v>0</v>
      </c>
    </row>
    <row r="4759" spans="1:12">
      <c r="A4759" t="str">
        <f>HYPERLINK("http://bombeiros.sp.gov.br/hidrantes/03individual/4107.html","4107")</f>
        <v>4107</v>
      </c>
      <c r="B4759" t="str">
        <f>HYPERLINK("http://bombeiros.sp.gov.br/hidrantes/08bsg/qrcodeBSG.html?id=4107&amp;lat=-23.65131&amp;long=-46.70320&amp;tipo=S","QRCODE")</f>
        <v>QRCODE</v>
      </c>
      <c r="C4759" t="s">
        <v>5372</v>
      </c>
      <c r="D4759" t="s">
        <v>137</v>
      </c>
      <c r="E4759" t="s">
        <v>137</v>
      </c>
      <c r="F4759" t="s">
        <v>21</v>
      </c>
      <c r="G4759" t="s">
        <v>4495</v>
      </c>
      <c r="H4759">
        <v>0</v>
      </c>
      <c r="I4759">
        <v>2</v>
      </c>
      <c r="J4759">
        <v>0</v>
      </c>
      <c r="K4759">
        <v>0</v>
      </c>
      <c r="L4759">
        <v>0</v>
      </c>
    </row>
    <row r="4760" spans="1:12">
      <c r="A4760" t="str">
        <f>HYPERLINK("http://bombeiros.sp.gov.br/hidrantes/03individual/6726.html","6726")</f>
        <v>6726</v>
      </c>
      <c r="B4760" t="str">
        <f>HYPERLINK("http://bombeiros.sp.gov.br/hidrantes/08bsg/qrcodeBSG.html?id=6726&amp;lat=-23.64722&amp;long=-46.70939&amp;tipo=S","QRCODE")</f>
        <v>QRCODE</v>
      </c>
      <c r="C4760" t="s">
        <v>5372</v>
      </c>
      <c r="D4760" t="s">
        <v>137</v>
      </c>
      <c r="E4760" t="s">
        <v>137</v>
      </c>
      <c r="F4760" t="s">
        <v>21</v>
      </c>
      <c r="G4760" t="s">
        <v>4213</v>
      </c>
      <c r="H4760">
        <v>0</v>
      </c>
      <c r="I4760">
        <v>1</v>
      </c>
      <c r="J4760">
        <v>0</v>
      </c>
      <c r="K4760">
        <v>0</v>
      </c>
      <c r="L4760">
        <v>0</v>
      </c>
    </row>
    <row r="4761" spans="1:12">
      <c r="A4761" t="str">
        <f>HYPERLINK("http://bombeiros.sp.gov.br/hidrantes/03individual/6731.html","6731")</f>
        <v>6731</v>
      </c>
      <c r="B4761" t="str">
        <f>HYPERLINK("http://bombeiros.sp.gov.br/hidrantes/08bsg/qrcodeBSG.html?id=6731&amp;lat=-23.65195&amp;long=-46.69218&amp;tipo=S","QRCODE")</f>
        <v>QRCODE</v>
      </c>
      <c r="C4761" t="s">
        <v>5372</v>
      </c>
      <c r="D4761" t="s">
        <v>137</v>
      </c>
      <c r="E4761" t="s">
        <v>137</v>
      </c>
      <c r="F4761" t="s">
        <v>21</v>
      </c>
      <c r="G4761" t="s">
        <v>4212</v>
      </c>
      <c r="H4761">
        <v>0</v>
      </c>
      <c r="I4761">
        <v>1</v>
      </c>
      <c r="J4761">
        <v>0</v>
      </c>
      <c r="K4761">
        <v>0</v>
      </c>
      <c r="L4761">
        <v>0</v>
      </c>
    </row>
    <row r="4762" spans="1:12">
      <c r="A4762" t="str">
        <f>HYPERLINK("http://bombeiros.sp.gov.br/hidrantes/03individual/16602.html","16602")</f>
        <v>16602</v>
      </c>
      <c r="B4762" t="str">
        <f>HYPERLINK("http://bombeiros.sp.gov.br/hidrantes/08bsg/qrcodeBSG.html?id=16602&amp;lat=-23.64850&amp;long=-46.70458&amp;tipo=S","QRCODE")</f>
        <v>QRCODE</v>
      </c>
      <c r="C4762" t="s">
        <v>5372</v>
      </c>
      <c r="D4762" t="s">
        <v>137</v>
      </c>
      <c r="E4762" t="s">
        <v>137</v>
      </c>
      <c r="F4762" t="s">
        <v>21</v>
      </c>
      <c r="G4762" t="s">
        <v>658</v>
      </c>
      <c r="H4762">
        <v>0</v>
      </c>
      <c r="I4762">
        <v>2</v>
      </c>
      <c r="J4762">
        <v>0</v>
      </c>
      <c r="K4762">
        <v>0</v>
      </c>
      <c r="L4762">
        <v>0</v>
      </c>
    </row>
    <row r="4763" spans="1:12">
      <c r="A4763" t="str">
        <f>HYPERLINK("http://bombeiros.sp.gov.br/hidrantes/03individual/16624.html","16624")</f>
        <v>16624</v>
      </c>
      <c r="B4763" t="str">
        <f>HYPERLINK("http://bombeiros.sp.gov.br/hidrantes/08bsg/qrcodeBSG.html?id=16624&amp;lat=-23.64717&amp;long=-46.70239&amp;tipo=S","QRCODE")</f>
        <v>QRCODE</v>
      </c>
      <c r="C4763" t="s">
        <v>5372</v>
      </c>
      <c r="D4763" t="s">
        <v>137</v>
      </c>
      <c r="E4763" t="s">
        <v>137</v>
      </c>
      <c r="F4763" t="s">
        <v>21</v>
      </c>
      <c r="G4763" t="s">
        <v>3766</v>
      </c>
      <c r="H4763">
        <v>1</v>
      </c>
      <c r="I4763">
        <v>1</v>
      </c>
      <c r="J4763">
        <v>0</v>
      </c>
      <c r="K4763">
        <v>0</v>
      </c>
      <c r="L4763">
        <v>0</v>
      </c>
    </row>
    <row r="4764" spans="1:12">
      <c r="A4764" t="str">
        <f>HYPERLINK("http://bombeiros.sp.gov.br/hidrantes/03individual/16625.html","16625")</f>
        <v>16625</v>
      </c>
      <c r="B4764" t="str">
        <f>HYPERLINK("http://bombeiros.sp.gov.br/hidrantes/08bsg/qrcodeBSG.html?id=16625&amp;lat=-23.64877&amp;long=-46.69699&amp;tipo=S","QRCODE")</f>
        <v>QRCODE</v>
      </c>
      <c r="C4764" t="s">
        <v>5372</v>
      </c>
      <c r="D4764" t="s">
        <v>137</v>
      </c>
      <c r="E4764" t="s">
        <v>137</v>
      </c>
      <c r="F4764" t="s">
        <v>21</v>
      </c>
      <c r="G4764" t="s">
        <v>3765</v>
      </c>
      <c r="H4764">
        <v>1</v>
      </c>
      <c r="I4764">
        <v>1</v>
      </c>
      <c r="J4764">
        <v>0</v>
      </c>
      <c r="K4764">
        <v>0</v>
      </c>
      <c r="L4764">
        <v>0</v>
      </c>
    </row>
    <row r="4765" spans="1:12">
      <c r="A4765" t="str">
        <f>HYPERLINK("http://bombeiros.sp.gov.br/hidrantes/03individual/17883.html","17883")</f>
        <v>17883</v>
      </c>
      <c r="B4765" t="str">
        <f>HYPERLINK("http://bombeiros.sp.gov.br/hidrantes/08bsg/qrcodeBSG.html?id=17883&amp;lat=-23.65452&amp;long=-46.70325&amp;tipo=S","QRCODE")</f>
        <v>QRCODE</v>
      </c>
      <c r="C4765" t="s">
        <v>5372</v>
      </c>
      <c r="D4765" t="s">
        <v>137</v>
      </c>
      <c r="E4765" t="s">
        <v>137</v>
      </c>
      <c r="F4765" t="s">
        <v>21</v>
      </c>
      <c r="G4765" t="s">
        <v>4712</v>
      </c>
      <c r="H4765">
        <v>1</v>
      </c>
      <c r="I4765">
        <v>1</v>
      </c>
      <c r="J4765">
        <v>0</v>
      </c>
      <c r="K4765">
        <v>0</v>
      </c>
      <c r="L4765">
        <v>0</v>
      </c>
    </row>
    <row r="4766" spans="1:12">
      <c r="A4766" t="str">
        <f>HYPERLINK("http://bombeiros.sp.gov.br/hidrantes/03individual/17884.html","17884")</f>
        <v>17884</v>
      </c>
      <c r="B4766" t="str">
        <f>HYPERLINK("http://bombeiros.sp.gov.br/hidrantes/08bsg/qrcodeBSG.html?id=17884&amp;lat=-23.64843&amp;long=-46.70315&amp;tipo=S","QRCODE")</f>
        <v>QRCODE</v>
      </c>
      <c r="C4766" t="s">
        <v>5372</v>
      </c>
      <c r="D4766" t="s">
        <v>137</v>
      </c>
      <c r="E4766" t="s">
        <v>137</v>
      </c>
      <c r="F4766" t="s">
        <v>21</v>
      </c>
      <c r="G4766" t="s">
        <v>3756</v>
      </c>
      <c r="H4766">
        <v>0</v>
      </c>
      <c r="I4766">
        <v>1</v>
      </c>
      <c r="J4766">
        <v>0</v>
      </c>
      <c r="K4766">
        <v>0</v>
      </c>
      <c r="L4766">
        <v>0</v>
      </c>
    </row>
    <row r="4767" spans="1:12">
      <c r="A4767" t="str">
        <f>HYPERLINK("http://bombeiros.sp.gov.br/hidrantes/03individual/4016.html","4016")</f>
        <v>4016</v>
      </c>
      <c r="B4767" t="str">
        <f>HYPERLINK("http://bombeiros.sp.gov.br/hidrantes/08bsg/qrcodeBSG.html?id=4016&amp;lat=-23.64500&amp;long=-46.72291&amp;tipo=C","QRCODE")</f>
        <v>QRCODE</v>
      </c>
      <c r="C4767" t="s">
        <v>5372</v>
      </c>
      <c r="D4767" t="s">
        <v>137</v>
      </c>
      <c r="E4767" t="s">
        <v>2177</v>
      </c>
      <c r="F4767" t="s">
        <v>12</v>
      </c>
      <c r="G4767" t="s">
        <v>4740</v>
      </c>
      <c r="H4767">
        <v>1</v>
      </c>
      <c r="I4767">
        <v>2</v>
      </c>
      <c r="J4767">
        <v>0</v>
      </c>
      <c r="K4767">
        <v>0</v>
      </c>
      <c r="L4767">
        <v>0</v>
      </c>
    </row>
    <row r="4768" spans="1:12">
      <c r="A4768" t="str">
        <f>HYPERLINK("http://bombeiros.sp.gov.br/hidrantes/03individual/4108.html","4108")</f>
        <v>4108</v>
      </c>
      <c r="B4768" t="str">
        <f>HYPERLINK("http://bombeiros.sp.gov.br/hidrantes/08bsg/qrcodeBSG.html?id=4108&amp;lat=-23.65362&amp;long=-46.72035&amp;tipo=C","QRCODE")</f>
        <v>QRCODE</v>
      </c>
      <c r="C4768" t="s">
        <v>5372</v>
      </c>
      <c r="D4768" t="s">
        <v>137</v>
      </c>
      <c r="E4768" t="s">
        <v>2177</v>
      </c>
      <c r="F4768" t="s">
        <v>12</v>
      </c>
      <c r="G4768" t="s">
        <v>2211</v>
      </c>
      <c r="H4768">
        <v>0</v>
      </c>
      <c r="I4768">
        <v>2</v>
      </c>
      <c r="J4768">
        <v>0</v>
      </c>
      <c r="K4768">
        <v>0</v>
      </c>
      <c r="L4768">
        <v>0</v>
      </c>
    </row>
    <row r="4769" spans="1:12">
      <c r="A4769" t="str">
        <f>HYPERLINK("http://bombeiros.sp.gov.br/hidrantes/03individual/10071.html","10071")</f>
        <v>10071</v>
      </c>
      <c r="B4769" t="str">
        <f>HYPERLINK("http://bombeiros.sp.gov.br/hidrantes/08bsg/qrcodeBSG.html?id=10071&amp;lat=-23.66067&amp;long=-46.70776&amp;tipo=C","QRCODE")</f>
        <v>QRCODE</v>
      </c>
      <c r="C4769" t="s">
        <v>5372</v>
      </c>
      <c r="D4769" t="s">
        <v>137</v>
      </c>
      <c r="E4769" t="s">
        <v>2177</v>
      </c>
      <c r="F4769" t="s">
        <v>12</v>
      </c>
      <c r="G4769" t="s">
        <v>3076</v>
      </c>
      <c r="H4769">
        <v>0</v>
      </c>
      <c r="I4769">
        <v>2</v>
      </c>
      <c r="J4769">
        <v>0</v>
      </c>
      <c r="K4769">
        <v>0</v>
      </c>
      <c r="L4769">
        <v>0</v>
      </c>
    </row>
    <row r="4770" spans="1:12">
      <c r="A4770" t="str">
        <f>HYPERLINK("http://bombeiros.sp.gov.br/hidrantes/03individual/26338.html","26338")</f>
        <v>26338</v>
      </c>
      <c r="B4770" t="str">
        <f>HYPERLINK("http://bombeiros.sp.gov.br/hidrantes/08bsg/qrcodeBSG.html?id=26338&amp;lat=-23.66167&amp;long=-46.70670&amp;tipo=C","QRCODE")</f>
        <v>QRCODE</v>
      </c>
      <c r="C4770" t="s">
        <v>5372</v>
      </c>
      <c r="D4770" t="s">
        <v>137</v>
      </c>
      <c r="E4770" t="s">
        <v>2177</v>
      </c>
      <c r="F4770" t="s">
        <v>12</v>
      </c>
      <c r="G4770" t="s">
        <v>3081</v>
      </c>
      <c r="H4770">
        <v>0</v>
      </c>
      <c r="I4770">
        <v>2</v>
      </c>
      <c r="J4770">
        <v>0</v>
      </c>
      <c r="K4770">
        <v>0</v>
      </c>
      <c r="L4770">
        <v>0</v>
      </c>
    </row>
    <row r="4771" spans="1:12">
      <c r="A4771" t="str">
        <f>HYPERLINK("http://bombeiros.sp.gov.br/hidrantes/03individual/4061.html","4061")</f>
        <v>4061</v>
      </c>
      <c r="B4771" t="str">
        <f>HYPERLINK("http://bombeiros.sp.gov.br/hidrantes/08bsg/qrcodeBSG.html?id=4061&amp;lat=-23.64770&amp;long=-46.71484&amp;tipo=S","QRCODE")</f>
        <v>QRCODE</v>
      </c>
      <c r="C4771" t="s">
        <v>5372</v>
      </c>
      <c r="D4771" t="s">
        <v>137</v>
      </c>
      <c r="E4771" t="s">
        <v>2177</v>
      </c>
      <c r="F4771" t="s">
        <v>21</v>
      </c>
      <c r="G4771" t="s">
        <v>3880</v>
      </c>
      <c r="H4771">
        <v>0</v>
      </c>
      <c r="I4771">
        <v>1</v>
      </c>
      <c r="J4771">
        <v>0</v>
      </c>
      <c r="K4771">
        <v>0</v>
      </c>
      <c r="L4771">
        <v>0</v>
      </c>
    </row>
    <row r="4772" spans="1:12">
      <c r="A4772" t="str">
        <f>HYPERLINK("http://bombeiros.sp.gov.br/hidrantes/03individual/4063.html","4063")</f>
        <v>4063</v>
      </c>
      <c r="B4772" t="str">
        <f>HYPERLINK("http://bombeiros.sp.gov.br/hidrantes/08bsg/qrcodeBSG.html?id=4063&amp;lat=-23.64967&amp;long=-46.71235&amp;tipo=S","QRCODE")</f>
        <v>QRCODE</v>
      </c>
      <c r="C4772" t="s">
        <v>5372</v>
      </c>
      <c r="D4772" t="s">
        <v>137</v>
      </c>
      <c r="E4772" t="s">
        <v>2177</v>
      </c>
      <c r="F4772" t="s">
        <v>21</v>
      </c>
      <c r="G4772" t="s">
        <v>4755</v>
      </c>
      <c r="H4772">
        <v>2</v>
      </c>
      <c r="I4772">
        <v>2</v>
      </c>
      <c r="J4772">
        <v>0</v>
      </c>
      <c r="K4772">
        <v>0</v>
      </c>
      <c r="L4772">
        <v>0</v>
      </c>
    </row>
    <row r="4773" spans="1:12">
      <c r="A4773" t="str">
        <f>HYPERLINK("http://bombeiros.sp.gov.br/hidrantes/03individual/4067.html","4067")</f>
        <v>4067</v>
      </c>
      <c r="B4773" t="str">
        <f>HYPERLINK("http://bombeiros.sp.gov.br/hidrantes/08bsg/qrcodeBSG.html?id=4067&amp;lat=-23.65310&amp;long=-46.70863&amp;tipo=S","QRCODE")</f>
        <v>QRCODE</v>
      </c>
      <c r="C4773" t="s">
        <v>5372</v>
      </c>
      <c r="D4773" t="s">
        <v>137</v>
      </c>
      <c r="E4773" t="s">
        <v>2177</v>
      </c>
      <c r="F4773" t="s">
        <v>21</v>
      </c>
      <c r="G4773" t="s">
        <v>4409</v>
      </c>
      <c r="H4773">
        <v>0</v>
      </c>
      <c r="I4773">
        <v>2</v>
      </c>
      <c r="J4773">
        <v>0</v>
      </c>
      <c r="K4773">
        <v>0</v>
      </c>
      <c r="L4773">
        <v>0</v>
      </c>
    </row>
    <row r="4774" spans="1:12">
      <c r="A4774" t="str">
        <f>HYPERLINK("http://bombeiros.sp.gov.br/hidrantes/03individual/4097.html","4097")</f>
        <v>4097</v>
      </c>
      <c r="B4774" t="str">
        <f>HYPERLINK("http://bombeiros.sp.gov.br/hidrantes/08bsg/qrcodeBSG.html?id=4097&amp;lat=-23.65900&amp;long=-46.71409&amp;tipo=S","QRCODE")</f>
        <v>QRCODE</v>
      </c>
      <c r="C4774" t="s">
        <v>5372</v>
      </c>
      <c r="D4774" t="s">
        <v>137</v>
      </c>
      <c r="E4774" t="s">
        <v>2177</v>
      </c>
      <c r="F4774" t="s">
        <v>21</v>
      </c>
      <c r="G4774" t="s">
        <v>2206</v>
      </c>
      <c r="H4774">
        <v>0</v>
      </c>
      <c r="I4774">
        <v>3</v>
      </c>
      <c r="J4774">
        <v>0</v>
      </c>
      <c r="K4774">
        <v>0</v>
      </c>
      <c r="L4774">
        <v>0</v>
      </c>
    </row>
    <row r="4775" spans="1:12">
      <c r="A4775" t="str">
        <f>HYPERLINK("http://bombeiros.sp.gov.br/hidrantes/03individual/4099.html","4099")</f>
        <v>4099</v>
      </c>
      <c r="B4775" t="str">
        <f>HYPERLINK("http://bombeiros.sp.gov.br/hidrantes/08bsg/qrcodeBSG.html?id=4099&amp;lat=-23.65698&amp;long=-46.71483&amp;tipo=S","QRCODE")</f>
        <v>QRCODE</v>
      </c>
      <c r="C4775" t="s">
        <v>5372</v>
      </c>
      <c r="D4775" t="s">
        <v>137</v>
      </c>
      <c r="E4775" t="s">
        <v>2177</v>
      </c>
      <c r="F4775" t="s">
        <v>21</v>
      </c>
      <c r="G4775" t="s">
        <v>4031</v>
      </c>
      <c r="H4775">
        <v>0</v>
      </c>
      <c r="I4775">
        <v>1</v>
      </c>
      <c r="J4775">
        <v>0</v>
      </c>
      <c r="K4775">
        <v>0</v>
      </c>
      <c r="L4775">
        <v>0</v>
      </c>
    </row>
    <row r="4776" spans="1:12">
      <c r="A4776" t="str">
        <f>HYPERLINK("http://bombeiros.sp.gov.br/hidrantes/03individual/4101.html","4101")</f>
        <v>4101</v>
      </c>
      <c r="B4776" t="str">
        <f>HYPERLINK("http://bombeiros.sp.gov.br/hidrantes/08bsg/qrcodeBSG.html?id=4101&amp;lat=-23.65594&amp;long=-46.71602&amp;tipo=S","QRCODE")</f>
        <v>QRCODE</v>
      </c>
      <c r="C4776" t="s">
        <v>5372</v>
      </c>
      <c r="D4776" t="s">
        <v>137</v>
      </c>
      <c r="E4776" t="s">
        <v>2177</v>
      </c>
      <c r="F4776" t="s">
        <v>21</v>
      </c>
      <c r="G4776" t="s">
        <v>2210</v>
      </c>
      <c r="H4776">
        <v>0</v>
      </c>
      <c r="I4776">
        <v>2</v>
      </c>
      <c r="J4776">
        <v>0</v>
      </c>
      <c r="K4776">
        <v>0</v>
      </c>
      <c r="L4776">
        <v>0</v>
      </c>
    </row>
    <row r="4777" spans="1:12">
      <c r="A4777" t="str">
        <f>HYPERLINK("http://bombeiros.sp.gov.br/hidrantes/03individual/4105.html","4105")</f>
        <v>4105</v>
      </c>
      <c r="B4777" t="str">
        <f>HYPERLINK("http://bombeiros.sp.gov.br/hidrantes/08bsg/qrcodeBSG.html?id=4105&amp;lat=-23.65912&amp;long=-46.70847&amp;tipo=S","QRCODE")</f>
        <v>QRCODE</v>
      </c>
      <c r="C4777" t="s">
        <v>5372</v>
      </c>
      <c r="D4777" t="s">
        <v>137</v>
      </c>
      <c r="E4777" t="s">
        <v>2177</v>
      </c>
      <c r="F4777" t="s">
        <v>21</v>
      </c>
      <c r="G4777" t="s">
        <v>4412</v>
      </c>
      <c r="H4777">
        <v>0</v>
      </c>
      <c r="I4777">
        <v>2</v>
      </c>
      <c r="J4777">
        <v>0</v>
      </c>
      <c r="K4777">
        <v>0</v>
      </c>
      <c r="L4777">
        <v>0</v>
      </c>
    </row>
    <row r="4778" spans="1:12">
      <c r="A4778" t="str">
        <f>HYPERLINK("http://bombeiros.sp.gov.br/hidrantes/03individual/10044.html","10044")</f>
        <v>10044</v>
      </c>
      <c r="B4778" t="str">
        <f>HYPERLINK("http://bombeiros.sp.gov.br/hidrantes/08bsg/qrcodeBSG.html?id=10044&amp;lat=-23.64861&amp;long=-46.72225&amp;tipo=S","QRCODE")</f>
        <v>QRCODE</v>
      </c>
      <c r="C4778" t="s">
        <v>5372</v>
      </c>
      <c r="D4778" t="s">
        <v>137</v>
      </c>
      <c r="E4778" t="s">
        <v>2177</v>
      </c>
      <c r="F4778" t="s">
        <v>21</v>
      </c>
      <c r="G4778" t="s">
        <v>4089</v>
      </c>
      <c r="H4778">
        <v>0</v>
      </c>
      <c r="I4778">
        <v>1</v>
      </c>
      <c r="J4778">
        <v>0</v>
      </c>
      <c r="K4778">
        <v>0</v>
      </c>
      <c r="L4778">
        <v>0</v>
      </c>
    </row>
    <row r="4779" spans="1:12">
      <c r="A4779" t="str">
        <f>HYPERLINK("http://bombeiros.sp.gov.br/hidrantes/03individual/10045.html","10045")</f>
        <v>10045</v>
      </c>
      <c r="B4779" t="str">
        <f>HYPERLINK("http://bombeiros.sp.gov.br/hidrantes/08bsg/qrcodeBSG.html?id=10045&amp;lat=-23.64685&amp;long=-46.72518&amp;tipo=S","QRCODE")</f>
        <v>QRCODE</v>
      </c>
      <c r="C4779" t="s">
        <v>5372</v>
      </c>
      <c r="D4779" t="s">
        <v>137</v>
      </c>
      <c r="E4779" t="s">
        <v>2177</v>
      </c>
      <c r="F4779" t="s">
        <v>21</v>
      </c>
      <c r="G4779" t="s">
        <v>2176</v>
      </c>
      <c r="H4779">
        <v>0</v>
      </c>
      <c r="I4779">
        <v>2</v>
      </c>
      <c r="J4779">
        <v>0</v>
      </c>
      <c r="K4779">
        <v>0</v>
      </c>
      <c r="L4779">
        <v>0</v>
      </c>
    </row>
    <row r="4780" spans="1:12">
      <c r="A4780" t="str">
        <f>HYPERLINK("http://bombeiros.sp.gov.br/hidrantes/03individual/3609.html","3609")</f>
        <v>3609</v>
      </c>
      <c r="B4780" t="str">
        <f>HYPERLINK("http://bombeiros.sp.gov.br/hidrantes/08bsg/qrcodeBSG.html?id=3609&amp;lat=-23.61049&amp;long=-46.63748&amp;tipo=C","QRCODE")</f>
        <v>QRCODE</v>
      </c>
      <c r="C4780" t="s">
        <v>5372</v>
      </c>
      <c r="D4780" t="s">
        <v>538</v>
      </c>
      <c r="E4780" t="s">
        <v>409</v>
      </c>
      <c r="F4780" t="s">
        <v>12</v>
      </c>
      <c r="G4780" t="s">
        <v>4431</v>
      </c>
      <c r="H4780">
        <v>0</v>
      </c>
      <c r="I4780">
        <v>2</v>
      </c>
      <c r="J4780">
        <v>0</v>
      </c>
      <c r="K4780">
        <v>0</v>
      </c>
      <c r="L4780">
        <v>0</v>
      </c>
    </row>
    <row r="4781" spans="1:12">
      <c r="A4781" t="str">
        <f>HYPERLINK("http://bombeiros.sp.gov.br/hidrantes/03individual/3611.html","3611")</f>
        <v>3611</v>
      </c>
      <c r="B4781" t="str">
        <f>HYPERLINK("http://bombeiros.sp.gov.br/hidrantes/08bsg/qrcodeBSG.html?id=3611&amp;lat=-23.60165&amp;long=-46.63644&amp;tipo=C","QRCODE")</f>
        <v>QRCODE</v>
      </c>
      <c r="C4781" t="s">
        <v>5372</v>
      </c>
      <c r="D4781" t="s">
        <v>538</v>
      </c>
      <c r="E4781" t="s">
        <v>409</v>
      </c>
      <c r="F4781" t="s">
        <v>12</v>
      </c>
      <c r="G4781" t="s">
        <v>521</v>
      </c>
      <c r="H4781">
        <v>0</v>
      </c>
      <c r="I4781">
        <v>2</v>
      </c>
      <c r="J4781">
        <v>0</v>
      </c>
      <c r="K4781">
        <v>0</v>
      </c>
      <c r="L4781">
        <v>0</v>
      </c>
    </row>
    <row r="4782" spans="1:12">
      <c r="A4782" t="str">
        <f>HYPERLINK("http://bombeiros.sp.gov.br/hidrantes/03individual/3619.html","3619")</f>
        <v>3619</v>
      </c>
      <c r="B4782" t="str">
        <f>HYPERLINK("http://bombeiros.sp.gov.br/hidrantes/08bsg/qrcodeBSG.html?id=3619&amp;lat=-23.60052&amp;long=-46.63654&amp;tipo=C","QRCODE")</f>
        <v>QRCODE</v>
      </c>
      <c r="C4782" t="s">
        <v>5372</v>
      </c>
      <c r="D4782" t="s">
        <v>538</v>
      </c>
      <c r="E4782" t="s">
        <v>409</v>
      </c>
      <c r="F4782" t="s">
        <v>12</v>
      </c>
      <c r="G4782" t="s">
        <v>458</v>
      </c>
      <c r="H4782">
        <v>0</v>
      </c>
      <c r="I4782">
        <v>3</v>
      </c>
      <c r="J4782">
        <v>0</v>
      </c>
      <c r="K4782">
        <v>0</v>
      </c>
      <c r="L4782">
        <v>0</v>
      </c>
    </row>
    <row r="4783" spans="1:12">
      <c r="A4783" t="str">
        <f>HYPERLINK("http://bombeiros.sp.gov.br/hidrantes/03individual/318.html","318")</f>
        <v>318</v>
      </c>
      <c r="B4783" t="str">
        <f>HYPERLINK("http://bombeiros.sp.gov.br/hidrantes/08bsg/qrcodeBSG.html?id=318&amp;lat=-23.60517&amp;long=-46.63674&amp;tipo=S","QRCODE")</f>
        <v>QRCODE</v>
      </c>
      <c r="C4783" t="s">
        <v>5372</v>
      </c>
      <c r="D4783" t="s">
        <v>538</v>
      </c>
      <c r="E4783" t="s">
        <v>409</v>
      </c>
      <c r="F4783" t="s">
        <v>21</v>
      </c>
      <c r="G4783" t="s">
        <v>1579</v>
      </c>
      <c r="H4783">
        <v>1</v>
      </c>
      <c r="I4783">
        <v>2</v>
      </c>
      <c r="J4783">
        <v>0</v>
      </c>
      <c r="K4783">
        <v>0</v>
      </c>
      <c r="L4783">
        <v>0</v>
      </c>
    </row>
    <row r="4784" spans="1:12">
      <c r="A4784" t="str">
        <f>HYPERLINK("http://bombeiros.sp.gov.br/hidrantes/03individual/373.html","373")</f>
        <v>373</v>
      </c>
      <c r="B4784" t="str">
        <f>HYPERLINK("http://bombeiros.sp.gov.br/hidrantes/08bsg/qrcodeBSG.html?id=373&amp;lat=-23.60389&amp;long=-46.63494&amp;tipo=S","QRCODE")</f>
        <v>QRCODE</v>
      </c>
      <c r="C4784" t="s">
        <v>5372</v>
      </c>
      <c r="D4784" t="s">
        <v>538</v>
      </c>
      <c r="E4784" t="s">
        <v>409</v>
      </c>
      <c r="F4784" t="s">
        <v>21</v>
      </c>
      <c r="G4784" t="s">
        <v>1082</v>
      </c>
      <c r="H4784">
        <v>1</v>
      </c>
      <c r="I4784">
        <v>2</v>
      </c>
      <c r="J4784">
        <v>0</v>
      </c>
      <c r="K4784">
        <v>0</v>
      </c>
      <c r="L4784">
        <v>0</v>
      </c>
    </row>
    <row r="4785" spans="1:12">
      <c r="A4785" t="str">
        <f>HYPERLINK("http://bombeiros.sp.gov.br/hidrantes/03individual/374.html","374")</f>
        <v>374</v>
      </c>
      <c r="B4785" t="str">
        <f>HYPERLINK("http://bombeiros.sp.gov.br/hidrantes/08bsg/qrcodeBSG.html?id=374&amp;lat=-23.60165&amp;long=-46.63481&amp;tipo=S","QRCODE")</f>
        <v>QRCODE</v>
      </c>
      <c r="C4785" t="s">
        <v>5372</v>
      </c>
      <c r="D4785" t="s">
        <v>538</v>
      </c>
      <c r="E4785" t="s">
        <v>409</v>
      </c>
      <c r="F4785" t="s">
        <v>21</v>
      </c>
      <c r="G4785" t="s">
        <v>1083</v>
      </c>
      <c r="H4785">
        <v>2</v>
      </c>
      <c r="I4785">
        <v>2</v>
      </c>
      <c r="J4785">
        <v>0</v>
      </c>
      <c r="K4785">
        <v>0</v>
      </c>
      <c r="L4785">
        <v>0</v>
      </c>
    </row>
    <row r="4786" spans="1:12">
      <c r="A4786" t="str">
        <f>HYPERLINK("http://bombeiros.sp.gov.br/hidrantes/03individual/375.html","375")</f>
        <v>375</v>
      </c>
      <c r="B4786" t="str">
        <f>HYPERLINK("http://bombeiros.sp.gov.br/hidrantes/08bsg/qrcodeBSG.html?id=375&amp;lat=-23.61172&amp;long=-46.63225&amp;tipo=S","QRCODE")</f>
        <v>QRCODE</v>
      </c>
      <c r="C4786" t="s">
        <v>5372</v>
      </c>
      <c r="D4786" t="s">
        <v>538</v>
      </c>
      <c r="E4786" t="s">
        <v>409</v>
      </c>
      <c r="F4786" t="s">
        <v>21</v>
      </c>
      <c r="G4786" t="s">
        <v>3579</v>
      </c>
      <c r="H4786">
        <v>1</v>
      </c>
      <c r="I4786">
        <v>1</v>
      </c>
      <c r="J4786">
        <v>0</v>
      </c>
      <c r="K4786">
        <v>0</v>
      </c>
      <c r="L4786">
        <v>0</v>
      </c>
    </row>
    <row r="4787" spans="1:12">
      <c r="A4787" t="str">
        <f>HYPERLINK("http://bombeiros.sp.gov.br/hidrantes/03individual/398.html","398")</f>
        <v>398</v>
      </c>
      <c r="B4787" t="str">
        <f>HYPERLINK("http://bombeiros.sp.gov.br/hidrantes/08bsg/qrcodeBSG.html?id=398&amp;lat=-23.60424&amp;long=-46.63041&amp;tipo=S","QRCODE")</f>
        <v>QRCODE</v>
      </c>
      <c r="C4787" t="s">
        <v>5372</v>
      </c>
      <c r="D4787" t="s">
        <v>538</v>
      </c>
      <c r="E4787" t="s">
        <v>409</v>
      </c>
      <c r="F4787" t="s">
        <v>21</v>
      </c>
      <c r="G4787" t="s">
        <v>1081</v>
      </c>
      <c r="H4787">
        <v>1</v>
      </c>
      <c r="I4787">
        <v>2</v>
      </c>
      <c r="J4787">
        <v>0</v>
      </c>
      <c r="K4787">
        <v>0</v>
      </c>
      <c r="L4787">
        <v>0</v>
      </c>
    </row>
    <row r="4788" spans="1:12">
      <c r="A4788" t="str">
        <f>HYPERLINK("http://bombeiros.sp.gov.br/hidrantes/03individual/418.html","418")</f>
        <v>418</v>
      </c>
      <c r="B4788" t="str">
        <f>HYPERLINK("http://bombeiros.sp.gov.br/hidrantes/08bsg/qrcodeBSG.html?id=418&amp;lat=-23.60812&amp;long=-46.62903&amp;tipo=S","QRCODE")</f>
        <v>QRCODE</v>
      </c>
      <c r="C4788" t="s">
        <v>5372</v>
      </c>
      <c r="D4788" t="s">
        <v>538</v>
      </c>
      <c r="E4788" t="s">
        <v>409</v>
      </c>
      <c r="F4788" t="s">
        <v>21</v>
      </c>
      <c r="G4788" t="s">
        <v>1575</v>
      </c>
      <c r="H4788">
        <v>1</v>
      </c>
      <c r="I4788">
        <v>2</v>
      </c>
      <c r="J4788">
        <v>0</v>
      </c>
      <c r="K4788">
        <v>0</v>
      </c>
      <c r="L4788">
        <v>0</v>
      </c>
    </row>
    <row r="4789" spans="1:12">
      <c r="A4789" t="str">
        <f>HYPERLINK("http://bombeiros.sp.gov.br/hidrantes/03individual/446.html","446")</f>
        <v>446</v>
      </c>
      <c r="B4789" t="str">
        <f>HYPERLINK("http://bombeiros.sp.gov.br/hidrantes/08bsg/qrcodeBSG.html?id=446&amp;lat=-23.60659&amp;long=-46.62840&amp;tipo=S","QRCODE")</f>
        <v>QRCODE</v>
      </c>
      <c r="C4789" t="s">
        <v>5372</v>
      </c>
      <c r="D4789" t="s">
        <v>538</v>
      </c>
      <c r="E4789" t="s">
        <v>409</v>
      </c>
      <c r="F4789" t="s">
        <v>21</v>
      </c>
      <c r="G4789" t="s">
        <v>2080</v>
      </c>
      <c r="H4789">
        <v>0</v>
      </c>
      <c r="I4789">
        <v>2</v>
      </c>
      <c r="J4789">
        <v>0</v>
      </c>
      <c r="K4789">
        <v>0</v>
      </c>
      <c r="L4789">
        <v>0</v>
      </c>
    </row>
    <row r="4790" spans="1:12">
      <c r="A4790" t="str">
        <f>HYPERLINK("http://bombeiros.sp.gov.br/hidrantes/03individual/448.html","448")</f>
        <v>448</v>
      </c>
      <c r="B4790" t="str">
        <f>HYPERLINK("http://bombeiros.sp.gov.br/hidrantes/08bsg/qrcodeBSG.html?id=448&amp;lat=-23.60566&amp;long=-46.62829&amp;tipo=S","QRCODE")</f>
        <v>QRCODE</v>
      </c>
      <c r="C4790" t="s">
        <v>5372</v>
      </c>
      <c r="D4790" t="s">
        <v>538</v>
      </c>
      <c r="E4790" t="s">
        <v>409</v>
      </c>
      <c r="F4790" t="s">
        <v>21</v>
      </c>
      <c r="G4790" t="s">
        <v>1574</v>
      </c>
      <c r="H4790">
        <v>1</v>
      </c>
      <c r="I4790">
        <v>2</v>
      </c>
      <c r="J4790">
        <v>0</v>
      </c>
      <c r="K4790">
        <v>0</v>
      </c>
      <c r="L4790">
        <v>0</v>
      </c>
    </row>
    <row r="4791" spans="1:12">
      <c r="A4791" t="str">
        <f>HYPERLINK("http://bombeiros.sp.gov.br/hidrantes/03individual/3948.html","3948")</f>
        <v>3948</v>
      </c>
      <c r="B4791" t="str">
        <f>HYPERLINK("http://bombeiros.sp.gov.br/hidrantes/08bsg/qrcodeBSG.html?id=3948&amp;lat=-23.61270&amp;long=-46.63516&amp;tipo=S","QRCODE")</f>
        <v>QRCODE</v>
      </c>
      <c r="C4791" t="s">
        <v>5372</v>
      </c>
      <c r="D4791" t="s">
        <v>538</v>
      </c>
      <c r="E4791" t="s">
        <v>409</v>
      </c>
      <c r="F4791" t="s">
        <v>21</v>
      </c>
      <c r="G4791" t="s">
        <v>1537</v>
      </c>
      <c r="H4791">
        <v>0</v>
      </c>
      <c r="I4791">
        <v>2</v>
      </c>
      <c r="J4791">
        <v>0</v>
      </c>
      <c r="K4791">
        <v>0</v>
      </c>
      <c r="L4791">
        <v>0</v>
      </c>
    </row>
    <row r="4792" spans="1:12">
      <c r="A4792" t="str">
        <f>HYPERLINK("http://bombeiros.sp.gov.br/hidrantes/03individual/3952.html","3952")</f>
        <v>3952</v>
      </c>
      <c r="B4792" t="str">
        <f>HYPERLINK("http://bombeiros.sp.gov.br/hidrantes/08bsg/qrcodeBSG.html?id=3952&amp;lat=-23.60917&amp;long=-46.63392&amp;tipo=S","QRCODE")</f>
        <v>QRCODE</v>
      </c>
      <c r="C4792" t="s">
        <v>5372</v>
      </c>
      <c r="D4792" t="s">
        <v>538</v>
      </c>
      <c r="E4792" t="s">
        <v>409</v>
      </c>
      <c r="F4792" t="s">
        <v>21</v>
      </c>
      <c r="G4792" t="s">
        <v>4640</v>
      </c>
      <c r="H4792">
        <v>1</v>
      </c>
      <c r="I4792">
        <v>1</v>
      </c>
      <c r="J4792">
        <v>0</v>
      </c>
      <c r="K4792">
        <v>0</v>
      </c>
      <c r="L4792">
        <v>0</v>
      </c>
    </row>
    <row r="4793" spans="1:12">
      <c r="A4793" t="str">
        <f>HYPERLINK("http://bombeiros.sp.gov.br/hidrantes/03individual/4011.html","4011")</f>
        <v>4011</v>
      </c>
      <c r="B4793" t="str">
        <f>HYPERLINK("http://bombeiros.sp.gov.br/hidrantes/08bsg/qrcodeBSG.html?id=4011&amp;lat=-23.60483&amp;long=-46.63016&amp;tipo=S","QRCODE")</f>
        <v>QRCODE</v>
      </c>
      <c r="C4793" t="s">
        <v>5372</v>
      </c>
      <c r="D4793" t="s">
        <v>538</v>
      </c>
      <c r="E4793" t="s">
        <v>409</v>
      </c>
      <c r="F4793" t="s">
        <v>21</v>
      </c>
      <c r="G4793" t="s">
        <v>454</v>
      </c>
      <c r="H4793">
        <v>1</v>
      </c>
      <c r="I4793">
        <v>2</v>
      </c>
      <c r="J4793">
        <v>0</v>
      </c>
      <c r="K4793">
        <v>0</v>
      </c>
      <c r="L4793">
        <v>0</v>
      </c>
    </row>
    <row r="4794" spans="1:12">
      <c r="A4794" t="str">
        <f>HYPERLINK("http://bombeiros.sp.gov.br/hidrantes/03individual/10019.html","10019")</f>
        <v>10019</v>
      </c>
      <c r="B4794" t="str">
        <f>HYPERLINK("http://bombeiros.sp.gov.br/hidrantes/08bsg/qrcodeBSG.html?id=10019&amp;lat=-23.60055&amp;long=-46.63653&amp;tipo=S","QRCODE")</f>
        <v>QRCODE</v>
      </c>
      <c r="C4794" t="s">
        <v>5372</v>
      </c>
      <c r="D4794" t="s">
        <v>538</v>
      </c>
      <c r="E4794" t="s">
        <v>409</v>
      </c>
      <c r="F4794" t="s">
        <v>21</v>
      </c>
      <c r="G4794" t="s">
        <v>408</v>
      </c>
      <c r="H4794">
        <v>1</v>
      </c>
      <c r="I4794">
        <v>2</v>
      </c>
      <c r="J4794">
        <v>0</v>
      </c>
      <c r="K4794">
        <v>0</v>
      </c>
      <c r="L4794">
        <v>0</v>
      </c>
    </row>
    <row r="4795" spans="1:12">
      <c r="A4795" t="str">
        <f>HYPERLINK("http://bombeiros.sp.gov.br/hidrantes/03individual/16574.html","16574")</f>
        <v>16574</v>
      </c>
      <c r="B4795" t="str">
        <f>HYPERLINK("http://bombeiros.sp.gov.br/hidrantes/08bsg/qrcodeBSG.html?id=16574&amp;lat=-23.60150&amp;long=-46.63122&amp;tipo=S","QRCODE")</f>
        <v>QRCODE</v>
      </c>
      <c r="C4795" t="s">
        <v>5372</v>
      </c>
      <c r="D4795" t="s">
        <v>538</v>
      </c>
      <c r="E4795" t="s">
        <v>409</v>
      </c>
      <c r="F4795" t="s">
        <v>21</v>
      </c>
      <c r="G4795" t="s">
        <v>494</v>
      </c>
      <c r="H4795">
        <v>1</v>
      </c>
      <c r="I4795">
        <v>2</v>
      </c>
      <c r="J4795">
        <v>0</v>
      </c>
      <c r="K4795">
        <v>0</v>
      </c>
      <c r="L4795">
        <v>0</v>
      </c>
    </row>
    <row r="4796" spans="1:12">
      <c r="A4796" t="str">
        <f>HYPERLINK("http://bombeiros.sp.gov.br/hidrantes/03individual/26684.html","26684")</f>
        <v>26684</v>
      </c>
      <c r="B4796" t="str">
        <f>HYPERLINK("http://bombeiros.sp.gov.br/hidrantes/08bsg/qrcodeBSG.html?id=26684&amp;lat=-23.60687&amp;long=-46.63042&amp;tipo=S","QRCODE")</f>
        <v>QRCODE</v>
      </c>
      <c r="C4796" t="s">
        <v>5372</v>
      </c>
      <c r="D4796" t="s">
        <v>538</v>
      </c>
      <c r="E4796" t="s">
        <v>409</v>
      </c>
      <c r="F4796" t="s">
        <v>21</v>
      </c>
      <c r="G4796" t="s">
        <v>506</v>
      </c>
      <c r="H4796">
        <v>0</v>
      </c>
      <c r="I4796">
        <v>2</v>
      </c>
      <c r="J4796">
        <v>0</v>
      </c>
      <c r="K4796">
        <v>0</v>
      </c>
      <c r="L4796">
        <v>0</v>
      </c>
    </row>
    <row r="4797" spans="1:12">
      <c r="A4797" t="str">
        <f>HYPERLINK("http://bombeiros.sp.gov.br/hidrantes/03individual/288.html","288")</f>
        <v>288</v>
      </c>
      <c r="B4797" t="str">
        <f>HYPERLINK("http://bombeiros.sp.gov.br/hidrantes/08bsg/qrcodeBSG.html?id=288&amp;lat=-23.60140&amp;long=-46.63982&amp;tipo=C","QRCODE")</f>
        <v>QRCODE</v>
      </c>
      <c r="C4797" t="s">
        <v>5372</v>
      </c>
      <c r="D4797" t="s">
        <v>538</v>
      </c>
      <c r="E4797" t="s">
        <v>254</v>
      </c>
      <c r="F4797" t="s">
        <v>12</v>
      </c>
      <c r="G4797" t="s">
        <v>1100</v>
      </c>
      <c r="H4797">
        <v>0</v>
      </c>
      <c r="I4797">
        <v>2</v>
      </c>
      <c r="J4797">
        <v>0</v>
      </c>
      <c r="K4797">
        <v>0</v>
      </c>
      <c r="L4797">
        <v>0</v>
      </c>
    </row>
    <row r="4798" spans="1:12">
      <c r="A4798" t="str">
        <f>HYPERLINK("http://bombeiros.sp.gov.br/hidrantes/03individual/316.html","316")</f>
        <v>316</v>
      </c>
      <c r="B4798" t="str">
        <f>HYPERLINK("http://bombeiros.sp.gov.br/hidrantes/08bsg/qrcodeBSG.html?id=316&amp;lat=-23.60163&amp;long=-46.63692&amp;tipo=C","QRCODE")</f>
        <v>QRCODE</v>
      </c>
      <c r="C4798" t="s">
        <v>5372</v>
      </c>
      <c r="D4798" t="s">
        <v>538</v>
      </c>
      <c r="E4798" t="s">
        <v>254</v>
      </c>
      <c r="F4798" t="s">
        <v>12</v>
      </c>
      <c r="G4798" t="s">
        <v>1099</v>
      </c>
      <c r="H4798">
        <v>0</v>
      </c>
      <c r="I4798">
        <v>2</v>
      </c>
      <c r="J4798">
        <v>0</v>
      </c>
      <c r="K4798">
        <v>0</v>
      </c>
      <c r="L4798">
        <v>0</v>
      </c>
    </row>
    <row r="4799" spans="1:12">
      <c r="A4799" t="str">
        <f>HYPERLINK("http://bombeiros.sp.gov.br/hidrantes/03individual/347.html","347")</f>
        <v>347</v>
      </c>
      <c r="B4799" t="str">
        <f>HYPERLINK("http://bombeiros.sp.gov.br/hidrantes/08bsg/qrcodeBSG.html?id=347&amp;lat=-23.60040&amp;long=-46.63973&amp;tipo=C","QRCODE")</f>
        <v>QRCODE</v>
      </c>
      <c r="C4799" t="s">
        <v>5372</v>
      </c>
      <c r="D4799" t="s">
        <v>538</v>
      </c>
      <c r="E4799" t="s">
        <v>254</v>
      </c>
      <c r="F4799" t="s">
        <v>12</v>
      </c>
      <c r="G4799" t="s">
        <v>2079</v>
      </c>
      <c r="H4799">
        <v>0</v>
      </c>
      <c r="I4799">
        <v>2</v>
      </c>
      <c r="J4799">
        <v>0</v>
      </c>
      <c r="K4799">
        <v>0</v>
      </c>
      <c r="L4799">
        <v>0</v>
      </c>
    </row>
    <row r="4800" spans="1:12">
      <c r="A4800" t="str">
        <f>HYPERLINK("http://bombeiros.sp.gov.br/hidrantes/03individual/3608.html","3608")</f>
        <v>3608</v>
      </c>
      <c r="B4800" t="str">
        <f>HYPERLINK("http://bombeiros.sp.gov.br/hidrantes/08bsg/qrcodeBSG.html?id=3608&amp;lat=-23.61057&amp;long=-46.63815&amp;tipo=C","QRCODE")</f>
        <v>QRCODE</v>
      </c>
      <c r="C4800" t="s">
        <v>5372</v>
      </c>
      <c r="D4800" t="s">
        <v>538</v>
      </c>
      <c r="E4800" t="s">
        <v>254</v>
      </c>
      <c r="F4800" t="s">
        <v>12</v>
      </c>
      <c r="G4800" t="s">
        <v>4284</v>
      </c>
      <c r="H4800">
        <v>0</v>
      </c>
      <c r="I4800">
        <v>1</v>
      </c>
      <c r="J4800">
        <v>0</v>
      </c>
      <c r="K4800">
        <v>0</v>
      </c>
      <c r="L4800">
        <v>0</v>
      </c>
    </row>
    <row r="4801" spans="1:12">
      <c r="A4801" t="str">
        <f>HYPERLINK("http://bombeiros.sp.gov.br/hidrantes/03individual/3616.html","3616")</f>
        <v>3616</v>
      </c>
      <c r="B4801" t="str">
        <f>HYPERLINK("http://bombeiros.sp.gov.br/hidrantes/08bsg/qrcodeBSG.html?id=3616&amp;lat=-23.60157&amp;long=-46.63982&amp;tipo=C","QRCODE")</f>
        <v>QRCODE</v>
      </c>
      <c r="C4801" t="s">
        <v>5372</v>
      </c>
      <c r="D4801" t="s">
        <v>538</v>
      </c>
      <c r="E4801" t="s">
        <v>254</v>
      </c>
      <c r="F4801" t="s">
        <v>12</v>
      </c>
      <c r="G4801" t="s">
        <v>1100</v>
      </c>
      <c r="H4801">
        <v>1</v>
      </c>
      <c r="I4801">
        <v>1</v>
      </c>
      <c r="J4801">
        <v>0</v>
      </c>
      <c r="K4801">
        <v>0</v>
      </c>
      <c r="L4801">
        <v>0</v>
      </c>
    </row>
    <row r="4802" spans="1:12">
      <c r="A4802" t="str">
        <f>HYPERLINK("http://bombeiros.sp.gov.br/hidrantes/03individual/294.html","294")</f>
        <v>294</v>
      </c>
      <c r="B4802" t="str">
        <f>HYPERLINK("http://bombeiros.sp.gov.br/hidrantes/08bsg/qrcodeBSG.html?id=294&amp;lat=-23.60996&amp;long=-46.64290&amp;tipo=S","QRCODE")</f>
        <v>QRCODE</v>
      </c>
      <c r="C4802" t="s">
        <v>5372</v>
      </c>
      <c r="D4802" t="s">
        <v>538</v>
      </c>
      <c r="E4802" t="s">
        <v>254</v>
      </c>
      <c r="F4802" t="s">
        <v>21</v>
      </c>
      <c r="G4802" t="s">
        <v>1580</v>
      </c>
      <c r="H4802">
        <v>0</v>
      </c>
      <c r="I4802">
        <v>2</v>
      </c>
      <c r="J4802">
        <v>0</v>
      </c>
      <c r="K4802">
        <v>0</v>
      </c>
      <c r="L4802">
        <v>0</v>
      </c>
    </row>
    <row r="4803" spans="1:12">
      <c r="A4803" t="str">
        <f>HYPERLINK("http://bombeiros.sp.gov.br/hidrantes/03individual/319.html","319")</f>
        <v>319</v>
      </c>
      <c r="B4803" t="str">
        <f>HYPERLINK("http://bombeiros.sp.gov.br/hidrantes/08bsg/qrcodeBSG.html?id=319&amp;lat=-23.60394&amp;long=-46.63714&amp;tipo=S","QRCODE")</f>
        <v>QRCODE</v>
      </c>
      <c r="C4803" t="s">
        <v>5372</v>
      </c>
      <c r="D4803" t="s">
        <v>538</v>
      </c>
      <c r="E4803" t="s">
        <v>254</v>
      </c>
      <c r="F4803" t="s">
        <v>21</v>
      </c>
      <c r="G4803" t="s">
        <v>1074</v>
      </c>
      <c r="H4803">
        <v>0</v>
      </c>
      <c r="I4803">
        <v>2</v>
      </c>
      <c r="J4803">
        <v>0</v>
      </c>
      <c r="K4803">
        <v>0</v>
      </c>
      <c r="L4803">
        <v>0</v>
      </c>
    </row>
    <row r="4804" spans="1:12">
      <c r="A4804" t="str">
        <f>HYPERLINK("http://bombeiros.sp.gov.br/hidrantes/03individual/414.html","414")</f>
        <v>414</v>
      </c>
      <c r="B4804" t="str">
        <f>HYPERLINK("http://bombeiros.sp.gov.br/hidrantes/08bsg/qrcodeBSG.html?id=414&amp;lat=-23.60130&amp;long=-46.64448&amp;tipo=S","QRCODE")</f>
        <v>QRCODE</v>
      </c>
      <c r="C4804" t="s">
        <v>5372</v>
      </c>
      <c r="D4804" t="s">
        <v>538</v>
      </c>
      <c r="E4804" t="s">
        <v>254</v>
      </c>
      <c r="F4804" t="s">
        <v>21</v>
      </c>
      <c r="G4804" t="s">
        <v>776</v>
      </c>
      <c r="H4804">
        <v>1</v>
      </c>
      <c r="I4804">
        <v>2</v>
      </c>
      <c r="J4804">
        <v>0</v>
      </c>
      <c r="K4804">
        <v>0</v>
      </c>
      <c r="L4804">
        <v>0</v>
      </c>
    </row>
    <row r="4805" spans="1:12">
      <c r="A4805" t="str">
        <f>HYPERLINK("http://bombeiros.sp.gov.br/hidrantes/03individual/422.html","422")</f>
        <v>422</v>
      </c>
      <c r="B4805" t="str">
        <f>HYPERLINK("http://bombeiros.sp.gov.br/hidrantes/08bsg/qrcodeBSG.html?id=422&amp;lat=-23.60031&amp;long=-46.64962&amp;tipo=S","QRCODE")</f>
        <v>QRCODE</v>
      </c>
      <c r="C4805" t="s">
        <v>5372</v>
      </c>
      <c r="D4805" t="s">
        <v>538</v>
      </c>
      <c r="E4805" t="s">
        <v>254</v>
      </c>
      <c r="F4805" t="s">
        <v>21</v>
      </c>
      <c r="G4805" t="s">
        <v>777</v>
      </c>
      <c r="H4805">
        <v>1</v>
      </c>
      <c r="I4805">
        <v>2</v>
      </c>
      <c r="J4805">
        <v>0</v>
      </c>
      <c r="K4805">
        <v>0</v>
      </c>
      <c r="L4805">
        <v>0</v>
      </c>
    </row>
    <row r="4806" spans="1:12">
      <c r="A4806" t="str">
        <f>HYPERLINK("http://bombeiros.sp.gov.br/hidrantes/03individual/492.html","492")</f>
        <v>492</v>
      </c>
      <c r="B4806" t="str">
        <f>HYPERLINK("http://bombeiros.sp.gov.br/hidrantes/08bsg/qrcodeBSG.html?id=492&amp;lat=-23.60669&amp;long=-46.64441&amp;tipo=S","QRCODE")</f>
        <v>QRCODE</v>
      </c>
      <c r="C4806" t="s">
        <v>5372</v>
      </c>
      <c r="D4806" t="s">
        <v>538</v>
      </c>
      <c r="E4806" t="s">
        <v>254</v>
      </c>
      <c r="F4806" t="s">
        <v>21</v>
      </c>
      <c r="G4806" t="s">
        <v>1947</v>
      </c>
      <c r="H4806">
        <v>0</v>
      </c>
      <c r="I4806">
        <v>2</v>
      </c>
      <c r="J4806">
        <v>0</v>
      </c>
      <c r="K4806">
        <v>0</v>
      </c>
      <c r="L4806">
        <v>0</v>
      </c>
    </row>
    <row r="4807" spans="1:12">
      <c r="A4807" t="str">
        <f>HYPERLINK("http://bombeiros.sp.gov.br/hidrantes/03individual/493.html","493")</f>
        <v>493</v>
      </c>
      <c r="B4807" t="str">
        <f>HYPERLINK("http://bombeiros.sp.gov.br/hidrantes/08bsg/qrcodeBSG.html?id=493&amp;lat=-23.60559&amp;long=-46.64741&amp;tipo=S","QRCODE")</f>
        <v>QRCODE</v>
      </c>
      <c r="C4807" t="s">
        <v>5372</v>
      </c>
      <c r="D4807" t="s">
        <v>538</v>
      </c>
      <c r="E4807" t="s">
        <v>254</v>
      </c>
      <c r="F4807" t="s">
        <v>21</v>
      </c>
      <c r="G4807" t="s">
        <v>1948</v>
      </c>
      <c r="H4807">
        <v>0</v>
      </c>
      <c r="I4807">
        <v>2</v>
      </c>
      <c r="J4807">
        <v>0</v>
      </c>
      <c r="K4807">
        <v>0</v>
      </c>
      <c r="L4807">
        <v>0</v>
      </c>
    </row>
    <row r="4808" spans="1:12">
      <c r="A4808" t="str">
        <f>HYPERLINK("http://bombeiros.sp.gov.br/hidrantes/03individual/2835.html","2835")</f>
        <v>2835</v>
      </c>
      <c r="B4808" t="str">
        <f>HYPERLINK("http://bombeiros.sp.gov.br/hidrantes/08bsg/qrcodeBSG.html?id=2835&amp;lat=-23.59981&amp;long=-46.64212&amp;tipo=S","QRCODE")</f>
        <v>QRCODE</v>
      </c>
      <c r="C4808" t="s">
        <v>5372</v>
      </c>
      <c r="D4808" t="s">
        <v>538</v>
      </c>
      <c r="E4808" t="s">
        <v>254</v>
      </c>
      <c r="F4808" t="s">
        <v>21</v>
      </c>
      <c r="G4808" t="s">
        <v>1112</v>
      </c>
      <c r="H4808">
        <v>0</v>
      </c>
      <c r="I4808">
        <v>2</v>
      </c>
      <c r="J4808">
        <v>0</v>
      </c>
      <c r="K4808">
        <v>0</v>
      </c>
      <c r="L4808">
        <v>0</v>
      </c>
    </row>
    <row r="4809" spans="1:12">
      <c r="A4809" t="str">
        <f>HYPERLINK("http://bombeiros.sp.gov.br/hidrantes/03individual/3613.html","3613")</f>
        <v>3613</v>
      </c>
      <c r="B4809" t="str">
        <f>HYPERLINK("http://bombeiros.sp.gov.br/hidrantes/08bsg/qrcodeBSG.html?id=3613&amp;lat=-23.60166&amp;long=-46.63698&amp;tipo=S","QRCODE")</f>
        <v>QRCODE</v>
      </c>
      <c r="C4809" t="s">
        <v>5372</v>
      </c>
      <c r="D4809" t="s">
        <v>538</v>
      </c>
      <c r="E4809" t="s">
        <v>254</v>
      </c>
      <c r="F4809" t="s">
        <v>21</v>
      </c>
      <c r="G4809" t="s">
        <v>1099</v>
      </c>
      <c r="H4809">
        <v>1</v>
      </c>
      <c r="I4809">
        <v>2</v>
      </c>
      <c r="J4809">
        <v>0</v>
      </c>
      <c r="K4809">
        <v>0</v>
      </c>
      <c r="L4809">
        <v>0</v>
      </c>
    </row>
    <row r="4810" spans="1:12">
      <c r="A4810" t="str">
        <f>HYPERLINK("http://bombeiros.sp.gov.br/hidrantes/03individual/3615.html","3615")</f>
        <v>3615</v>
      </c>
      <c r="B4810" t="str">
        <f>HYPERLINK("http://bombeiros.sp.gov.br/hidrantes/08bsg/qrcodeBSG.html?id=3615&amp;lat=-23.60137&amp;long=-46.63984&amp;tipo=S","QRCODE")</f>
        <v>QRCODE</v>
      </c>
      <c r="C4810" t="s">
        <v>5372</v>
      </c>
      <c r="D4810" t="s">
        <v>538</v>
      </c>
      <c r="E4810" t="s">
        <v>254</v>
      </c>
      <c r="F4810" t="s">
        <v>21</v>
      </c>
      <c r="G4810" t="s">
        <v>1100</v>
      </c>
      <c r="H4810">
        <v>1</v>
      </c>
      <c r="I4810">
        <v>2</v>
      </c>
      <c r="J4810">
        <v>0</v>
      </c>
      <c r="K4810">
        <v>0</v>
      </c>
      <c r="L4810">
        <v>0</v>
      </c>
    </row>
    <row r="4811" spans="1:12">
      <c r="A4811" t="str">
        <f>HYPERLINK("http://bombeiros.sp.gov.br/hidrantes/03individual/3617.html","3617")</f>
        <v>3617</v>
      </c>
      <c r="B4811" t="str">
        <f>HYPERLINK("http://bombeiros.sp.gov.br/hidrantes/08bsg/qrcodeBSG.html?id=3617&amp;lat=-23.60160&amp;long=-46.63984&amp;tipo=S","QRCODE")</f>
        <v>QRCODE</v>
      </c>
      <c r="C4811" t="s">
        <v>5372</v>
      </c>
      <c r="D4811" t="s">
        <v>538</v>
      </c>
      <c r="E4811" t="s">
        <v>254</v>
      </c>
      <c r="F4811" t="s">
        <v>21</v>
      </c>
      <c r="G4811" t="s">
        <v>1100</v>
      </c>
      <c r="H4811">
        <v>0</v>
      </c>
      <c r="I4811">
        <v>2</v>
      </c>
      <c r="J4811">
        <v>0</v>
      </c>
      <c r="K4811">
        <v>0</v>
      </c>
      <c r="L4811">
        <v>0</v>
      </c>
    </row>
    <row r="4812" spans="1:12">
      <c r="A4812" t="str">
        <f>HYPERLINK("http://bombeiros.sp.gov.br/hidrantes/03individual/3618.html","3618")</f>
        <v>3618</v>
      </c>
      <c r="B4812" t="str">
        <f>HYPERLINK("http://bombeiros.sp.gov.br/hidrantes/08bsg/qrcodeBSG.html?id=3618&amp;lat=-23.60044&amp;long=-46.64004&amp;tipo=S","QRCODE")</f>
        <v>QRCODE</v>
      </c>
      <c r="C4812" t="s">
        <v>5372</v>
      </c>
      <c r="D4812" t="s">
        <v>538</v>
      </c>
      <c r="E4812" t="s">
        <v>254</v>
      </c>
      <c r="F4812" t="s">
        <v>21</v>
      </c>
      <c r="G4812" t="s">
        <v>2079</v>
      </c>
      <c r="H4812">
        <v>0</v>
      </c>
      <c r="I4812">
        <v>2</v>
      </c>
      <c r="J4812">
        <v>0</v>
      </c>
      <c r="K4812">
        <v>0</v>
      </c>
      <c r="L4812">
        <v>0</v>
      </c>
    </row>
    <row r="4813" spans="1:12">
      <c r="A4813" t="str">
        <f>HYPERLINK("http://bombeiros.sp.gov.br/hidrantes/03individual/3957.html","3957")</f>
        <v>3957</v>
      </c>
      <c r="B4813" t="str">
        <f>HYPERLINK("http://bombeiros.sp.gov.br/hidrantes/08bsg/qrcodeBSG.html?id=3957&amp;lat=-23.61033&amp;long=-46.63813&amp;tipo=S","QRCODE")</f>
        <v>QRCODE</v>
      </c>
      <c r="C4813" t="s">
        <v>5372</v>
      </c>
      <c r="D4813" t="s">
        <v>538</v>
      </c>
      <c r="E4813" t="s">
        <v>254</v>
      </c>
      <c r="F4813" t="s">
        <v>21</v>
      </c>
      <c r="G4813" t="s">
        <v>525</v>
      </c>
      <c r="H4813">
        <v>0</v>
      </c>
      <c r="I4813">
        <v>2</v>
      </c>
      <c r="J4813">
        <v>0</v>
      </c>
      <c r="K4813">
        <v>0</v>
      </c>
      <c r="L4813">
        <v>0</v>
      </c>
    </row>
    <row r="4814" spans="1:12">
      <c r="A4814" t="str">
        <f>HYPERLINK("http://bombeiros.sp.gov.br/hidrantes/03individual/3960.html","3960")</f>
        <v>3960</v>
      </c>
      <c r="B4814" t="str">
        <f>HYPERLINK("http://bombeiros.sp.gov.br/hidrantes/08bsg/qrcodeBSG.html?id=3960&amp;lat=-23.60692&amp;long=-46.64019&amp;tipo=S","QRCODE")</f>
        <v>QRCODE</v>
      </c>
      <c r="C4814" t="s">
        <v>5372</v>
      </c>
      <c r="D4814" t="s">
        <v>538</v>
      </c>
      <c r="E4814" t="s">
        <v>254</v>
      </c>
      <c r="F4814" t="s">
        <v>21</v>
      </c>
      <c r="G4814" t="s">
        <v>714</v>
      </c>
      <c r="H4814">
        <v>0</v>
      </c>
      <c r="I4814">
        <v>2</v>
      </c>
      <c r="J4814">
        <v>0</v>
      </c>
      <c r="K4814">
        <v>0</v>
      </c>
      <c r="L4814">
        <v>0</v>
      </c>
    </row>
    <row r="4815" spans="1:12">
      <c r="A4815" t="str">
        <f>HYPERLINK("http://bombeiros.sp.gov.br/hidrantes/03individual/3962.html","3962")</f>
        <v>3962</v>
      </c>
      <c r="B4815" t="str">
        <f>HYPERLINK("http://bombeiros.sp.gov.br/hidrantes/08bsg/qrcodeBSG.html?id=3962&amp;lat=-23.60728&amp;long=-46.64097&amp;tipo=S","QRCODE")</f>
        <v>QRCODE</v>
      </c>
      <c r="C4815" t="s">
        <v>5372</v>
      </c>
      <c r="D4815" t="s">
        <v>538</v>
      </c>
      <c r="E4815" t="s">
        <v>254</v>
      </c>
      <c r="F4815" t="s">
        <v>21</v>
      </c>
      <c r="G4815" t="s">
        <v>715</v>
      </c>
      <c r="H4815">
        <v>0</v>
      </c>
      <c r="I4815">
        <v>2</v>
      </c>
      <c r="J4815">
        <v>0</v>
      </c>
      <c r="K4815">
        <v>0</v>
      </c>
      <c r="L4815">
        <v>0</v>
      </c>
    </row>
    <row r="4816" spans="1:12">
      <c r="A4816" t="str">
        <f>HYPERLINK("http://bombeiros.sp.gov.br/hidrantes/03individual/3964.html","3964")</f>
        <v>3964</v>
      </c>
      <c r="B4816" t="str">
        <f>HYPERLINK("http://bombeiros.sp.gov.br/hidrantes/08bsg/qrcodeBSG.html?id=3964&amp;lat=-23.60489&amp;long=-46.63995&amp;tipo=S","QRCODE")</f>
        <v>QRCODE</v>
      </c>
      <c r="C4816" t="s">
        <v>5372</v>
      </c>
      <c r="D4816" t="s">
        <v>538</v>
      </c>
      <c r="E4816" t="s">
        <v>254</v>
      </c>
      <c r="F4816" t="s">
        <v>21</v>
      </c>
      <c r="G4816" t="s">
        <v>4329</v>
      </c>
      <c r="H4816">
        <v>0</v>
      </c>
      <c r="I4816">
        <v>2</v>
      </c>
      <c r="J4816">
        <v>0</v>
      </c>
      <c r="K4816">
        <v>0</v>
      </c>
      <c r="L4816">
        <v>0</v>
      </c>
    </row>
    <row r="4817" spans="1:12">
      <c r="A4817" t="str">
        <f>HYPERLINK("http://bombeiros.sp.gov.br/hidrantes/03individual/3967.html","3967")</f>
        <v>3967</v>
      </c>
      <c r="B4817" t="str">
        <f>HYPERLINK("http://bombeiros.sp.gov.br/hidrantes/08bsg/qrcodeBSG.html?id=3967&amp;lat=-23.60722&amp;long=-46.64245&amp;tipo=S","QRCODE")</f>
        <v>QRCODE</v>
      </c>
      <c r="C4817" t="s">
        <v>5372</v>
      </c>
      <c r="D4817" t="s">
        <v>538</v>
      </c>
      <c r="E4817" t="s">
        <v>254</v>
      </c>
      <c r="F4817" t="s">
        <v>21</v>
      </c>
      <c r="G4817" t="s">
        <v>4617</v>
      </c>
      <c r="H4817">
        <v>1</v>
      </c>
      <c r="I4817">
        <v>1</v>
      </c>
      <c r="J4817">
        <v>0</v>
      </c>
      <c r="K4817">
        <v>0</v>
      </c>
      <c r="L4817">
        <v>0</v>
      </c>
    </row>
    <row r="4818" spans="1:12">
      <c r="A4818" t="str">
        <f>HYPERLINK("http://bombeiros.sp.gov.br/hidrantes/03individual/3998.html","3998")</f>
        <v>3998</v>
      </c>
      <c r="B4818" t="str">
        <f>HYPERLINK("http://bombeiros.sp.gov.br/hidrantes/08bsg/qrcodeBSG.html?id=3998&amp;lat=-23.60181&amp;long=-46.65085&amp;tipo=S","QRCODE")</f>
        <v>QRCODE</v>
      </c>
      <c r="C4818" t="s">
        <v>5372</v>
      </c>
      <c r="D4818" t="s">
        <v>538</v>
      </c>
      <c r="E4818" t="s">
        <v>254</v>
      </c>
      <c r="F4818" t="s">
        <v>21</v>
      </c>
      <c r="G4818" t="s">
        <v>2800</v>
      </c>
      <c r="H4818">
        <v>0</v>
      </c>
      <c r="I4818">
        <v>2</v>
      </c>
      <c r="J4818">
        <v>0</v>
      </c>
      <c r="K4818">
        <v>0</v>
      </c>
      <c r="L4818">
        <v>0</v>
      </c>
    </row>
    <row r="4819" spans="1:12">
      <c r="A4819" t="str">
        <f>HYPERLINK("http://bombeiros.sp.gov.br/hidrantes/03individual/4008.html","4008")</f>
        <v>4008</v>
      </c>
      <c r="B4819" t="str">
        <f>HYPERLINK("http://bombeiros.sp.gov.br/hidrantes/08bsg/qrcodeBSG.html?id=4008&amp;lat=-23.61163&amp;long=-46.63923&amp;tipo=S","QRCODE")</f>
        <v>QRCODE</v>
      </c>
      <c r="C4819" t="s">
        <v>5372</v>
      </c>
      <c r="D4819" t="s">
        <v>538</v>
      </c>
      <c r="E4819" t="s">
        <v>254</v>
      </c>
      <c r="F4819" t="s">
        <v>21</v>
      </c>
      <c r="G4819" t="s">
        <v>3212</v>
      </c>
      <c r="H4819">
        <v>0</v>
      </c>
      <c r="I4819">
        <v>2</v>
      </c>
      <c r="J4819">
        <v>0</v>
      </c>
      <c r="K4819">
        <v>0</v>
      </c>
      <c r="L4819">
        <v>0</v>
      </c>
    </row>
    <row r="4820" spans="1:12">
      <c r="A4820" t="str">
        <f>HYPERLINK("http://bombeiros.sp.gov.br/hidrantes/03individual/4009.html","4009")</f>
        <v>4009</v>
      </c>
      <c r="B4820" t="str">
        <f>HYPERLINK("http://bombeiros.sp.gov.br/hidrantes/08bsg/qrcodeBSG.html?id=4009&amp;lat=-23.60380&amp;long=-46.64451&amp;tipo=S","QRCODE")</f>
        <v>QRCODE</v>
      </c>
      <c r="C4820" t="s">
        <v>5372</v>
      </c>
      <c r="D4820" t="s">
        <v>538</v>
      </c>
      <c r="E4820" t="s">
        <v>254</v>
      </c>
      <c r="F4820" t="s">
        <v>21</v>
      </c>
      <c r="G4820" t="s">
        <v>4616</v>
      </c>
      <c r="H4820">
        <v>1</v>
      </c>
      <c r="I4820">
        <v>1</v>
      </c>
      <c r="J4820">
        <v>0</v>
      </c>
      <c r="K4820">
        <v>0</v>
      </c>
      <c r="L4820">
        <v>0</v>
      </c>
    </row>
    <row r="4821" spans="1:12">
      <c r="A4821" t="str">
        <f>HYPERLINK("http://bombeiros.sp.gov.br/hidrantes/03individual/4010.html","4010")</f>
        <v>4010</v>
      </c>
      <c r="B4821" t="str">
        <f>HYPERLINK("http://bombeiros.sp.gov.br/hidrantes/08bsg/qrcodeBSG.html?id=4010&amp;lat=-23.60412&amp;long=-46.64347&amp;tipo=S","QRCODE")</f>
        <v>QRCODE</v>
      </c>
      <c r="C4821" t="s">
        <v>5372</v>
      </c>
      <c r="D4821" t="s">
        <v>538</v>
      </c>
      <c r="E4821" t="s">
        <v>254</v>
      </c>
      <c r="F4821" t="s">
        <v>21</v>
      </c>
      <c r="G4821" t="s">
        <v>712</v>
      </c>
      <c r="H4821">
        <v>0</v>
      </c>
      <c r="I4821">
        <v>2</v>
      </c>
      <c r="J4821">
        <v>0</v>
      </c>
      <c r="K4821">
        <v>0</v>
      </c>
      <c r="L4821">
        <v>0</v>
      </c>
    </row>
    <row r="4822" spans="1:12">
      <c r="A4822" t="str">
        <f>HYPERLINK("http://bombeiros.sp.gov.br/hidrantes/03individual/4178.html","4178")</f>
        <v>4178</v>
      </c>
      <c r="B4822" t="str">
        <f>HYPERLINK("http://bombeiros.sp.gov.br/hidrantes/08bsg/qrcodeBSG.html?id=4178&amp;lat=-23.60880&amp;long=-46.64650&amp;tipo=S","QRCODE")</f>
        <v>QRCODE</v>
      </c>
      <c r="C4822" t="s">
        <v>5372</v>
      </c>
      <c r="D4822" t="s">
        <v>538</v>
      </c>
      <c r="E4822" t="s">
        <v>254</v>
      </c>
      <c r="F4822" t="s">
        <v>21</v>
      </c>
      <c r="G4822" t="s">
        <v>1989</v>
      </c>
      <c r="H4822">
        <v>0</v>
      </c>
      <c r="I4822">
        <v>2</v>
      </c>
      <c r="J4822">
        <v>0</v>
      </c>
      <c r="K4822">
        <v>0</v>
      </c>
      <c r="L4822">
        <v>0</v>
      </c>
    </row>
    <row r="4823" spans="1:12">
      <c r="A4823" t="str">
        <f>HYPERLINK("http://bombeiros.sp.gov.br/hidrantes/03individual/4386.html","4386")</f>
        <v>4386</v>
      </c>
      <c r="B4823" t="str">
        <f>HYPERLINK("http://bombeiros.sp.gov.br/hidrantes/08bsg/qrcodeBSG.html?id=4386&amp;lat=-23.60605&amp;long=-46.64877&amp;tipo=S","QRCODE")</f>
        <v>QRCODE</v>
      </c>
      <c r="C4823" t="s">
        <v>5372</v>
      </c>
      <c r="D4823" t="s">
        <v>538</v>
      </c>
      <c r="E4823" t="s">
        <v>254</v>
      </c>
      <c r="F4823" t="s">
        <v>21</v>
      </c>
      <c r="G4823" t="s">
        <v>738</v>
      </c>
      <c r="H4823">
        <v>0</v>
      </c>
      <c r="I4823">
        <v>2</v>
      </c>
      <c r="J4823">
        <v>0</v>
      </c>
      <c r="K4823">
        <v>0</v>
      </c>
      <c r="L4823">
        <v>0</v>
      </c>
    </row>
    <row r="4824" spans="1:12">
      <c r="A4824" t="str">
        <f>HYPERLINK("http://bombeiros.sp.gov.br/hidrantes/03individual/4438.html","4438")</f>
        <v>4438</v>
      </c>
      <c r="B4824" t="str">
        <f>HYPERLINK("http://bombeiros.sp.gov.br/hidrantes/08bsg/qrcodeBSG.html?id=4438&amp;lat=-23.60400&amp;long=-46.63709&amp;tipo=S","QRCODE")</f>
        <v>QRCODE</v>
      </c>
      <c r="C4824" t="s">
        <v>5372</v>
      </c>
      <c r="D4824" t="s">
        <v>538</v>
      </c>
      <c r="E4824" t="s">
        <v>254</v>
      </c>
      <c r="F4824" t="s">
        <v>21</v>
      </c>
      <c r="G4824" t="s">
        <v>4612</v>
      </c>
      <c r="H4824">
        <v>1</v>
      </c>
      <c r="I4824">
        <v>1</v>
      </c>
      <c r="J4824">
        <v>0</v>
      </c>
      <c r="K4824">
        <v>0</v>
      </c>
      <c r="L4824">
        <v>0</v>
      </c>
    </row>
    <row r="4825" spans="1:12">
      <c r="A4825" t="str">
        <f>HYPERLINK("http://bombeiros.sp.gov.br/hidrantes/03individual/10018.html","10018")</f>
        <v>10018</v>
      </c>
      <c r="B4825" t="str">
        <f>HYPERLINK("http://bombeiros.sp.gov.br/hidrantes/08bsg/qrcodeBSG.html?id=10018&amp;lat=-23.60194&amp;long=-46.64287&amp;tipo=S","QRCODE")</f>
        <v>QRCODE</v>
      </c>
      <c r="C4825" t="s">
        <v>5372</v>
      </c>
      <c r="D4825" t="s">
        <v>538</v>
      </c>
      <c r="E4825" t="s">
        <v>254</v>
      </c>
      <c r="F4825" t="s">
        <v>21</v>
      </c>
      <c r="G4825" t="s">
        <v>4611</v>
      </c>
      <c r="H4825">
        <v>1</v>
      </c>
      <c r="I4825">
        <v>1</v>
      </c>
      <c r="J4825">
        <v>0</v>
      </c>
      <c r="K4825">
        <v>0</v>
      </c>
      <c r="L4825">
        <v>0</v>
      </c>
    </row>
    <row r="4826" spans="1:12">
      <c r="A4826" t="str">
        <f>HYPERLINK("http://bombeiros.sp.gov.br/hidrantes/03individual/16528.html","16528")</f>
        <v>16528</v>
      </c>
      <c r="B4826" t="str">
        <f>HYPERLINK("http://bombeiros.sp.gov.br/hidrantes/08bsg/qrcodeBSG.html?id=16528&amp;lat=-23.60045&amp;long=-46.63979&amp;tipo=S","QRCODE")</f>
        <v>QRCODE</v>
      </c>
      <c r="C4826" t="s">
        <v>5372</v>
      </c>
      <c r="D4826" t="s">
        <v>538</v>
      </c>
      <c r="E4826" t="s">
        <v>254</v>
      </c>
      <c r="F4826" t="s">
        <v>21</v>
      </c>
      <c r="G4826" t="s">
        <v>253</v>
      </c>
      <c r="H4826">
        <v>1</v>
      </c>
      <c r="I4826">
        <v>2</v>
      </c>
      <c r="J4826">
        <v>0</v>
      </c>
      <c r="K4826">
        <v>0</v>
      </c>
      <c r="L4826">
        <v>0</v>
      </c>
    </row>
    <row r="4827" spans="1:12">
      <c r="A4827" t="str">
        <f>HYPERLINK("http://bombeiros.sp.gov.br/hidrantes/03individual/17681.html","17681")</f>
        <v>17681</v>
      </c>
      <c r="B4827" t="str">
        <f>HYPERLINK("http://bombeiros.sp.gov.br/hidrantes/08bsg/qrcodeBSG.html?id=17681&amp;lat=-23.61198&amp;long=-46.64454&amp;tipo=S","QRCODE")</f>
        <v>QRCODE</v>
      </c>
      <c r="C4827" t="s">
        <v>5372</v>
      </c>
      <c r="D4827" t="s">
        <v>538</v>
      </c>
      <c r="E4827" t="s">
        <v>254</v>
      </c>
      <c r="F4827" t="s">
        <v>21</v>
      </c>
      <c r="G4827" t="s">
        <v>3645</v>
      </c>
      <c r="H4827">
        <v>1</v>
      </c>
      <c r="I4827">
        <v>1</v>
      </c>
      <c r="J4827">
        <v>0</v>
      </c>
      <c r="K4827">
        <v>0</v>
      </c>
      <c r="L4827">
        <v>0</v>
      </c>
    </row>
    <row r="4828" spans="1:12">
      <c r="A4828" t="str">
        <f>HYPERLINK("http://bombeiros.sp.gov.br/hidrantes/03individual/330.html","330")</f>
        <v>330</v>
      </c>
      <c r="B4828" t="str">
        <f>HYPERLINK("http://bombeiros.sp.gov.br/hidrantes/08bsg/qrcodeBSG.html?id=330&amp;lat=-23.61176&amp;long=-46.65080&amp;tipo=C","QRCODE")</f>
        <v>QRCODE</v>
      </c>
      <c r="C4828" t="s">
        <v>5372</v>
      </c>
      <c r="D4828" t="s">
        <v>538</v>
      </c>
      <c r="E4828" t="s">
        <v>457</v>
      </c>
      <c r="F4828" t="s">
        <v>12</v>
      </c>
      <c r="G4828" t="s">
        <v>4285</v>
      </c>
      <c r="H4828">
        <v>0</v>
      </c>
      <c r="I4828">
        <v>1</v>
      </c>
      <c r="J4828">
        <v>0</v>
      </c>
      <c r="K4828">
        <v>0</v>
      </c>
      <c r="L4828">
        <v>0</v>
      </c>
    </row>
    <row r="4829" spans="1:12">
      <c r="A4829" t="str">
        <f>HYPERLINK("http://bombeiros.sp.gov.br/hidrantes/03individual/3940.html","3940")</f>
        <v>3940</v>
      </c>
      <c r="B4829" t="str">
        <f>HYPERLINK("http://bombeiros.sp.gov.br/hidrantes/08bsg/qrcodeBSG.html?id=3940&amp;lat=-23.62620&amp;long=-46.64487&amp;tipo=C","QRCODE")</f>
        <v>QRCODE</v>
      </c>
      <c r="C4829" t="s">
        <v>5372</v>
      </c>
      <c r="D4829" t="s">
        <v>538</v>
      </c>
      <c r="E4829" t="s">
        <v>457</v>
      </c>
      <c r="F4829" t="s">
        <v>12</v>
      </c>
      <c r="G4829" t="s">
        <v>4336</v>
      </c>
      <c r="H4829">
        <v>0</v>
      </c>
      <c r="I4829">
        <v>2</v>
      </c>
      <c r="J4829">
        <v>0</v>
      </c>
      <c r="K4829">
        <v>0</v>
      </c>
      <c r="L4829">
        <v>0</v>
      </c>
    </row>
    <row r="4830" spans="1:12">
      <c r="A4830" t="str">
        <f>HYPERLINK("http://bombeiros.sp.gov.br/hidrantes/03individual/3949.html","3949")</f>
        <v>3949</v>
      </c>
      <c r="B4830" t="str">
        <f>HYPERLINK("http://bombeiros.sp.gov.br/hidrantes/08bsg/qrcodeBSG.html?id=3949&amp;lat=-23.62714&amp;long=-46.64994&amp;tipo=C","QRCODE")</f>
        <v>QRCODE</v>
      </c>
      <c r="C4830" t="s">
        <v>5372</v>
      </c>
      <c r="D4830" t="s">
        <v>538</v>
      </c>
      <c r="E4830" t="s">
        <v>457</v>
      </c>
      <c r="F4830" t="s">
        <v>12</v>
      </c>
      <c r="G4830" t="s">
        <v>2802</v>
      </c>
      <c r="H4830">
        <v>0</v>
      </c>
      <c r="I4830">
        <v>2</v>
      </c>
      <c r="J4830">
        <v>0</v>
      </c>
      <c r="K4830">
        <v>0</v>
      </c>
      <c r="L4830">
        <v>0</v>
      </c>
    </row>
    <row r="4831" spans="1:12">
      <c r="A4831" t="str">
        <f>HYPERLINK("http://bombeiros.sp.gov.br/hidrantes/03individual/3984.html","3984")</f>
        <v>3984</v>
      </c>
      <c r="B4831" t="str">
        <f>HYPERLINK("http://bombeiros.sp.gov.br/hidrantes/08bsg/qrcodeBSG.html?id=3984&amp;lat=-23.62144&amp;long=-46.64724&amp;tipo=C","QRCODE")</f>
        <v>QRCODE</v>
      </c>
      <c r="C4831" t="s">
        <v>5372</v>
      </c>
      <c r="D4831" t="s">
        <v>538</v>
      </c>
      <c r="E4831" t="s">
        <v>457</v>
      </c>
      <c r="F4831" t="s">
        <v>12</v>
      </c>
      <c r="G4831" t="s">
        <v>4337</v>
      </c>
      <c r="H4831">
        <v>0</v>
      </c>
      <c r="I4831">
        <v>2</v>
      </c>
      <c r="J4831">
        <v>0</v>
      </c>
      <c r="K4831">
        <v>0</v>
      </c>
      <c r="L4831">
        <v>0</v>
      </c>
    </row>
    <row r="4832" spans="1:12">
      <c r="A4832" t="str">
        <f>HYPERLINK("http://bombeiros.sp.gov.br/hidrantes/03individual/4003.html","4003")</f>
        <v>4003</v>
      </c>
      <c r="B4832" t="str">
        <f>HYPERLINK("http://bombeiros.sp.gov.br/hidrantes/08bsg/qrcodeBSG.html?id=4003&amp;lat=-23.61665&amp;long=-46.64878&amp;tipo=C","QRCODE")</f>
        <v>QRCODE</v>
      </c>
      <c r="C4832" t="s">
        <v>5372</v>
      </c>
      <c r="D4832" t="s">
        <v>538</v>
      </c>
      <c r="E4832" t="s">
        <v>457</v>
      </c>
      <c r="F4832" t="s">
        <v>12</v>
      </c>
      <c r="G4832" t="s">
        <v>2801</v>
      </c>
      <c r="H4832">
        <v>0</v>
      </c>
      <c r="I4832">
        <v>2</v>
      </c>
      <c r="J4832">
        <v>0</v>
      </c>
      <c r="K4832">
        <v>0</v>
      </c>
      <c r="L4832">
        <v>0</v>
      </c>
    </row>
    <row r="4833" spans="1:12">
      <c r="A4833" t="str">
        <f>HYPERLINK("http://bombeiros.sp.gov.br/hidrantes/03individual/309.html","309")</f>
        <v>309</v>
      </c>
      <c r="B4833" t="str">
        <f>HYPERLINK("http://bombeiros.sp.gov.br/hidrantes/08bsg/qrcodeBSG.html?id=309&amp;lat=-23.61399&amp;long=-46.64414&amp;tipo=S","QRCODE")</f>
        <v>QRCODE</v>
      </c>
      <c r="C4833" t="s">
        <v>5372</v>
      </c>
      <c r="D4833" t="s">
        <v>538</v>
      </c>
      <c r="E4833" t="s">
        <v>457</v>
      </c>
      <c r="F4833" t="s">
        <v>21</v>
      </c>
      <c r="G4833" t="s">
        <v>4462</v>
      </c>
      <c r="H4833">
        <v>0</v>
      </c>
      <c r="I4833">
        <v>2</v>
      </c>
      <c r="J4833">
        <v>0</v>
      </c>
      <c r="K4833">
        <v>0</v>
      </c>
      <c r="L4833">
        <v>0</v>
      </c>
    </row>
    <row r="4834" spans="1:12">
      <c r="A4834" t="str">
        <f>HYPERLINK("http://bombeiros.sp.gov.br/hidrantes/03individual/332.html","332")</f>
        <v>332</v>
      </c>
      <c r="B4834" t="str">
        <f>HYPERLINK("http://bombeiros.sp.gov.br/hidrantes/08bsg/qrcodeBSG.html?id=332&amp;lat=-23.61994&amp;long=-46.64530&amp;tipo=S","QRCODE")</f>
        <v>QRCODE</v>
      </c>
      <c r="C4834" t="s">
        <v>5372</v>
      </c>
      <c r="D4834" t="s">
        <v>538</v>
      </c>
      <c r="E4834" t="s">
        <v>457</v>
      </c>
      <c r="F4834" t="s">
        <v>21</v>
      </c>
      <c r="G4834" t="s">
        <v>3581</v>
      </c>
      <c r="H4834">
        <v>1</v>
      </c>
      <c r="I4834">
        <v>1</v>
      </c>
      <c r="J4834">
        <v>0</v>
      </c>
      <c r="K4834">
        <v>0</v>
      </c>
      <c r="L4834">
        <v>0</v>
      </c>
    </row>
    <row r="4835" spans="1:12">
      <c r="A4835" t="str">
        <f>HYPERLINK("http://bombeiros.sp.gov.br/hidrantes/03individual/355.html","355")</f>
        <v>355</v>
      </c>
      <c r="B4835" t="str">
        <f>HYPERLINK("http://bombeiros.sp.gov.br/hidrantes/08bsg/qrcodeBSG.html?id=355&amp;lat=-23.61512&amp;long=-46.65775&amp;tipo=S","QRCODE")</f>
        <v>QRCODE</v>
      </c>
      <c r="C4835" t="s">
        <v>5372</v>
      </c>
      <c r="D4835" t="s">
        <v>538</v>
      </c>
      <c r="E4835" t="s">
        <v>457</v>
      </c>
      <c r="F4835" t="s">
        <v>21</v>
      </c>
      <c r="G4835" t="s">
        <v>772</v>
      </c>
      <c r="H4835">
        <v>0</v>
      </c>
      <c r="I4835">
        <v>2</v>
      </c>
      <c r="J4835">
        <v>0</v>
      </c>
      <c r="K4835">
        <v>0</v>
      </c>
      <c r="L4835">
        <v>0</v>
      </c>
    </row>
    <row r="4836" spans="1:12">
      <c r="A4836" t="str">
        <f>HYPERLINK("http://bombeiros.sp.gov.br/hidrantes/03individual/382.html","382")</f>
        <v>382</v>
      </c>
      <c r="B4836" t="str">
        <f>HYPERLINK("http://bombeiros.sp.gov.br/hidrantes/08bsg/qrcodeBSG.html?id=382&amp;lat=-23.61849&amp;long=-46.65827&amp;tipo=S","QRCODE")</f>
        <v>QRCODE</v>
      </c>
      <c r="C4836" t="s">
        <v>5372</v>
      </c>
      <c r="D4836" t="s">
        <v>538</v>
      </c>
      <c r="E4836" t="s">
        <v>457</v>
      </c>
      <c r="F4836" t="s">
        <v>21</v>
      </c>
      <c r="G4836" t="s">
        <v>4652</v>
      </c>
      <c r="H4836">
        <v>1</v>
      </c>
      <c r="I4836">
        <v>1</v>
      </c>
      <c r="J4836">
        <v>0</v>
      </c>
      <c r="K4836">
        <v>0</v>
      </c>
      <c r="L4836">
        <v>0</v>
      </c>
    </row>
    <row r="4837" spans="1:12">
      <c r="A4837" t="str">
        <f>HYPERLINK("http://bombeiros.sp.gov.br/hidrantes/03individual/384.html","384")</f>
        <v>384</v>
      </c>
      <c r="B4837" t="str">
        <f>HYPERLINK("http://bombeiros.sp.gov.br/hidrantes/08bsg/qrcodeBSG.html?id=384&amp;lat=-23.62246&amp;long=-46.65015&amp;tipo=S","QRCODE")</f>
        <v>QRCODE</v>
      </c>
      <c r="C4837" t="s">
        <v>5372</v>
      </c>
      <c r="D4837" t="s">
        <v>538</v>
      </c>
      <c r="E4837" t="s">
        <v>457</v>
      </c>
      <c r="F4837" t="s">
        <v>21</v>
      </c>
      <c r="G4837" t="s">
        <v>2834</v>
      </c>
      <c r="H4837">
        <v>0</v>
      </c>
      <c r="I4837">
        <v>2</v>
      </c>
      <c r="J4837">
        <v>0</v>
      </c>
      <c r="K4837">
        <v>0</v>
      </c>
      <c r="L4837">
        <v>0</v>
      </c>
    </row>
    <row r="4838" spans="1:12">
      <c r="A4838" t="str">
        <f>HYPERLINK("http://bombeiros.sp.gov.br/hidrantes/03individual/386.html","386")</f>
        <v>386</v>
      </c>
      <c r="B4838" t="str">
        <f>HYPERLINK("http://bombeiros.sp.gov.br/hidrantes/08bsg/qrcodeBSG.html?id=386&amp;lat=-23.62645&amp;long=-46.64562&amp;tipo=S","QRCODE")</f>
        <v>QRCODE</v>
      </c>
      <c r="C4838" t="s">
        <v>5372</v>
      </c>
      <c r="D4838" t="s">
        <v>538</v>
      </c>
      <c r="E4838" t="s">
        <v>457</v>
      </c>
      <c r="F4838" t="s">
        <v>21</v>
      </c>
      <c r="G4838" t="s">
        <v>1583</v>
      </c>
      <c r="H4838">
        <v>2</v>
      </c>
      <c r="I4838">
        <v>2</v>
      </c>
      <c r="J4838">
        <v>0</v>
      </c>
      <c r="K4838">
        <v>0</v>
      </c>
      <c r="L4838">
        <v>0</v>
      </c>
    </row>
    <row r="4839" spans="1:12">
      <c r="A4839" t="str">
        <f>HYPERLINK("http://bombeiros.sp.gov.br/hidrantes/03individual/432.html","432")</f>
        <v>432</v>
      </c>
      <c r="B4839" t="str">
        <f>HYPERLINK("http://bombeiros.sp.gov.br/hidrantes/08bsg/qrcodeBSG.html?id=432&amp;lat=-23.61943&amp;long=-46.65582&amp;tipo=S","QRCODE")</f>
        <v>QRCODE</v>
      </c>
      <c r="C4839" t="s">
        <v>5372</v>
      </c>
      <c r="D4839" t="s">
        <v>538</v>
      </c>
      <c r="E4839" t="s">
        <v>457</v>
      </c>
      <c r="F4839" t="s">
        <v>21</v>
      </c>
      <c r="G4839" t="s">
        <v>3394</v>
      </c>
      <c r="H4839">
        <v>0</v>
      </c>
      <c r="I4839">
        <v>1</v>
      </c>
      <c r="J4839">
        <v>0</v>
      </c>
      <c r="K4839">
        <v>0</v>
      </c>
      <c r="L4839">
        <v>0</v>
      </c>
    </row>
    <row r="4840" spans="1:12">
      <c r="A4840" t="str">
        <f>HYPERLINK("http://bombeiros.sp.gov.br/hidrantes/03individual/456.html","456")</f>
        <v>456</v>
      </c>
      <c r="B4840" t="str">
        <f>HYPERLINK("http://bombeiros.sp.gov.br/hidrantes/08bsg/qrcodeBSG.html?id=456&amp;lat=-23.61372&amp;long=-46.64758&amp;tipo=S","QRCODE")</f>
        <v>QRCODE</v>
      </c>
      <c r="C4840" t="s">
        <v>5372</v>
      </c>
      <c r="D4840" t="s">
        <v>538</v>
      </c>
      <c r="E4840" t="s">
        <v>457</v>
      </c>
      <c r="F4840" t="s">
        <v>21</v>
      </c>
      <c r="G4840" t="s">
        <v>4442</v>
      </c>
      <c r="H4840">
        <v>0</v>
      </c>
      <c r="I4840">
        <v>2</v>
      </c>
      <c r="J4840">
        <v>0</v>
      </c>
      <c r="K4840">
        <v>0</v>
      </c>
      <c r="L4840">
        <v>0</v>
      </c>
    </row>
    <row r="4841" spans="1:12">
      <c r="A4841" t="str">
        <f>HYPERLINK("http://bombeiros.sp.gov.br/hidrantes/03individual/476.html","476")</f>
        <v>476</v>
      </c>
      <c r="B4841" t="str">
        <f>HYPERLINK("http://bombeiros.sp.gov.br/hidrantes/08bsg/qrcodeBSG.html?id=476&amp;lat=-23.62408&amp;long=-46.64829&amp;tipo=S","QRCODE")</f>
        <v>QRCODE</v>
      </c>
      <c r="C4841" t="s">
        <v>5372</v>
      </c>
      <c r="D4841" t="s">
        <v>538</v>
      </c>
      <c r="E4841" t="s">
        <v>457</v>
      </c>
      <c r="F4841" t="s">
        <v>21</v>
      </c>
      <c r="G4841" t="s">
        <v>3578</v>
      </c>
      <c r="H4841">
        <v>1</v>
      </c>
      <c r="I4841">
        <v>1</v>
      </c>
      <c r="J4841">
        <v>0</v>
      </c>
      <c r="K4841">
        <v>0</v>
      </c>
      <c r="L4841">
        <v>0</v>
      </c>
    </row>
    <row r="4842" spans="1:12">
      <c r="A4842" t="str">
        <f>HYPERLINK("http://bombeiros.sp.gov.br/hidrantes/03individual/478.html","478")</f>
        <v>478</v>
      </c>
      <c r="B4842" t="str">
        <f>HYPERLINK("http://bombeiros.sp.gov.br/hidrantes/08bsg/qrcodeBSG.html?id=478&amp;lat=-23.62155&amp;long=-46.65447&amp;tipo=S","QRCODE")</f>
        <v>QRCODE</v>
      </c>
      <c r="C4842" t="s">
        <v>5372</v>
      </c>
      <c r="D4842" t="s">
        <v>538</v>
      </c>
      <c r="E4842" t="s">
        <v>457</v>
      </c>
      <c r="F4842" t="s">
        <v>21</v>
      </c>
      <c r="G4842" t="s">
        <v>2836</v>
      </c>
      <c r="H4842">
        <v>0</v>
      </c>
      <c r="I4842">
        <v>2</v>
      </c>
      <c r="J4842">
        <v>0</v>
      </c>
      <c r="K4842">
        <v>0</v>
      </c>
      <c r="L4842">
        <v>0</v>
      </c>
    </row>
    <row r="4843" spans="1:12">
      <c r="A4843" t="str">
        <f>HYPERLINK("http://bombeiros.sp.gov.br/hidrantes/03individual/3703.html","3703")</f>
        <v>3703</v>
      </c>
      <c r="B4843" t="str">
        <f>HYPERLINK("http://bombeiros.sp.gov.br/hidrantes/08bsg/qrcodeBSG.html?id=3703&amp;lat=-23.61194&amp;long=-46.65119&amp;tipo=S","QRCODE")</f>
        <v>QRCODE</v>
      </c>
      <c r="C4843" t="s">
        <v>5372</v>
      </c>
      <c r="D4843" t="s">
        <v>538</v>
      </c>
      <c r="E4843" t="s">
        <v>457</v>
      </c>
      <c r="F4843" t="s">
        <v>21</v>
      </c>
      <c r="G4843" t="s">
        <v>4285</v>
      </c>
      <c r="H4843">
        <v>0</v>
      </c>
      <c r="I4843">
        <v>1</v>
      </c>
      <c r="J4843">
        <v>0</v>
      </c>
      <c r="K4843">
        <v>0</v>
      </c>
      <c r="L4843">
        <v>0</v>
      </c>
    </row>
    <row r="4844" spans="1:12">
      <c r="A4844" t="str">
        <f>HYPERLINK("http://bombeiros.sp.gov.br/hidrantes/03individual/3937.html","3937")</f>
        <v>3937</v>
      </c>
      <c r="B4844" t="str">
        <f>HYPERLINK("http://bombeiros.sp.gov.br/hidrantes/08bsg/qrcodeBSG.html?id=3937&amp;lat=-23.62598&amp;long=-46.64750&amp;tipo=S","QRCODE")</f>
        <v>QRCODE</v>
      </c>
      <c r="C4844" t="s">
        <v>5372</v>
      </c>
      <c r="D4844" t="s">
        <v>538</v>
      </c>
      <c r="E4844" t="s">
        <v>457</v>
      </c>
      <c r="F4844" t="s">
        <v>21</v>
      </c>
      <c r="G4844" t="s">
        <v>4735</v>
      </c>
      <c r="H4844">
        <v>1</v>
      </c>
      <c r="I4844">
        <v>1</v>
      </c>
      <c r="J4844">
        <v>0</v>
      </c>
      <c r="K4844">
        <v>0</v>
      </c>
      <c r="L4844">
        <v>0</v>
      </c>
    </row>
    <row r="4845" spans="1:12">
      <c r="A4845" t="str">
        <f>HYPERLINK("http://bombeiros.sp.gov.br/hidrantes/03individual/3951.html","3951")</f>
        <v>3951</v>
      </c>
      <c r="B4845" t="str">
        <f>HYPERLINK("http://bombeiros.sp.gov.br/hidrantes/08bsg/qrcodeBSG.html?id=3951&amp;lat=-23.62301&amp;long=-46.65226&amp;tipo=S","QRCODE")</f>
        <v>QRCODE</v>
      </c>
      <c r="C4845" t="s">
        <v>5372</v>
      </c>
      <c r="D4845" t="s">
        <v>538</v>
      </c>
      <c r="E4845" t="s">
        <v>457</v>
      </c>
      <c r="F4845" t="s">
        <v>21</v>
      </c>
      <c r="G4845" t="s">
        <v>456</v>
      </c>
      <c r="H4845">
        <v>0</v>
      </c>
      <c r="I4845">
        <v>2</v>
      </c>
      <c r="J4845">
        <v>0</v>
      </c>
      <c r="K4845">
        <v>0</v>
      </c>
      <c r="L4845">
        <v>0</v>
      </c>
    </row>
    <row r="4846" spans="1:12">
      <c r="A4846" t="str">
        <f>HYPERLINK("http://bombeiros.sp.gov.br/hidrantes/03individual/3973.html","3973")</f>
        <v>3973</v>
      </c>
      <c r="B4846" t="str">
        <f>HYPERLINK("http://bombeiros.sp.gov.br/hidrantes/08bsg/qrcodeBSG.html?id=3973&amp;lat=-23.60608&amp;long=-46.65072&amp;tipo=S","QRCODE")</f>
        <v>QRCODE</v>
      </c>
      <c r="C4846" t="s">
        <v>5372</v>
      </c>
      <c r="D4846" t="s">
        <v>538</v>
      </c>
      <c r="E4846" t="s">
        <v>457</v>
      </c>
      <c r="F4846" t="s">
        <v>21</v>
      </c>
      <c r="G4846" t="s">
        <v>716</v>
      </c>
      <c r="H4846">
        <v>0</v>
      </c>
      <c r="I4846">
        <v>2</v>
      </c>
      <c r="J4846">
        <v>0</v>
      </c>
      <c r="K4846">
        <v>0</v>
      </c>
      <c r="L4846">
        <v>0</v>
      </c>
    </row>
    <row r="4847" spans="1:12">
      <c r="A4847" t="str">
        <f>HYPERLINK("http://bombeiros.sp.gov.br/hidrantes/03individual/3985.html","3985")</f>
        <v>3985</v>
      </c>
      <c r="B4847" t="str">
        <f>HYPERLINK("http://bombeiros.sp.gov.br/hidrantes/08bsg/qrcodeBSG.html?id=3985&amp;lat=-23.62117&amp;long=-46.64571&amp;tipo=S","QRCODE")</f>
        <v>QRCODE</v>
      </c>
      <c r="C4847" t="s">
        <v>5372</v>
      </c>
      <c r="D4847" t="s">
        <v>538</v>
      </c>
      <c r="E4847" t="s">
        <v>457</v>
      </c>
      <c r="F4847" t="s">
        <v>21</v>
      </c>
      <c r="G4847" t="s">
        <v>5118</v>
      </c>
      <c r="H4847">
        <v>0</v>
      </c>
      <c r="I4847">
        <v>1</v>
      </c>
      <c r="J4847">
        <v>0</v>
      </c>
      <c r="K4847">
        <v>0</v>
      </c>
      <c r="L4847">
        <v>0</v>
      </c>
    </row>
    <row r="4848" spans="1:12">
      <c r="A4848" t="str">
        <f>HYPERLINK("http://bombeiros.sp.gov.br/hidrantes/03individual/3986.html","3986")</f>
        <v>3986</v>
      </c>
      <c r="B4848" t="str">
        <f>HYPERLINK("http://bombeiros.sp.gov.br/hidrantes/08bsg/qrcodeBSG.html?id=3986&amp;lat=-23.62034&amp;long=-46.64724&amp;tipo=S","QRCODE")</f>
        <v>QRCODE</v>
      </c>
      <c r="C4848" t="s">
        <v>5372</v>
      </c>
      <c r="D4848" t="s">
        <v>538</v>
      </c>
      <c r="E4848" t="s">
        <v>457</v>
      </c>
      <c r="F4848" t="s">
        <v>21</v>
      </c>
      <c r="G4848" t="s">
        <v>4717</v>
      </c>
      <c r="H4848">
        <v>1</v>
      </c>
      <c r="I4848">
        <v>1</v>
      </c>
      <c r="J4848">
        <v>0</v>
      </c>
      <c r="K4848">
        <v>0</v>
      </c>
      <c r="L4848">
        <v>0</v>
      </c>
    </row>
    <row r="4849" spans="1:12">
      <c r="A4849" t="str">
        <f>HYPERLINK("http://bombeiros.sp.gov.br/hidrantes/03individual/3987.html","3987")</f>
        <v>3987</v>
      </c>
      <c r="B4849" t="str">
        <f>HYPERLINK("http://bombeiros.sp.gov.br/hidrantes/08bsg/qrcodeBSG.html?id=3987&amp;lat=-23.62038&amp;long=-46.64982&amp;tipo=S","QRCODE")</f>
        <v>QRCODE</v>
      </c>
      <c r="C4849" t="s">
        <v>5372</v>
      </c>
      <c r="D4849" t="s">
        <v>538</v>
      </c>
      <c r="E4849" t="s">
        <v>457</v>
      </c>
      <c r="F4849" t="s">
        <v>21</v>
      </c>
      <c r="G4849" t="s">
        <v>2799</v>
      </c>
      <c r="H4849">
        <v>0</v>
      </c>
      <c r="I4849">
        <v>2</v>
      </c>
      <c r="J4849">
        <v>0</v>
      </c>
      <c r="K4849">
        <v>0</v>
      </c>
      <c r="L4849">
        <v>0</v>
      </c>
    </row>
    <row r="4850" spans="1:12">
      <c r="A4850" t="str">
        <f>HYPERLINK("http://bombeiros.sp.gov.br/hidrantes/03individual/3999.html","3999")</f>
        <v>3999</v>
      </c>
      <c r="B4850" t="str">
        <f>HYPERLINK("http://bombeiros.sp.gov.br/hidrantes/08bsg/qrcodeBSG.html?id=3999&amp;lat=-23.60881&amp;long=-46.64962&amp;tipo=S","QRCODE")</f>
        <v>QRCODE</v>
      </c>
      <c r="C4850" t="s">
        <v>5372</v>
      </c>
      <c r="D4850" t="s">
        <v>538</v>
      </c>
      <c r="E4850" t="s">
        <v>457</v>
      </c>
      <c r="F4850" t="s">
        <v>21</v>
      </c>
      <c r="G4850" t="s">
        <v>1535</v>
      </c>
      <c r="H4850">
        <v>0</v>
      </c>
      <c r="I4850">
        <v>2</v>
      </c>
      <c r="J4850">
        <v>0</v>
      </c>
      <c r="K4850">
        <v>0</v>
      </c>
      <c r="L4850">
        <v>0</v>
      </c>
    </row>
    <row r="4851" spans="1:12">
      <c r="A4851" t="str">
        <f>HYPERLINK("http://bombeiros.sp.gov.br/hidrantes/03individual/4000.html","4000")</f>
        <v>4000</v>
      </c>
      <c r="B4851" t="str">
        <f>HYPERLINK("http://bombeiros.sp.gov.br/hidrantes/08bsg/qrcodeBSG.html?id=4000&amp;lat=-23.61011&amp;long=-46.64674&amp;tipo=S","QRCODE")</f>
        <v>QRCODE</v>
      </c>
      <c r="C4851" t="s">
        <v>5372</v>
      </c>
      <c r="D4851" t="s">
        <v>538</v>
      </c>
      <c r="E4851" t="s">
        <v>457</v>
      </c>
      <c r="F4851" t="s">
        <v>21</v>
      </c>
      <c r="G4851" t="s">
        <v>4429</v>
      </c>
      <c r="H4851">
        <v>0</v>
      </c>
      <c r="I4851">
        <v>2</v>
      </c>
      <c r="J4851">
        <v>0</v>
      </c>
      <c r="K4851">
        <v>0</v>
      </c>
      <c r="L4851">
        <v>0</v>
      </c>
    </row>
    <row r="4852" spans="1:12">
      <c r="A4852" t="str">
        <f>HYPERLINK("http://bombeiros.sp.gov.br/hidrantes/03individual/4001.html","4001")</f>
        <v>4001</v>
      </c>
      <c r="B4852" t="str">
        <f>HYPERLINK("http://bombeiros.sp.gov.br/hidrantes/08bsg/qrcodeBSG.html?id=4001&amp;lat=-23.61604&amp;long=-46.64692&amp;tipo=S","QRCODE")</f>
        <v>QRCODE</v>
      </c>
      <c r="C4852" t="s">
        <v>5372</v>
      </c>
      <c r="D4852" t="s">
        <v>538</v>
      </c>
      <c r="E4852" t="s">
        <v>457</v>
      </c>
      <c r="F4852" t="s">
        <v>21</v>
      </c>
      <c r="G4852" t="s">
        <v>4736</v>
      </c>
      <c r="H4852">
        <v>1</v>
      </c>
      <c r="I4852">
        <v>1</v>
      </c>
      <c r="J4852">
        <v>0</v>
      </c>
      <c r="K4852">
        <v>0</v>
      </c>
      <c r="L4852">
        <v>0</v>
      </c>
    </row>
    <row r="4853" spans="1:12">
      <c r="A4853" t="str">
        <f>HYPERLINK("http://bombeiros.sp.gov.br/hidrantes/03individual/4002.html","4002")</f>
        <v>4002</v>
      </c>
      <c r="B4853" t="str">
        <f>HYPERLINK("http://bombeiros.sp.gov.br/hidrantes/08bsg/qrcodeBSG.html?id=4002&amp;lat=-23.61570&amp;long=-46.64918&amp;tipo=S","QRCODE")</f>
        <v>QRCODE</v>
      </c>
      <c r="C4853" t="s">
        <v>5372</v>
      </c>
      <c r="D4853" t="s">
        <v>538</v>
      </c>
      <c r="E4853" t="s">
        <v>457</v>
      </c>
      <c r="F4853" t="s">
        <v>21</v>
      </c>
      <c r="G4853" t="s">
        <v>4737</v>
      </c>
      <c r="H4853">
        <v>1</v>
      </c>
      <c r="I4853">
        <v>1</v>
      </c>
      <c r="J4853">
        <v>0</v>
      </c>
      <c r="K4853">
        <v>0</v>
      </c>
      <c r="L4853">
        <v>0</v>
      </c>
    </row>
    <row r="4854" spans="1:12">
      <c r="A4854" t="str">
        <f>HYPERLINK("http://bombeiros.sp.gov.br/hidrantes/03individual/4004.html","4004")</f>
        <v>4004</v>
      </c>
      <c r="B4854" t="str">
        <f>HYPERLINK("http://bombeiros.sp.gov.br/hidrantes/08bsg/qrcodeBSG.html?id=4004&amp;lat=-23.61793&amp;long=-46.64993&amp;tipo=S","QRCODE")</f>
        <v>QRCODE</v>
      </c>
      <c r="C4854" t="s">
        <v>5372</v>
      </c>
      <c r="D4854" t="s">
        <v>538</v>
      </c>
      <c r="E4854" t="s">
        <v>457</v>
      </c>
      <c r="F4854" t="s">
        <v>21</v>
      </c>
      <c r="G4854" t="s">
        <v>1536</v>
      </c>
      <c r="H4854">
        <v>1</v>
      </c>
      <c r="I4854">
        <v>2</v>
      </c>
      <c r="J4854">
        <v>0</v>
      </c>
      <c r="K4854">
        <v>0</v>
      </c>
      <c r="L4854">
        <v>0</v>
      </c>
    </row>
    <row r="4855" spans="1:12">
      <c r="A4855" t="str">
        <f>HYPERLINK("http://bombeiros.sp.gov.br/hidrantes/03individual/4007.html","4007")</f>
        <v>4007</v>
      </c>
      <c r="B4855" t="str">
        <f>HYPERLINK("http://bombeiros.sp.gov.br/hidrantes/08bsg/qrcodeBSG.html?id=4007&amp;lat=-23.61372&amp;long=-46.65386&amp;tipo=S","QRCODE")</f>
        <v>QRCODE</v>
      </c>
      <c r="C4855" t="s">
        <v>5372</v>
      </c>
      <c r="D4855" t="s">
        <v>538</v>
      </c>
      <c r="E4855" t="s">
        <v>457</v>
      </c>
      <c r="F4855" t="s">
        <v>21</v>
      </c>
      <c r="G4855" t="s">
        <v>3379</v>
      </c>
      <c r="H4855">
        <v>0</v>
      </c>
      <c r="I4855">
        <v>2</v>
      </c>
      <c r="J4855">
        <v>0</v>
      </c>
      <c r="K4855">
        <v>0</v>
      </c>
      <c r="L4855">
        <v>0</v>
      </c>
    </row>
    <row r="4856" spans="1:12">
      <c r="A4856" t="str">
        <f>HYPERLINK("http://bombeiros.sp.gov.br/hidrantes/03individual/4381.html","4381")</f>
        <v>4381</v>
      </c>
      <c r="B4856" t="str">
        <f>HYPERLINK("http://bombeiros.sp.gov.br/hidrantes/08bsg/qrcodeBSG.html?id=4381&amp;lat=-23.62883&amp;long=-46.64639&amp;tipo=S","QRCODE")</f>
        <v>QRCODE</v>
      </c>
      <c r="C4856" t="s">
        <v>5372</v>
      </c>
      <c r="D4856" t="s">
        <v>538</v>
      </c>
      <c r="E4856" t="s">
        <v>457</v>
      </c>
      <c r="F4856" t="s">
        <v>21</v>
      </c>
      <c r="G4856" t="s">
        <v>2214</v>
      </c>
      <c r="H4856">
        <v>0</v>
      </c>
      <c r="I4856">
        <v>2</v>
      </c>
      <c r="J4856">
        <v>0</v>
      </c>
      <c r="K4856">
        <v>0</v>
      </c>
      <c r="L4856">
        <v>0</v>
      </c>
    </row>
    <row r="4857" spans="1:12">
      <c r="A4857" t="str">
        <f>HYPERLINK("http://bombeiros.sp.gov.br/hidrantes/03individual/4382.html","4382")</f>
        <v>4382</v>
      </c>
      <c r="B4857" t="str">
        <f>HYPERLINK("http://bombeiros.sp.gov.br/hidrantes/08bsg/qrcodeBSG.html?id=4382&amp;lat=-23.62784&amp;long=-46.64906&amp;tipo=S","QRCODE")</f>
        <v>QRCODE</v>
      </c>
      <c r="C4857" t="s">
        <v>5372</v>
      </c>
      <c r="D4857" t="s">
        <v>538</v>
      </c>
      <c r="E4857" t="s">
        <v>457</v>
      </c>
      <c r="F4857" t="s">
        <v>21</v>
      </c>
      <c r="G4857" t="s">
        <v>2791</v>
      </c>
      <c r="H4857">
        <v>0</v>
      </c>
      <c r="I4857">
        <v>2</v>
      </c>
      <c r="J4857">
        <v>0</v>
      </c>
      <c r="K4857">
        <v>0</v>
      </c>
      <c r="L4857">
        <v>0</v>
      </c>
    </row>
    <row r="4858" spans="1:12">
      <c r="A4858" t="str">
        <f>HYPERLINK("http://bombeiros.sp.gov.br/hidrantes/03individual/10059.html","10059")</f>
        <v>10059</v>
      </c>
      <c r="B4858" t="str">
        <f>HYPERLINK("http://bombeiros.sp.gov.br/hidrantes/08bsg/qrcodeBSG.html?id=10059&amp;lat=-23.62811&amp;long=-46.64687&amp;tipo=S","QRCODE")</f>
        <v>QRCODE</v>
      </c>
      <c r="C4858" t="s">
        <v>5372</v>
      </c>
      <c r="D4858" t="s">
        <v>538</v>
      </c>
      <c r="E4858" t="s">
        <v>457</v>
      </c>
      <c r="F4858" t="s">
        <v>21</v>
      </c>
      <c r="G4858" t="s">
        <v>2175</v>
      </c>
      <c r="H4858">
        <v>1</v>
      </c>
      <c r="I4858">
        <v>2</v>
      </c>
      <c r="J4858">
        <v>0</v>
      </c>
      <c r="K4858">
        <v>0</v>
      </c>
      <c r="L4858">
        <v>0</v>
      </c>
    </row>
    <row r="4859" spans="1:12">
      <c r="A4859" t="str">
        <f>HYPERLINK("http://bombeiros.sp.gov.br/hidrantes/03individual/16605.html","16605")</f>
        <v>16605</v>
      </c>
      <c r="B4859" t="str">
        <f>HYPERLINK("http://bombeiros.sp.gov.br/hidrantes/08bsg/qrcodeBSG.html?id=16605&amp;lat=-23.61766&amp;long=-46.64595&amp;tipo=S","QRCODE")</f>
        <v>QRCODE</v>
      </c>
      <c r="C4859" t="s">
        <v>5372</v>
      </c>
      <c r="D4859" t="s">
        <v>538</v>
      </c>
      <c r="E4859" t="s">
        <v>457</v>
      </c>
      <c r="F4859" t="s">
        <v>21</v>
      </c>
      <c r="G4859" t="s">
        <v>4718</v>
      </c>
      <c r="H4859">
        <v>1</v>
      </c>
      <c r="I4859">
        <v>1</v>
      </c>
      <c r="J4859">
        <v>0</v>
      </c>
      <c r="K4859">
        <v>0</v>
      </c>
      <c r="L4859">
        <v>0</v>
      </c>
    </row>
    <row r="4860" spans="1:12">
      <c r="A4860" t="str">
        <f>HYPERLINK("http://bombeiros.sp.gov.br/hidrantes/03individual/16606.html","16606")</f>
        <v>16606</v>
      </c>
      <c r="B4860" t="str">
        <f>HYPERLINK("http://bombeiros.sp.gov.br/hidrantes/08bsg/qrcodeBSG.html?id=16606&amp;lat=-23.62046&amp;long=-46.64766&amp;tipo=S","QRCODE")</f>
        <v>QRCODE</v>
      </c>
      <c r="C4860" t="s">
        <v>5372</v>
      </c>
      <c r="D4860" t="s">
        <v>538</v>
      </c>
      <c r="E4860" t="s">
        <v>457</v>
      </c>
      <c r="F4860" t="s">
        <v>21</v>
      </c>
      <c r="G4860" t="s">
        <v>4717</v>
      </c>
      <c r="H4860">
        <v>1</v>
      </c>
      <c r="I4860">
        <v>1</v>
      </c>
      <c r="J4860">
        <v>0</v>
      </c>
      <c r="K4860">
        <v>0</v>
      </c>
      <c r="L4860">
        <v>0</v>
      </c>
    </row>
    <row r="4861" spans="1:12">
      <c r="A4861" t="str">
        <f>HYPERLINK("http://bombeiros.sp.gov.br/hidrantes/03individual/16607.html","16607")</f>
        <v>16607</v>
      </c>
      <c r="B4861" t="str">
        <f>HYPERLINK("http://bombeiros.sp.gov.br/hidrantes/08bsg/qrcodeBSG.html?id=16607&amp;lat=-23.61975&amp;long=-46.65195&amp;tipo=S","QRCODE")</f>
        <v>QRCODE</v>
      </c>
      <c r="C4861" t="s">
        <v>5372</v>
      </c>
      <c r="D4861" t="s">
        <v>538</v>
      </c>
      <c r="E4861" t="s">
        <v>457</v>
      </c>
      <c r="F4861" t="s">
        <v>21</v>
      </c>
      <c r="G4861" t="s">
        <v>1512</v>
      </c>
      <c r="H4861">
        <v>2</v>
      </c>
      <c r="I4861">
        <v>2</v>
      </c>
      <c r="J4861">
        <v>0</v>
      </c>
      <c r="K4861">
        <v>0</v>
      </c>
      <c r="L4861">
        <v>0</v>
      </c>
    </row>
    <row r="4862" spans="1:12">
      <c r="A4862" t="str">
        <f>HYPERLINK("http://bombeiros.sp.gov.br/hidrantes/03individual/17673.html","17673")</f>
        <v>17673</v>
      </c>
      <c r="B4862" t="str">
        <f>HYPERLINK("http://bombeiros.sp.gov.br/hidrantes/08bsg/qrcodeBSG.html?id=17673&amp;lat=-23.62995&amp;long=-46.64550&amp;tipo=S","QRCODE")</f>
        <v>QRCODE</v>
      </c>
      <c r="C4862" t="s">
        <v>5372</v>
      </c>
      <c r="D4862" t="s">
        <v>538</v>
      </c>
      <c r="E4862" t="s">
        <v>457</v>
      </c>
      <c r="F4862" t="s">
        <v>21</v>
      </c>
      <c r="G4862" t="s">
        <v>2174</v>
      </c>
      <c r="H4862">
        <v>0</v>
      </c>
      <c r="I4862">
        <v>2</v>
      </c>
      <c r="J4862">
        <v>0</v>
      </c>
      <c r="K4862">
        <v>0</v>
      </c>
      <c r="L4862">
        <v>0</v>
      </c>
    </row>
    <row r="4863" spans="1:12">
      <c r="A4863" t="str">
        <f>HYPERLINK("http://bombeiros.sp.gov.br/hidrantes/03individual/26694.html","26694")</f>
        <v>26694</v>
      </c>
      <c r="B4863" t="str">
        <f>HYPERLINK("http://bombeiros.sp.gov.br/hidrantes/08bsg/qrcodeBSG.html?id=26694&amp;lat=-23.61905&amp;long=-46.64921&amp;tipo=S","QRCODE")</f>
        <v>QRCODE</v>
      </c>
      <c r="C4863" t="s">
        <v>5372</v>
      </c>
      <c r="D4863" t="s">
        <v>538</v>
      </c>
      <c r="E4863" t="s">
        <v>457</v>
      </c>
      <c r="F4863" t="s">
        <v>21</v>
      </c>
      <c r="G4863" t="s">
        <v>2766</v>
      </c>
      <c r="H4863">
        <v>0</v>
      </c>
      <c r="I4863">
        <v>2</v>
      </c>
      <c r="J4863">
        <v>0</v>
      </c>
      <c r="K4863">
        <v>0</v>
      </c>
      <c r="L4863">
        <v>0</v>
      </c>
    </row>
    <row r="4864" spans="1:12">
      <c r="A4864" t="str">
        <f>HYPERLINK("http://bombeiros.sp.gov.br/hidrantes/03individual/26822.html","26822")</f>
        <v>26822</v>
      </c>
      <c r="B4864" t="str">
        <f>HYPERLINK("http://bombeiros.sp.gov.br/hidrantes/08bsg/qrcodeBSG.html?id=26822&amp;lat=-23.62511&amp;long=-46.64408&amp;tipo=S","QRCODE")</f>
        <v>QRCODE</v>
      </c>
      <c r="C4864" t="s">
        <v>5372</v>
      </c>
      <c r="D4864" t="s">
        <v>538</v>
      </c>
      <c r="E4864" t="s">
        <v>457</v>
      </c>
      <c r="F4864" t="s">
        <v>21</v>
      </c>
      <c r="G4864" t="s">
        <v>3998</v>
      </c>
      <c r="H4864">
        <v>0</v>
      </c>
      <c r="I4864">
        <v>1</v>
      </c>
      <c r="J4864">
        <v>0</v>
      </c>
      <c r="K4864">
        <v>0</v>
      </c>
      <c r="L4864">
        <v>0</v>
      </c>
    </row>
    <row r="4865" spans="1:12">
      <c r="A4865" t="str">
        <f>HYPERLINK("http://bombeiros.sp.gov.br/hidrantes/03individual/27219.html","27219")</f>
        <v>27219</v>
      </c>
      <c r="B4865" t="str">
        <f>HYPERLINK("http://bombeiros.sp.gov.br/hidrantes/08bsg/qrcodeBSG.html?id=27219&amp;lat=-23.61958&amp;long=-46.65344&amp;tipo=S","QRCODE")</f>
        <v>QRCODE</v>
      </c>
      <c r="C4865" t="s">
        <v>5372</v>
      </c>
      <c r="D4865" t="s">
        <v>538</v>
      </c>
      <c r="E4865" t="s">
        <v>457</v>
      </c>
      <c r="F4865" t="s">
        <v>21</v>
      </c>
      <c r="G4865" t="s">
        <v>1504</v>
      </c>
      <c r="H4865">
        <v>0</v>
      </c>
      <c r="I4865">
        <v>1</v>
      </c>
      <c r="J4865">
        <v>0</v>
      </c>
      <c r="K4865">
        <v>0</v>
      </c>
      <c r="L4865">
        <v>0</v>
      </c>
    </row>
    <row r="4866" spans="1:12">
      <c r="A4866" t="str">
        <f>HYPERLINK("http://bombeiros.sp.gov.br/hidrantes/03individual/3605.html","3605")</f>
        <v>3605</v>
      </c>
      <c r="B4866" t="str">
        <f>HYPERLINK("http://bombeiros.sp.gov.br/hidrantes/08bsg/qrcodeBSG.html?id=3605&amp;lat=-23.61843&amp;long=-46.63945&amp;tipo=C","QRCODE")</f>
        <v>QRCODE</v>
      </c>
      <c r="C4866" t="s">
        <v>5372</v>
      </c>
      <c r="D4866" t="s">
        <v>538</v>
      </c>
      <c r="E4866" t="s">
        <v>538</v>
      </c>
      <c r="F4866" t="s">
        <v>12</v>
      </c>
      <c r="G4866" t="s">
        <v>4387</v>
      </c>
      <c r="H4866">
        <v>0</v>
      </c>
      <c r="I4866">
        <v>2</v>
      </c>
      <c r="J4866">
        <v>0</v>
      </c>
      <c r="K4866">
        <v>0</v>
      </c>
      <c r="L4866">
        <v>0</v>
      </c>
    </row>
    <row r="4867" spans="1:12">
      <c r="A4867" t="str">
        <f>HYPERLINK("http://bombeiros.sp.gov.br/hidrantes/03individual/3606.html","3606")</f>
        <v>3606</v>
      </c>
      <c r="B4867" t="str">
        <f>HYPERLINK("http://bombeiros.sp.gov.br/hidrantes/08bsg/qrcodeBSG.html?id=3606&amp;lat=-23.61819&amp;long=-46.63893&amp;tipo=C","QRCODE")</f>
        <v>QRCODE</v>
      </c>
      <c r="C4867" t="s">
        <v>5372</v>
      </c>
      <c r="D4867" t="s">
        <v>538</v>
      </c>
      <c r="E4867" t="s">
        <v>538</v>
      </c>
      <c r="F4867" t="s">
        <v>12</v>
      </c>
      <c r="G4867" t="s">
        <v>1542</v>
      </c>
      <c r="H4867">
        <v>1</v>
      </c>
      <c r="I4867">
        <v>2</v>
      </c>
      <c r="J4867">
        <v>0</v>
      </c>
      <c r="K4867">
        <v>0</v>
      </c>
      <c r="L4867">
        <v>0</v>
      </c>
    </row>
    <row r="4868" spans="1:12">
      <c r="A4868" t="str">
        <f>HYPERLINK("http://bombeiros.sp.gov.br/hidrantes/03individual/3865.html","3865")</f>
        <v>3865</v>
      </c>
      <c r="B4868" t="str">
        <f>HYPERLINK("http://bombeiros.sp.gov.br/hidrantes/08bsg/qrcodeBSG.html?id=3865&amp;lat=-23.62586&amp;long=-46.64070&amp;tipo=C","QRCODE")</f>
        <v>QRCODE</v>
      </c>
      <c r="C4868" t="s">
        <v>5372</v>
      </c>
      <c r="D4868" t="s">
        <v>538</v>
      </c>
      <c r="E4868" t="s">
        <v>538</v>
      </c>
      <c r="F4868" t="s">
        <v>12</v>
      </c>
      <c r="G4868" t="s">
        <v>4328</v>
      </c>
      <c r="H4868">
        <v>0</v>
      </c>
      <c r="I4868">
        <v>2</v>
      </c>
      <c r="J4868">
        <v>0</v>
      </c>
      <c r="K4868">
        <v>0</v>
      </c>
      <c r="L4868">
        <v>0</v>
      </c>
    </row>
    <row r="4869" spans="1:12">
      <c r="A4869" t="str">
        <f>HYPERLINK("http://bombeiros.sp.gov.br/hidrantes/03individual/3866.html","3866")</f>
        <v>3866</v>
      </c>
      <c r="B4869" t="str">
        <f>HYPERLINK("http://bombeiros.sp.gov.br/hidrantes/08bsg/qrcodeBSG.html?id=3866&amp;lat=-23.62552&amp;long=-46.64102&amp;tipo=C","QRCODE")</f>
        <v>QRCODE</v>
      </c>
      <c r="C4869" t="s">
        <v>5372</v>
      </c>
      <c r="D4869" t="s">
        <v>538</v>
      </c>
      <c r="E4869" t="s">
        <v>538</v>
      </c>
      <c r="F4869" t="s">
        <v>12</v>
      </c>
      <c r="G4869" t="s">
        <v>5222</v>
      </c>
      <c r="H4869">
        <v>1</v>
      </c>
      <c r="I4869">
        <v>0</v>
      </c>
      <c r="J4869">
        <v>0</v>
      </c>
      <c r="K4869">
        <v>0</v>
      </c>
      <c r="L4869">
        <v>0</v>
      </c>
    </row>
    <row r="4870" spans="1:12">
      <c r="A4870" t="str">
        <f>HYPERLINK("http://bombeiros.sp.gov.br/hidrantes/03individual/23055.html","23055")</f>
        <v>23055</v>
      </c>
      <c r="B4870" t="str">
        <f>HYPERLINK("http://bombeiros.sp.gov.br/hidrantes/08bsg/qrcodeBSG.html?id=23055&amp;lat=-23.61615&amp;long=-46.63854&amp;tipo=C","QRCODE")</f>
        <v>QRCODE</v>
      </c>
      <c r="C4870" t="s">
        <v>5372</v>
      </c>
      <c r="D4870" t="s">
        <v>538</v>
      </c>
      <c r="E4870" t="s">
        <v>538</v>
      </c>
      <c r="F4870" t="s">
        <v>12</v>
      </c>
      <c r="G4870" t="s">
        <v>4713</v>
      </c>
      <c r="H4870">
        <v>1</v>
      </c>
      <c r="I4870">
        <v>1</v>
      </c>
      <c r="J4870">
        <v>0</v>
      </c>
      <c r="K4870">
        <v>0</v>
      </c>
      <c r="L4870">
        <v>0</v>
      </c>
    </row>
    <row r="4871" spans="1:12">
      <c r="A4871" t="str">
        <f>HYPERLINK("http://bombeiros.sp.gov.br/hidrantes/03individual/322.html","322")</f>
        <v>322</v>
      </c>
      <c r="B4871" t="str">
        <f>HYPERLINK("http://bombeiros.sp.gov.br/hidrantes/08bsg/qrcodeBSG.html?id=322&amp;lat=-23.62536&amp;long=-46.63876&amp;tipo=S","QRCODE")</f>
        <v>QRCODE</v>
      </c>
      <c r="C4871" t="s">
        <v>5372</v>
      </c>
      <c r="D4871" t="s">
        <v>538</v>
      </c>
      <c r="E4871" t="s">
        <v>538</v>
      </c>
      <c r="F4871" t="s">
        <v>21</v>
      </c>
      <c r="G4871" t="s">
        <v>1578</v>
      </c>
      <c r="H4871">
        <v>1</v>
      </c>
      <c r="I4871">
        <v>2</v>
      </c>
      <c r="J4871">
        <v>0</v>
      </c>
      <c r="K4871">
        <v>0</v>
      </c>
      <c r="L4871">
        <v>0</v>
      </c>
    </row>
    <row r="4872" spans="1:12">
      <c r="A4872" t="str">
        <f>HYPERLINK("http://bombeiros.sp.gov.br/hidrantes/03individual/344.html","344")</f>
        <v>344</v>
      </c>
      <c r="B4872" t="str">
        <f>HYPERLINK("http://bombeiros.sp.gov.br/hidrantes/08bsg/qrcodeBSG.html?id=344&amp;lat=-23.61504&amp;long=-46.63572&amp;tipo=S","QRCODE")</f>
        <v>QRCODE</v>
      </c>
      <c r="C4872" t="s">
        <v>5372</v>
      </c>
      <c r="D4872" t="s">
        <v>538</v>
      </c>
      <c r="E4872" t="s">
        <v>538</v>
      </c>
      <c r="F4872" t="s">
        <v>21</v>
      </c>
      <c r="G4872" t="s">
        <v>1582</v>
      </c>
      <c r="H4872">
        <v>1</v>
      </c>
      <c r="I4872">
        <v>2</v>
      </c>
      <c r="J4872">
        <v>0</v>
      </c>
      <c r="K4872">
        <v>0</v>
      </c>
      <c r="L4872">
        <v>0</v>
      </c>
    </row>
    <row r="4873" spans="1:12">
      <c r="A4873" t="str">
        <f>HYPERLINK("http://bombeiros.sp.gov.br/hidrantes/03individual/369.html","369")</f>
        <v>369</v>
      </c>
      <c r="B4873" t="str">
        <f>HYPERLINK("http://bombeiros.sp.gov.br/hidrantes/08bsg/qrcodeBSG.html?id=369&amp;lat=-23.62210&amp;long=-46.62997&amp;tipo=S","QRCODE")</f>
        <v>QRCODE</v>
      </c>
      <c r="C4873" t="s">
        <v>5372</v>
      </c>
      <c r="D4873" t="s">
        <v>538</v>
      </c>
      <c r="E4873" t="s">
        <v>538</v>
      </c>
      <c r="F4873" t="s">
        <v>21</v>
      </c>
      <c r="G4873" t="s">
        <v>3580</v>
      </c>
      <c r="H4873">
        <v>1</v>
      </c>
      <c r="I4873">
        <v>1</v>
      </c>
      <c r="J4873">
        <v>0</v>
      </c>
      <c r="K4873">
        <v>0</v>
      </c>
      <c r="L4873">
        <v>0</v>
      </c>
    </row>
    <row r="4874" spans="1:12">
      <c r="A4874" t="str">
        <f>HYPERLINK("http://bombeiros.sp.gov.br/hidrantes/03individual/372.html","372")</f>
        <v>372</v>
      </c>
      <c r="B4874" t="str">
        <f>HYPERLINK("http://bombeiros.sp.gov.br/hidrantes/08bsg/qrcodeBSG.html?id=372&amp;lat=-23.61871&amp;long=-46.63418&amp;tipo=S","QRCODE")</f>
        <v>QRCODE</v>
      </c>
      <c r="C4874" t="s">
        <v>5372</v>
      </c>
      <c r="D4874" t="s">
        <v>538</v>
      </c>
      <c r="E4874" t="s">
        <v>538</v>
      </c>
      <c r="F4874" t="s">
        <v>21</v>
      </c>
      <c r="G4874" t="s">
        <v>1581</v>
      </c>
      <c r="H4874">
        <v>1</v>
      </c>
      <c r="I4874">
        <v>2</v>
      </c>
      <c r="J4874">
        <v>0</v>
      </c>
      <c r="K4874">
        <v>0</v>
      </c>
      <c r="L4874">
        <v>0</v>
      </c>
    </row>
    <row r="4875" spans="1:12">
      <c r="A4875" t="str">
        <f>HYPERLINK("http://bombeiros.sp.gov.br/hidrantes/03individual/379.html","379")</f>
        <v>379</v>
      </c>
      <c r="B4875" t="str">
        <f>HYPERLINK("http://bombeiros.sp.gov.br/hidrantes/08bsg/qrcodeBSG.html?id=379&amp;lat=-23.61982&amp;long=-46.63058&amp;tipo=S","QRCODE")</f>
        <v>QRCODE</v>
      </c>
      <c r="C4875" t="s">
        <v>5372</v>
      </c>
      <c r="D4875" t="s">
        <v>538</v>
      </c>
      <c r="E4875" t="s">
        <v>538</v>
      </c>
      <c r="F4875" t="s">
        <v>21</v>
      </c>
      <c r="G4875" t="s">
        <v>4460</v>
      </c>
      <c r="H4875">
        <v>0</v>
      </c>
      <c r="I4875">
        <v>2</v>
      </c>
      <c r="J4875">
        <v>0</v>
      </c>
      <c r="K4875">
        <v>0</v>
      </c>
      <c r="L4875">
        <v>0</v>
      </c>
    </row>
    <row r="4876" spans="1:12">
      <c r="A4876" t="str">
        <f>HYPERLINK("http://bombeiros.sp.gov.br/hidrantes/03individual/3859.html","3859")</f>
        <v>3859</v>
      </c>
      <c r="B4876" t="str">
        <f>HYPERLINK("http://bombeiros.sp.gov.br/hidrantes/08bsg/qrcodeBSG.html?id=3859&amp;lat=-23.62881&amp;long=-46.63433&amp;tipo=S","QRCODE")</f>
        <v>QRCODE</v>
      </c>
      <c r="C4876" t="s">
        <v>5372</v>
      </c>
      <c r="D4876" t="s">
        <v>538</v>
      </c>
      <c r="E4876" t="s">
        <v>538</v>
      </c>
      <c r="F4876" t="s">
        <v>21</v>
      </c>
      <c r="G4876" t="s">
        <v>2224</v>
      </c>
      <c r="H4876">
        <v>0</v>
      </c>
      <c r="I4876">
        <v>2</v>
      </c>
      <c r="J4876">
        <v>0</v>
      </c>
      <c r="K4876">
        <v>0</v>
      </c>
      <c r="L4876">
        <v>0</v>
      </c>
    </row>
    <row r="4877" spans="1:12">
      <c r="A4877" t="str">
        <f>HYPERLINK("http://bombeiros.sp.gov.br/hidrantes/03individual/3861.html","3861")</f>
        <v>3861</v>
      </c>
      <c r="B4877" t="str">
        <f>HYPERLINK("http://bombeiros.sp.gov.br/hidrantes/08bsg/qrcodeBSG.html?id=3861&amp;lat=-23.62500&amp;long=-46.63246&amp;tipo=S","QRCODE")</f>
        <v>QRCODE</v>
      </c>
      <c r="C4877" t="s">
        <v>5372</v>
      </c>
      <c r="D4877" t="s">
        <v>538</v>
      </c>
      <c r="E4877" t="s">
        <v>538</v>
      </c>
      <c r="F4877" t="s">
        <v>21</v>
      </c>
      <c r="G4877" t="s">
        <v>1539</v>
      </c>
      <c r="H4877">
        <v>1</v>
      </c>
      <c r="I4877">
        <v>2</v>
      </c>
      <c r="J4877">
        <v>0</v>
      </c>
      <c r="K4877">
        <v>0</v>
      </c>
      <c r="L4877">
        <v>0</v>
      </c>
    </row>
    <row r="4878" spans="1:12">
      <c r="A4878" t="str">
        <f>HYPERLINK("http://bombeiros.sp.gov.br/hidrantes/03individual/3864.html","3864")</f>
        <v>3864</v>
      </c>
      <c r="B4878" t="str">
        <f>HYPERLINK("http://bombeiros.sp.gov.br/hidrantes/08bsg/qrcodeBSG.html?id=3864&amp;lat=-23.62607&amp;long=-46.63691&amp;tipo=S","QRCODE")</f>
        <v>QRCODE</v>
      </c>
      <c r="C4878" t="s">
        <v>5372</v>
      </c>
      <c r="D4878" t="s">
        <v>538</v>
      </c>
      <c r="E4878" t="s">
        <v>538</v>
      </c>
      <c r="F4878" t="s">
        <v>21</v>
      </c>
      <c r="G4878" t="s">
        <v>3375</v>
      </c>
      <c r="H4878">
        <v>0</v>
      </c>
      <c r="I4878">
        <v>2</v>
      </c>
      <c r="J4878">
        <v>0</v>
      </c>
      <c r="K4878">
        <v>0</v>
      </c>
      <c r="L4878">
        <v>0</v>
      </c>
    </row>
    <row r="4879" spans="1:12">
      <c r="A4879" t="str">
        <f>HYPERLINK("http://bombeiros.sp.gov.br/hidrantes/03individual/3943.html","3943")</f>
        <v>3943</v>
      </c>
      <c r="B4879" t="str">
        <f>HYPERLINK("http://bombeiros.sp.gov.br/hidrantes/08bsg/qrcodeBSG.html?id=3943&amp;lat=-23.61517&amp;long=-46.63870&amp;tipo=S","QRCODE")</f>
        <v>QRCODE</v>
      </c>
      <c r="C4879" t="s">
        <v>5372</v>
      </c>
      <c r="D4879" t="s">
        <v>538</v>
      </c>
      <c r="E4879" t="s">
        <v>538</v>
      </c>
      <c r="F4879" t="s">
        <v>21</v>
      </c>
      <c r="G4879" t="s">
        <v>4332</v>
      </c>
      <c r="H4879">
        <v>0</v>
      </c>
      <c r="I4879">
        <v>2</v>
      </c>
      <c r="J4879">
        <v>0</v>
      </c>
      <c r="K4879">
        <v>0</v>
      </c>
      <c r="L4879">
        <v>0</v>
      </c>
    </row>
    <row r="4880" spans="1:12">
      <c r="A4880" t="str">
        <f>HYPERLINK("http://bombeiros.sp.gov.br/hidrantes/03individual/3958.html","3958")</f>
        <v>3958</v>
      </c>
      <c r="B4880" t="str">
        <f>HYPERLINK("http://bombeiros.sp.gov.br/hidrantes/08bsg/qrcodeBSG.html?id=3958&amp;lat=-23.62459&amp;long=-46.63732&amp;tipo=S","QRCODE")</f>
        <v>QRCODE</v>
      </c>
      <c r="C4880" t="s">
        <v>5372</v>
      </c>
      <c r="D4880" t="s">
        <v>538</v>
      </c>
      <c r="E4880" t="s">
        <v>538</v>
      </c>
      <c r="F4880" t="s">
        <v>21</v>
      </c>
      <c r="G4880" t="s">
        <v>4334</v>
      </c>
      <c r="H4880">
        <v>0</v>
      </c>
      <c r="I4880">
        <v>2</v>
      </c>
      <c r="J4880">
        <v>0</v>
      </c>
      <c r="K4880">
        <v>0</v>
      </c>
      <c r="L4880">
        <v>0</v>
      </c>
    </row>
    <row r="4881" spans="1:12">
      <c r="A4881" t="str">
        <f>HYPERLINK("http://bombeiros.sp.gov.br/hidrantes/03individual/3959.html","3959")</f>
        <v>3959</v>
      </c>
      <c r="B4881" t="str">
        <f>HYPERLINK("http://bombeiros.sp.gov.br/hidrantes/08bsg/qrcodeBSG.html?id=3959&amp;lat=-23.62181&amp;long=-46.63473&amp;tipo=S","QRCODE")</f>
        <v>QRCODE</v>
      </c>
      <c r="C4881" t="s">
        <v>5372</v>
      </c>
      <c r="D4881" t="s">
        <v>538</v>
      </c>
      <c r="E4881" t="s">
        <v>538</v>
      </c>
      <c r="F4881" t="s">
        <v>21</v>
      </c>
      <c r="G4881" t="s">
        <v>4335</v>
      </c>
      <c r="H4881">
        <v>0</v>
      </c>
      <c r="I4881">
        <v>2</v>
      </c>
      <c r="J4881">
        <v>0</v>
      </c>
      <c r="K4881">
        <v>0</v>
      </c>
      <c r="L4881">
        <v>0</v>
      </c>
    </row>
    <row r="4882" spans="1:12">
      <c r="A4882" t="str">
        <f>HYPERLINK("http://bombeiros.sp.gov.br/hidrantes/03individual/3961.html","3961")</f>
        <v>3961</v>
      </c>
      <c r="B4882" t="str">
        <f>HYPERLINK("http://bombeiros.sp.gov.br/hidrantes/08bsg/qrcodeBSG.html?id=3961&amp;lat=-23.62106&amp;long=-46.63450&amp;tipo=S","QRCODE")</f>
        <v>QRCODE</v>
      </c>
      <c r="C4882" t="s">
        <v>5372</v>
      </c>
      <c r="D4882" t="s">
        <v>538</v>
      </c>
      <c r="E4882" t="s">
        <v>538</v>
      </c>
      <c r="F4882" t="s">
        <v>21</v>
      </c>
      <c r="G4882" t="s">
        <v>4333</v>
      </c>
      <c r="H4882">
        <v>0</v>
      </c>
      <c r="I4882">
        <v>2</v>
      </c>
      <c r="J4882">
        <v>0</v>
      </c>
      <c r="K4882">
        <v>0</v>
      </c>
      <c r="L4882">
        <v>0</v>
      </c>
    </row>
    <row r="4883" spans="1:12">
      <c r="A4883" t="str">
        <f>HYPERLINK("http://bombeiros.sp.gov.br/hidrantes/03individual/3965.html","3965")</f>
        <v>3965</v>
      </c>
      <c r="B4883" t="str">
        <f>HYPERLINK("http://bombeiros.sp.gov.br/hidrantes/08bsg/qrcodeBSG.html?id=3965&amp;lat=-23.61438&amp;long=-46.62892&amp;tipo=S","QRCODE")</f>
        <v>QRCODE</v>
      </c>
      <c r="C4883" t="s">
        <v>5372</v>
      </c>
      <c r="D4883" t="s">
        <v>538</v>
      </c>
      <c r="E4883" t="s">
        <v>538</v>
      </c>
      <c r="F4883" t="s">
        <v>21</v>
      </c>
      <c r="G4883" t="s">
        <v>4330</v>
      </c>
      <c r="H4883">
        <v>0</v>
      </c>
      <c r="I4883">
        <v>2</v>
      </c>
      <c r="J4883">
        <v>0</v>
      </c>
      <c r="K4883">
        <v>0</v>
      </c>
      <c r="L4883">
        <v>0</v>
      </c>
    </row>
    <row r="4884" spans="1:12">
      <c r="A4884" t="str">
        <f>HYPERLINK("http://bombeiros.sp.gov.br/hidrantes/03individual/3969.html","3969")</f>
        <v>3969</v>
      </c>
      <c r="B4884" t="str">
        <f>HYPERLINK("http://bombeiros.sp.gov.br/hidrantes/08bsg/qrcodeBSG.html?id=3969&amp;lat=-23.61512&amp;long=-46.63330&amp;tipo=S","QRCODE")</f>
        <v>QRCODE</v>
      </c>
      <c r="C4884" t="s">
        <v>5372</v>
      </c>
      <c r="D4884" t="s">
        <v>538</v>
      </c>
      <c r="E4884" t="s">
        <v>538</v>
      </c>
      <c r="F4884" t="s">
        <v>21</v>
      </c>
      <c r="G4884" t="s">
        <v>4295</v>
      </c>
      <c r="H4884">
        <v>0</v>
      </c>
      <c r="I4884">
        <v>1</v>
      </c>
      <c r="J4884">
        <v>0</v>
      </c>
      <c r="K4884">
        <v>0</v>
      </c>
      <c r="L4884">
        <v>0</v>
      </c>
    </row>
    <row r="4885" spans="1:12">
      <c r="A4885" t="str">
        <f>HYPERLINK("http://bombeiros.sp.gov.br/hidrantes/03individual/4387.html","4387")</f>
        <v>4387</v>
      </c>
      <c r="B4885" t="str">
        <f>HYPERLINK("http://bombeiros.sp.gov.br/hidrantes/08bsg/qrcodeBSG.html?id=4387&amp;lat=-23.62082&amp;long=-46.63641&amp;tipo=S","QRCODE")</f>
        <v>QRCODE</v>
      </c>
      <c r="C4885" t="s">
        <v>5372</v>
      </c>
      <c r="D4885" t="s">
        <v>538</v>
      </c>
      <c r="E4885" t="s">
        <v>538</v>
      </c>
      <c r="F4885" t="s">
        <v>21</v>
      </c>
      <c r="G4885" t="s">
        <v>537</v>
      </c>
      <c r="H4885">
        <v>0</v>
      </c>
      <c r="I4885">
        <v>2</v>
      </c>
      <c r="J4885">
        <v>0</v>
      </c>
      <c r="K4885">
        <v>0</v>
      </c>
      <c r="L4885">
        <v>0</v>
      </c>
    </row>
    <row r="4886" spans="1:12">
      <c r="A4886" t="str">
        <f>HYPERLINK("http://bombeiros.sp.gov.br/hidrantes/03individual/4413.html","4413")</f>
        <v>4413</v>
      </c>
      <c r="B4886" t="str">
        <f>HYPERLINK("http://bombeiros.sp.gov.br/hidrantes/08bsg/qrcodeBSG.html?id=4413&amp;lat=-23.62355&amp;long=-46.63732&amp;tipo=S","QRCODE")</f>
        <v>QRCODE</v>
      </c>
      <c r="C4886" t="s">
        <v>5372</v>
      </c>
      <c r="D4886" t="s">
        <v>538</v>
      </c>
      <c r="E4886" t="s">
        <v>538</v>
      </c>
      <c r="F4886" t="s">
        <v>21</v>
      </c>
      <c r="G4886" t="s">
        <v>1543</v>
      </c>
      <c r="H4886">
        <v>1</v>
      </c>
      <c r="I4886">
        <v>2</v>
      </c>
      <c r="J4886">
        <v>0</v>
      </c>
      <c r="K4886">
        <v>0</v>
      </c>
      <c r="L4886">
        <v>0</v>
      </c>
    </row>
    <row r="4887" spans="1:12">
      <c r="A4887" t="str">
        <f>HYPERLINK("http://bombeiros.sp.gov.br/hidrantes/03individual/26823.html","26823")</f>
        <v>26823</v>
      </c>
      <c r="B4887" t="str">
        <f>HYPERLINK("http://bombeiros.sp.gov.br/hidrantes/08bsg/qrcodeBSG.html?id=26823&amp;lat=-23.62075&amp;long=-46.64139&amp;tipo=S","QRCODE")</f>
        <v>QRCODE</v>
      </c>
      <c r="C4887" t="s">
        <v>5372</v>
      </c>
      <c r="D4887" t="s">
        <v>538</v>
      </c>
      <c r="E4887" t="s">
        <v>538</v>
      </c>
      <c r="F4887" t="s">
        <v>21</v>
      </c>
      <c r="G4887" t="s">
        <v>3999</v>
      </c>
      <c r="H4887">
        <v>0</v>
      </c>
      <c r="I4887">
        <v>1</v>
      </c>
      <c r="J4887">
        <v>0</v>
      </c>
      <c r="K4887">
        <v>0</v>
      </c>
      <c r="L4887">
        <v>0</v>
      </c>
    </row>
    <row r="4888" spans="1:12">
      <c r="A4888" t="str">
        <f>HYPERLINK("http://bombeiros.sp.gov.br/hidrantes/03individual/27207.html","27207")</f>
        <v>27207</v>
      </c>
      <c r="B4888" t="str">
        <f>HYPERLINK("http://bombeiros.sp.gov.br/hidrantes/08bsg/qrcodeBSG.html?id=27207&amp;lat=-23.61613&amp;long=-46.63025&amp;tipo=S","QRCODE")</f>
        <v>QRCODE</v>
      </c>
      <c r="C4888" t="s">
        <v>5372</v>
      </c>
      <c r="D4888" t="s">
        <v>538</v>
      </c>
      <c r="E4888" t="s">
        <v>538</v>
      </c>
      <c r="F4888" t="s">
        <v>21</v>
      </c>
      <c r="G4888" t="s">
        <v>1503</v>
      </c>
      <c r="H4888">
        <v>0</v>
      </c>
      <c r="I4888">
        <v>1</v>
      </c>
      <c r="J4888">
        <v>0</v>
      </c>
      <c r="K4888">
        <v>0</v>
      </c>
      <c r="L4888">
        <v>0</v>
      </c>
    </row>
    <row r="4889" spans="1:12">
      <c r="A4889" t="str">
        <f>HYPERLINK("http://bombeiros.sp.gov.br/hidrantes/03individual/4076.html","4076")</f>
        <v>4076</v>
      </c>
      <c r="B4889" t="str">
        <f>HYPERLINK("http://bombeiros.sp.gov.br/hidrantes/08bsg/qrcodeBSG.html?id=4076&amp;lat=-23.68716&amp;long=-46.70230&amp;tipo=C","QRCODE")</f>
        <v>QRCODE</v>
      </c>
      <c r="C4889" t="s">
        <v>5372</v>
      </c>
      <c r="D4889" t="s">
        <v>5396</v>
      </c>
      <c r="E4889" t="s">
        <v>436</v>
      </c>
      <c r="F4889" t="s">
        <v>12</v>
      </c>
      <c r="G4889" t="s">
        <v>2297</v>
      </c>
      <c r="H4889">
        <v>0</v>
      </c>
      <c r="I4889">
        <v>2</v>
      </c>
      <c r="J4889">
        <v>0</v>
      </c>
      <c r="K4889">
        <v>0</v>
      </c>
      <c r="L4889">
        <v>0</v>
      </c>
    </row>
    <row r="4890" spans="1:12">
      <c r="A4890" t="str">
        <f>HYPERLINK("http://bombeiros.sp.gov.br/hidrantes/03individual/4077.html","4077")</f>
        <v>4077</v>
      </c>
      <c r="B4890" t="str">
        <f>HYPERLINK("http://bombeiros.sp.gov.br/hidrantes/08bsg/qrcodeBSG.html?id=4077&amp;lat=-23.68949&amp;long=-46.70035&amp;tipo=C","QRCODE")</f>
        <v>QRCODE</v>
      </c>
      <c r="C4890" t="s">
        <v>5372</v>
      </c>
      <c r="D4890" t="s">
        <v>5396</v>
      </c>
      <c r="E4890" t="s">
        <v>436</v>
      </c>
      <c r="F4890" t="s">
        <v>12</v>
      </c>
      <c r="G4890" t="s">
        <v>2298</v>
      </c>
      <c r="H4890">
        <v>0</v>
      </c>
      <c r="I4890">
        <v>2</v>
      </c>
      <c r="J4890">
        <v>0</v>
      </c>
      <c r="K4890">
        <v>0</v>
      </c>
      <c r="L4890">
        <v>0</v>
      </c>
    </row>
    <row r="4891" spans="1:12">
      <c r="A4891" t="str">
        <f>HYPERLINK("http://bombeiros.sp.gov.br/hidrantes/03individual/4080.html","4080")</f>
        <v>4080</v>
      </c>
      <c r="B4891" t="str">
        <f>HYPERLINK("http://bombeiros.sp.gov.br/hidrantes/08bsg/qrcodeBSG.html?id=4080&amp;lat=-23.69896&amp;long=-46.71530&amp;tipo=C","QRCODE")</f>
        <v>QRCODE</v>
      </c>
      <c r="C4891" t="s">
        <v>5372</v>
      </c>
      <c r="D4891" t="s">
        <v>5396</v>
      </c>
      <c r="E4891" t="s">
        <v>436</v>
      </c>
      <c r="F4891" t="s">
        <v>12</v>
      </c>
      <c r="G4891" t="s">
        <v>437</v>
      </c>
      <c r="H4891">
        <v>1</v>
      </c>
      <c r="I4891">
        <v>2</v>
      </c>
      <c r="J4891">
        <v>0</v>
      </c>
      <c r="K4891">
        <v>0</v>
      </c>
      <c r="L4891">
        <v>0</v>
      </c>
    </row>
    <row r="4892" spans="1:12">
      <c r="A4892" t="str">
        <f>HYPERLINK("http://bombeiros.sp.gov.br/hidrantes/03individual/4082.html","4082")</f>
        <v>4082</v>
      </c>
      <c r="B4892" t="str">
        <f>HYPERLINK("http://bombeiros.sp.gov.br/hidrantes/08bsg/qrcodeBSG.html?id=4082&amp;lat=-23.68956&amp;long=-46.70856&amp;tipo=C","QRCODE")</f>
        <v>QRCODE</v>
      </c>
      <c r="C4892" t="s">
        <v>5372</v>
      </c>
      <c r="D4892" t="s">
        <v>5396</v>
      </c>
      <c r="E4892" t="s">
        <v>436</v>
      </c>
      <c r="F4892" t="s">
        <v>12</v>
      </c>
      <c r="G4892" t="s">
        <v>2300</v>
      </c>
      <c r="H4892">
        <v>0</v>
      </c>
      <c r="I4892">
        <v>2</v>
      </c>
      <c r="J4892">
        <v>0</v>
      </c>
      <c r="K4892">
        <v>0</v>
      </c>
      <c r="L4892">
        <v>0</v>
      </c>
    </row>
    <row r="4893" spans="1:12">
      <c r="A4893" t="str">
        <f>HYPERLINK("http://bombeiros.sp.gov.br/hidrantes/03individual/4131.html","4131")</f>
        <v>4131</v>
      </c>
      <c r="B4893" t="str">
        <f>HYPERLINK("http://bombeiros.sp.gov.br/hidrantes/08bsg/qrcodeBSG.html?id=4131&amp;lat=-23.70557&amp;long=-46.71199&amp;tipo=C","QRCODE")</f>
        <v>QRCODE</v>
      </c>
      <c r="C4893" t="s">
        <v>5372</v>
      </c>
      <c r="D4893" t="s">
        <v>5396</v>
      </c>
      <c r="E4893" t="s">
        <v>436</v>
      </c>
      <c r="F4893" t="s">
        <v>12</v>
      </c>
      <c r="G4893" t="s">
        <v>2291</v>
      </c>
      <c r="H4893">
        <v>0</v>
      </c>
      <c r="I4893">
        <v>2</v>
      </c>
      <c r="J4893">
        <v>0</v>
      </c>
      <c r="K4893">
        <v>0</v>
      </c>
      <c r="L4893">
        <v>0</v>
      </c>
    </row>
    <row r="4894" spans="1:12">
      <c r="A4894" t="str">
        <f>HYPERLINK("http://bombeiros.sp.gov.br/hidrantes/03individual/26920.html","26920")</f>
        <v>26920</v>
      </c>
      <c r="B4894" t="str">
        <f>HYPERLINK("http://bombeiros.sp.gov.br/hidrantes/08bsg/qrcodeBSG.html?id=26920&amp;lat=-23.68520&amp;long=-46.70542&amp;tipo=C","QRCODE")</f>
        <v>QRCODE</v>
      </c>
      <c r="C4894" t="s">
        <v>5372</v>
      </c>
      <c r="D4894" t="s">
        <v>5396</v>
      </c>
      <c r="E4894" t="s">
        <v>436</v>
      </c>
      <c r="F4894" t="s">
        <v>12</v>
      </c>
      <c r="G4894" t="s">
        <v>477</v>
      </c>
      <c r="H4894">
        <v>0</v>
      </c>
      <c r="I4894">
        <v>3</v>
      </c>
      <c r="J4894">
        <v>0</v>
      </c>
      <c r="K4894">
        <v>0</v>
      </c>
      <c r="L4894">
        <v>0</v>
      </c>
    </row>
    <row r="4895" spans="1:12">
      <c r="A4895" t="str">
        <f>HYPERLINK("http://bombeiros.sp.gov.br/hidrantes/03individual/26921.html","26921")</f>
        <v>26921</v>
      </c>
      <c r="B4895" t="str">
        <f>HYPERLINK("http://bombeiros.sp.gov.br/hidrantes/08bsg/qrcodeBSG.html?id=26921&amp;lat=-23.68477&amp;long=-46.70612&amp;tipo=C","QRCODE")</f>
        <v>QRCODE</v>
      </c>
      <c r="C4895" t="s">
        <v>5372</v>
      </c>
      <c r="D4895" t="s">
        <v>5396</v>
      </c>
      <c r="E4895" t="s">
        <v>436</v>
      </c>
      <c r="F4895" t="s">
        <v>12</v>
      </c>
      <c r="G4895" t="s">
        <v>478</v>
      </c>
      <c r="H4895">
        <v>0</v>
      </c>
      <c r="I4895">
        <v>3</v>
      </c>
      <c r="J4895">
        <v>0</v>
      </c>
      <c r="K4895">
        <v>0</v>
      </c>
      <c r="L4895">
        <v>0</v>
      </c>
    </row>
    <row r="4896" spans="1:12">
      <c r="A4896" t="str">
        <f>HYPERLINK("http://bombeiros.sp.gov.br/hidrantes/03individual/2364.html","2364")</f>
        <v>2364</v>
      </c>
      <c r="B4896" t="str">
        <f>HYPERLINK("http://bombeiros.sp.gov.br/hidrantes/08bsg/qrcodeBSG.html?id=2364&amp;lat=-23.69563&amp;long=-46.71073&amp;tipo=S","QRCODE")</f>
        <v>QRCODE</v>
      </c>
      <c r="C4896" t="s">
        <v>5372</v>
      </c>
      <c r="D4896" t="s">
        <v>5396</v>
      </c>
      <c r="E4896" t="s">
        <v>436</v>
      </c>
      <c r="F4896" t="s">
        <v>21</v>
      </c>
      <c r="G4896" t="s">
        <v>2314</v>
      </c>
      <c r="H4896">
        <v>0</v>
      </c>
      <c r="I4896">
        <v>2</v>
      </c>
      <c r="J4896">
        <v>0</v>
      </c>
      <c r="K4896">
        <v>0</v>
      </c>
      <c r="L4896">
        <v>0</v>
      </c>
    </row>
    <row r="4897" spans="1:12">
      <c r="A4897" t="str">
        <f>HYPERLINK("http://bombeiros.sp.gov.br/hidrantes/03individual/4078.html","4078")</f>
        <v>4078</v>
      </c>
      <c r="B4897" t="str">
        <f>HYPERLINK("http://bombeiros.sp.gov.br/hidrantes/08bsg/qrcodeBSG.html?id=4078&amp;lat=-23.69086&amp;long=-46.70169&amp;tipo=S","QRCODE")</f>
        <v>QRCODE</v>
      </c>
      <c r="C4897" t="s">
        <v>5372</v>
      </c>
      <c r="D4897" t="s">
        <v>5396</v>
      </c>
      <c r="E4897" t="s">
        <v>436</v>
      </c>
      <c r="F4897" t="s">
        <v>21</v>
      </c>
      <c r="G4897" t="s">
        <v>2299</v>
      </c>
      <c r="H4897">
        <v>0</v>
      </c>
      <c r="I4897">
        <v>2</v>
      </c>
      <c r="J4897">
        <v>0</v>
      </c>
      <c r="K4897">
        <v>0</v>
      </c>
      <c r="L4897">
        <v>0</v>
      </c>
    </row>
    <row r="4898" spans="1:12">
      <c r="A4898" t="str">
        <f>HYPERLINK("http://bombeiros.sp.gov.br/hidrantes/03individual/4079.html","4079")</f>
        <v>4079</v>
      </c>
      <c r="B4898" t="str">
        <f>HYPERLINK("http://bombeiros.sp.gov.br/hidrantes/08bsg/qrcodeBSG.html?id=4079&amp;lat=-23.69666&amp;long=-46.70589&amp;tipo=S","QRCODE")</f>
        <v>QRCODE</v>
      </c>
      <c r="C4898" t="s">
        <v>5372</v>
      </c>
      <c r="D4898" t="s">
        <v>5396</v>
      </c>
      <c r="E4898" t="s">
        <v>436</v>
      </c>
      <c r="F4898" t="s">
        <v>21</v>
      </c>
      <c r="G4898" t="s">
        <v>435</v>
      </c>
      <c r="H4898">
        <v>0</v>
      </c>
      <c r="I4898">
        <v>3</v>
      </c>
      <c r="J4898">
        <v>0</v>
      </c>
      <c r="K4898">
        <v>0</v>
      </c>
      <c r="L4898">
        <v>0</v>
      </c>
    </row>
    <row r="4899" spans="1:12">
      <c r="A4899" t="str">
        <f>HYPERLINK("http://bombeiros.sp.gov.br/hidrantes/03individual/4084.html","4084")</f>
        <v>4084</v>
      </c>
      <c r="B4899" t="str">
        <f>HYPERLINK("http://bombeiros.sp.gov.br/hidrantes/08bsg/qrcodeBSG.html?id=4084&amp;lat=-23.68468&amp;long=-46.70570&amp;tipo=S","QRCODE")</f>
        <v>QRCODE</v>
      </c>
      <c r="C4899" t="s">
        <v>5372</v>
      </c>
      <c r="D4899" t="s">
        <v>5396</v>
      </c>
      <c r="E4899" t="s">
        <v>436</v>
      </c>
      <c r="F4899" t="s">
        <v>21</v>
      </c>
      <c r="G4899" t="s">
        <v>2301</v>
      </c>
      <c r="H4899">
        <v>0</v>
      </c>
      <c r="I4899">
        <v>2</v>
      </c>
      <c r="J4899">
        <v>0</v>
      </c>
      <c r="K4899">
        <v>0</v>
      </c>
      <c r="L4899">
        <v>0</v>
      </c>
    </row>
    <row r="4900" spans="1:12">
      <c r="A4900" t="str">
        <f>HYPERLINK("http://bombeiros.sp.gov.br/hidrantes/03individual/4085.html","4085")</f>
        <v>4085</v>
      </c>
      <c r="B4900" t="str">
        <f>HYPERLINK("http://bombeiros.sp.gov.br/hidrantes/08bsg/qrcodeBSG.html?id=4085&amp;lat=-23.67985&amp;long=-46.70833&amp;tipo=S","QRCODE")</f>
        <v>QRCODE</v>
      </c>
      <c r="C4900" t="s">
        <v>5372</v>
      </c>
      <c r="D4900" t="s">
        <v>5396</v>
      </c>
      <c r="E4900" t="s">
        <v>436</v>
      </c>
      <c r="F4900" t="s">
        <v>21</v>
      </c>
      <c r="G4900" t="s">
        <v>2302</v>
      </c>
      <c r="H4900">
        <v>0</v>
      </c>
      <c r="I4900">
        <v>2</v>
      </c>
      <c r="J4900">
        <v>0</v>
      </c>
      <c r="K4900">
        <v>0</v>
      </c>
      <c r="L4900">
        <v>0</v>
      </c>
    </row>
    <row r="4901" spans="1:12">
      <c r="A4901" t="str">
        <f>HYPERLINK("http://bombeiros.sp.gov.br/hidrantes/03individual/4086.html","4086")</f>
        <v>4086</v>
      </c>
      <c r="B4901" t="str">
        <f>HYPERLINK("http://bombeiros.sp.gov.br/hidrantes/08bsg/qrcodeBSG.html?id=4086&amp;lat=-23.67812&amp;long=-46.70930&amp;tipo=S","QRCODE")</f>
        <v>QRCODE</v>
      </c>
      <c r="C4901" t="s">
        <v>5372</v>
      </c>
      <c r="D4901" t="s">
        <v>5396</v>
      </c>
      <c r="E4901" t="s">
        <v>436</v>
      </c>
      <c r="F4901" t="s">
        <v>21</v>
      </c>
      <c r="G4901" t="s">
        <v>4029</v>
      </c>
      <c r="H4901">
        <v>0</v>
      </c>
      <c r="I4901">
        <v>2</v>
      </c>
      <c r="J4901">
        <v>0</v>
      </c>
      <c r="K4901">
        <v>0</v>
      </c>
      <c r="L4901">
        <v>0</v>
      </c>
    </row>
    <row r="4902" spans="1:12">
      <c r="A4902" t="str">
        <f>HYPERLINK("http://bombeiros.sp.gov.br/hidrantes/03individual/4087.html","4087")</f>
        <v>4087</v>
      </c>
      <c r="B4902" t="str">
        <f>HYPERLINK("http://bombeiros.sp.gov.br/hidrantes/08bsg/qrcodeBSG.html?id=4087&amp;lat=-23.67866&amp;long=-46.71237&amp;tipo=S","QRCODE")</f>
        <v>QRCODE</v>
      </c>
      <c r="C4902" t="s">
        <v>5372</v>
      </c>
      <c r="D4902" t="s">
        <v>5396</v>
      </c>
      <c r="E4902" t="s">
        <v>436</v>
      </c>
      <c r="F4902" t="s">
        <v>21</v>
      </c>
      <c r="G4902" t="s">
        <v>4027</v>
      </c>
      <c r="H4902">
        <v>0</v>
      </c>
      <c r="I4902">
        <v>1</v>
      </c>
      <c r="J4902">
        <v>0</v>
      </c>
      <c r="K4902">
        <v>0</v>
      </c>
      <c r="L4902">
        <v>0</v>
      </c>
    </row>
    <row r="4903" spans="1:12">
      <c r="A4903" t="str">
        <f>HYPERLINK("http://bombeiros.sp.gov.br/hidrantes/03individual/4088.html","4088")</f>
        <v>4088</v>
      </c>
      <c r="B4903" t="str">
        <f>HYPERLINK("http://bombeiros.sp.gov.br/hidrantes/08bsg/qrcodeBSG.html?id=4088&amp;lat=-23.68182&amp;long=-46.71357&amp;tipo=S","QRCODE")</f>
        <v>QRCODE</v>
      </c>
      <c r="C4903" t="s">
        <v>5372</v>
      </c>
      <c r="D4903" t="s">
        <v>5396</v>
      </c>
      <c r="E4903" t="s">
        <v>436</v>
      </c>
      <c r="F4903" t="s">
        <v>21</v>
      </c>
      <c r="G4903" t="s">
        <v>3973</v>
      </c>
      <c r="H4903">
        <v>1</v>
      </c>
      <c r="I4903">
        <v>2</v>
      </c>
      <c r="J4903">
        <v>0</v>
      </c>
      <c r="K4903">
        <v>0</v>
      </c>
      <c r="L4903">
        <v>0</v>
      </c>
    </row>
    <row r="4904" spans="1:12">
      <c r="A4904" t="str">
        <f>HYPERLINK("http://bombeiros.sp.gov.br/hidrantes/03individual/4397.html","4397")</f>
        <v>4397</v>
      </c>
      <c r="B4904" t="str">
        <f>HYPERLINK("http://bombeiros.sp.gov.br/hidrantes/08bsg/qrcodeBSG.html?id=4397&amp;lat=-23.68023&amp;long=-46.71453&amp;tipo=S","QRCODE")</f>
        <v>QRCODE</v>
      </c>
      <c r="C4904" t="s">
        <v>5372</v>
      </c>
      <c r="D4904" t="s">
        <v>5396</v>
      </c>
      <c r="E4904" t="s">
        <v>436</v>
      </c>
      <c r="F4904" t="s">
        <v>21</v>
      </c>
      <c r="G4904" t="s">
        <v>621</v>
      </c>
      <c r="H4904">
        <v>0</v>
      </c>
      <c r="I4904">
        <v>2</v>
      </c>
      <c r="J4904">
        <v>0</v>
      </c>
      <c r="K4904">
        <v>0</v>
      </c>
      <c r="L4904">
        <v>0</v>
      </c>
    </row>
    <row r="4905" spans="1:12">
      <c r="A4905" t="str">
        <f>HYPERLINK("http://bombeiros.sp.gov.br/hidrantes/03individual/6738.html","6738")</f>
        <v>6738</v>
      </c>
      <c r="B4905" t="str">
        <f>HYPERLINK("http://bombeiros.sp.gov.br/hidrantes/08bsg/qrcodeBSG.html?id=6738&amp;lat=-23.68198&amp;long=-46.71675&amp;tipo=S","QRCODE")</f>
        <v>QRCODE</v>
      </c>
      <c r="C4905" t="s">
        <v>5372</v>
      </c>
      <c r="D4905" t="s">
        <v>5396</v>
      </c>
      <c r="E4905" t="s">
        <v>436</v>
      </c>
      <c r="F4905" t="s">
        <v>21</v>
      </c>
      <c r="G4905" t="s">
        <v>2279</v>
      </c>
      <c r="H4905">
        <v>0</v>
      </c>
      <c r="I4905">
        <v>2</v>
      </c>
      <c r="J4905">
        <v>0</v>
      </c>
      <c r="K4905">
        <v>0</v>
      </c>
      <c r="L4905">
        <v>0</v>
      </c>
    </row>
    <row r="4906" spans="1:12">
      <c r="A4906" t="str">
        <f>HYPERLINK("http://bombeiros.sp.gov.br/hidrantes/03individual/4074.html","4074")</f>
        <v>4074</v>
      </c>
      <c r="B4906" t="str">
        <f>HYPERLINK("http://bombeiros.sp.gov.br/hidrantes/08bsg/qrcodeBSG.html?id=4074&amp;lat=-23.67060&amp;long=-46.71072&amp;tipo=S","QRCODE")</f>
        <v>QRCODE</v>
      </c>
      <c r="C4906" t="s">
        <v>5372</v>
      </c>
      <c r="D4906" t="s">
        <v>5396</v>
      </c>
      <c r="E4906" t="s">
        <v>623</v>
      </c>
      <c r="F4906" t="s">
        <v>21</v>
      </c>
      <c r="G4906" t="s">
        <v>2209</v>
      </c>
      <c r="H4906">
        <v>0</v>
      </c>
      <c r="I4906">
        <v>2</v>
      </c>
      <c r="J4906">
        <v>0</v>
      </c>
      <c r="K4906">
        <v>0</v>
      </c>
      <c r="L4906">
        <v>0</v>
      </c>
    </row>
    <row r="4907" spans="1:12">
      <c r="A4907" t="str">
        <f>HYPERLINK("http://bombeiros.sp.gov.br/hidrantes/03individual/4089.html","4089")</f>
        <v>4089</v>
      </c>
      <c r="B4907" t="str">
        <f>HYPERLINK("http://bombeiros.sp.gov.br/hidrantes/08bsg/qrcodeBSG.html?id=4089&amp;lat=-23.66886&amp;long=-46.71220&amp;tipo=S","QRCODE")</f>
        <v>QRCODE</v>
      </c>
      <c r="C4907" t="s">
        <v>5372</v>
      </c>
      <c r="D4907" t="s">
        <v>5396</v>
      </c>
      <c r="E4907" t="s">
        <v>623</v>
      </c>
      <c r="F4907" t="s">
        <v>21</v>
      </c>
      <c r="G4907" t="s">
        <v>4030</v>
      </c>
      <c r="H4907">
        <v>0</v>
      </c>
      <c r="I4907">
        <v>2</v>
      </c>
      <c r="J4907">
        <v>0</v>
      </c>
      <c r="K4907">
        <v>0</v>
      </c>
      <c r="L4907">
        <v>0</v>
      </c>
    </row>
    <row r="4908" spans="1:12">
      <c r="A4908" t="str">
        <f>HYPERLINK("http://bombeiros.sp.gov.br/hidrantes/03individual/4093.html","4093")</f>
        <v>4093</v>
      </c>
      <c r="B4908" t="str">
        <f>HYPERLINK("http://bombeiros.sp.gov.br/hidrantes/08bsg/qrcodeBSG.html?id=4093&amp;lat=-23.66609&amp;long=-46.71411&amp;tipo=S","QRCODE")</f>
        <v>QRCODE</v>
      </c>
      <c r="C4908" t="s">
        <v>5372</v>
      </c>
      <c r="D4908" t="s">
        <v>5396</v>
      </c>
      <c r="E4908" t="s">
        <v>623</v>
      </c>
      <c r="F4908" t="s">
        <v>21</v>
      </c>
      <c r="G4908" t="s">
        <v>3974</v>
      </c>
      <c r="H4908">
        <v>1</v>
      </c>
      <c r="I4908">
        <v>1</v>
      </c>
      <c r="J4908">
        <v>0</v>
      </c>
      <c r="K4908">
        <v>0</v>
      </c>
      <c r="L4908">
        <v>0</v>
      </c>
    </row>
    <row r="4909" spans="1:12">
      <c r="A4909" t="str">
        <f>HYPERLINK("http://bombeiros.sp.gov.br/hidrantes/03individual/4094.html","4094")</f>
        <v>4094</v>
      </c>
      <c r="B4909" t="str">
        <f>HYPERLINK("http://bombeiros.sp.gov.br/hidrantes/08bsg/qrcodeBSG.html?id=4094&amp;lat=-23.67122&amp;long=-46.71859&amp;tipo=S","QRCODE")</f>
        <v>QRCODE</v>
      </c>
      <c r="C4909" t="s">
        <v>5372</v>
      </c>
      <c r="D4909" t="s">
        <v>5396</v>
      </c>
      <c r="E4909" t="s">
        <v>623</v>
      </c>
      <c r="F4909" t="s">
        <v>21</v>
      </c>
      <c r="G4909" t="s">
        <v>4028</v>
      </c>
      <c r="H4909">
        <v>0</v>
      </c>
      <c r="I4909">
        <v>2</v>
      </c>
      <c r="J4909">
        <v>0</v>
      </c>
      <c r="K4909">
        <v>0</v>
      </c>
      <c r="L4909">
        <v>0</v>
      </c>
    </row>
    <row r="4910" spans="1:12">
      <c r="A4910" t="str">
        <f>HYPERLINK("http://bombeiros.sp.gov.br/hidrantes/03individual/4096.html","4096")</f>
        <v>4096</v>
      </c>
      <c r="B4910" t="str">
        <f>HYPERLINK("http://bombeiros.sp.gov.br/hidrantes/08bsg/qrcodeBSG.html?id=4096&amp;lat=-23.66300&amp;long=-46.71929&amp;tipo=S","QRCODE")</f>
        <v>QRCODE</v>
      </c>
      <c r="C4910" t="s">
        <v>5372</v>
      </c>
      <c r="D4910" t="s">
        <v>5396</v>
      </c>
      <c r="E4910" t="s">
        <v>623</v>
      </c>
      <c r="F4910" t="s">
        <v>21</v>
      </c>
      <c r="G4910" t="s">
        <v>629</v>
      </c>
      <c r="H4910">
        <v>0</v>
      </c>
      <c r="I4910">
        <v>2</v>
      </c>
      <c r="J4910">
        <v>0</v>
      </c>
      <c r="K4910">
        <v>0</v>
      </c>
      <c r="L4910">
        <v>0</v>
      </c>
    </row>
    <row r="4911" spans="1:12">
      <c r="A4911" t="str">
        <f>HYPERLINK("http://bombeiros.sp.gov.br/hidrantes/03individual/4395.html","4395")</f>
        <v>4395</v>
      </c>
      <c r="B4911" t="str">
        <f>HYPERLINK("http://bombeiros.sp.gov.br/hidrantes/08bsg/qrcodeBSG.html?id=4395&amp;lat=-23.67961&amp;long=-46.70635&amp;tipo=S","QRCODE")</f>
        <v>QRCODE</v>
      </c>
      <c r="C4911" t="s">
        <v>5372</v>
      </c>
      <c r="D4911" t="s">
        <v>5396</v>
      </c>
      <c r="E4911" t="s">
        <v>623</v>
      </c>
      <c r="F4911" t="s">
        <v>21</v>
      </c>
      <c r="G4911" t="s">
        <v>2282</v>
      </c>
      <c r="H4911">
        <v>0</v>
      </c>
      <c r="I4911">
        <v>2</v>
      </c>
      <c r="J4911">
        <v>0</v>
      </c>
      <c r="K4911">
        <v>0</v>
      </c>
      <c r="L4911">
        <v>0</v>
      </c>
    </row>
    <row r="4912" spans="1:12">
      <c r="A4912" t="str">
        <f>HYPERLINK("http://bombeiros.sp.gov.br/hidrantes/03individual/4398.html","4398")</f>
        <v>4398</v>
      </c>
      <c r="B4912" t="str">
        <f>HYPERLINK("http://bombeiros.sp.gov.br/hidrantes/08bsg/qrcodeBSG.html?id=4398&amp;lat=-23.67125&amp;long=-46.72045&amp;tipo=S","QRCODE")</f>
        <v>QRCODE</v>
      </c>
      <c r="C4912" t="s">
        <v>5372</v>
      </c>
      <c r="D4912" t="s">
        <v>5396</v>
      </c>
      <c r="E4912" t="s">
        <v>623</v>
      </c>
      <c r="F4912" t="s">
        <v>21</v>
      </c>
      <c r="G4912" t="s">
        <v>622</v>
      </c>
      <c r="H4912">
        <v>0</v>
      </c>
      <c r="I4912">
        <v>3</v>
      </c>
      <c r="J4912">
        <v>0</v>
      </c>
      <c r="K4912">
        <v>0</v>
      </c>
      <c r="L4912">
        <v>0</v>
      </c>
    </row>
    <row r="4913" spans="1:12">
      <c r="A4913" t="str">
        <f>HYPERLINK("http://bombeiros.sp.gov.br/hidrantes/03individual/16601.html","16601")</f>
        <v>16601</v>
      </c>
      <c r="B4913" t="str">
        <f>HYPERLINK("http://bombeiros.sp.gov.br/hidrantes/08bsg/qrcodeBSG.html?id=16601&amp;lat=-23.66712&amp;long=-46.71269&amp;tipo=S","QRCODE")</f>
        <v>QRCODE</v>
      </c>
      <c r="C4913" t="s">
        <v>5372</v>
      </c>
      <c r="D4913" t="s">
        <v>5396</v>
      </c>
      <c r="E4913" t="s">
        <v>623</v>
      </c>
      <c r="F4913" t="s">
        <v>21</v>
      </c>
      <c r="G4913" t="s">
        <v>3989</v>
      </c>
      <c r="H4913">
        <v>1</v>
      </c>
      <c r="I4913">
        <v>1</v>
      </c>
      <c r="J4913">
        <v>0</v>
      </c>
      <c r="K4913">
        <v>0</v>
      </c>
      <c r="L4913">
        <v>0</v>
      </c>
    </row>
    <row r="4914" spans="1:12">
      <c r="A4914" t="str">
        <f>HYPERLINK("http://bombeiros.sp.gov.br/hidrantes/03individual/17769.html","17769")</f>
        <v>17769</v>
      </c>
      <c r="B4914" t="str">
        <f>HYPERLINK("http://bombeiros.sp.gov.br/hidrantes/08bsg/qrcodeBSG.html?id=17769&amp;lat=-23.66961&amp;long=-46.71885&amp;tipo=S","QRCODE")</f>
        <v>QRCODE</v>
      </c>
      <c r="C4914" t="s">
        <v>5372</v>
      </c>
      <c r="D4914" t="s">
        <v>5396</v>
      </c>
      <c r="E4914" t="s">
        <v>623</v>
      </c>
      <c r="F4914" t="s">
        <v>21</v>
      </c>
      <c r="G4914" t="s">
        <v>3995</v>
      </c>
      <c r="H4914">
        <v>0</v>
      </c>
      <c r="I4914">
        <v>2</v>
      </c>
      <c r="J4914">
        <v>0</v>
      </c>
      <c r="K4914">
        <v>0</v>
      </c>
      <c r="L4914">
        <v>0</v>
      </c>
    </row>
    <row r="4915" spans="1:12">
      <c r="A4915" t="str">
        <f>HYPERLINK("http://bombeiros.sp.gov.br/hidrantes/03individual/26852.html","26852")</f>
        <v>26852</v>
      </c>
      <c r="B4915" t="str">
        <f>HYPERLINK("http://bombeiros.sp.gov.br/hidrantes/08bsg/qrcodeBSG.html?id=26852&amp;lat=-23.67446&amp;long=-46.71491&amp;tipo=S","QRCODE")</f>
        <v>QRCODE</v>
      </c>
      <c r="C4915" t="s">
        <v>5372</v>
      </c>
      <c r="D4915" t="s">
        <v>5396</v>
      </c>
      <c r="E4915" t="s">
        <v>623</v>
      </c>
      <c r="F4915" t="s">
        <v>21</v>
      </c>
      <c r="G4915" t="s">
        <v>4001</v>
      </c>
      <c r="H4915">
        <v>0</v>
      </c>
      <c r="I4915">
        <v>2</v>
      </c>
      <c r="J4915">
        <v>0</v>
      </c>
      <c r="K4915">
        <v>0</v>
      </c>
      <c r="L4915">
        <v>0</v>
      </c>
    </row>
    <row r="4916" spans="1:12">
      <c r="A4916" t="str">
        <f>HYPERLINK("http://bombeiros.sp.gov.br/hidrantes/03individual/26853.html","26853")</f>
        <v>26853</v>
      </c>
      <c r="B4916" t="str">
        <f>HYPERLINK("http://bombeiros.sp.gov.br/hidrantes/08bsg/qrcodeBSG.html?id=26853&amp;lat=-23.67554&amp;long=-46.71216&amp;tipo=S","QRCODE")</f>
        <v>QRCODE</v>
      </c>
      <c r="C4916" t="s">
        <v>5372</v>
      </c>
      <c r="D4916" t="s">
        <v>5396</v>
      </c>
      <c r="E4916" t="s">
        <v>623</v>
      </c>
      <c r="F4916" t="s">
        <v>21</v>
      </c>
      <c r="G4916" t="s">
        <v>4002</v>
      </c>
      <c r="H4916">
        <v>0</v>
      </c>
      <c r="I4916">
        <v>1</v>
      </c>
      <c r="J4916">
        <v>0</v>
      </c>
      <c r="K4916">
        <v>0</v>
      </c>
      <c r="L4916">
        <v>0</v>
      </c>
    </row>
    <row r="4917" spans="1:12">
      <c r="A4917" t="str">
        <f>HYPERLINK("http://bombeiros.sp.gov.br/hidrantes/03individual/4013.html","4013")</f>
        <v>4013</v>
      </c>
      <c r="B4917" t="str">
        <f>HYPERLINK("http://bombeiros.sp.gov.br/hidrantes/08bsg/qrcodeBSG.html?id=4013&amp;lat=-23.62602&amp;long=-46.71848&amp;tipo=C","QRCODE")</f>
        <v>QRCODE</v>
      </c>
      <c r="C4917" t="s">
        <v>5372</v>
      </c>
      <c r="D4917" t="s">
        <v>5397</v>
      </c>
      <c r="E4917" t="s">
        <v>1840</v>
      </c>
      <c r="F4917" t="s">
        <v>12</v>
      </c>
      <c r="G4917" t="s">
        <v>3034</v>
      </c>
      <c r="H4917">
        <v>0</v>
      </c>
      <c r="I4917">
        <v>2</v>
      </c>
      <c r="J4917">
        <v>0</v>
      </c>
      <c r="K4917">
        <v>0</v>
      </c>
      <c r="L4917">
        <v>0</v>
      </c>
    </row>
    <row r="4918" spans="1:12">
      <c r="A4918" t="str">
        <f>HYPERLINK("http://bombeiros.sp.gov.br/hidrantes/03individual/4017.html","4017")</f>
        <v>4017</v>
      </c>
      <c r="B4918" t="str">
        <f>HYPERLINK("http://bombeiros.sp.gov.br/hidrantes/08bsg/qrcodeBSG.html?id=4017&amp;lat=-23.64364&amp;long=-46.73126&amp;tipo=C","QRCODE")</f>
        <v>QRCODE</v>
      </c>
      <c r="C4918" t="s">
        <v>5372</v>
      </c>
      <c r="D4918" t="s">
        <v>5397</v>
      </c>
      <c r="E4918" t="s">
        <v>1840</v>
      </c>
      <c r="F4918" t="s">
        <v>12</v>
      </c>
      <c r="G4918" t="s">
        <v>4739</v>
      </c>
      <c r="H4918">
        <v>1</v>
      </c>
      <c r="I4918">
        <v>1</v>
      </c>
      <c r="J4918">
        <v>0</v>
      </c>
      <c r="K4918">
        <v>0</v>
      </c>
      <c r="L4918">
        <v>0</v>
      </c>
    </row>
    <row r="4919" spans="1:12">
      <c r="A4919" t="str">
        <f>HYPERLINK("http://bombeiros.sp.gov.br/hidrantes/03individual/4027.html","4027")</f>
        <v>4027</v>
      </c>
      <c r="B4919" t="str">
        <f>HYPERLINK("http://bombeiros.sp.gov.br/hidrantes/08bsg/qrcodeBSG.html?id=4027&amp;lat=-23.62991&amp;long=-46.72162&amp;tipo=C","QRCODE")</f>
        <v>QRCODE</v>
      </c>
      <c r="C4919" t="s">
        <v>5372</v>
      </c>
      <c r="D4919" t="s">
        <v>5397</v>
      </c>
      <c r="E4919" t="s">
        <v>1840</v>
      </c>
      <c r="F4919" t="s">
        <v>12</v>
      </c>
      <c r="G4919" t="s">
        <v>3033</v>
      </c>
      <c r="H4919">
        <v>0</v>
      </c>
      <c r="I4919">
        <v>2</v>
      </c>
      <c r="J4919">
        <v>0</v>
      </c>
      <c r="K4919">
        <v>0</v>
      </c>
      <c r="L4919">
        <v>0</v>
      </c>
    </row>
    <row r="4920" spans="1:12">
      <c r="A4920" t="str">
        <f>HYPERLINK("http://bombeiros.sp.gov.br/hidrantes/03individual/23054.html","23054")</f>
        <v>23054</v>
      </c>
      <c r="B4920" t="str">
        <f>HYPERLINK("http://bombeiros.sp.gov.br/hidrantes/08bsg/qrcodeBSG.html?id=23054&amp;lat=-23.62458&amp;long=-46.72722&amp;tipo=C","QRCODE")</f>
        <v>QRCODE</v>
      </c>
      <c r="C4920" t="s">
        <v>5372</v>
      </c>
      <c r="D4920" t="s">
        <v>5397</v>
      </c>
      <c r="E4920" t="s">
        <v>1840</v>
      </c>
      <c r="F4920" t="s">
        <v>12</v>
      </c>
      <c r="G4920" t="s">
        <v>1839</v>
      </c>
      <c r="H4920">
        <v>0</v>
      </c>
      <c r="I4920">
        <v>2</v>
      </c>
      <c r="J4920">
        <v>0</v>
      </c>
      <c r="K4920">
        <v>0</v>
      </c>
      <c r="L4920">
        <v>0</v>
      </c>
    </row>
    <row r="4921" spans="1:12">
      <c r="A4921" t="str">
        <f>HYPERLINK("http://bombeiros.sp.gov.br/hidrantes/03individual/25264.html","25264")</f>
        <v>25264</v>
      </c>
      <c r="B4921" t="str">
        <f>HYPERLINK("http://bombeiros.sp.gov.br/hidrantes/08bsg/qrcodeBSG.html?id=25264&amp;lat=-23.63137&amp;long=-46.72778&amp;tipo=C","QRCODE")</f>
        <v>QRCODE</v>
      </c>
      <c r="C4921" t="s">
        <v>5372</v>
      </c>
      <c r="D4921" t="s">
        <v>5397</v>
      </c>
      <c r="E4921" t="s">
        <v>1840</v>
      </c>
      <c r="F4921" t="s">
        <v>12</v>
      </c>
      <c r="G4921" t="s">
        <v>4105</v>
      </c>
      <c r="H4921">
        <v>0</v>
      </c>
      <c r="I4921">
        <v>1</v>
      </c>
      <c r="J4921">
        <v>0</v>
      </c>
      <c r="K4921">
        <v>0</v>
      </c>
      <c r="L4921">
        <v>0</v>
      </c>
    </row>
    <row r="4922" spans="1:12">
      <c r="A4922" t="str">
        <f>HYPERLINK("http://bombeiros.sp.gov.br/hidrantes/03individual/26337.html","26337")</f>
        <v>26337</v>
      </c>
      <c r="B4922" t="str">
        <f>HYPERLINK("http://bombeiros.sp.gov.br/hidrantes/08bsg/qrcodeBSG.html?id=26337&amp;lat=-23.61905&amp;long=-46.72277&amp;tipo=C","QRCODE")</f>
        <v>QRCODE</v>
      </c>
      <c r="C4922" t="s">
        <v>5372</v>
      </c>
      <c r="D4922" t="s">
        <v>5397</v>
      </c>
      <c r="E4922" t="s">
        <v>1827</v>
      </c>
      <c r="F4922" t="s">
        <v>12</v>
      </c>
      <c r="G4922" t="s">
        <v>4267</v>
      </c>
      <c r="H4922">
        <v>0</v>
      </c>
      <c r="I4922">
        <v>1</v>
      </c>
      <c r="J4922">
        <v>0</v>
      </c>
      <c r="K4922">
        <v>0</v>
      </c>
      <c r="L4922">
        <v>0</v>
      </c>
    </row>
    <row r="4923" spans="1:12">
      <c r="A4923" t="str">
        <f>HYPERLINK("http://bombeiros.sp.gov.br/hidrantes/03individual/27027.html","27027")</f>
        <v>27027</v>
      </c>
      <c r="B4923" t="str">
        <f>HYPERLINK("http://bombeiros.sp.gov.br/hidrantes/08bsg/qrcodeBSG.html?id=27027&amp;lat=-23.62175&amp;long=-46.72852&amp;tipo=C","QRCODE")</f>
        <v>QRCODE</v>
      </c>
      <c r="C4923" t="s">
        <v>5372</v>
      </c>
      <c r="D4923" t="s">
        <v>5397</v>
      </c>
      <c r="E4923" t="s">
        <v>1827</v>
      </c>
      <c r="F4923" t="s">
        <v>12</v>
      </c>
      <c r="G4923" t="s">
        <v>3902</v>
      </c>
      <c r="H4923">
        <v>0</v>
      </c>
      <c r="I4923">
        <v>1</v>
      </c>
      <c r="J4923">
        <v>0</v>
      </c>
      <c r="K4923">
        <v>0</v>
      </c>
      <c r="L4923">
        <v>0</v>
      </c>
    </row>
    <row r="4924" spans="1:12">
      <c r="A4924" t="str">
        <f>HYPERLINK("http://bombeiros.sp.gov.br/hidrantes/03individual/27028.html","27028")</f>
        <v>27028</v>
      </c>
      <c r="B4924" t="str">
        <f>HYPERLINK("http://bombeiros.sp.gov.br/hidrantes/08bsg/qrcodeBSG.html?id=27028&amp;lat=-23.62177&amp;long=-46.72623&amp;tipo=C","QRCODE")</f>
        <v>QRCODE</v>
      </c>
      <c r="C4924" t="s">
        <v>5372</v>
      </c>
      <c r="D4924" t="s">
        <v>5397</v>
      </c>
      <c r="E4924" t="s">
        <v>1827</v>
      </c>
      <c r="F4924" t="s">
        <v>12</v>
      </c>
      <c r="G4924" t="s">
        <v>3903</v>
      </c>
      <c r="H4924">
        <v>0</v>
      </c>
      <c r="I4924">
        <v>1</v>
      </c>
      <c r="J4924">
        <v>0</v>
      </c>
      <c r="K4924">
        <v>0</v>
      </c>
      <c r="L4924">
        <v>0</v>
      </c>
    </row>
    <row r="4925" spans="1:12">
      <c r="A4925" t="str">
        <f>HYPERLINK("http://bombeiros.sp.gov.br/hidrantes/03individual/2304.html","2304")</f>
        <v>2304</v>
      </c>
      <c r="B4925" t="str">
        <f>HYPERLINK("http://bombeiros.sp.gov.br/hidrantes/08bsg/qrcodeBSG.html?id=2304&amp;lat=-23.61780&amp;long=-46.70367&amp;tipo=S","QRCODE")</f>
        <v>QRCODE</v>
      </c>
      <c r="C4925" t="s">
        <v>5372</v>
      </c>
      <c r="D4925" t="s">
        <v>5397</v>
      </c>
      <c r="E4925" t="s">
        <v>1827</v>
      </c>
      <c r="F4925" t="s">
        <v>21</v>
      </c>
      <c r="G4925" t="s">
        <v>1826</v>
      </c>
      <c r="H4925">
        <v>0</v>
      </c>
      <c r="I4925">
        <v>2</v>
      </c>
      <c r="J4925">
        <v>0</v>
      </c>
      <c r="K4925">
        <v>0</v>
      </c>
      <c r="L4925">
        <v>0</v>
      </c>
    </row>
    <row r="4926" spans="1:12">
      <c r="A4926" t="str">
        <f>HYPERLINK("http://bombeiros.sp.gov.br/hidrantes/03individual/6707.html","6707")</f>
        <v>6707</v>
      </c>
      <c r="B4926" t="str">
        <f>HYPERLINK("http://bombeiros.sp.gov.br/hidrantes/08bsg/qrcodeBSG.html?id=6707&amp;lat=-23.61924&amp;long=-46.71207&amp;tipo=S","QRCODE")</f>
        <v>QRCODE</v>
      </c>
      <c r="C4926" t="s">
        <v>5372</v>
      </c>
      <c r="D4926" t="s">
        <v>5397</v>
      </c>
      <c r="E4926" t="s">
        <v>1827</v>
      </c>
      <c r="F4926" t="s">
        <v>21</v>
      </c>
      <c r="G4926" t="s">
        <v>5001</v>
      </c>
      <c r="H4926">
        <v>0</v>
      </c>
      <c r="I4926">
        <v>1</v>
      </c>
      <c r="J4926">
        <v>0</v>
      </c>
      <c r="K4926">
        <v>0</v>
      </c>
      <c r="L4926">
        <v>0</v>
      </c>
    </row>
    <row r="4927" spans="1:12">
      <c r="A4927" t="str">
        <f>HYPERLINK("http://bombeiros.sp.gov.br/hidrantes/03individual/6709.html","6709")</f>
        <v>6709</v>
      </c>
      <c r="B4927" t="str">
        <f>HYPERLINK("http://bombeiros.sp.gov.br/hidrantes/08bsg/qrcodeBSG.html?id=6709&amp;lat=-23.62129&amp;long=-46.70866&amp;tipo=S","QRCODE")</f>
        <v>QRCODE</v>
      </c>
      <c r="C4927" t="s">
        <v>5372</v>
      </c>
      <c r="D4927" t="s">
        <v>5397</v>
      </c>
      <c r="E4927" t="s">
        <v>1827</v>
      </c>
      <c r="F4927" t="s">
        <v>21</v>
      </c>
      <c r="G4927" t="s">
        <v>4885</v>
      </c>
      <c r="H4927">
        <v>1</v>
      </c>
      <c r="I4927">
        <v>2</v>
      </c>
      <c r="J4927">
        <v>0</v>
      </c>
      <c r="K4927">
        <v>0</v>
      </c>
      <c r="L4927">
        <v>0</v>
      </c>
    </row>
    <row r="4928" spans="1:12">
      <c r="A4928" t="str">
        <f>HYPERLINK("http://bombeiros.sp.gov.br/hidrantes/03individual/6710.html","6710")</f>
        <v>6710</v>
      </c>
      <c r="B4928" t="str">
        <f>HYPERLINK("http://bombeiros.sp.gov.br/hidrantes/08bsg/qrcodeBSG.html?id=6710&amp;lat=-23.62165&amp;long=-46.70648&amp;tipo=S","QRCODE")</f>
        <v>QRCODE</v>
      </c>
      <c r="C4928" t="s">
        <v>5372</v>
      </c>
      <c r="D4928" t="s">
        <v>5397</v>
      </c>
      <c r="E4928" t="s">
        <v>1827</v>
      </c>
      <c r="F4928" t="s">
        <v>21</v>
      </c>
      <c r="G4928" t="s">
        <v>3045</v>
      </c>
      <c r="H4928">
        <v>0</v>
      </c>
      <c r="I4928">
        <v>2</v>
      </c>
      <c r="J4928">
        <v>0</v>
      </c>
      <c r="K4928">
        <v>0</v>
      </c>
      <c r="L4928">
        <v>0</v>
      </c>
    </row>
    <row r="4929" spans="1:12">
      <c r="A4929" t="str">
        <f>HYPERLINK("http://bombeiros.sp.gov.br/hidrantes/03individual/26819.html","26819")</f>
        <v>26819</v>
      </c>
      <c r="B4929" t="str">
        <f>HYPERLINK("http://bombeiros.sp.gov.br/hidrantes/08bsg/qrcodeBSG.html?id=26819&amp;lat=-23.61374&amp;long=-46.71563&amp;tipo=S","QRCODE")</f>
        <v>QRCODE</v>
      </c>
      <c r="C4929" t="s">
        <v>5372</v>
      </c>
      <c r="D4929" t="s">
        <v>5397</v>
      </c>
      <c r="E4929" t="s">
        <v>1827</v>
      </c>
      <c r="F4929" t="s">
        <v>21</v>
      </c>
      <c r="G4929" t="s">
        <v>3907</v>
      </c>
      <c r="H4929">
        <v>0</v>
      </c>
      <c r="I4929">
        <v>1</v>
      </c>
      <c r="J4929">
        <v>0</v>
      </c>
      <c r="K4929">
        <v>0</v>
      </c>
      <c r="L4929">
        <v>0</v>
      </c>
    </row>
    <row r="4930" spans="1:12">
      <c r="A4930" t="str">
        <f>HYPERLINK("http://bombeiros.sp.gov.br/hidrantes/03individual/4018.html","4018")</f>
        <v>4018</v>
      </c>
      <c r="B4930" t="str">
        <f>HYPERLINK("http://bombeiros.sp.gov.br/hidrantes/08bsg/qrcodeBSG.html?id=4018&amp;lat=-23.64095&amp;long=-46.74200&amp;tipo=C","QRCODE")</f>
        <v>QRCODE</v>
      </c>
      <c r="C4930" t="s">
        <v>5372</v>
      </c>
      <c r="D4930" t="s">
        <v>5397</v>
      </c>
      <c r="E4930" t="s">
        <v>536</v>
      </c>
      <c r="F4930" t="s">
        <v>12</v>
      </c>
      <c r="G4930" t="s">
        <v>3881</v>
      </c>
      <c r="H4930">
        <v>0</v>
      </c>
      <c r="I4930">
        <v>1</v>
      </c>
      <c r="J4930">
        <v>0</v>
      </c>
      <c r="K4930">
        <v>0</v>
      </c>
      <c r="L4930">
        <v>0</v>
      </c>
    </row>
    <row r="4931" spans="1:12">
      <c r="A4931" t="str">
        <f>HYPERLINK("http://bombeiros.sp.gov.br/hidrantes/03individual/4026.html","4026")</f>
        <v>4026</v>
      </c>
      <c r="B4931" t="str">
        <f>HYPERLINK("http://bombeiros.sp.gov.br/hidrantes/08bsg/qrcodeBSG.html?id=4026&amp;lat=-23.62888&amp;long=-46.74305&amp;tipo=C","QRCODE")</f>
        <v>QRCODE</v>
      </c>
      <c r="C4931" t="s">
        <v>5372</v>
      </c>
      <c r="D4931" t="s">
        <v>5397</v>
      </c>
      <c r="E4931" t="s">
        <v>536</v>
      </c>
      <c r="F4931" t="s">
        <v>12</v>
      </c>
      <c r="G4931" t="s">
        <v>1817</v>
      </c>
      <c r="H4931">
        <v>0</v>
      </c>
      <c r="I4931">
        <v>2</v>
      </c>
      <c r="J4931">
        <v>0</v>
      </c>
      <c r="K4931">
        <v>0</v>
      </c>
      <c r="L4931">
        <v>0</v>
      </c>
    </row>
    <row r="4932" spans="1:12">
      <c r="A4932" t="str">
        <f>HYPERLINK("http://bombeiros.sp.gov.br/hidrantes/03individual/4390.html","4390")</f>
        <v>4390</v>
      </c>
      <c r="B4932" t="str">
        <f>HYPERLINK("http://bombeiros.sp.gov.br/hidrantes/08bsg/qrcodeBSG.html?id=4390&amp;lat=-23.61835&amp;long=-46.74312&amp;tipo=C","QRCODE")</f>
        <v>QRCODE</v>
      </c>
      <c r="C4932" t="s">
        <v>5372</v>
      </c>
      <c r="D4932" t="s">
        <v>5397</v>
      </c>
      <c r="E4932" t="s">
        <v>536</v>
      </c>
      <c r="F4932" t="s">
        <v>12</v>
      </c>
      <c r="G4932" t="s">
        <v>535</v>
      </c>
      <c r="H4932">
        <v>2</v>
      </c>
      <c r="I4932">
        <v>1</v>
      </c>
      <c r="J4932">
        <v>0</v>
      </c>
      <c r="K4932">
        <v>0</v>
      </c>
      <c r="L4932">
        <v>0</v>
      </c>
    </row>
    <row r="4933" spans="1:12">
      <c r="A4933" t="str">
        <f>HYPERLINK("http://bombeiros.sp.gov.br/hidrantes/03individual/27024.html","27024")</f>
        <v>27024</v>
      </c>
      <c r="B4933" t="str">
        <f>HYPERLINK("http://bombeiros.sp.gov.br/hidrantes/08bsg/qrcodeBSG.html?id=27024&amp;lat=-23.63754&amp;long=-46.74319&amp;tipo=C","QRCODE")</f>
        <v>QRCODE</v>
      </c>
      <c r="C4933" t="s">
        <v>5372</v>
      </c>
      <c r="D4933" t="s">
        <v>5397</v>
      </c>
      <c r="E4933" t="s">
        <v>536</v>
      </c>
      <c r="F4933" t="s">
        <v>12</v>
      </c>
      <c r="G4933" t="s">
        <v>3842</v>
      </c>
      <c r="H4933">
        <v>0</v>
      </c>
      <c r="I4933">
        <v>1</v>
      </c>
      <c r="J4933">
        <v>0</v>
      </c>
      <c r="K4933">
        <v>0</v>
      </c>
      <c r="L4933">
        <v>0</v>
      </c>
    </row>
    <row r="4934" spans="1:12">
      <c r="A4934" t="str">
        <f>HYPERLINK("http://bombeiros.sp.gov.br/hidrantes/03individual/27121.html","27121")</f>
        <v>27121</v>
      </c>
      <c r="B4934" t="str">
        <f>HYPERLINK("http://bombeiros.sp.gov.br/hidrantes/08bsg/qrcodeBSG.html?id=27121&amp;lat=-23.62434&amp;long=-46.74510&amp;tipo=C","QRCODE")</f>
        <v>QRCODE</v>
      </c>
      <c r="C4934" t="s">
        <v>5372</v>
      </c>
      <c r="D4934" t="s">
        <v>5397</v>
      </c>
      <c r="E4934" t="s">
        <v>536</v>
      </c>
      <c r="F4934" t="s">
        <v>12</v>
      </c>
      <c r="G4934" t="s">
        <v>3521</v>
      </c>
      <c r="H4934">
        <v>0</v>
      </c>
      <c r="I4934">
        <v>1</v>
      </c>
      <c r="J4934">
        <v>0</v>
      </c>
      <c r="K4934">
        <v>0</v>
      </c>
      <c r="L4934">
        <v>0</v>
      </c>
    </row>
    <row r="4935" spans="1:12">
      <c r="A4935" t="str">
        <f>HYPERLINK("http://bombeiros.sp.gov.br/hidrantes/03individual/27316.html","27316")</f>
        <v>27316</v>
      </c>
      <c r="B4935" t="str">
        <f>HYPERLINK("http://bombeiros.sp.gov.br/hidrantes/08bsg/qrcodeBSG.html?id=27316&amp;lat=-23.62034&amp;long=-46.74238&amp;tipo=C","QRCODE")</f>
        <v>QRCODE</v>
      </c>
      <c r="C4935" t="s">
        <v>5372</v>
      </c>
      <c r="D4935" t="s">
        <v>5397</v>
      </c>
      <c r="E4935" t="s">
        <v>536</v>
      </c>
      <c r="F4935" t="s">
        <v>12</v>
      </c>
      <c r="G4935" t="s">
        <v>5398</v>
      </c>
      <c r="H4935">
        <v>0</v>
      </c>
      <c r="I4935">
        <v>0</v>
      </c>
      <c r="J4935">
        <v>0</v>
      </c>
      <c r="K4935">
        <v>0</v>
      </c>
      <c r="L4935">
        <v>0</v>
      </c>
    </row>
    <row r="4936" spans="1:12">
      <c r="A4936" t="str">
        <f>HYPERLINK("http://bombeiros.sp.gov.br/hidrantes/03individual/26817.html","26817")</f>
        <v>26817</v>
      </c>
      <c r="B4936" t="str">
        <f>HYPERLINK("http://bombeiros.sp.gov.br/hidrantes/08bsg/qrcodeBSG.html?id=26817&amp;lat=-23.63264&amp;long=-46.73824&amp;tipo=S","QRCODE")</f>
        <v>QRCODE</v>
      </c>
      <c r="C4936" t="s">
        <v>5372</v>
      </c>
      <c r="D4936" t="s">
        <v>5397</v>
      </c>
      <c r="E4936" t="s">
        <v>536</v>
      </c>
      <c r="F4936" t="s">
        <v>21</v>
      </c>
      <c r="G4936" t="s">
        <v>3906</v>
      </c>
      <c r="H4936">
        <v>0</v>
      </c>
      <c r="I4936">
        <v>1</v>
      </c>
      <c r="J4936">
        <v>0</v>
      </c>
      <c r="K4936">
        <v>0</v>
      </c>
      <c r="L4936">
        <v>0</v>
      </c>
    </row>
    <row r="4937" spans="1:12">
      <c r="A4937" t="str">
        <f>HYPERLINK("http://bombeiros.sp.gov.br/hidrantes/03individual/290.html","290")</f>
        <v>290</v>
      </c>
      <c r="B4937" t="str">
        <f>HYPERLINK("http://bombeiros.sp.gov.br/hidrantes/08bsg/qrcodeBSG.html?id=290&amp;lat=-23.57521&amp;long=-46.63956&amp;tipo=S","QRCODE")</f>
        <v>QRCODE</v>
      </c>
      <c r="C4937" t="s">
        <v>5372</v>
      </c>
      <c r="D4937" t="s">
        <v>268</v>
      </c>
      <c r="E4937" t="s">
        <v>1116</v>
      </c>
      <c r="F4937" t="s">
        <v>21</v>
      </c>
      <c r="G4937" t="s">
        <v>2829</v>
      </c>
      <c r="H4937">
        <v>0</v>
      </c>
      <c r="I4937">
        <v>2</v>
      </c>
      <c r="J4937">
        <v>0</v>
      </c>
      <c r="K4937">
        <v>0</v>
      </c>
      <c r="L4937">
        <v>0</v>
      </c>
    </row>
    <row r="4938" spans="1:12">
      <c r="A4938" t="str">
        <f>HYPERLINK("http://bombeiros.sp.gov.br/hidrantes/03individual/305.html","305")</f>
        <v>305</v>
      </c>
      <c r="B4938" t="str">
        <f>HYPERLINK("http://bombeiros.sp.gov.br/hidrantes/08bsg/qrcodeBSG.html?id=305&amp;lat=-23.57660&amp;long=-46.63792&amp;tipo=S","QRCODE")</f>
        <v>QRCODE</v>
      </c>
      <c r="C4938" t="s">
        <v>5372</v>
      </c>
      <c r="D4938" t="s">
        <v>268</v>
      </c>
      <c r="E4938" t="s">
        <v>1116</v>
      </c>
      <c r="F4938" t="s">
        <v>21</v>
      </c>
      <c r="G4938" t="s">
        <v>2826</v>
      </c>
      <c r="H4938">
        <v>0</v>
      </c>
      <c r="I4938">
        <v>2</v>
      </c>
      <c r="J4938">
        <v>0</v>
      </c>
      <c r="K4938">
        <v>0</v>
      </c>
      <c r="L4938">
        <v>0</v>
      </c>
    </row>
    <row r="4939" spans="1:12">
      <c r="A4939" t="str">
        <f>HYPERLINK("http://bombeiros.sp.gov.br/hidrantes/03individual/320.html","320")</f>
        <v>320</v>
      </c>
      <c r="B4939" t="str">
        <f>HYPERLINK("http://bombeiros.sp.gov.br/hidrantes/08bsg/qrcodeBSG.html?id=320&amp;lat=-23.58100&amp;long=-46.63519&amp;tipo=S","QRCODE")</f>
        <v>QRCODE</v>
      </c>
      <c r="C4939" t="s">
        <v>5372</v>
      </c>
      <c r="D4939" t="s">
        <v>268</v>
      </c>
      <c r="E4939" t="s">
        <v>1116</v>
      </c>
      <c r="F4939" t="s">
        <v>21</v>
      </c>
      <c r="G4939" t="s">
        <v>1953</v>
      </c>
      <c r="H4939">
        <v>0</v>
      </c>
      <c r="I4939">
        <v>2</v>
      </c>
      <c r="J4939">
        <v>0</v>
      </c>
      <c r="K4939">
        <v>0</v>
      </c>
      <c r="L4939">
        <v>0</v>
      </c>
    </row>
    <row r="4940" spans="1:12">
      <c r="A4940" t="str">
        <f>HYPERLINK("http://bombeiros.sp.gov.br/hidrantes/03individual/321.html","321")</f>
        <v>321</v>
      </c>
      <c r="B4940" t="str">
        <f>HYPERLINK("http://bombeiros.sp.gov.br/hidrantes/08bsg/qrcodeBSG.html?id=321&amp;lat=-23.58000&amp;long=-46.63779&amp;tipo=S","QRCODE")</f>
        <v>QRCODE</v>
      </c>
      <c r="C4940" t="s">
        <v>5372</v>
      </c>
      <c r="D4940" t="s">
        <v>268</v>
      </c>
      <c r="E4940" t="s">
        <v>1116</v>
      </c>
      <c r="F4940" t="s">
        <v>21</v>
      </c>
      <c r="G4940" t="s">
        <v>2824</v>
      </c>
      <c r="H4940">
        <v>0</v>
      </c>
      <c r="I4940">
        <v>2</v>
      </c>
      <c r="J4940">
        <v>0</v>
      </c>
      <c r="K4940">
        <v>0</v>
      </c>
      <c r="L4940">
        <v>0</v>
      </c>
    </row>
    <row r="4941" spans="1:12">
      <c r="A4941" t="str">
        <f>HYPERLINK("http://bombeiros.sp.gov.br/hidrantes/03individual/397.html","397")</f>
        <v>397</v>
      </c>
      <c r="B4941" t="str">
        <f>HYPERLINK("http://bombeiros.sp.gov.br/hidrantes/08bsg/qrcodeBSG.html?id=397&amp;lat=-23.58034&amp;long=-46.63399&amp;tipo=S","QRCODE")</f>
        <v>QRCODE</v>
      </c>
      <c r="C4941" t="s">
        <v>5372</v>
      </c>
      <c r="D4941" t="s">
        <v>268</v>
      </c>
      <c r="E4941" t="s">
        <v>1116</v>
      </c>
      <c r="F4941" t="s">
        <v>21</v>
      </c>
      <c r="G4941" t="s">
        <v>3557</v>
      </c>
      <c r="H4941">
        <v>1</v>
      </c>
      <c r="I4941">
        <v>1</v>
      </c>
      <c r="J4941">
        <v>0</v>
      </c>
      <c r="K4941">
        <v>0</v>
      </c>
      <c r="L4941">
        <v>0</v>
      </c>
    </row>
    <row r="4942" spans="1:12">
      <c r="A4942" t="str">
        <f>HYPERLINK("http://bombeiros.sp.gov.br/hidrantes/03individual/2251.html","2251")</f>
        <v>2251</v>
      </c>
      <c r="B4942" t="str">
        <f>HYPERLINK("http://bombeiros.sp.gov.br/hidrantes/08bsg/qrcodeBSG.html?id=2251&amp;lat=-23.58230&amp;long=-46.63751&amp;tipo=S","QRCODE")</f>
        <v>QRCODE</v>
      </c>
      <c r="C4942" t="s">
        <v>5372</v>
      </c>
      <c r="D4942" t="s">
        <v>268</v>
      </c>
      <c r="E4942" t="s">
        <v>1116</v>
      </c>
      <c r="F4942" t="s">
        <v>21</v>
      </c>
      <c r="G4942" t="s">
        <v>1115</v>
      </c>
      <c r="H4942">
        <v>1</v>
      </c>
      <c r="I4942">
        <v>2</v>
      </c>
      <c r="J4942">
        <v>0</v>
      </c>
      <c r="K4942">
        <v>0</v>
      </c>
      <c r="L4942">
        <v>0</v>
      </c>
    </row>
    <row r="4943" spans="1:12">
      <c r="A4943" t="str">
        <f>HYPERLINK("http://bombeiros.sp.gov.br/hidrantes/03individual/2728.html","2728")</f>
        <v>2728</v>
      </c>
      <c r="B4943" t="str">
        <f>HYPERLINK("http://bombeiros.sp.gov.br/hidrantes/08bsg/qrcodeBSG.html?id=2728&amp;lat=-23.57511&amp;long=-46.64049&amp;tipo=S","QRCODE")</f>
        <v>QRCODE</v>
      </c>
      <c r="C4943" t="s">
        <v>5372</v>
      </c>
      <c r="D4943" t="s">
        <v>268</v>
      </c>
      <c r="E4943" t="s">
        <v>1116</v>
      </c>
      <c r="F4943" t="s">
        <v>21</v>
      </c>
      <c r="G4943" t="s">
        <v>1883</v>
      </c>
      <c r="H4943">
        <v>0</v>
      </c>
      <c r="I4943">
        <v>2</v>
      </c>
      <c r="J4943">
        <v>0</v>
      </c>
      <c r="K4943">
        <v>0</v>
      </c>
      <c r="L4943">
        <v>0</v>
      </c>
    </row>
    <row r="4944" spans="1:12">
      <c r="A4944" t="str">
        <f>HYPERLINK("http://bombeiros.sp.gov.br/hidrantes/03individual/27209.html","27209")</f>
        <v>27209</v>
      </c>
      <c r="B4944" t="str">
        <f>HYPERLINK("http://bombeiros.sp.gov.br/hidrantes/08bsg/qrcodeBSG.html?id=27209&amp;lat=-23.57639&amp;long=-46.63413&amp;tipo=S","QRCODE")</f>
        <v>QRCODE</v>
      </c>
      <c r="C4944" t="s">
        <v>5372</v>
      </c>
      <c r="D4944" t="s">
        <v>268</v>
      </c>
      <c r="E4944" t="s">
        <v>1116</v>
      </c>
      <c r="F4944" t="s">
        <v>21</v>
      </c>
      <c r="G4944" t="s">
        <v>5399</v>
      </c>
      <c r="H4944">
        <v>0</v>
      </c>
      <c r="I4944">
        <v>0</v>
      </c>
      <c r="J4944">
        <v>0</v>
      </c>
      <c r="K4944">
        <v>0</v>
      </c>
      <c r="L4944">
        <v>0</v>
      </c>
    </row>
    <row r="4945" spans="1:12">
      <c r="A4945" t="str">
        <f>HYPERLINK("http://bombeiros.sp.gov.br/hidrantes/03individual/60.html","60")</f>
        <v>60</v>
      </c>
      <c r="B4945" t="str">
        <f>HYPERLINK("http://bombeiros.sp.gov.br/hidrantes/08bsg/qrcodeBSG.html?id=60&amp;lat=-23.58773&amp;long=-46.62723&amp;tipo=S","QRCODE")</f>
        <v>QRCODE</v>
      </c>
      <c r="C4945" t="s">
        <v>5372</v>
      </c>
      <c r="D4945" t="s">
        <v>268</v>
      </c>
      <c r="E4945" t="s">
        <v>911</v>
      </c>
      <c r="F4945" t="s">
        <v>21</v>
      </c>
      <c r="G4945" t="s">
        <v>1944</v>
      </c>
      <c r="H4945">
        <v>0</v>
      </c>
      <c r="I4945">
        <v>2</v>
      </c>
      <c r="J4945">
        <v>0</v>
      </c>
      <c r="K4945">
        <v>0</v>
      </c>
      <c r="L4945">
        <v>0</v>
      </c>
    </row>
    <row r="4946" spans="1:12">
      <c r="A4946" t="str">
        <f>HYPERLINK("http://bombeiros.sp.gov.br/hidrantes/03individual/122.html","122")</f>
        <v>122</v>
      </c>
      <c r="B4946" t="str">
        <f>HYPERLINK("http://bombeiros.sp.gov.br/hidrantes/08bsg/qrcodeBSG.html?id=122&amp;lat=-23.58820&amp;long=-46.63063&amp;tipo=S","QRCODE")</f>
        <v>QRCODE</v>
      </c>
      <c r="C4946" t="s">
        <v>5372</v>
      </c>
      <c r="D4946" t="s">
        <v>268</v>
      </c>
      <c r="E4946" t="s">
        <v>911</v>
      </c>
      <c r="F4946" t="s">
        <v>21</v>
      </c>
      <c r="G4946" t="s">
        <v>3265</v>
      </c>
      <c r="H4946">
        <v>0</v>
      </c>
      <c r="I4946">
        <v>2</v>
      </c>
      <c r="J4946">
        <v>0</v>
      </c>
      <c r="K4946">
        <v>0</v>
      </c>
      <c r="L4946">
        <v>0</v>
      </c>
    </row>
    <row r="4947" spans="1:12">
      <c r="A4947" t="str">
        <f>HYPERLINK("http://bombeiros.sp.gov.br/hidrantes/03individual/419.html","419")</f>
        <v>419</v>
      </c>
      <c r="B4947" t="str">
        <f>HYPERLINK("http://bombeiros.sp.gov.br/hidrantes/08bsg/qrcodeBSG.html?id=419&amp;lat=-23.59279&amp;long=-46.62816&amp;tipo=S","QRCODE")</f>
        <v>QRCODE</v>
      </c>
      <c r="C4947" t="s">
        <v>5372</v>
      </c>
      <c r="D4947" t="s">
        <v>268</v>
      </c>
      <c r="E4947" t="s">
        <v>911</v>
      </c>
      <c r="F4947" t="s">
        <v>21</v>
      </c>
      <c r="G4947" t="s">
        <v>3271</v>
      </c>
      <c r="H4947">
        <v>0</v>
      </c>
      <c r="I4947">
        <v>2</v>
      </c>
      <c r="J4947">
        <v>0</v>
      </c>
      <c r="K4947">
        <v>0</v>
      </c>
      <c r="L4947">
        <v>0</v>
      </c>
    </row>
    <row r="4948" spans="1:12">
      <c r="A4948" t="str">
        <f>HYPERLINK("http://bombeiros.sp.gov.br/hidrantes/03individual/421.html","421")</f>
        <v>421</v>
      </c>
      <c r="B4948" t="str">
        <f>HYPERLINK("http://bombeiros.sp.gov.br/hidrantes/08bsg/qrcodeBSG.html?id=421&amp;lat=-23.58531&amp;long=-46.62350&amp;tipo=S","QRCODE")</f>
        <v>QRCODE</v>
      </c>
      <c r="C4948" t="s">
        <v>5372</v>
      </c>
      <c r="D4948" t="s">
        <v>268</v>
      </c>
      <c r="E4948" t="s">
        <v>911</v>
      </c>
      <c r="F4948" t="s">
        <v>21</v>
      </c>
      <c r="G4948" t="s">
        <v>3270</v>
      </c>
      <c r="H4948">
        <v>0</v>
      </c>
      <c r="I4948">
        <v>2</v>
      </c>
      <c r="J4948">
        <v>0</v>
      </c>
      <c r="K4948">
        <v>0</v>
      </c>
      <c r="L4948">
        <v>0</v>
      </c>
    </row>
    <row r="4949" spans="1:12">
      <c r="A4949" t="str">
        <f>HYPERLINK("http://bombeiros.sp.gov.br/hidrantes/03individual/2016.html","2016")</f>
        <v>2016</v>
      </c>
      <c r="B4949" t="str">
        <f>HYPERLINK("http://bombeiros.sp.gov.br/hidrantes/08bsg/qrcodeBSG.html?id=2016&amp;lat=-23.58952&amp;long=-46.63146&amp;tipo=S","QRCODE")</f>
        <v>QRCODE</v>
      </c>
      <c r="C4949" t="s">
        <v>5372</v>
      </c>
      <c r="D4949" t="s">
        <v>268</v>
      </c>
      <c r="E4949" t="s">
        <v>911</v>
      </c>
      <c r="F4949" t="s">
        <v>21</v>
      </c>
      <c r="G4949" t="s">
        <v>1086</v>
      </c>
      <c r="H4949">
        <v>1</v>
      </c>
      <c r="I4949">
        <v>2</v>
      </c>
      <c r="J4949">
        <v>0</v>
      </c>
      <c r="K4949">
        <v>0</v>
      </c>
      <c r="L4949">
        <v>0</v>
      </c>
    </row>
    <row r="4950" spans="1:12">
      <c r="A4950" t="str">
        <f>HYPERLINK("http://bombeiros.sp.gov.br/hidrantes/03individual/2272.html","2272")</f>
        <v>2272</v>
      </c>
      <c r="B4950" t="str">
        <f>HYPERLINK("http://bombeiros.sp.gov.br/hidrantes/08bsg/qrcodeBSG.html?id=2272&amp;lat=-23.58961&amp;long=-46.62142&amp;tipo=S","QRCODE")</f>
        <v>QRCODE</v>
      </c>
      <c r="C4950" t="s">
        <v>5372</v>
      </c>
      <c r="D4950" t="s">
        <v>268</v>
      </c>
      <c r="E4950" t="s">
        <v>911</v>
      </c>
      <c r="F4950" t="s">
        <v>21</v>
      </c>
      <c r="G4950" t="s">
        <v>910</v>
      </c>
      <c r="H4950">
        <v>1</v>
      </c>
      <c r="I4950">
        <v>2</v>
      </c>
      <c r="J4950">
        <v>0</v>
      </c>
      <c r="K4950">
        <v>0</v>
      </c>
      <c r="L4950">
        <v>0</v>
      </c>
    </row>
    <row r="4951" spans="1:12">
      <c r="A4951" t="str">
        <f>HYPERLINK("http://bombeiros.sp.gov.br/hidrantes/03individual/17779.html","17779")</f>
        <v>17779</v>
      </c>
      <c r="B4951" t="str">
        <f>HYPERLINK("http://bombeiros.sp.gov.br/hidrantes/08bsg/qrcodeBSG.html?id=17779&amp;lat=-23.58871&amp;long=-46.62524&amp;tipo=S","QRCODE")</f>
        <v>QRCODE</v>
      </c>
      <c r="C4951" t="s">
        <v>5372</v>
      </c>
      <c r="D4951" t="s">
        <v>268</v>
      </c>
      <c r="E4951" t="s">
        <v>911</v>
      </c>
      <c r="F4951" t="s">
        <v>21</v>
      </c>
      <c r="G4951" t="s">
        <v>2014</v>
      </c>
      <c r="H4951">
        <v>0</v>
      </c>
      <c r="I4951">
        <v>2</v>
      </c>
      <c r="J4951">
        <v>0</v>
      </c>
      <c r="K4951">
        <v>0</v>
      </c>
      <c r="L4951">
        <v>0</v>
      </c>
    </row>
    <row r="4952" spans="1:12">
      <c r="A4952" t="str">
        <f>HYPERLINK("http://bombeiros.sp.gov.br/hidrantes/03individual/26891.html","26891")</f>
        <v>26891</v>
      </c>
      <c r="B4952" t="str">
        <f>HYPERLINK("http://bombeiros.sp.gov.br/hidrantes/08bsg/qrcodeBSG.html?id=26891&amp;lat=-23.59057&amp;long=-46.62461&amp;tipo=S","QRCODE")</f>
        <v>QRCODE</v>
      </c>
      <c r="C4952" t="s">
        <v>5372</v>
      </c>
      <c r="D4952" t="s">
        <v>268</v>
      </c>
      <c r="E4952" t="s">
        <v>911</v>
      </c>
      <c r="F4952" t="s">
        <v>21</v>
      </c>
      <c r="G4952" t="s">
        <v>3411</v>
      </c>
      <c r="H4952">
        <v>0</v>
      </c>
      <c r="I4952">
        <v>1</v>
      </c>
      <c r="J4952">
        <v>0</v>
      </c>
      <c r="K4952">
        <v>0</v>
      </c>
      <c r="L4952">
        <v>0</v>
      </c>
    </row>
    <row r="4953" spans="1:12">
      <c r="A4953" t="str">
        <f>HYPERLINK("http://bombeiros.sp.gov.br/hidrantes/03individual/2353.html","2353")</f>
        <v>2353</v>
      </c>
      <c r="B4953" t="str">
        <f>HYPERLINK("http://bombeiros.sp.gov.br/hidrantes/08bsg/qrcodeBSG.html?id=2353&amp;lat=-23.58993&amp;long=-46.64148&amp;tipo=C","QRCODE")</f>
        <v>QRCODE</v>
      </c>
      <c r="C4953" t="s">
        <v>5372</v>
      </c>
      <c r="D4953" t="s">
        <v>268</v>
      </c>
      <c r="E4953" t="s">
        <v>508</v>
      </c>
      <c r="F4953" t="s">
        <v>12</v>
      </c>
      <c r="G4953" t="s">
        <v>509</v>
      </c>
      <c r="H4953">
        <v>0</v>
      </c>
      <c r="I4953">
        <v>2</v>
      </c>
      <c r="J4953">
        <v>0</v>
      </c>
      <c r="K4953">
        <v>0</v>
      </c>
      <c r="L4953">
        <v>0</v>
      </c>
    </row>
    <row r="4954" spans="1:12">
      <c r="A4954" t="str">
        <f>HYPERLINK("http://bombeiros.sp.gov.br/hidrantes/03individual/2953.html","2953")</f>
        <v>2953</v>
      </c>
      <c r="B4954" t="str">
        <f>HYPERLINK("http://bombeiros.sp.gov.br/hidrantes/08bsg/qrcodeBSG.html?id=2953&amp;lat=-23.58929&amp;long=-46.63526&amp;tipo=C","QRCODE")</f>
        <v>QRCODE</v>
      </c>
      <c r="C4954" t="s">
        <v>5372</v>
      </c>
      <c r="D4954" t="s">
        <v>268</v>
      </c>
      <c r="E4954" t="s">
        <v>508</v>
      </c>
      <c r="F4954" t="s">
        <v>12</v>
      </c>
      <c r="G4954" t="s">
        <v>1700</v>
      </c>
      <c r="H4954">
        <v>0</v>
      </c>
      <c r="I4954">
        <v>2</v>
      </c>
      <c r="J4954">
        <v>0</v>
      </c>
      <c r="K4954">
        <v>0</v>
      </c>
      <c r="L4954">
        <v>0</v>
      </c>
    </row>
    <row r="4955" spans="1:12">
      <c r="A4955" t="str">
        <f>HYPERLINK("http://bombeiros.sp.gov.br/hidrantes/03individual/16543.html","16543")</f>
        <v>16543</v>
      </c>
      <c r="B4955" t="str">
        <f>HYPERLINK("http://bombeiros.sp.gov.br/hidrantes/08bsg/qrcodeBSG.html?id=16543&amp;lat=-23.58915&amp;long=-46.63487&amp;tipo=C","QRCODE")</f>
        <v>QRCODE</v>
      </c>
      <c r="C4955" t="s">
        <v>5372</v>
      </c>
      <c r="D4955" t="s">
        <v>268</v>
      </c>
      <c r="E4955" t="s">
        <v>508</v>
      </c>
      <c r="F4955" t="s">
        <v>12</v>
      </c>
      <c r="G4955" t="s">
        <v>3516</v>
      </c>
      <c r="H4955">
        <v>1</v>
      </c>
      <c r="I4955">
        <v>1</v>
      </c>
      <c r="J4955">
        <v>0</v>
      </c>
      <c r="K4955">
        <v>0</v>
      </c>
      <c r="L4955">
        <v>0</v>
      </c>
    </row>
    <row r="4956" spans="1:12">
      <c r="A4956" t="str">
        <f>HYPERLINK("http://bombeiros.sp.gov.br/hidrantes/03individual/287.html","287")</f>
        <v>287</v>
      </c>
      <c r="B4956" t="str">
        <f>HYPERLINK("http://bombeiros.sp.gov.br/hidrantes/08bsg/qrcodeBSG.html?id=287&amp;lat=-23.59389&amp;long=-46.64232&amp;tipo=S","QRCODE")</f>
        <v>QRCODE</v>
      </c>
      <c r="C4956" t="s">
        <v>5372</v>
      </c>
      <c r="D4956" t="s">
        <v>268</v>
      </c>
      <c r="E4956" t="s">
        <v>508</v>
      </c>
      <c r="F4956" t="s">
        <v>21</v>
      </c>
      <c r="G4956" t="s">
        <v>2830</v>
      </c>
      <c r="H4956">
        <v>0</v>
      </c>
      <c r="I4956">
        <v>2</v>
      </c>
      <c r="J4956">
        <v>0</v>
      </c>
      <c r="K4956">
        <v>0</v>
      </c>
      <c r="L4956">
        <v>0</v>
      </c>
    </row>
    <row r="4957" spans="1:12">
      <c r="A4957" t="str">
        <f>HYPERLINK("http://bombeiros.sp.gov.br/hidrantes/03individual/292.html","292")</f>
        <v>292</v>
      </c>
      <c r="B4957" t="str">
        <f>HYPERLINK("http://bombeiros.sp.gov.br/hidrantes/08bsg/qrcodeBSG.html?id=292&amp;lat=-23.58998&amp;long=-46.64135&amp;tipo=S","QRCODE")</f>
        <v>QRCODE</v>
      </c>
      <c r="C4957" t="s">
        <v>5372</v>
      </c>
      <c r="D4957" t="s">
        <v>268</v>
      </c>
      <c r="E4957" t="s">
        <v>508</v>
      </c>
      <c r="F4957" t="s">
        <v>21</v>
      </c>
      <c r="G4957" t="s">
        <v>3805</v>
      </c>
      <c r="H4957">
        <v>0</v>
      </c>
      <c r="I4957">
        <v>1</v>
      </c>
      <c r="J4957">
        <v>0</v>
      </c>
      <c r="K4957">
        <v>0</v>
      </c>
      <c r="L4957">
        <v>0</v>
      </c>
    </row>
    <row r="4958" spans="1:12">
      <c r="A4958" t="str">
        <f>HYPERLINK("http://bombeiros.sp.gov.br/hidrantes/03individual/300.html","300")</f>
        <v>300</v>
      </c>
      <c r="B4958" t="str">
        <f>HYPERLINK("http://bombeiros.sp.gov.br/hidrantes/08bsg/qrcodeBSG.html?id=300&amp;lat=-23.59204&amp;long=-46.64223&amp;tipo=S","QRCODE")</f>
        <v>QRCODE</v>
      </c>
      <c r="C4958" t="s">
        <v>5372</v>
      </c>
      <c r="D4958" t="s">
        <v>268</v>
      </c>
      <c r="E4958" t="s">
        <v>508</v>
      </c>
      <c r="F4958" t="s">
        <v>21</v>
      </c>
      <c r="G4958" t="s">
        <v>1075</v>
      </c>
      <c r="H4958">
        <v>0</v>
      </c>
      <c r="I4958">
        <v>3</v>
      </c>
      <c r="J4958">
        <v>0</v>
      </c>
      <c r="K4958">
        <v>0</v>
      </c>
      <c r="L4958">
        <v>0</v>
      </c>
    </row>
    <row r="4959" spans="1:12">
      <c r="A4959" t="str">
        <f>HYPERLINK("http://bombeiros.sp.gov.br/hidrantes/03individual/302.html","302")</f>
        <v>302</v>
      </c>
      <c r="B4959" t="str">
        <f>HYPERLINK("http://bombeiros.sp.gov.br/hidrantes/08bsg/qrcodeBSG.html?id=302&amp;lat=-23.59340&amp;long=-46.63973&amp;tipo=S","QRCODE")</f>
        <v>QRCODE</v>
      </c>
      <c r="C4959" t="s">
        <v>5372</v>
      </c>
      <c r="D4959" t="s">
        <v>268</v>
      </c>
      <c r="E4959" t="s">
        <v>508</v>
      </c>
      <c r="F4959" t="s">
        <v>21</v>
      </c>
      <c r="G4959" t="s">
        <v>1076</v>
      </c>
      <c r="H4959">
        <v>1</v>
      </c>
      <c r="I4959">
        <v>2</v>
      </c>
      <c r="J4959">
        <v>0</v>
      </c>
      <c r="K4959">
        <v>0</v>
      </c>
      <c r="L4959">
        <v>0</v>
      </c>
    </row>
    <row r="4960" spans="1:12">
      <c r="A4960" t="str">
        <f>HYPERLINK("http://bombeiros.sp.gov.br/hidrantes/03individual/304.html","304")</f>
        <v>304</v>
      </c>
      <c r="B4960" t="str">
        <f>HYPERLINK("http://bombeiros.sp.gov.br/hidrantes/08bsg/qrcodeBSG.html?id=304&amp;lat=-23.59205&amp;long=-46.64192&amp;tipo=S","QRCODE")</f>
        <v>QRCODE</v>
      </c>
      <c r="C4960" t="s">
        <v>5372</v>
      </c>
      <c r="D4960" t="s">
        <v>268</v>
      </c>
      <c r="E4960" t="s">
        <v>508</v>
      </c>
      <c r="F4960" t="s">
        <v>21</v>
      </c>
      <c r="G4960" t="s">
        <v>1078</v>
      </c>
      <c r="H4960">
        <v>0</v>
      </c>
      <c r="I4960">
        <v>3</v>
      </c>
      <c r="J4960">
        <v>0</v>
      </c>
      <c r="K4960">
        <v>0</v>
      </c>
      <c r="L4960">
        <v>0</v>
      </c>
    </row>
    <row r="4961" spans="1:12">
      <c r="A4961" t="str">
        <f>HYPERLINK("http://bombeiros.sp.gov.br/hidrantes/03individual/345.html","345")</f>
        <v>345</v>
      </c>
      <c r="B4961" t="str">
        <f>HYPERLINK("http://bombeiros.sp.gov.br/hidrantes/08bsg/qrcodeBSG.html?id=345&amp;lat=-23.59302&amp;long=-46.64202&amp;tipo=S","QRCODE")</f>
        <v>QRCODE</v>
      </c>
      <c r="C4961" t="s">
        <v>5372</v>
      </c>
      <c r="D4961" t="s">
        <v>268</v>
      </c>
      <c r="E4961" t="s">
        <v>508</v>
      </c>
      <c r="F4961" t="s">
        <v>21</v>
      </c>
      <c r="G4961" t="s">
        <v>2832</v>
      </c>
      <c r="H4961">
        <v>0</v>
      </c>
      <c r="I4961">
        <v>2</v>
      </c>
      <c r="J4961">
        <v>0</v>
      </c>
      <c r="K4961">
        <v>0</v>
      </c>
      <c r="L4961">
        <v>0</v>
      </c>
    </row>
    <row r="4962" spans="1:12">
      <c r="A4962" t="str">
        <f>HYPERLINK("http://bombeiros.sp.gov.br/hidrantes/03individual/368.html","368")</f>
        <v>368</v>
      </c>
      <c r="B4962" t="str">
        <f>HYPERLINK("http://bombeiros.sp.gov.br/hidrantes/08bsg/qrcodeBSG.html?id=368&amp;lat=-23.59060&amp;long=-46.64511&amp;tipo=S","QRCODE")</f>
        <v>QRCODE</v>
      </c>
      <c r="C4962" t="s">
        <v>5372</v>
      </c>
      <c r="D4962" t="s">
        <v>268</v>
      </c>
      <c r="E4962" t="s">
        <v>508</v>
      </c>
      <c r="F4962" t="s">
        <v>21</v>
      </c>
      <c r="G4962" t="s">
        <v>4807</v>
      </c>
      <c r="H4962">
        <v>1</v>
      </c>
      <c r="I4962">
        <v>1</v>
      </c>
      <c r="J4962">
        <v>0</v>
      </c>
      <c r="K4962">
        <v>0</v>
      </c>
      <c r="L4962">
        <v>0</v>
      </c>
    </row>
    <row r="4963" spans="1:12">
      <c r="A4963" t="str">
        <f>HYPERLINK("http://bombeiros.sp.gov.br/hidrantes/03individual/449.html","449")</f>
        <v>449</v>
      </c>
      <c r="B4963" t="str">
        <f>HYPERLINK("http://bombeiros.sp.gov.br/hidrantes/08bsg/qrcodeBSG.html?id=449&amp;lat=-23.59277&amp;long=-46.64495&amp;tipo=S","QRCODE")</f>
        <v>QRCODE</v>
      </c>
      <c r="C4963" t="s">
        <v>5372</v>
      </c>
      <c r="D4963" t="s">
        <v>268</v>
      </c>
      <c r="E4963" t="s">
        <v>508</v>
      </c>
      <c r="F4963" t="s">
        <v>21</v>
      </c>
      <c r="G4963" t="s">
        <v>2837</v>
      </c>
      <c r="H4963">
        <v>0</v>
      </c>
      <c r="I4963">
        <v>2</v>
      </c>
      <c r="J4963">
        <v>0</v>
      </c>
      <c r="K4963">
        <v>0</v>
      </c>
      <c r="L4963">
        <v>0</v>
      </c>
    </row>
    <row r="4964" spans="1:12">
      <c r="A4964" t="str">
        <f>HYPERLINK("http://bombeiros.sp.gov.br/hidrantes/03individual/487.html","487")</f>
        <v>487</v>
      </c>
      <c r="B4964" t="str">
        <f>HYPERLINK("http://bombeiros.sp.gov.br/hidrantes/08bsg/qrcodeBSG.html?id=487&amp;lat=-23.59054&amp;long=-46.64351&amp;tipo=S","QRCODE")</f>
        <v>QRCODE</v>
      </c>
      <c r="C4964" t="s">
        <v>5372</v>
      </c>
      <c r="D4964" t="s">
        <v>268</v>
      </c>
      <c r="E4964" t="s">
        <v>508</v>
      </c>
      <c r="F4964" t="s">
        <v>21</v>
      </c>
      <c r="G4964" t="s">
        <v>1064</v>
      </c>
      <c r="H4964">
        <v>1</v>
      </c>
      <c r="I4964">
        <v>2</v>
      </c>
      <c r="J4964">
        <v>0</v>
      </c>
      <c r="K4964">
        <v>0</v>
      </c>
      <c r="L4964">
        <v>0</v>
      </c>
    </row>
    <row r="4965" spans="1:12">
      <c r="A4965" t="str">
        <f>HYPERLINK("http://bombeiros.sp.gov.br/hidrantes/03individual/2118.html","2118")</f>
        <v>2118</v>
      </c>
      <c r="B4965" t="str">
        <f>HYPERLINK("http://bombeiros.sp.gov.br/hidrantes/08bsg/qrcodeBSG.html?id=2118&amp;lat=-23.58772&amp;long=-46.64515&amp;tipo=S","QRCODE")</f>
        <v>QRCODE</v>
      </c>
      <c r="C4965" t="s">
        <v>5372</v>
      </c>
      <c r="D4965" t="s">
        <v>268</v>
      </c>
      <c r="E4965" t="s">
        <v>508</v>
      </c>
      <c r="F4965" t="s">
        <v>21</v>
      </c>
      <c r="G4965" t="s">
        <v>1084</v>
      </c>
      <c r="H4965">
        <v>1</v>
      </c>
      <c r="I4965">
        <v>2</v>
      </c>
      <c r="J4965">
        <v>0</v>
      </c>
      <c r="K4965">
        <v>0</v>
      </c>
      <c r="L4965">
        <v>0</v>
      </c>
    </row>
    <row r="4966" spans="1:12">
      <c r="A4966" t="str">
        <f>HYPERLINK("http://bombeiros.sp.gov.br/hidrantes/03individual/2254.html","2254")</f>
        <v>2254</v>
      </c>
      <c r="B4966" t="str">
        <f>HYPERLINK("http://bombeiros.sp.gov.br/hidrantes/08bsg/qrcodeBSG.html?id=2254&amp;lat=-23.58483&amp;long=-46.63694&amp;tipo=S","QRCODE")</f>
        <v>QRCODE</v>
      </c>
      <c r="C4966" t="s">
        <v>5372</v>
      </c>
      <c r="D4966" t="s">
        <v>268</v>
      </c>
      <c r="E4966" t="s">
        <v>508</v>
      </c>
      <c r="F4966" t="s">
        <v>21</v>
      </c>
      <c r="G4966" t="s">
        <v>2005</v>
      </c>
      <c r="H4966">
        <v>0</v>
      </c>
      <c r="I4966">
        <v>2</v>
      </c>
      <c r="J4966">
        <v>0</v>
      </c>
      <c r="K4966">
        <v>0</v>
      </c>
      <c r="L4966">
        <v>0</v>
      </c>
    </row>
    <row r="4967" spans="1:12">
      <c r="A4967" t="str">
        <f>HYPERLINK("http://bombeiros.sp.gov.br/hidrantes/03individual/2342.html","2342")</f>
        <v>2342</v>
      </c>
      <c r="B4967" t="str">
        <f>HYPERLINK("http://bombeiros.sp.gov.br/hidrantes/08bsg/qrcodeBSG.html?id=2342&amp;lat=-23.58644&amp;long=-46.64136&amp;tipo=S","QRCODE")</f>
        <v>QRCODE</v>
      </c>
      <c r="C4967" t="s">
        <v>5372</v>
      </c>
      <c r="D4967" t="s">
        <v>268</v>
      </c>
      <c r="E4967" t="s">
        <v>508</v>
      </c>
      <c r="F4967" t="s">
        <v>21</v>
      </c>
      <c r="G4967" t="s">
        <v>507</v>
      </c>
      <c r="H4967">
        <v>0</v>
      </c>
      <c r="I4967">
        <v>2</v>
      </c>
      <c r="J4967">
        <v>0</v>
      </c>
      <c r="K4967">
        <v>0</v>
      </c>
      <c r="L4967">
        <v>0</v>
      </c>
    </row>
    <row r="4968" spans="1:12">
      <c r="A4968" t="str">
        <f>HYPERLINK("http://bombeiros.sp.gov.br/hidrantes/03individual/2351.html","2351")</f>
        <v>2351</v>
      </c>
      <c r="B4968" t="str">
        <f>HYPERLINK("http://bombeiros.sp.gov.br/hidrantes/08bsg/qrcodeBSG.html?id=2351&amp;lat=-23.58599&amp;long=-46.63848&amp;tipo=S","QRCODE")</f>
        <v>QRCODE</v>
      </c>
      <c r="C4968" t="s">
        <v>5372</v>
      </c>
      <c r="D4968" t="s">
        <v>268</v>
      </c>
      <c r="E4968" t="s">
        <v>508</v>
      </c>
      <c r="F4968" t="s">
        <v>21</v>
      </c>
      <c r="G4968" t="s">
        <v>1121</v>
      </c>
      <c r="H4968">
        <v>0</v>
      </c>
      <c r="I4968">
        <v>2</v>
      </c>
      <c r="J4968">
        <v>0</v>
      </c>
      <c r="K4968">
        <v>0</v>
      </c>
      <c r="L4968">
        <v>0</v>
      </c>
    </row>
    <row r="4969" spans="1:12">
      <c r="A4969" t="str">
        <f>HYPERLINK("http://bombeiros.sp.gov.br/hidrantes/03individual/2357.html","2357")</f>
        <v>2357</v>
      </c>
      <c r="B4969" t="str">
        <f>HYPERLINK("http://bombeiros.sp.gov.br/hidrantes/08bsg/qrcodeBSG.html?id=2357&amp;lat=-23.59193&amp;long=-46.64084&amp;tipo=S","QRCODE")</f>
        <v>QRCODE</v>
      </c>
      <c r="C4969" t="s">
        <v>5372</v>
      </c>
      <c r="D4969" t="s">
        <v>268</v>
      </c>
      <c r="E4969" t="s">
        <v>508</v>
      </c>
      <c r="F4969" t="s">
        <v>21</v>
      </c>
      <c r="G4969" t="s">
        <v>2010</v>
      </c>
      <c r="H4969">
        <v>1</v>
      </c>
      <c r="I4969">
        <v>2</v>
      </c>
      <c r="J4969">
        <v>0</v>
      </c>
      <c r="K4969">
        <v>0</v>
      </c>
      <c r="L4969">
        <v>0</v>
      </c>
    </row>
    <row r="4970" spans="1:12">
      <c r="A4970" t="str">
        <f>HYPERLINK("http://bombeiros.sp.gov.br/hidrantes/03individual/2360.html","2360")</f>
        <v>2360</v>
      </c>
      <c r="B4970" t="str">
        <f>HYPERLINK("http://bombeiros.sp.gov.br/hidrantes/08bsg/qrcodeBSG.html?id=2360&amp;lat=-23.59255&amp;long=-46.63931&amp;tipo=S","QRCODE")</f>
        <v>QRCODE</v>
      </c>
      <c r="C4970" t="s">
        <v>5372</v>
      </c>
      <c r="D4970" t="s">
        <v>268</v>
      </c>
      <c r="E4970" t="s">
        <v>508</v>
      </c>
      <c r="F4970" t="s">
        <v>21</v>
      </c>
      <c r="G4970" t="s">
        <v>915</v>
      </c>
      <c r="H4970">
        <v>0</v>
      </c>
      <c r="I4970">
        <v>3</v>
      </c>
      <c r="J4970">
        <v>0</v>
      </c>
      <c r="K4970">
        <v>0</v>
      </c>
      <c r="L4970">
        <v>0</v>
      </c>
    </row>
    <row r="4971" spans="1:12">
      <c r="A4971" t="str">
        <f>HYPERLINK("http://bombeiros.sp.gov.br/hidrantes/03individual/2369.html","2369")</f>
        <v>2369</v>
      </c>
      <c r="B4971" t="str">
        <f>HYPERLINK("http://bombeiros.sp.gov.br/hidrantes/08bsg/qrcodeBSG.html?id=2369&amp;lat=-23.59311&amp;long=-46.64070&amp;tipo=S","QRCODE")</f>
        <v>QRCODE</v>
      </c>
      <c r="C4971" t="s">
        <v>5372</v>
      </c>
      <c r="D4971" t="s">
        <v>268</v>
      </c>
      <c r="E4971" t="s">
        <v>508</v>
      </c>
      <c r="F4971" t="s">
        <v>21</v>
      </c>
      <c r="G4971" t="s">
        <v>2769</v>
      </c>
      <c r="H4971">
        <v>0</v>
      </c>
      <c r="I4971">
        <v>2</v>
      </c>
      <c r="J4971">
        <v>0</v>
      </c>
      <c r="K4971">
        <v>0</v>
      </c>
      <c r="L4971">
        <v>0</v>
      </c>
    </row>
    <row r="4972" spans="1:12">
      <c r="A4972" t="str">
        <f>HYPERLINK("http://bombeiros.sp.gov.br/hidrantes/03individual/2955.html","2955")</f>
        <v>2955</v>
      </c>
      <c r="B4972" t="str">
        <f>HYPERLINK("http://bombeiros.sp.gov.br/hidrantes/08bsg/qrcodeBSG.html?id=2955&amp;lat=-23.59260&amp;long=-46.64849&amp;tipo=S","QRCODE")</f>
        <v>QRCODE</v>
      </c>
      <c r="C4972" t="s">
        <v>5372</v>
      </c>
      <c r="D4972" t="s">
        <v>268</v>
      </c>
      <c r="E4972" t="s">
        <v>508</v>
      </c>
      <c r="F4972" t="s">
        <v>21</v>
      </c>
      <c r="G4972" t="s">
        <v>1107</v>
      </c>
      <c r="H4972">
        <v>0</v>
      </c>
      <c r="I4972">
        <v>2</v>
      </c>
      <c r="J4972">
        <v>0</v>
      </c>
      <c r="K4972">
        <v>0</v>
      </c>
      <c r="L4972">
        <v>0</v>
      </c>
    </row>
    <row r="4973" spans="1:12">
      <c r="A4973" t="str">
        <f>HYPERLINK("http://bombeiros.sp.gov.br/hidrantes/03individual/10014.html","10014")</f>
        <v>10014</v>
      </c>
      <c r="B4973" t="str">
        <f>HYPERLINK("http://bombeiros.sp.gov.br/hidrantes/08bsg/qrcodeBSG.html?id=10014&amp;lat=-23.58742&amp;long=-46.64013&amp;tipo=S","QRCODE")</f>
        <v>QRCODE</v>
      </c>
      <c r="C4973" t="s">
        <v>5372</v>
      </c>
      <c r="D4973" t="s">
        <v>268</v>
      </c>
      <c r="E4973" t="s">
        <v>508</v>
      </c>
      <c r="F4973" t="s">
        <v>21</v>
      </c>
      <c r="G4973" t="s">
        <v>552</v>
      </c>
      <c r="H4973">
        <v>0</v>
      </c>
      <c r="I4973">
        <v>2</v>
      </c>
      <c r="J4973">
        <v>0</v>
      </c>
      <c r="K4973">
        <v>0</v>
      </c>
      <c r="L4973">
        <v>0</v>
      </c>
    </row>
    <row r="4974" spans="1:12">
      <c r="A4974" t="str">
        <f>HYPERLINK("http://bombeiros.sp.gov.br/hidrantes/03individual/10016.html","10016")</f>
        <v>10016</v>
      </c>
      <c r="B4974" t="str">
        <f>HYPERLINK("http://bombeiros.sp.gov.br/hidrantes/08bsg/qrcodeBSG.html?id=10016&amp;lat=-23.58940&amp;long=-46.63814&amp;tipo=S","QRCODE")</f>
        <v>QRCODE</v>
      </c>
      <c r="C4974" t="s">
        <v>5372</v>
      </c>
      <c r="D4974" t="s">
        <v>268</v>
      </c>
      <c r="E4974" t="s">
        <v>508</v>
      </c>
      <c r="F4974" t="s">
        <v>21</v>
      </c>
      <c r="G4974" t="s">
        <v>4797</v>
      </c>
      <c r="H4974">
        <v>0</v>
      </c>
      <c r="I4974">
        <v>2</v>
      </c>
      <c r="J4974">
        <v>0</v>
      </c>
      <c r="K4974">
        <v>0</v>
      </c>
      <c r="L4974">
        <v>0</v>
      </c>
    </row>
    <row r="4975" spans="1:12">
      <c r="A4975" t="str">
        <f>HYPERLINK("http://bombeiros.sp.gov.br/hidrantes/03individual/16575.html","16575")</f>
        <v>16575</v>
      </c>
      <c r="B4975" t="str">
        <f>HYPERLINK("http://bombeiros.sp.gov.br/hidrantes/08bsg/qrcodeBSG.html?id=16575&amp;lat=-23.58934&amp;long=-46.64545&amp;tipo=S","QRCODE")</f>
        <v>QRCODE</v>
      </c>
      <c r="C4975" t="s">
        <v>5372</v>
      </c>
      <c r="D4975" t="s">
        <v>268</v>
      </c>
      <c r="E4975" t="s">
        <v>508</v>
      </c>
      <c r="F4975" t="s">
        <v>21</v>
      </c>
      <c r="G4975" t="s">
        <v>1127</v>
      </c>
      <c r="H4975">
        <v>1</v>
      </c>
      <c r="I4975">
        <v>2</v>
      </c>
      <c r="J4975">
        <v>0</v>
      </c>
      <c r="K4975">
        <v>0</v>
      </c>
      <c r="L4975">
        <v>0</v>
      </c>
    </row>
    <row r="4976" spans="1:12">
      <c r="A4976" t="str">
        <f>HYPERLINK("http://bombeiros.sp.gov.br/hidrantes/03individual/25200.html","25200")</f>
        <v>25200</v>
      </c>
      <c r="B4976" t="str">
        <f>HYPERLINK("http://bombeiros.sp.gov.br/hidrantes/08bsg/qrcodeBSG.html?id=25200&amp;lat=-23.59180&amp;long=-46.64663&amp;tipo=S","QRCODE")</f>
        <v>QRCODE</v>
      </c>
      <c r="C4976" t="s">
        <v>5372</v>
      </c>
      <c r="D4976" t="s">
        <v>268</v>
      </c>
      <c r="E4976" t="s">
        <v>508</v>
      </c>
      <c r="F4976" t="s">
        <v>21</v>
      </c>
      <c r="G4976" t="s">
        <v>3520</v>
      </c>
      <c r="H4976">
        <v>1</v>
      </c>
      <c r="I4976">
        <v>1</v>
      </c>
      <c r="J4976">
        <v>0</v>
      </c>
      <c r="K4976">
        <v>0</v>
      </c>
      <c r="L4976">
        <v>0</v>
      </c>
    </row>
    <row r="4977" spans="1:12">
      <c r="A4977" t="str">
        <f>HYPERLINK("http://bombeiros.sp.gov.br/hidrantes/03individual/67.html","67")</f>
        <v>67</v>
      </c>
      <c r="B4977" t="str">
        <f>HYPERLINK("http://bombeiros.sp.gov.br/hidrantes/08bsg/qrcodeBSG.html?id=67&amp;lat=-23.58353&amp;long=-46.62752&amp;tipo=S","QRCODE")</f>
        <v>QRCODE</v>
      </c>
      <c r="C4977" t="s">
        <v>5372</v>
      </c>
      <c r="D4977" t="s">
        <v>268</v>
      </c>
      <c r="E4977" t="s">
        <v>833</v>
      </c>
      <c r="F4977" t="s">
        <v>21</v>
      </c>
      <c r="G4977" t="s">
        <v>3263</v>
      </c>
      <c r="H4977">
        <v>0</v>
      </c>
      <c r="I4977">
        <v>2</v>
      </c>
      <c r="J4977">
        <v>0</v>
      </c>
      <c r="K4977">
        <v>0</v>
      </c>
      <c r="L4977">
        <v>0</v>
      </c>
    </row>
    <row r="4978" spans="1:12">
      <c r="A4978" t="str">
        <f>HYPERLINK("http://bombeiros.sp.gov.br/hidrantes/03individual/115.html","115")</f>
        <v>115</v>
      </c>
      <c r="B4978" t="str">
        <f>HYPERLINK("http://bombeiros.sp.gov.br/hidrantes/08bsg/qrcodeBSG.html?id=115&amp;lat=-23.58166&amp;long=-46.61969&amp;tipo=S","QRCODE")</f>
        <v>QRCODE</v>
      </c>
      <c r="C4978" t="s">
        <v>5372</v>
      </c>
      <c r="D4978" t="s">
        <v>268</v>
      </c>
      <c r="E4978" t="s">
        <v>833</v>
      </c>
      <c r="F4978" t="s">
        <v>21</v>
      </c>
      <c r="G4978" t="s">
        <v>832</v>
      </c>
      <c r="H4978">
        <v>1</v>
      </c>
      <c r="I4978">
        <v>2</v>
      </c>
      <c r="J4978">
        <v>0</v>
      </c>
      <c r="K4978">
        <v>0</v>
      </c>
      <c r="L4978">
        <v>0</v>
      </c>
    </row>
    <row r="4979" spans="1:12">
      <c r="A4979" t="str">
        <f>HYPERLINK("http://bombeiros.sp.gov.br/hidrantes/03individual/2366.html","2366")</f>
        <v>2366</v>
      </c>
      <c r="B4979" t="str">
        <f>HYPERLINK("http://bombeiros.sp.gov.br/hidrantes/08bsg/qrcodeBSG.html?id=2366&amp;lat=-23.58104&amp;long=-46.62486&amp;tipo=S","QRCODE")</f>
        <v>QRCODE</v>
      </c>
      <c r="C4979" t="s">
        <v>5372</v>
      </c>
      <c r="D4979" t="s">
        <v>268</v>
      </c>
      <c r="E4979" t="s">
        <v>833</v>
      </c>
      <c r="F4979" t="s">
        <v>21</v>
      </c>
      <c r="G4979" t="s">
        <v>1120</v>
      </c>
      <c r="H4979">
        <v>0</v>
      </c>
      <c r="I4979">
        <v>2</v>
      </c>
      <c r="J4979">
        <v>0</v>
      </c>
      <c r="K4979">
        <v>0</v>
      </c>
      <c r="L4979">
        <v>0</v>
      </c>
    </row>
    <row r="4980" spans="1:12">
      <c r="A4980" t="str">
        <f>HYPERLINK("http://bombeiros.sp.gov.br/hidrantes/03individual/4269.html","4269")</f>
        <v>4269</v>
      </c>
      <c r="B4980" t="str">
        <f>HYPERLINK("http://bombeiros.sp.gov.br/hidrantes/08bsg/qrcodeBSG.html?id=4269&amp;lat=-23.57993&amp;long=-46.62310&amp;tipo=S","QRCODE")</f>
        <v>QRCODE</v>
      </c>
      <c r="C4980" t="s">
        <v>5372</v>
      </c>
      <c r="D4980" t="s">
        <v>268</v>
      </c>
      <c r="E4980" t="s">
        <v>833</v>
      </c>
      <c r="F4980" t="s">
        <v>21</v>
      </c>
      <c r="G4980" t="s">
        <v>3208</v>
      </c>
      <c r="H4980">
        <v>0</v>
      </c>
      <c r="I4980">
        <v>2</v>
      </c>
      <c r="J4980">
        <v>0</v>
      </c>
      <c r="K4980">
        <v>0</v>
      </c>
      <c r="L4980">
        <v>0</v>
      </c>
    </row>
    <row r="4981" spans="1:12">
      <c r="A4981" t="str">
        <f>HYPERLINK("http://bombeiros.sp.gov.br/hidrantes/03individual/2600.html","2600")</f>
        <v>2600</v>
      </c>
      <c r="B4981" t="str">
        <f>HYPERLINK("http://bombeiros.sp.gov.br/hidrantes/08bsg/qrcodeBSG.html?id=2600&amp;lat=-23.57134&amp;long=-46.64470&amp;tipo=C","QRCODE")</f>
        <v>QRCODE</v>
      </c>
      <c r="C4981" t="s">
        <v>5372</v>
      </c>
      <c r="D4981" t="s">
        <v>268</v>
      </c>
      <c r="E4981" t="s">
        <v>278</v>
      </c>
      <c r="F4981" t="s">
        <v>12</v>
      </c>
      <c r="G4981" t="s">
        <v>279</v>
      </c>
      <c r="H4981">
        <v>0</v>
      </c>
      <c r="I4981">
        <v>2</v>
      </c>
      <c r="J4981">
        <v>0</v>
      </c>
      <c r="K4981">
        <v>0</v>
      </c>
      <c r="L4981">
        <v>0</v>
      </c>
    </row>
    <row r="4982" spans="1:12">
      <c r="A4982" t="str">
        <f>HYPERLINK("http://bombeiros.sp.gov.br/hidrantes/03individual/2604.html","2604")</f>
        <v>2604</v>
      </c>
      <c r="B4982" t="str">
        <f>HYPERLINK("http://bombeiros.sp.gov.br/hidrantes/08bsg/qrcodeBSG.html?id=2604&amp;lat=-23.57038&amp;long=-46.64591&amp;tipo=C","QRCODE")</f>
        <v>QRCODE</v>
      </c>
      <c r="C4982" t="s">
        <v>5372</v>
      </c>
      <c r="D4982" t="s">
        <v>268</v>
      </c>
      <c r="E4982" t="s">
        <v>278</v>
      </c>
      <c r="F4982" t="s">
        <v>12</v>
      </c>
      <c r="G4982" t="s">
        <v>277</v>
      </c>
      <c r="H4982">
        <v>0</v>
      </c>
      <c r="I4982">
        <v>2</v>
      </c>
      <c r="J4982">
        <v>0</v>
      </c>
      <c r="K4982">
        <v>0</v>
      </c>
      <c r="L4982">
        <v>0</v>
      </c>
    </row>
    <row r="4983" spans="1:12">
      <c r="A4983" t="str">
        <f>HYPERLINK("http://bombeiros.sp.gov.br/hidrantes/03individual/2615.html","2615")</f>
        <v>2615</v>
      </c>
      <c r="B4983" t="str">
        <f>HYPERLINK("http://bombeiros.sp.gov.br/hidrantes/08bsg/qrcodeBSG.html?id=2615&amp;lat=-23.56797&amp;long=-46.64911&amp;tipo=C","QRCODE")</f>
        <v>QRCODE</v>
      </c>
      <c r="C4983" t="s">
        <v>5372</v>
      </c>
      <c r="D4983" t="s">
        <v>268</v>
      </c>
      <c r="E4983" t="s">
        <v>278</v>
      </c>
      <c r="F4983" t="s">
        <v>12</v>
      </c>
      <c r="G4983" t="s">
        <v>4017</v>
      </c>
      <c r="H4983">
        <v>0</v>
      </c>
      <c r="I4983">
        <v>1</v>
      </c>
      <c r="J4983">
        <v>0</v>
      </c>
      <c r="K4983">
        <v>0</v>
      </c>
      <c r="L4983">
        <v>0</v>
      </c>
    </row>
    <row r="4984" spans="1:12">
      <c r="A4984" t="str">
        <f>HYPERLINK("http://bombeiros.sp.gov.br/hidrantes/03individual/2720.html","2720")</f>
        <v>2720</v>
      </c>
      <c r="B4984" t="str">
        <f>HYPERLINK("http://bombeiros.sp.gov.br/hidrantes/08bsg/qrcodeBSG.html?id=2720&amp;lat=-23.56973&amp;long=-46.64682&amp;tipo=C","QRCODE")</f>
        <v>QRCODE</v>
      </c>
      <c r="C4984" t="s">
        <v>5372</v>
      </c>
      <c r="D4984" t="s">
        <v>268</v>
      </c>
      <c r="E4984" t="s">
        <v>278</v>
      </c>
      <c r="F4984" t="s">
        <v>12</v>
      </c>
      <c r="G4984" t="s">
        <v>1882</v>
      </c>
      <c r="H4984">
        <v>0</v>
      </c>
      <c r="I4984">
        <v>2</v>
      </c>
      <c r="J4984">
        <v>0</v>
      </c>
      <c r="K4984">
        <v>0</v>
      </c>
      <c r="L4984">
        <v>0</v>
      </c>
    </row>
    <row r="4985" spans="1:12">
      <c r="A4985" t="str">
        <f>HYPERLINK("http://bombeiros.sp.gov.br/hidrantes/03individual/41.html","41")</f>
        <v>41</v>
      </c>
      <c r="B4985" t="str">
        <f>HYPERLINK("http://bombeiros.sp.gov.br/hidrantes/08bsg/qrcodeBSG.html?id=41&amp;lat=-23.57583&amp;long=-46.64566&amp;tipo=S","QRCODE")</f>
        <v>QRCODE</v>
      </c>
      <c r="C4985" t="s">
        <v>5372</v>
      </c>
      <c r="D4985" t="s">
        <v>268</v>
      </c>
      <c r="E4985" t="s">
        <v>278</v>
      </c>
      <c r="F4985" t="s">
        <v>21</v>
      </c>
      <c r="G4985" t="s">
        <v>3561</v>
      </c>
      <c r="H4985">
        <v>1</v>
      </c>
      <c r="I4985">
        <v>1</v>
      </c>
      <c r="J4985">
        <v>0</v>
      </c>
      <c r="K4985">
        <v>0</v>
      </c>
      <c r="L4985">
        <v>0</v>
      </c>
    </row>
    <row r="4986" spans="1:12">
      <c r="A4986" t="str">
        <f>HYPERLINK("http://bombeiros.sp.gov.br/hidrantes/03individual/291.html","291")</f>
        <v>291</v>
      </c>
      <c r="B4986" t="str">
        <f>HYPERLINK("http://bombeiros.sp.gov.br/hidrantes/08bsg/qrcodeBSG.html?id=291&amp;lat=-23.57450&amp;long=-46.64226&amp;tipo=S","QRCODE")</f>
        <v>QRCODE</v>
      </c>
      <c r="C4986" t="s">
        <v>5372</v>
      </c>
      <c r="D4986" t="s">
        <v>268</v>
      </c>
      <c r="E4986" t="s">
        <v>278</v>
      </c>
      <c r="F4986" t="s">
        <v>21</v>
      </c>
      <c r="G4986" t="s">
        <v>1929</v>
      </c>
      <c r="H4986">
        <v>0</v>
      </c>
      <c r="I4986">
        <v>2</v>
      </c>
      <c r="J4986">
        <v>0</v>
      </c>
      <c r="K4986">
        <v>0</v>
      </c>
      <c r="L4986">
        <v>0</v>
      </c>
    </row>
    <row r="4987" spans="1:12">
      <c r="A4987" t="str">
        <f>HYPERLINK("http://bombeiros.sp.gov.br/hidrantes/03individual/336.html","336")</f>
        <v>336</v>
      </c>
      <c r="B4987" t="str">
        <f>HYPERLINK("http://bombeiros.sp.gov.br/hidrantes/08bsg/qrcodeBSG.html?id=336&amp;lat=-23.57384&amp;long=-46.64696&amp;tipo=S","QRCODE")</f>
        <v>QRCODE</v>
      </c>
      <c r="C4987" t="s">
        <v>5372</v>
      </c>
      <c r="D4987" t="s">
        <v>268</v>
      </c>
      <c r="E4987" t="s">
        <v>278</v>
      </c>
      <c r="F4987" t="s">
        <v>21</v>
      </c>
      <c r="G4987" t="s">
        <v>1222</v>
      </c>
      <c r="H4987">
        <v>1</v>
      </c>
      <c r="I4987">
        <v>2</v>
      </c>
      <c r="J4987">
        <v>0</v>
      </c>
      <c r="K4987">
        <v>0</v>
      </c>
      <c r="L4987">
        <v>0</v>
      </c>
    </row>
    <row r="4988" spans="1:12">
      <c r="A4988" t="str">
        <f>HYPERLINK("http://bombeiros.sp.gov.br/hidrantes/03individual/349.html","349")</f>
        <v>349</v>
      </c>
      <c r="B4988" t="str">
        <f>HYPERLINK("http://bombeiros.sp.gov.br/hidrantes/08bsg/qrcodeBSG.html?id=349&amp;lat=-23.57150&amp;long=-46.65106&amp;tipo=S","QRCODE")</f>
        <v>QRCODE</v>
      </c>
      <c r="C4988" t="s">
        <v>5372</v>
      </c>
      <c r="D4988" t="s">
        <v>268</v>
      </c>
      <c r="E4988" t="s">
        <v>278</v>
      </c>
      <c r="F4988" t="s">
        <v>21</v>
      </c>
      <c r="G4988" t="s">
        <v>2831</v>
      </c>
      <c r="H4988">
        <v>0</v>
      </c>
      <c r="I4988">
        <v>2</v>
      </c>
      <c r="J4988">
        <v>0</v>
      </c>
      <c r="K4988">
        <v>0</v>
      </c>
      <c r="L4988">
        <v>0</v>
      </c>
    </row>
    <row r="4989" spans="1:12">
      <c r="A4989" t="str">
        <f>HYPERLINK("http://bombeiros.sp.gov.br/hidrantes/03individual/350.html","350")</f>
        <v>350</v>
      </c>
      <c r="B4989" t="str">
        <f>HYPERLINK("http://bombeiros.sp.gov.br/hidrantes/08bsg/qrcodeBSG.html?id=350&amp;lat=-23.57990&amp;long=-46.65070&amp;tipo=S","QRCODE")</f>
        <v>QRCODE</v>
      </c>
      <c r="C4989" t="s">
        <v>5372</v>
      </c>
      <c r="D4989" t="s">
        <v>268</v>
      </c>
      <c r="E4989" t="s">
        <v>278</v>
      </c>
      <c r="F4989" t="s">
        <v>21</v>
      </c>
      <c r="G4989" t="s">
        <v>3147</v>
      </c>
      <c r="H4989">
        <v>1</v>
      </c>
      <c r="I4989">
        <v>1</v>
      </c>
      <c r="J4989">
        <v>0</v>
      </c>
      <c r="K4989">
        <v>0</v>
      </c>
      <c r="L4989">
        <v>0</v>
      </c>
    </row>
    <row r="4990" spans="1:12">
      <c r="A4990" t="str">
        <f>HYPERLINK("http://bombeiros.sp.gov.br/hidrantes/03individual/399.html","399")</f>
        <v>399</v>
      </c>
      <c r="B4990" t="str">
        <f>HYPERLINK("http://bombeiros.sp.gov.br/hidrantes/08bsg/qrcodeBSG.html?id=399&amp;lat=-23.56918&amp;long=-46.64946&amp;tipo=S","QRCODE")</f>
        <v>QRCODE</v>
      </c>
      <c r="C4990" t="s">
        <v>5372</v>
      </c>
      <c r="D4990" t="s">
        <v>268</v>
      </c>
      <c r="E4990" t="s">
        <v>278</v>
      </c>
      <c r="F4990" t="s">
        <v>21</v>
      </c>
      <c r="G4990" t="s">
        <v>2833</v>
      </c>
      <c r="H4990">
        <v>0</v>
      </c>
      <c r="I4990">
        <v>2</v>
      </c>
      <c r="J4990">
        <v>0</v>
      </c>
      <c r="K4990">
        <v>0</v>
      </c>
      <c r="L4990">
        <v>0</v>
      </c>
    </row>
    <row r="4991" spans="1:12">
      <c r="A4991" t="str">
        <f>HYPERLINK("http://bombeiros.sp.gov.br/hidrantes/03individual/420.html","420")</f>
        <v>420</v>
      </c>
      <c r="B4991" t="str">
        <f>HYPERLINK("http://bombeiros.sp.gov.br/hidrantes/08bsg/qrcodeBSG.html?id=420&amp;lat=-23.57320&amp;long=-46.64489&amp;tipo=S","QRCODE")</f>
        <v>QRCODE</v>
      </c>
      <c r="C4991" t="s">
        <v>5372</v>
      </c>
      <c r="D4991" t="s">
        <v>268</v>
      </c>
      <c r="E4991" t="s">
        <v>278</v>
      </c>
      <c r="F4991" t="s">
        <v>21</v>
      </c>
      <c r="G4991" t="s">
        <v>1743</v>
      </c>
      <c r="H4991">
        <v>0</v>
      </c>
      <c r="I4991">
        <v>2</v>
      </c>
      <c r="J4991">
        <v>0</v>
      </c>
      <c r="K4991">
        <v>0</v>
      </c>
      <c r="L4991">
        <v>0</v>
      </c>
    </row>
    <row r="4992" spans="1:12">
      <c r="A4992" t="str">
        <f>HYPERLINK("http://bombeiros.sp.gov.br/hidrantes/03individual/490.html","490")</f>
        <v>490</v>
      </c>
      <c r="B4992" t="str">
        <f>HYPERLINK("http://bombeiros.sp.gov.br/hidrantes/08bsg/qrcodeBSG.html?id=490&amp;lat=-23.57479&amp;long=-46.64639&amp;tipo=S","QRCODE")</f>
        <v>QRCODE</v>
      </c>
      <c r="C4992" t="s">
        <v>5372</v>
      </c>
      <c r="D4992" t="s">
        <v>268</v>
      </c>
      <c r="E4992" t="s">
        <v>278</v>
      </c>
      <c r="F4992" t="s">
        <v>21</v>
      </c>
      <c r="G4992" t="s">
        <v>2835</v>
      </c>
      <c r="H4992">
        <v>0</v>
      </c>
      <c r="I4992">
        <v>2</v>
      </c>
      <c r="J4992">
        <v>0</v>
      </c>
      <c r="K4992">
        <v>0</v>
      </c>
      <c r="L4992">
        <v>0</v>
      </c>
    </row>
    <row r="4993" spans="1:12">
      <c r="A4993" t="str">
        <f>HYPERLINK("http://bombeiros.sp.gov.br/hidrantes/03individual/2541.html","2541")</f>
        <v>2541</v>
      </c>
      <c r="B4993" t="str">
        <f>HYPERLINK("http://bombeiros.sp.gov.br/hidrantes/08bsg/qrcodeBSG.html?id=2541&amp;lat=-23.57474&amp;long=-46.64625&amp;tipo=S","QRCODE")</f>
        <v>QRCODE</v>
      </c>
      <c r="C4993" t="s">
        <v>5372</v>
      </c>
      <c r="D4993" t="s">
        <v>268</v>
      </c>
      <c r="E4993" t="s">
        <v>278</v>
      </c>
      <c r="F4993" t="s">
        <v>21</v>
      </c>
      <c r="G4993" t="s">
        <v>1154</v>
      </c>
      <c r="H4993">
        <v>1</v>
      </c>
      <c r="I4993">
        <v>2</v>
      </c>
      <c r="J4993">
        <v>0</v>
      </c>
      <c r="K4993">
        <v>0</v>
      </c>
      <c r="L4993">
        <v>0</v>
      </c>
    </row>
    <row r="4994" spans="1:12">
      <c r="A4994" t="str">
        <f>HYPERLINK("http://bombeiros.sp.gov.br/hidrantes/03individual/2552.html","2552")</f>
        <v>2552</v>
      </c>
      <c r="B4994" t="str">
        <f>HYPERLINK("http://bombeiros.sp.gov.br/hidrantes/08bsg/qrcodeBSG.html?id=2552&amp;lat=-23.57611&amp;long=-46.64938&amp;tipo=S","QRCODE")</f>
        <v>QRCODE</v>
      </c>
      <c r="C4994" t="s">
        <v>5372</v>
      </c>
      <c r="D4994" t="s">
        <v>268</v>
      </c>
      <c r="E4994" t="s">
        <v>278</v>
      </c>
      <c r="F4994" t="s">
        <v>21</v>
      </c>
      <c r="G4994" t="s">
        <v>1153</v>
      </c>
      <c r="H4994">
        <v>1</v>
      </c>
      <c r="I4994">
        <v>2</v>
      </c>
      <c r="J4994">
        <v>0</v>
      </c>
      <c r="K4994">
        <v>0</v>
      </c>
      <c r="L4994">
        <v>0</v>
      </c>
    </row>
    <row r="4995" spans="1:12">
      <c r="A4995" t="str">
        <f>HYPERLINK("http://bombeiros.sp.gov.br/hidrantes/03individual/2566.html","2566")</f>
        <v>2566</v>
      </c>
      <c r="B4995" t="str">
        <f>HYPERLINK("http://bombeiros.sp.gov.br/hidrantes/08bsg/qrcodeBSG.html?id=2566&amp;lat=-23.57401&amp;long=-46.65067&amp;tipo=S","QRCODE")</f>
        <v>QRCODE</v>
      </c>
      <c r="C4995" t="s">
        <v>5372</v>
      </c>
      <c r="D4995" t="s">
        <v>268</v>
      </c>
      <c r="E4995" t="s">
        <v>278</v>
      </c>
      <c r="F4995" t="s">
        <v>21</v>
      </c>
      <c r="G4995" t="s">
        <v>4272</v>
      </c>
      <c r="H4995">
        <v>0</v>
      </c>
      <c r="I4995">
        <v>1</v>
      </c>
      <c r="J4995">
        <v>0</v>
      </c>
      <c r="K4995">
        <v>0</v>
      </c>
      <c r="L4995">
        <v>0</v>
      </c>
    </row>
    <row r="4996" spans="1:12">
      <c r="A4996" t="str">
        <f>HYPERLINK("http://bombeiros.sp.gov.br/hidrantes/03individual/2572.html","2572")</f>
        <v>2572</v>
      </c>
      <c r="B4996" t="str">
        <f>HYPERLINK("http://bombeiros.sp.gov.br/hidrantes/08bsg/qrcodeBSG.html?id=2572&amp;lat=-23.57419&amp;long=-46.64454&amp;tipo=S","QRCODE")</f>
        <v>QRCODE</v>
      </c>
      <c r="C4996" t="s">
        <v>5372</v>
      </c>
      <c r="D4996" t="s">
        <v>268</v>
      </c>
      <c r="E4996" t="s">
        <v>278</v>
      </c>
      <c r="F4996" t="s">
        <v>21</v>
      </c>
      <c r="G4996" t="s">
        <v>1877</v>
      </c>
      <c r="H4996">
        <v>0</v>
      </c>
      <c r="I4996">
        <v>2</v>
      </c>
      <c r="J4996">
        <v>0</v>
      </c>
      <c r="K4996">
        <v>0</v>
      </c>
      <c r="L4996">
        <v>0</v>
      </c>
    </row>
    <row r="4997" spans="1:12">
      <c r="A4997" t="str">
        <f>HYPERLINK("http://bombeiros.sp.gov.br/hidrantes/03individual/2576.html","2576")</f>
        <v>2576</v>
      </c>
      <c r="B4997" t="str">
        <f>HYPERLINK("http://bombeiros.sp.gov.br/hidrantes/08bsg/qrcodeBSG.html?id=2576&amp;lat=-23.57285&amp;long=-46.65269&amp;tipo=S","QRCODE")</f>
        <v>QRCODE</v>
      </c>
      <c r="C4997" t="s">
        <v>5372</v>
      </c>
      <c r="D4997" t="s">
        <v>268</v>
      </c>
      <c r="E4997" t="s">
        <v>278</v>
      </c>
      <c r="F4997" t="s">
        <v>21</v>
      </c>
      <c r="G4997" t="s">
        <v>1152</v>
      </c>
      <c r="H4997">
        <v>1</v>
      </c>
      <c r="I4997">
        <v>2</v>
      </c>
      <c r="J4997">
        <v>0</v>
      </c>
      <c r="K4997">
        <v>0</v>
      </c>
      <c r="L4997">
        <v>0</v>
      </c>
    </row>
    <row r="4998" spans="1:12">
      <c r="A4998" t="str">
        <f>HYPERLINK("http://bombeiros.sp.gov.br/hidrantes/03individual/2619.html","2619")</f>
        <v>2619</v>
      </c>
      <c r="B4998" t="str">
        <f>HYPERLINK("http://bombeiros.sp.gov.br/hidrantes/08bsg/qrcodeBSG.html?id=2619&amp;lat=-23.57202&amp;long=-46.64995&amp;tipo=S","QRCODE")</f>
        <v>QRCODE</v>
      </c>
      <c r="C4998" t="s">
        <v>5372</v>
      </c>
      <c r="D4998" t="s">
        <v>268</v>
      </c>
      <c r="E4998" t="s">
        <v>278</v>
      </c>
      <c r="F4998" t="s">
        <v>21</v>
      </c>
      <c r="G4998" t="s">
        <v>1151</v>
      </c>
      <c r="H4998">
        <v>1</v>
      </c>
      <c r="I4998">
        <v>2</v>
      </c>
      <c r="J4998">
        <v>0</v>
      </c>
      <c r="K4998">
        <v>0</v>
      </c>
      <c r="L4998">
        <v>0</v>
      </c>
    </row>
    <row r="4999" spans="1:12">
      <c r="A4999" t="str">
        <f>HYPERLINK("http://bombeiros.sp.gov.br/hidrantes/03individual/2737.html","2737")</f>
        <v>2737</v>
      </c>
      <c r="B4999" t="str">
        <f>HYPERLINK("http://bombeiros.sp.gov.br/hidrantes/08bsg/qrcodeBSG.html?id=2737&amp;lat=-23.57834&amp;long=-46.64830&amp;tipo=S","QRCODE")</f>
        <v>QRCODE</v>
      </c>
      <c r="C4999" t="s">
        <v>5372</v>
      </c>
      <c r="D4999" t="s">
        <v>268</v>
      </c>
      <c r="E4999" t="s">
        <v>278</v>
      </c>
      <c r="F4999" t="s">
        <v>21</v>
      </c>
      <c r="G4999" t="s">
        <v>4018</v>
      </c>
      <c r="H4999">
        <v>0</v>
      </c>
      <c r="I4999">
        <v>1</v>
      </c>
      <c r="J4999">
        <v>0</v>
      </c>
      <c r="K4999">
        <v>0</v>
      </c>
      <c r="L4999">
        <v>0</v>
      </c>
    </row>
    <row r="5000" spans="1:12">
      <c r="A5000" t="str">
        <f>HYPERLINK("http://bombeiros.sp.gov.br/hidrantes/03individual/2253.html","2253")</f>
        <v>2253</v>
      </c>
      <c r="B5000" t="str">
        <f>HYPERLINK("http://bombeiros.sp.gov.br/hidrantes/08bsg/qrcodeBSG.html?id=2253&amp;lat=-23.58250&amp;long=-46.63789&amp;tipo=C","QRCODE")</f>
        <v>QRCODE</v>
      </c>
      <c r="C5000" t="s">
        <v>5372</v>
      </c>
      <c r="D5000" t="s">
        <v>268</v>
      </c>
      <c r="E5000" t="s">
        <v>543</v>
      </c>
      <c r="F5000" t="s">
        <v>12</v>
      </c>
      <c r="G5000" t="s">
        <v>1117</v>
      </c>
      <c r="H5000">
        <v>1</v>
      </c>
      <c r="I5000">
        <v>2</v>
      </c>
      <c r="J5000">
        <v>0</v>
      </c>
      <c r="K5000">
        <v>0</v>
      </c>
      <c r="L5000">
        <v>0</v>
      </c>
    </row>
    <row r="5001" spans="1:12">
      <c r="A5001" t="str">
        <f>HYPERLINK("http://bombeiros.sp.gov.br/hidrantes/03individual/2330.html","2330")</f>
        <v>2330</v>
      </c>
      <c r="B5001" t="str">
        <f>HYPERLINK("http://bombeiros.sp.gov.br/hidrantes/08bsg/qrcodeBSG.html?id=2330&amp;lat=-23.58148&amp;long=-46.63905&amp;tipo=C","QRCODE")</f>
        <v>QRCODE</v>
      </c>
      <c r="C5001" t="s">
        <v>5372</v>
      </c>
      <c r="D5001" t="s">
        <v>268</v>
      </c>
      <c r="E5001" t="s">
        <v>543</v>
      </c>
      <c r="F5001" t="s">
        <v>12</v>
      </c>
      <c r="G5001" t="s">
        <v>3525</v>
      </c>
      <c r="H5001">
        <v>1</v>
      </c>
      <c r="I5001">
        <v>1</v>
      </c>
      <c r="J5001">
        <v>0</v>
      </c>
      <c r="K5001">
        <v>0</v>
      </c>
      <c r="L5001">
        <v>0</v>
      </c>
    </row>
    <row r="5002" spans="1:12">
      <c r="A5002" t="str">
        <f>HYPERLINK("http://bombeiros.sp.gov.br/hidrantes/03individual/5603.html","5603")</f>
        <v>5603</v>
      </c>
      <c r="B5002" t="str">
        <f>HYPERLINK("http://bombeiros.sp.gov.br/hidrantes/08bsg/qrcodeBSG.html?id=5603&amp;lat=-23.58150&amp;long=-46.63868&amp;tipo=C","QRCODE")</f>
        <v>QRCODE</v>
      </c>
      <c r="C5002" t="s">
        <v>5372</v>
      </c>
      <c r="D5002" t="s">
        <v>268</v>
      </c>
      <c r="E5002" t="s">
        <v>543</v>
      </c>
      <c r="F5002" t="s">
        <v>12</v>
      </c>
      <c r="G5002" t="s">
        <v>542</v>
      </c>
      <c r="H5002">
        <v>0</v>
      </c>
      <c r="I5002">
        <v>2</v>
      </c>
      <c r="J5002">
        <v>0</v>
      </c>
      <c r="K5002">
        <v>0</v>
      </c>
      <c r="L5002">
        <v>0</v>
      </c>
    </row>
    <row r="5003" spans="1:12">
      <c r="A5003" t="str">
        <f>HYPERLINK("http://bombeiros.sp.gov.br/hidrantes/03individual/293.html","293")</f>
        <v>293</v>
      </c>
      <c r="B5003" t="str">
        <f>HYPERLINK("http://bombeiros.sp.gov.br/hidrantes/08bsg/qrcodeBSG.html?id=293&amp;lat=-23.58320&amp;long=-46.64098&amp;tipo=S","QRCODE")</f>
        <v>QRCODE</v>
      </c>
      <c r="C5003" t="s">
        <v>5372</v>
      </c>
      <c r="D5003" t="s">
        <v>268</v>
      </c>
      <c r="E5003" t="s">
        <v>543</v>
      </c>
      <c r="F5003" t="s">
        <v>21</v>
      </c>
      <c r="G5003" t="s">
        <v>1073</v>
      </c>
      <c r="H5003">
        <v>0</v>
      </c>
      <c r="I5003">
        <v>3</v>
      </c>
      <c r="J5003">
        <v>0</v>
      </c>
      <c r="K5003">
        <v>0</v>
      </c>
      <c r="L5003">
        <v>0</v>
      </c>
    </row>
    <row r="5004" spans="1:12">
      <c r="A5004" t="str">
        <f>HYPERLINK("http://bombeiros.sp.gov.br/hidrantes/03individual/295.html","295")</f>
        <v>295</v>
      </c>
      <c r="B5004" t="str">
        <f>HYPERLINK("http://bombeiros.sp.gov.br/hidrantes/08bsg/qrcodeBSG.html?id=295&amp;lat=-23.58104&amp;long=-46.64312&amp;tipo=S","QRCODE")</f>
        <v>QRCODE</v>
      </c>
      <c r="C5004" t="s">
        <v>5372</v>
      </c>
      <c r="D5004" t="s">
        <v>268</v>
      </c>
      <c r="E5004" t="s">
        <v>543</v>
      </c>
      <c r="F5004" t="s">
        <v>21</v>
      </c>
      <c r="G5004" t="s">
        <v>1072</v>
      </c>
      <c r="H5004">
        <v>0</v>
      </c>
      <c r="I5004">
        <v>2</v>
      </c>
      <c r="J5004">
        <v>0</v>
      </c>
      <c r="K5004">
        <v>0</v>
      </c>
      <c r="L5004">
        <v>0</v>
      </c>
    </row>
    <row r="5005" spans="1:12">
      <c r="A5005" t="str">
        <f>HYPERLINK("http://bombeiros.sp.gov.br/hidrantes/03individual/306.html","306")</f>
        <v>306</v>
      </c>
      <c r="B5005" t="str">
        <f>HYPERLINK("http://bombeiros.sp.gov.br/hidrantes/08bsg/qrcodeBSG.html?id=306&amp;lat=-23.57744&amp;long=-46.64117&amp;tipo=S","QRCODE")</f>
        <v>QRCODE</v>
      </c>
      <c r="C5005" t="s">
        <v>5372</v>
      </c>
      <c r="D5005" t="s">
        <v>268</v>
      </c>
      <c r="E5005" t="s">
        <v>543</v>
      </c>
      <c r="F5005" t="s">
        <v>21</v>
      </c>
      <c r="G5005" t="s">
        <v>4050</v>
      </c>
      <c r="H5005">
        <v>0</v>
      </c>
      <c r="I5005">
        <v>1</v>
      </c>
      <c r="J5005">
        <v>0</v>
      </c>
      <c r="K5005">
        <v>0</v>
      </c>
      <c r="L5005">
        <v>0</v>
      </c>
    </row>
    <row r="5006" spans="1:12">
      <c r="A5006" t="str">
        <f>HYPERLINK("http://bombeiros.sp.gov.br/hidrantes/03individual/315.html","315")</f>
        <v>315</v>
      </c>
      <c r="B5006" t="str">
        <f>HYPERLINK("http://bombeiros.sp.gov.br/hidrantes/08bsg/qrcodeBSG.html?id=315&amp;lat=-23.58066&amp;long=-46.63937&amp;tipo=S","QRCODE")</f>
        <v>QRCODE</v>
      </c>
      <c r="C5006" t="s">
        <v>5372</v>
      </c>
      <c r="D5006" t="s">
        <v>268</v>
      </c>
      <c r="E5006" t="s">
        <v>543</v>
      </c>
      <c r="F5006" t="s">
        <v>21</v>
      </c>
      <c r="G5006" t="s">
        <v>2825</v>
      </c>
      <c r="H5006">
        <v>0</v>
      </c>
      <c r="I5006">
        <v>2</v>
      </c>
      <c r="J5006">
        <v>0</v>
      </c>
      <c r="K5006">
        <v>0</v>
      </c>
      <c r="L5006">
        <v>0</v>
      </c>
    </row>
    <row r="5007" spans="1:12">
      <c r="A5007" t="str">
        <f>HYPERLINK("http://bombeiros.sp.gov.br/hidrantes/03individual/324.html","324")</f>
        <v>324</v>
      </c>
      <c r="B5007" t="str">
        <f>HYPERLINK("http://bombeiros.sp.gov.br/hidrantes/08bsg/qrcodeBSG.html?id=324&amp;lat=-23.58072&amp;long=-46.64629&amp;tipo=S","QRCODE")</f>
        <v>QRCODE</v>
      </c>
      <c r="C5007" t="s">
        <v>5372</v>
      </c>
      <c r="D5007" t="s">
        <v>268</v>
      </c>
      <c r="E5007" t="s">
        <v>543</v>
      </c>
      <c r="F5007" t="s">
        <v>21</v>
      </c>
      <c r="G5007" t="s">
        <v>3149</v>
      </c>
      <c r="H5007">
        <v>0</v>
      </c>
      <c r="I5007">
        <v>2</v>
      </c>
      <c r="J5007">
        <v>0</v>
      </c>
      <c r="K5007">
        <v>0</v>
      </c>
      <c r="L5007">
        <v>0</v>
      </c>
    </row>
    <row r="5008" spans="1:12">
      <c r="A5008" t="str">
        <f>HYPERLINK("http://bombeiros.sp.gov.br/hidrantes/03individual/371.html","371")</f>
        <v>371</v>
      </c>
      <c r="B5008" t="str">
        <f>HYPERLINK("http://bombeiros.sp.gov.br/hidrantes/08bsg/qrcodeBSG.html?id=371&amp;lat=-23.58562&amp;long=-46.64626&amp;tipo=S","QRCODE")</f>
        <v>QRCODE</v>
      </c>
      <c r="C5008" t="s">
        <v>5372</v>
      </c>
      <c r="D5008" t="s">
        <v>268</v>
      </c>
      <c r="E5008" t="s">
        <v>543</v>
      </c>
      <c r="F5008" t="s">
        <v>21</v>
      </c>
      <c r="G5008" t="s">
        <v>3148</v>
      </c>
      <c r="H5008">
        <v>0</v>
      </c>
      <c r="I5008">
        <v>2</v>
      </c>
      <c r="J5008">
        <v>0</v>
      </c>
      <c r="K5008">
        <v>0</v>
      </c>
      <c r="L5008">
        <v>0</v>
      </c>
    </row>
    <row r="5009" spans="1:12">
      <c r="A5009" t="str">
        <f>HYPERLINK("http://bombeiros.sp.gov.br/hidrantes/03individual/417.html","417")</f>
        <v>417</v>
      </c>
      <c r="B5009" t="str">
        <f>HYPERLINK("http://bombeiros.sp.gov.br/hidrantes/08bsg/qrcodeBSG.html?id=417&amp;lat=-23.58461&amp;long=-46.64394&amp;tipo=S","QRCODE")</f>
        <v>QRCODE</v>
      </c>
      <c r="C5009" t="s">
        <v>5372</v>
      </c>
      <c r="D5009" t="s">
        <v>268</v>
      </c>
      <c r="E5009" t="s">
        <v>543</v>
      </c>
      <c r="F5009" t="s">
        <v>21</v>
      </c>
      <c r="G5009" t="s">
        <v>3806</v>
      </c>
      <c r="H5009">
        <v>0</v>
      </c>
      <c r="I5009">
        <v>2</v>
      </c>
      <c r="J5009">
        <v>0</v>
      </c>
      <c r="K5009">
        <v>0</v>
      </c>
      <c r="L5009">
        <v>0</v>
      </c>
    </row>
    <row r="5010" spans="1:12">
      <c r="A5010" t="str">
        <f>HYPERLINK("http://bombeiros.sp.gov.br/hidrantes/03individual/450.html","450")</f>
        <v>450</v>
      </c>
      <c r="B5010" t="str">
        <f>HYPERLINK("http://bombeiros.sp.gov.br/hidrantes/08bsg/qrcodeBSG.html?id=450&amp;lat=-23.58289&amp;long=-46.64784&amp;tipo=S","QRCODE")</f>
        <v>QRCODE</v>
      </c>
      <c r="C5010" t="s">
        <v>5372</v>
      </c>
      <c r="D5010" t="s">
        <v>268</v>
      </c>
      <c r="E5010" t="s">
        <v>543</v>
      </c>
      <c r="F5010" t="s">
        <v>21</v>
      </c>
      <c r="G5010" t="s">
        <v>4139</v>
      </c>
      <c r="H5010">
        <v>0</v>
      </c>
      <c r="I5010">
        <v>2</v>
      </c>
      <c r="J5010">
        <v>0</v>
      </c>
      <c r="K5010">
        <v>0</v>
      </c>
      <c r="L5010">
        <v>0</v>
      </c>
    </row>
    <row r="5011" spans="1:12">
      <c r="A5011" t="str">
        <f>HYPERLINK("http://bombeiros.sp.gov.br/hidrantes/03individual/451.html","451")</f>
        <v>451</v>
      </c>
      <c r="B5011" t="str">
        <f>HYPERLINK("http://bombeiros.sp.gov.br/hidrantes/08bsg/qrcodeBSG.html?id=451&amp;lat=-23.57940&amp;long=-46.64444&amp;tipo=S","QRCODE")</f>
        <v>QRCODE</v>
      </c>
      <c r="C5011" t="s">
        <v>5372</v>
      </c>
      <c r="D5011" t="s">
        <v>268</v>
      </c>
      <c r="E5011" t="s">
        <v>543</v>
      </c>
      <c r="F5011" t="s">
        <v>21</v>
      </c>
      <c r="G5011" t="s">
        <v>3558</v>
      </c>
      <c r="H5011">
        <v>1</v>
      </c>
      <c r="I5011">
        <v>1</v>
      </c>
      <c r="J5011">
        <v>0</v>
      </c>
      <c r="K5011">
        <v>0</v>
      </c>
      <c r="L5011">
        <v>0</v>
      </c>
    </row>
    <row r="5012" spans="1:12">
      <c r="A5012" t="str">
        <f>HYPERLINK("http://bombeiros.sp.gov.br/hidrantes/03individual/473.html","473")</f>
        <v>473</v>
      </c>
      <c r="B5012" t="str">
        <f>HYPERLINK("http://bombeiros.sp.gov.br/hidrantes/08bsg/qrcodeBSG.html?id=473&amp;lat=-23.57999&amp;long=-46.64308&amp;tipo=S","QRCODE")</f>
        <v>QRCODE</v>
      </c>
      <c r="C5012" t="s">
        <v>5372</v>
      </c>
      <c r="D5012" t="s">
        <v>268</v>
      </c>
      <c r="E5012" t="s">
        <v>543</v>
      </c>
      <c r="F5012" t="s">
        <v>21</v>
      </c>
      <c r="G5012" t="s">
        <v>3559</v>
      </c>
      <c r="H5012">
        <v>1</v>
      </c>
      <c r="I5012">
        <v>1</v>
      </c>
      <c r="J5012">
        <v>0</v>
      </c>
      <c r="K5012">
        <v>0</v>
      </c>
      <c r="L5012">
        <v>0</v>
      </c>
    </row>
    <row r="5013" spans="1:12">
      <c r="A5013" t="str">
        <f>HYPERLINK("http://bombeiros.sp.gov.br/hidrantes/03individual/2318.html","2318")</f>
        <v>2318</v>
      </c>
      <c r="B5013" t="str">
        <f>HYPERLINK("http://bombeiros.sp.gov.br/hidrantes/08bsg/qrcodeBSG.html?id=2318&amp;lat=-23.58330&amp;long=-46.64851&amp;tipo=S","QRCODE")</f>
        <v>QRCODE</v>
      </c>
      <c r="C5013" t="s">
        <v>5372</v>
      </c>
      <c r="D5013" t="s">
        <v>268</v>
      </c>
      <c r="E5013" t="s">
        <v>543</v>
      </c>
      <c r="F5013" t="s">
        <v>21</v>
      </c>
      <c r="G5013" t="s">
        <v>3177</v>
      </c>
      <c r="H5013">
        <v>0</v>
      </c>
      <c r="I5013">
        <v>2</v>
      </c>
      <c r="J5013">
        <v>0</v>
      </c>
      <c r="K5013">
        <v>0</v>
      </c>
      <c r="L5013">
        <v>0</v>
      </c>
    </row>
    <row r="5014" spans="1:12">
      <c r="A5014" t="str">
        <f>HYPERLINK("http://bombeiros.sp.gov.br/hidrantes/03individual/2322.html","2322")</f>
        <v>2322</v>
      </c>
      <c r="B5014" t="str">
        <f>HYPERLINK("http://bombeiros.sp.gov.br/hidrantes/08bsg/qrcodeBSG.html?id=2322&amp;lat=-23.58024&amp;long=-46.64420&amp;tipo=S","QRCODE")</f>
        <v>QRCODE</v>
      </c>
      <c r="C5014" t="s">
        <v>5372</v>
      </c>
      <c r="D5014" t="s">
        <v>268</v>
      </c>
      <c r="E5014" t="s">
        <v>543</v>
      </c>
      <c r="F5014" t="s">
        <v>21</v>
      </c>
      <c r="G5014" t="s">
        <v>3524</v>
      </c>
      <c r="H5014">
        <v>1</v>
      </c>
      <c r="I5014">
        <v>1</v>
      </c>
      <c r="J5014">
        <v>0</v>
      </c>
      <c r="K5014">
        <v>0</v>
      </c>
      <c r="L5014">
        <v>0</v>
      </c>
    </row>
    <row r="5015" spans="1:12">
      <c r="A5015" t="str">
        <f>HYPERLINK("http://bombeiros.sp.gov.br/hidrantes/03individual/2326.html","2326")</f>
        <v>2326</v>
      </c>
      <c r="B5015" t="str">
        <f>HYPERLINK("http://bombeiros.sp.gov.br/hidrantes/08bsg/qrcodeBSG.html?id=2326&amp;lat=-23.58239&amp;long=-46.64273&amp;tipo=S","QRCODE")</f>
        <v>QRCODE</v>
      </c>
      <c r="C5015" t="s">
        <v>5372</v>
      </c>
      <c r="D5015" t="s">
        <v>268</v>
      </c>
      <c r="E5015" t="s">
        <v>543</v>
      </c>
      <c r="F5015" t="s">
        <v>21</v>
      </c>
      <c r="G5015" t="s">
        <v>2325</v>
      </c>
      <c r="H5015">
        <v>0</v>
      </c>
      <c r="I5015">
        <v>2</v>
      </c>
      <c r="J5015">
        <v>0</v>
      </c>
      <c r="K5015">
        <v>0</v>
      </c>
      <c r="L5015">
        <v>0</v>
      </c>
    </row>
    <row r="5016" spans="1:12">
      <c r="A5016" t="str">
        <f>HYPERLINK("http://bombeiros.sp.gov.br/hidrantes/03individual/2339.html","2339")</f>
        <v>2339</v>
      </c>
      <c r="B5016" t="str">
        <f>HYPERLINK("http://bombeiros.sp.gov.br/hidrantes/08bsg/qrcodeBSG.html?id=2339&amp;lat=-23.58506&amp;long=-46.64216&amp;tipo=S","QRCODE")</f>
        <v>QRCODE</v>
      </c>
      <c r="C5016" t="s">
        <v>5372</v>
      </c>
      <c r="D5016" t="s">
        <v>268</v>
      </c>
      <c r="E5016" t="s">
        <v>543</v>
      </c>
      <c r="F5016" t="s">
        <v>21</v>
      </c>
      <c r="G5016" t="s">
        <v>3174</v>
      </c>
      <c r="H5016">
        <v>0</v>
      </c>
      <c r="I5016">
        <v>2</v>
      </c>
      <c r="J5016">
        <v>0</v>
      </c>
      <c r="K5016">
        <v>0</v>
      </c>
      <c r="L5016">
        <v>0</v>
      </c>
    </row>
    <row r="5017" spans="1:12">
      <c r="A5017" t="str">
        <f>HYPERLINK("http://bombeiros.sp.gov.br/hidrantes/03individual/10015.html","10015")</f>
        <v>10015</v>
      </c>
      <c r="B5017" t="str">
        <f>HYPERLINK("http://bombeiros.sp.gov.br/hidrantes/08bsg/qrcodeBSG.html?id=10015&amp;lat=-23.58268&amp;long=-46.64231&amp;tipo=S","QRCODE")</f>
        <v>QRCODE</v>
      </c>
      <c r="C5017" t="s">
        <v>5372</v>
      </c>
      <c r="D5017" t="s">
        <v>268</v>
      </c>
      <c r="E5017" t="s">
        <v>543</v>
      </c>
      <c r="F5017" t="s">
        <v>21</v>
      </c>
      <c r="G5017" t="s">
        <v>3799</v>
      </c>
      <c r="H5017">
        <v>0</v>
      </c>
      <c r="I5017">
        <v>1</v>
      </c>
      <c r="J5017">
        <v>0</v>
      </c>
      <c r="K5017">
        <v>0</v>
      </c>
      <c r="L5017">
        <v>0</v>
      </c>
    </row>
    <row r="5018" spans="1:12">
      <c r="A5018" t="str">
        <f>HYPERLINK("http://bombeiros.sp.gov.br/hidrantes/03individual/26809.html","26809")</f>
        <v>26809</v>
      </c>
      <c r="B5018" t="str">
        <f>HYPERLINK("http://bombeiros.sp.gov.br/hidrantes/08bsg/qrcodeBSG.html?id=26809&amp;lat=-23.58495&amp;long=-46.64433&amp;tipo=S","QRCODE")</f>
        <v>QRCODE</v>
      </c>
      <c r="C5018" t="s">
        <v>5372</v>
      </c>
      <c r="D5018" t="s">
        <v>268</v>
      </c>
      <c r="E5018" t="s">
        <v>543</v>
      </c>
      <c r="F5018" t="s">
        <v>21</v>
      </c>
      <c r="G5018" t="s">
        <v>5400</v>
      </c>
      <c r="H5018">
        <v>0</v>
      </c>
      <c r="I5018">
        <v>0</v>
      </c>
      <c r="J5018">
        <v>0</v>
      </c>
      <c r="K5018">
        <v>0</v>
      </c>
      <c r="L5018">
        <v>0</v>
      </c>
    </row>
    <row r="5019" spans="1:12">
      <c r="A5019" t="str">
        <f>HYPERLINK("http://bombeiros.sp.gov.br/hidrantes/03individual/1988.html","1988")</f>
        <v>1988</v>
      </c>
      <c r="B5019" t="str">
        <f>HYPERLINK("http://bombeiros.sp.gov.br/hidrantes/08bsg/qrcodeBSG.html?id=1988&amp;lat=-23.59654&amp;long=-46.62962&amp;tipo=C","QRCODE")</f>
        <v>QRCODE</v>
      </c>
      <c r="C5019" t="s">
        <v>5372</v>
      </c>
      <c r="D5019" t="s">
        <v>268</v>
      </c>
      <c r="E5019" t="s">
        <v>270</v>
      </c>
      <c r="F5019" t="s">
        <v>12</v>
      </c>
      <c r="G5019" t="s">
        <v>3233</v>
      </c>
      <c r="H5019">
        <v>0</v>
      </c>
      <c r="I5019">
        <v>2</v>
      </c>
      <c r="J5019">
        <v>0</v>
      </c>
      <c r="K5019">
        <v>0</v>
      </c>
      <c r="L5019">
        <v>0</v>
      </c>
    </row>
    <row r="5020" spans="1:12">
      <c r="A5020" t="str">
        <f>HYPERLINK("http://bombeiros.sp.gov.br/hidrantes/03individual/2007.html","2007")</f>
        <v>2007</v>
      </c>
      <c r="B5020" t="str">
        <f>HYPERLINK("http://bombeiros.sp.gov.br/hidrantes/08bsg/qrcodeBSG.html?id=2007&amp;lat=-23.59596&amp;long=-46.63637&amp;tipo=C","QRCODE")</f>
        <v>QRCODE</v>
      </c>
      <c r="C5020" t="s">
        <v>5372</v>
      </c>
      <c r="D5020" t="s">
        <v>268</v>
      </c>
      <c r="E5020" t="s">
        <v>270</v>
      </c>
      <c r="F5020" t="s">
        <v>12</v>
      </c>
      <c r="G5020" t="s">
        <v>1085</v>
      </c>
      <c r="H5020">
        <v>0</v>
      </c>
      <c r="I5020">
        <v>2</v>
      </c>
      <c r="J5020">
        <v>0</v>
      </c>
      <c r="K5020">
        <v>0</v>
      </c>
      <c r="L5020">
        <v>0</v>
      </c>
    </row>
    <row r="5021" spans="1:12">
      <c r="A5021" t="str">
        <f>HYPERLINK("http://bombeiros.sp.gov.br/hidrantes/03individual/2383.html","2383")</f>
        <v>2383</v>
      </c>
      <c r="B5021" t="str">
        <f>HYPERLINK("http://bombeiros.sp.gov.br/hidrantes/08bsg/qrcodeBSG.html?id=2383&amp;lat=-23.59202&amp;long=-46.63600&amp;tipo=C","QRCODE")</f>
        <v>QRCODE</v>
      </c>
      <c r="C5021" t="s">
        <v>5372</v>
      </c>
      <c r="D5021" t="s">
        <v>268</v>
      </c>
      <c r="E5021" t="s">
        <v>270</v>
      </c>
      <c r="F5021" t="s">
        <v>12</v>
      </c>
      <c r="G5021" t="s">
        <v>2770</v>
      </c>
      <c r="H5021">
        <v>0</v>
      </c>
      <c r="I5021">
        <v>2</v>
      </c>
      <c r="J5021">
        <v>0</v>
      </c>
      <c r="K5021">
        <v>0</v>
      </c>
      <c r="L5021">
        <v>0</v>
      </c>
    </row>
    <row r="5022" spans="1:12">
      <c r="A5022" t="str">
        <f>HYPERLINK("http://bombeiros.sp.gov.br/hidrantes/03individual/26487.html","26487")</f>
        <v>26487</v>
      </c>
      <c r="B5022" t="str">
        <f>HYPERLINK("http://bombeiros.sp.gov.br/hidrantes/08bsg/qrcodeBSG.html?id=26487&amp;lat=-23.59963&amp;long=-46.62940&amp;tipo=C","QRCODE")</f>
        <v>QRCODE</v>
      </c>
      <c r="C5022" t="s">
        <v>5372</v>
      </c>
      <c r="D5022" t="s">
        <v>268</v>
      </c>
      <c r="E5022" t="s">
        <v>270</v>
      </c>
      <c r="F5022" t="s">
        <v>12</v>
      </c>
      <c r="G5022" t="s">
        <v>1124</v>
      </c>
      <c r="H5022">
        <v>1</v>
      </c>
      <c r="I5022">
        <v>2</v>
      </c>
      <c r="J5022">
        <v>0</v>
      </c>
      <c r="K5022">
        <v>0</v>
      </c>
      <c r="L5022">
        <v>0</v>
      </c>
    </row>
    <row r="5023" spans="1:12">
      <c r="A5023" t="str">
        <f>HYPERLINK("http://bombeiros.sp.gov.br/hidrantes/03individual/27419.html","27419")</f>
        <v>27419</v>
      </c>
      <c r="B5023" t="str">
        <f>HYPERLINK("http://bombeiros.sp.gov.br/hidrantes/08bsg/qrcodeBSG.html?id=27419&amp;lat=-23.59360&amp;long=-46.63676&amp;tipo=C","QRCODE")</f>
        <v>QRCODE</v>
      </c>
      <c r="C5023" t="s">
        <v>5372</v>
      </c>
      <c r="D5023" t="s">
        <v>268</v>
      </c>
      <c r="E5023" t="s">
        <v>270</v>
      </c>
      <c r="F5023" t="s">
        <v>12</v>
      </c>
      <c r="G5023" t="s">
        <v>5401</v>
      </c>
      <c r="H5023">
        <v>0</v>
      </c>
      <c r="I5023">
        <v>0</v>
      </c>
      <c r="J5023">
        <v>0</v>
      </c>
      <c r="K5023">
        <v>0</v>
      </c>
      <c r="L5023">
        <v>0</v>
      </c>
    </row>
    <row r="5024" spans="1:12">
      <c r="A5024" t="str">
        <f>HYPERLINK("http://bombeiros.sp.gov.br/hidrantes/03individual/394.html","394")</f>
        <v>394</v>
      </c>
      <c r="B5024" t="str">
        <f>HYPERLINK("http://bombeiros.sp.gov.br/hidrantes/08bsg/qrcodeBSG.html?id=394&amp;lat=-23.59723&amp;long=-46.63057&amp;tipo=S","QRCODE")</f>
        <v>QRCODE</v>
      </c>
      <c r="C5024" t="s">
        <v>5372</v>
      </c>
      <c r="D5024" t="s">
        <v>268</v>
      </c>
      <c r="E5024" t="s">
        <v>270</v>
      </c>
      <c r="F5024" t="s">
        <v>21</v>
      </c>
      <c r="G5024" t="s">
        <v>3269</v>
      </c>
      <c r="H5024">
        <v>1</v>
      </c>
      <c r="I5024">
        <v>1</v>
      </c>
      <c r="J5024">
        <v>0</v>
      </c>
      <c r="K5024">
        <v>0</v>
      </c>
      <c r="L5024">
        <v>0</v>
      </c>
    </row>
    <row r="5025" spans="1:12">
      <c r="A5025" t="str">
        <f>HYPERLINK("http://bombeiros.sp.gov.br/hidrantes/03individual/2010.html","2010")</f>
        <v>2010</v>
      </c>
      <c r="B5025" t="str">
        <f>HYPERLINK("http://bombeiros.sp.gov.br/hidrantes/08bsg/qrcodeBSG.html?id=2010&amp;lat=-23.59663&amp;long=-46.63648&amp;tipo=S","QRCODE")</f>
        <v>QRCODE</v>
      </c>
      <c r="C5025" t="s">
        <v>5372</v>
      </c>
      <c r="D5025" t="s">
        <v>268</v>
      </c>
      <c r="E5025" t="s">
        <v>270</v>
      </c>
      <c r="F5025" t="s">
        <v>21</v>
      </c>
      <c r="G5025" t="s">
        <v>2806</v>
      </c>
      <c r="H5025">
        <v>0</v>
      </c>
      <c r="I5025">
        <v>2</v>
      </c>
      <c r="J5025">
        <v>0</v>
      </c>
      <c r="K5025">
        <v>0</v>
      </c>
      <c r="L5025">
        <v>0</v>
      </c>
    </row>
    <row r="5026" spans="1:12">
      <c r="A5026" t="str">
        <f>HYPERLINK("http://bombeiros.sp.gov.br/hidrantes/03individual/2012.html","2012")</f>
        <v>2012</v>
      </c>
      <c r="B5026" t="str">
        <f>HYPERLINK("http://bombeiros.sp.gov.br/hidrantes/08bsg/qrcodeBSG.html?id=2012&amp;lat=-23.59714&amp;long=-46.63640&amp;tipo=S","QRCODE")</f>
        <v>QRCODE</v>
      </c>
      <c r="C5026" t="s">
        <v>5372</v>
      </c>
      <c r="D5026" t="s">
        <v>268</v>
      </c>
      <c r="E5026" t="s">
        <v>270</v>
      </c>
      <c r="F5026" t="s">
        <v>21</v>
      </c>
      <c r="G5026" t="s">
        <v>323</v>
      </c>
      <c r="H5026">
        <v>0</v>
      </c>
      <c r="I5026">
        <v>3</v>
      </c>
      <c r="J5026">
        <v>0</v>
      </c>
      <c r="K5026">
        <v>0</v>
      </c>
      <c r="L5026">
        <v>0</v>
      </c>
    </row>
    <row r="5027" spans="1:12">
      <c r="A5027" t="str">
        <f>HYPERLINK("http://bombeiros.sp.gov.br/hidrantes/03individual/2392.html","2392")</f>
        <v>2392</v>
      </c>
      <c r="B5027" t="str">
        <f>HYPERLINK("http://bombeiros.sp.gov.br/hidrantes/08bsg/qrcodeBSG.html?id=2392&amp;lat=-23.59677&amp;long=-46.63355&amp;tipo=S","QRCODE")</f>
        <v>QRCODE</v>
      </c>
      <c r="C5027" t="s">
        <v>5372</v>
      </c>
      <c r="D5027" t="s">
        <v>268</v>
      </c>
      <c r="E5027" t="s">
        <v>270</v>
      </c>
      <c r="F5027" t="s">
        <v>21</v>
      </c>
      <c r="G5027" t="s">
        <v>269</v>
      </c>
      <c r="H5027">
        <v>0</v>
      </c>
      <c r="I5027">
        <v>3</v>
      </c>
      <c r="J5027">
        <v>0</v>
      </c>
      <c r="K5027">
        <v>0</v>
      </c>
      <c r="L5027">
        <v>0</v>
      </c>
    </row>
    <row r="5028" spans="1:12">
      <c r="A5028" t="str">
        <f>HYPERLINK("http://bombeiros.sp.gov.br/hidrantes/03individual/16573.html","16573")</f>
        <v>16573</v>
      </c>
      <c r="B5028" t="str">
        <f>HYPERLINK("http://bombeiros.sp.gov.br/hidrantes/08bsg/qrcodeBSG.html?id=16573&amp;lat=-23.59836&amp;long=-46.63152&amp;tipo=S","QRCODE")</f>
        <v>QRCODE</v>
      </c>
      <c r="C5028" t="s">
        <v>5372</v>
      </c>
      <c r="D5028" t="s">
        <v>268</v>
      </c>
      <c r="E5028" t="s">
        <v>270</v>
      </c>
      <c r="F5028" t="s">
        <v>21</v>
      </c>
      <c r="G5028" t="s">
        <v>1128</v>
      </c>
      <c r="H5028">
        <v>1</v>
      </c>
      <c r="I5028">
        <v>2</v>
      </c>
      <c r="J5028">
        <v>0</v>
      </c>
      <c r="K5028">
        <v>0</v>
      </c>
      <c r="L5028">
        <v>0</v>
      </c>
    </row>
    <row r="5029" spans="1:12">
      <c r="A5029" t="str">
        <f>HYPERLINK("http://bombeiros.sp.gov.br/hidrantes/03individual/289.html","289")</f>
        <v>289</v>
      </c>
      <c r="B5029" t="str">
        <f>HYPERLINK("http://bombeiros.sp.gov.br/hidrantes/08bsg/qrcodeBSG.html?id=289&amp;lat=-23.59573&amp;long=-46.64299&amp;tipo=C","QRCODE")</f>
        <v>QRCODE</v>
      </c>
      <c r="C5029" t="s">
        <v>5372</v>
      </c>
      <c r="D5029" t="s">
        <v>268</v>
      </c>
      <c r="E5029" t="s">
        <v>579</v>
      </c>
      <c r="F5029" t="s">
        <v>12</v>
      </c>
      <c r="G5029" t="s">
        <v>2828</v>
      </c>
      <c r="H5029">
        <v>0</v>
      </c>
      <c r="I5029">
        <v>2</v>
      </c>
      <c r="J5029">
        <v>0</v>
      </c>
      <c r="K5029">
        <v>0</v>
      </c>
      <c r="L5029">
        <v>0</v>
      </c>
    </row>
    <row r="5030" spans="1:12">
      <c r="A5030" t="str">
        <f>HYPERLINK("http://bombeiros.sp.gov.br/hidrantes/03individual/2409.html","2409")</f>
        <v>2409</v>
      </c>
      <c r="B5030" t="str">
        <f>HYPERLINK("http://bombeiros.sp.gov.br/hidrantes/08bsg/qrcodeBSG.html?id=2409&amp;lat=-23.59951&amp;long=-46.63692&amp;tipo=C","QRCODE")</f>
        <v>QRCODE</v>
      </c>
      <c r="C5030" t="s">
        <v>5372</v>
      </c>
      <c r="D5030" t="s">
        <v>268</v>
      </c>
      <c r="E5030" t="s">
        <v>579</v>
      </c>
      <c r="F5030" t="s">
        <v>12</v>
      </c>
      <c r="G5030" t="s">
        <v>2771</v>
      </c>
      <c r="H5030">
        <v>0</v>
      </c>
      <c r="I5030">
        <v>2</v>
      </c>
      <c r="J5030">
        <v>0</v>
      </c>
      <c r="K5030">
        <v>0</v>
      </c>
      <c r="L5030">
        <v>0</v>
      </c>
    </row>
    <row r="5031" spans="1:12">
      <c r="A5031" t="str">
        <f>HYPERLINK("http://bombeiros.sp.gov.br/hidrantes/03individual/301.html","301")</f>
        <v>301</v>
      </c>
      <c r="B5031" t="str">
        <f>HYPERLINK("http://bombeiros.sp.gov.br/hidrantes/08bsg/qrcodeBSG.html?id=301&amp;lat=-23.59470&amp;long=-46.64246&amp;tipo=S","QRCODE")</f>
        <v>QRCODE</v>
      </c>
      <c r="C5031" t="s">
        <v>5372</v>
      </c>
      <c r="D5031" t="s">
        <v>268</v>
      </c>
      <c r="E5031" t="s">
        <v>579</v>
      </c>
      <c r="F5031" t="s">
        <v>21</v>
      </c>
      <c r="G5031" t="s">
        <v>2827</v>
      </c>
      <c r="H5031">
        <v>0</v>
      </c>
      <c r="I5031">
        <v>2</v>
      </c>
      <c r="J5031">
        <v>0</v>
      </c>
      <c r="K5031">
        <v>0</v>
      </c>
      <c r="L5031">
        <v>0</v>
      </c>
    </row>
    <row r="5032" spans="1:12">
      <c r="A5032" t="str">
        <f>HYPERLINK("http://bombeiros.sp.gov.br/hidrantes/03individual/303.html","303")</f>
        <v>303</v>
      </c>
      <c r="B5032" t="str">
        <f>HYPERLINK("http://bombeiros.sp.gov.br/hidrantes/08bsg/qrcodeBSG.html?id=303&amp;lat=-23.59957&amp;long=-46.64006&amp;tipo=S","QRCODE")</f>
        <v>QRCODE</v>
      </c>
      <c r="C5032" t="s">
        <v>5372</v>
      </c>
      <c r="D5032" t="s">
        <v>268</v>
      </c>
      <c r="E5032" t="s">
        <v>579</v>
      </c>
      <c r="F5032" t="s">
        <v>21</v>
      </c>
      <c r="G5032" t="s">
        <v>1077</v>
      </c>
      <c r="H5032">
        <v>1</v>
      </c>
      <c r="I5032">
        <v>2</v>
      </c>
      <c r="J5032">
        <v>0</v>
      </c>
      <c r="K5032">
        <v>0</v>
      </c>
      <c r="L5032">
        <v>0</v>
      </c>
    </row>
    <row r="5033" spans="1:12">
      <c r="A5033" t="str">
        <f>HYPERLINK("http://bombeiros.sp.gov.br/hidrantes/03individual/370.html","370")</f>
        <v>370</v>
      </c>
      <c r="B5033" t="str">
        <f>HYPERLINK("http://bombeiros.sp.gov.br/hidrantes/08bsg/qrcodeBSG.html?id=370&amp;lat=-23.59497&amp;long=-46.65023&amp;tipo=S","QRCODE")</f>
        <v>QRCODE</v>
      </c>
      <c r="C5033" t="s">
        <v>5372</v>
      </c>
      <c r="D5033" t="s">
        <v>268</v>
      </c>
      <c r="E5033" t="s">
        <v>579</v>
      </c>
      <c r="F5033" t="s">
        <v>21</v>
      </c>
      <c r="G5033" t="s">
        <v>3467</v>
      </c>
      <c r="H5033">
        <v>1</v>
      </c>
      <c r="I5033">
        <v>1</v>
      </c>
      <c r="J5033">
        <v>0</v>
      </c>
      <c r="K5033">
        <v>0</v>
      </c>
      <c r="L5033">
        <v>0</v>
      </c>
    </row>
    <row r="5034" spans="1:12">
      <c r="A5034" t="str">
        <f>HYPERLINK("http://bombeiros.sp.gov.br/hidrantes/03individual/376.html","376")</f>
        <v>376</v>
      </c>
      <c r="B5034" t="str">
        <f>HYPERLINK("http://bombeiros.sp.gov.br/hidrantes/08bsg/qrcodeBSG.html?id=376&amp;lat=-23.59934&amp;long=-46.64534&amp;tipo=S","QRCODE")</f>
        <v>QRCODE</v>
      </c>
      <c r="C5034" t="s">
        <v>5372</v>
      </c>
      <c r="D5034" t="s">
        <v>268</v>
      </c>
      <c r="E5034" t="s">
        <v>579</v>
      </c>
      <c r="F5034" t="s">
        <v>21</v>
      </c>
      <c r="G5034" t="s">
        <v>774</v>
      </c>
      <c r="H5034">
        <v>0</v>
      </c>
      <c r="I5034">
        <v>2</v>
      </c>
      <c r="J5034">
        <v>0</v>
      </c>
      <c r="K5034">
        <v>0</v>
      </c>
      <c r="L5034">
        <v>0</v>
      </c>
    </row>
    <row r="5035" spans="1:12">
      <c r="A5035" t="str">
        <f>HYPERLINK("http://bombeiros.sp.gov.br/hidrantes/03individual/416.html","416")</f>
        <v>416</v>
      </c>
      <c r="B5035" t="str">
        <f>HYPERLINK("http://bombeiros.sp.gov.br/hidrantes/08bsg/qrcodeBSG.html?id=416&amp;lat=-23.59703&amp;long=-46.63826&amp;tipo=S","QRCODE")</f>
        <v>QRCODE</v>
      </c>
      <c r="C5035" t="s">
        <v>5372</v>
      </c>
      <c r="D5035" t="s">
        <v>268</v>
      </c>
      <c r="E5035" t="s">
        <v>579</v>
      </c>
      <c r="F5035" t="s">
        <v>21</v>
      </c>
      <c r="G5035" t="s">
        <v>578</v>
      </c>
      <c r="H5035">
        <v>0</v>
      </c>
      <c r="I5035">
        <v>2</v>
      </c>
      <c r="J5035">
        <v>0</v>
      </c>
      <c r="K5035">
        <v>0</v>
      </c>
      <c r="L5035">
        <v>0</v>
      </c>
    </row>
    <row r="5036" spans="1:12">
      <c r="A5036" t="str">
        <f>HYPERLINK("http://bombeiros.sp.gov.br/hidrantes/03individual/2307.html","2307")</f>
        <v>2307</v>
      </c>
      <c r="B5036" t="str">
        <f>HYPERLINK("http://bombeiros.sp.gov.br/hidrantes/08bsg/qrcodeBSG.html?id=2307&amp;lat=-23.59824&amp;long=-46.64261&amp;tipo=S","QRCODE")</f>
        <v>QRCODE</v>
      </c>
      <c r="C5036" t="s">
        <v>5372</v>
      </c>
      <c r="D5036" t="s">
        <v>268</v>
      </c>
      <c r="E5036" t="s">
        <v>579</v>
      </c>
      <c r="F5036" t="s">
        <v>21</v>
      </c>
      <c r="G5036" t="s">
        <v>1118</v>
      </c>
      <c r="H5036">
        <v>1</v>
      </c>
      <c r="I5036">
        <v>2</v>
      </c>
      <c r="J5036">
        <v>0</v>
      </c>
      <c r="K5036">
        <v>0</v>
      </c>
      <c r="L5036">
        <v>0</v>
      </c>
    </row>
    <row r="5037" spans="1:12">
      <c r="A5037" t="str">
        <f>HYPERLINK("http://bombeiros.sp.gov.br/hidrantes/03individual/2375.html","2375")</f>
        <v>2375</v>
      </c>
      <c r="B5037" t="str">
        <f>HYPERLINK("http://bombeiros.sp.gov.br/hidrantes/08bsg/qrcodeBSG.html?id=2375&amp;lat=-23.59576&amp;long=-46.64239&amp;tipo=S","QRCODE")</f>
        <v>QRCODE</v>
      </c>
      <c r="C5037" t="s">
        <v>5372</v>
      </c>
      <c r="D5037" t="s">
        <v>268</v>
      </c>
      <c r="E5037" t="s">
        <v>579</v>
      </c>
      <c r="F5037" t="s">
        <v>21</v>
      </c>
      <c r="G5037" t="s">
        <v>1122</v>
      </c>
      <c r="H5037">
        <v>0</v>
      </c>
      <c r="I5037">
        <v>2</v>
      </c>
      <c r="J5037">
        <v>0</v>
      </c>
      <c r="K5037">
        <v>0</v>
      </c>
      <c r="L5037">
        <v>0</v>
      </c>
    </row>
    <row r="5038" spans="1:12">
      <c r="A5038" t="str">
        <f>HYPERLINK("http://bombeiros.sp.gov.br/hidrantes/03individual/2379.html","2379")</f>
        <v>2379</v>
      </c>
      <c r="B5038" t="str">
        <f>HYPERLINK("http://bombeiros.sp.gov.br/hidrantes/08bsg/qrcodeBSG.html?id=2379&amp;lat=-23.59572&amp;long=-46.64527&amp;tipo=S","QRCODE")</f>
        <v>QRCODE</v>
      </c>
      <c r="C5038" t="s">
        <v>5372</v>
      </c>
      <c r="D5038" t="s">
        <v>268</v>
      </c>
      <c r="E5038" t="s">
        <v>579</v>
      </c>
      <c r="F5038" t="s">
        <v>21</v>
      </c>
      <c r="G5038" t="s">
        <v>1123</v>
      </c>
      <c r="H5038">
        <v>1</v>
      </c>
      <c r="I5038">
        <v>2</v>
      </c>
      <c r="J5038">
        <v>0</v>
      </c>
      <c r="K5038">
        <v>0</v>
      </c>
      <c r="L5038">
        <v>0</v>
      </c>
    </row>
    <row r="5039" spans="1:12">
      <c r="A5039" t="str">
        <f>HYPERLINK("http://bombeiros.sp.gov.br/hidrantes/03individual/2517.html","2517")</f>
        <v>2517</v>
      </c>
      <c r="B5039" t="str">
        <f>HYPERLINK("http://bombeiros.sp.gov.br/hidrantes/08bsg/qrcodeBSG.html?id=2517&amp;lat=-23.59520&amp;long=-46.64786&amp;tipo=S","QRCODE")</f>
        <v>QRCODE</v>
      </c>
      <c r="C5039" t="s">
        <v>5372</v>
      </c>
      <c r="D5039" t="s">
        <v>268</v>
      </c>
      <c r="E5039" t="s">
        <v>579</v>
      </c>
      <c r="F5039" t="s">
        <v>21</v>
      </c>
      <c r="G5039" t="s">
        <v>1113</v>
      </c>
      <c r="H5039">
        <v>1</v>
      </c>
      <c r="I5039">
        <v>2</v>
      </c>
      <c r="J5039">
        <v>0</v>
      </c>
      <c r="K5039">
        <v>0</v>
      </c>
      <c r="L5039">
        <v>0</v>
      </c>
    </row>
    <row r="5040" spans="1:12">
      <c r="A5040" t="str">
        <f>HYPERLINK("http://bombeiros.sp.gov.br/hidrantes/03individual/2258.html","2258")</f>
        <v>2258</v>
      </c>
      <c r="B5040" t="str">
        <f>HYPERLINK("http://bombeiros.sp.gov.br/hidrantes/08bsg/qrcodeBSG.html?id=2258&amp;lat=-23.58604&amp;long=-46.63461&amp;tipo=C","QRCODE")</f>
        <v>QRCODE</v>
      </c>
      <c r="C5040" t="s">
        <v>5372</v>
      </c>
      <c r="D5040" t="s">
        <v>268</v>
      </c>
      <c r="E5040" t="s">
        <v>268</v>
      </c>
      <c r="F5040" t="s">
        <v>12</v>
      </c>
      <c r="G5040" t="s">
        <v>512</v>
      </c>
      <c r="H5040">
        <v>1</v>
      </c>
      <c r="I5040">
        <v>1</v>
      </c>
      <c r="J5040">
        <v>0</v>
      </c>
      <c r="K5040">
        <v>0</v>
      </c>
      <c r="L5040">
        <v>0</v>
      </c>
    </row>
    <row r="5041" spans="1:12">
      <c r="A5041" t="str">
        <f>HYPERLINK("http://bombeiros.sp.gov.br/hidrantes/03individual/2954.html","2954")</f>
        <v>2954</v>
      </c>
      <c r="B5041" t="str">
        <f>HYPERLINK("http://bombeiros.sp.gov.br/hidrantes/08bsg/qrcodeBSG.html?id=2954&amp;lat=-23.58901&amp;long=-46.63436&amp;tipo=C","QRCODE")</f>
        <v>QRCODE</v>
      </c>
      <c r="C5041" t="s">
        <v>5372</v>
      </c>
      <c r="D5041" t="s">
        <v>268</v>
      </c>
      <c r="E5041" t="s">
        <v>268</v>
      </c>
      <c r="F5041" t="s">
        <v>12</v>
      </c>
      <c r="G5041" t="s">
        <v>3793</v>
      </c>
      <c r="H5041">
        <v>0</v>
      </c>
      <c r="I5041">
        <v>1</v>
      </c>
      <c r="J5041">
        <v>0</v>
      </c>
      <c r="K5041">
        <v>0</v>
      </c>
      <c r="L5041">
        <v>0</v>
      </c>
    </row>
    <row r="5042" spans="1:12">
      <c r="A5042" t="str">
        <f>HYPERLINK("http://bombeiros.sp.gov.br/hidrantes/03individual/4430.html","4430")</f>
        <v>4430</v>
      </c>
      <c r="B5042" t="str">
        <f>HYPERLINK("http://bombeiros.sp.gov.br/hidrantes/08bsg/qrcodeBSG.html?id=4430&amp;lat=-23.58957&amp;long=-46.63313&amp;tipo=C","QRCODE")</f>
        <v>QRCODE</v>
      </c>
      <c r="C5042" t="s">
        <v>5372</v>
      </c>
      <c r="D5042" t="s">
        <v>268</v>
      </c>
      <c r="E5042" t="s">
        <v>268</v>
      </c>
      <c r="F5042" t="s">
        <v>12</v>
      </c>
      <c r="G5042" t="s">
        <v>315</v>
      </c>
      <c r="H5042">
        <v>0</v>
      </c>
      <c r="I5042">
        <v>2</v>
      </c>
      <c r="J5042">
        <v>0</v>
      </c>
      <c r="K5042">
        <v>0</v>
      </c>
      <c r="L5042">
        <v>0</v>
      </c>
    </row>
    <row r="5043" spans="1:12">
      <c r="A5043" t="str">
        <f>HYPERLINK("http://bombeiros.sp.gov.br/hidrantes/03individual/5604.html","5604")</f>
        <v>5604</v>
      </c>
      <c r="B5043" t="str">
        <f>HYPERLINK("http://bombeiros.sp.gov.br/hidrantes/08bsg/qrcodeBSG.html?id=5604&amp;lat=-23.58643&amp;long=-46.63513&amp;tipo=C","QRCODE")</f>
        <v>QRCODE</v>
      </c>
      <c r="C5043" t="s">
        <v>5372</v>
      </c>
      <c r="D5043" t="s">
        <v>268</v>
      </c>
      <c r="E5043" t="s">
        <v>268</v>
      </c>
      <c r="F5043" t="s">
        <v>12</v>
      </c>
      <c r="G5043" t="s">
        <v>3535</v>
      </c>
      <c r="H5043">
        <v>1</v>
      </c>
      <c r="I5043">
        <v>2</v>
      </c>
      <c r="J5043">
        <v>0</v>
      </c>
      <c r="K5043">
        <v>0</v>
      </c>
      <c r="L5043">
        <v>0</v>
      </c>
    </row>
    <row r="5044" spans="1:12">
      <c r="A5044" t="str">
        <f>HYPERLINK("http://bombeiros.sp.gov.br/hidrantes/03individual/142.html","142")</f>
        <v>142</v>
      </c>
      <c r="B5044" t="str">
        <f>HYPERLINK("http://bombeiros.sp.gov.br/hidrantes/08bsg/qrcodeBSG.html?id=142&amp;lat=-23.58785&amp;long=-46.63023&amp;tipo=S","QRCODE")</f>
        <v>QRCODE</v>
      </c>
      <c r="C5044" t="s">
        <v>5372</v>
      </c>
      <c r="D5044" t="s">
        <v>268</v>
      </c>
      <c r="E5044" t="s">
        <v>268</v>
      </c>
      <c r="F5044" t="s">
        <v>21</v>
      </c>
      <c r="G5044" t="s">
        <v>1942</v>
      </c>
      <c r="H5044">
        <v>0</v>
      </c>
      <c r="I5044">
        <v>2</v>
      </c>
      <c r="J5044">
        <v>0</v>
      </c>
      <c r="K5044">
        <v>0</v>
      </c>
      <c r="L5044">
        <v>0</v>
      </c>
    </row>
    <row r="5045" spans="1:12">
      <c r="A5045" t="str">
        <f>HYPERLINK("http://bombeiros.sp.gov.br/hidrantes/03individual/377.html","377")</f>
        <v>377</v>
      </c>
      <c r="B5045" t="str">
        <f>HYPERLINK("http://bombeiros.sp.gov.br/hidrantes/08bsg/qrcodeBSG.html?id=377&amp;lat=-23.58504&amp;long=-46.63145&amp;tipo=S","QRCODE")</f>
        <v>QRCODE</v>
      </c>
      <c r="C5045" t="s">
        <v>5372</v>
      </c>
      <c r="D5045" t="s">
        <v>268</v>
      </c>
      <c r="E5045" t="s">
        <v>268</v>
      </c>
      <c r="F5045" t="s">
        <v>21</v>
      </c>
      <c r="G5045" t="s">
        <v>1079</v>
      </c>
      <c r="H5045">
        <v>1</v>
      </c>
      <c r="I5045">
        <v>2</v>
      </c>
      <c r="J5045">
        <v>0</v>
      </c>
      <c r="K5045">
        <v>0</v>
      </c>
      <c r="L5045">
        <v>0</v>
      </c>
    </row>
    <row r="5046" spans="1:12">
      <c r="A5046" t="str">
        <f>HYPERLINK("http://bombeiros.sp.gov.br/hidrantes/03individual/2018.html","2018")</f>
        <v>2018</v>
      </c>
      <c r="B5046" t="str">
        <f>HYPERLINK("http://bombeiros.sp.gov.br/hidrantes/08bsg/qrcodeBSG.html?id=2018&amp;lat=-23.58811&amp;long=-46.63110&amp;tipo=S","QRCODE")</f>
        <v>QRCODE</v>
      </c>
      <c r="C5046" t="s">
        <v>5372</v>
      </c>
      <c r="D5046" t="s">
        <v>268</v>
      </c>
      <c r="E5046" t="s">
        <v>268</v>
      </c>
      <c r="F5046" t="s">
        <v>21</v>
      </c>
      <c r="G5046" t="s">
        <v>1972</v>
      </c>
      <c r="H5046">
        <v>0</v>
      </c>
      <c r="I5046">
        <v>2</v>
      </c>
      <c r="J5046">
        <v>0</v>
      </c>
      <c r="K5046">
        <v>0</v>
      </c>
      <c r="L5046">
        <v>0</v>
      </c>
    </row>
    <row r="5047" spans="1:12">
      <c r="A5047" t="str">
        <f>HYPERLINK("http://bombeiros.sp.gov.br/hidrantes/03individual/2256.html","2256")</f>
        <v>2256</v>
      </c>
      <c r="B5047" t="str">
        <f>HYPERLINK("http://bombeiros.sp.gov.br/hidrantes/08bsg/qrcodeBSG.html?id=2256&amp;lat=-23.58447&amp;long=-46.63612&amp;tipo=S","QRCODE")</f>
        <v>QRCODE</v>
      </c>
      <c r="C5047" t="s">
        <v>5372</v>
      </c>
      <c r="D5047" t="s">
        <v>268</v>
      </c>
      <c r="E5047" t="s">
        <v>268</v>
      </c>
      <c r="F5047" t="s">
        <v>21</v>
      </c>
      <c r="G5047" t="s">
        <v>2007</v>
      </c>
      <c r="H5047">
        <v>0</v>
      </c>
      <c r="I5047">
        <v>2</v>
      </c>
      <c r="J5047">
        <v>0</v>
      </c>
      <c r="K5047">
        <v>0</v>
      </c>
      <c r="L5047">
        <v>0</v>
      </c>
    </row>
    <row r="5048" spans="1:12">
      <c r="A5048" t="str">
        <f>HYPERLINK("http://bombeiros.sp.gov.br/hidrantes/03individual/2267.html","2267")</f>
        <v>2267</v>
      </c>
      <c r="B5048" t="str">
        <f>HYPERLINK("http://bombeiros.sp.gov.br/hidrantes/08bsg/qrcodeBSG.html?id=2267&amp;lat=-23.58532&amp;long=-46.63537&amp;tipo=S","QRCODE")</f>
        <v>QRCODE</v>
      </c>
      <c r="C5048" t="s">
        <v>5372</v>
      </c>
      <c r="D5048" t="s">
        <v>268</v>
      </c>
      <c r="E5048" t="s">
        <v>268</v>
      </c>
      <c r="F5048" t="s">
        <v>21</v>
      </c>
      <c r="G5048" t="s">
        <v>267</v>
      </c>
      <c r="H5048">
        <v>0</v>
      </c>
      <c r="I5048">
        <v>3</v>
      </c>
      <c r="J5048">
        <v>0</v>
      </c>
      <c r="K5048">
        <v>0</v>
      </c>
      <c r="L5048">
        <v>0</v>
      </c>
    </row>
    <row r="5049" spans="1:12">
      <c r="A5049" t="str">
        <f>HYPERLINK("http://bombeiros.sp.gov.br/hidrantes/03individual/2269.html","2269")</f>
        <v>2269</v>
      </c>
      <c r="B5049" t="str">
        <f>HYPERLINK("http://bombeiros.sp.gov.br/hidrantes/08bsg/qrcodeBSG.html?id=2269&amp;lat=-23.58689&amp;long=-46.63317&amp;tipo=S","QRCODE")</f>
        <v>QRCODE</v>
      </c>
      <c r="C5049" t="s">
        <v>5372</v>
      </c>
      <c r="D5049" t="s">
        <v>268</v>
      </c>
      <c r="E5049" t="s">
        <v>268</v>
      </c>
      <c r="F5049" t="s">
        <v>21</v>
      </c>
      <c r="G5049" t="s">
        <v>2006</v>
      </c>
      <c r="H5049">
        <v>0</v>
      </c>
      <c r="I5049">
        <v>2</v>
      </c>
      <c r="J5049">
        <v>0</v>
      </c>
      <c r="K5049">
        <v>0</v>
      </c>
      <c r="L504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manutencoes</vt:lpstr>
      <vt:lpstr>listageralhidrantes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</cp:lastModifiedBy>
  <dcterms:modified xsi:type="dcterms:W3CDTF">2022-08-08T17:15:56Z</dcterms:modified>
</cp:coreProperties>
</file>