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fileSharing readOnlyRecommended="1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Avaliação contratadas\"/>
    </mc:Choice>
  </mc:AlternateContent>
  <xr:revisionPtr revIDLastSave="0" documentId="13_ncr:1_{07D33531-1755-43BD-8006-73A1E30A7C3C}" xr6:coauthVersionLast="47" xr6:coauthVersionMax="47" xr10:uidLastSave="{00000000-0000-0000-0000-000000000000}"/>
  <bookViews>
    <workbookView xWindow="2625" yWindow="-13620" windowWidth="24240" windowHeight="13020" tabRatio="936" firstSheet="5" activeTab="5" xr2:uid="{00000000-000D-0000-FFFF-FFFF00000000}"/>
  </bookViews>
  <sheets>
    <sheet name="Proj. por Eng." sheetId="36" state="hidden" r:id="rId1"/>
    <sheet name="Comparativo 7+5 e 8+4 " sheetId="38" state="hidden" r:id="rId2"/>
    <sheet name="CONTINGENCIA 8+4" sheetId="47" state="hidden" r:id="rId3"/>
    <sheet name="WORST" sheetId="111" state="hidden" r:id="rId4"/>
    <sheet name="AME - Quarterly 2021" sheetId="93" state="hidden" r:id="rId5"/>
    <sheet name="Capex" sheetId="120" r:id="rId6"/>
    <sheet name="AME - Quarterly" sheetId="149" r:id="rId7"/>
    <sheet name="CAPEX RISK" sheetId="45" state="hidden" r:id="rId8"/>
    <sheet name="COMPARATIVO CENARIOS 8+4" sheetId="48" state="hidden" r:id="rId9"/>
    <sheet name="Capex 4+8" sheetId="34" state="hidden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6" hidden="1">'AME - Quarterly'!$A$4:$Q$44</definedName>
    <definedName name="_xlnm._FilterDatabase" localSheetId="4" hidden="1">'AME - Quarterly 2021'!$A$6:$BD$38</definedName>
    <definedName name="_xlnm._FilterDatabase" localSheetId="5" hidden="1">Capex!$A$4:$F$409</definedName>
    <definedName name="_xlnm._FilterDatabase" localSheetId="9" hidden="1">'Capex 4+8'!$C$9:$M$78</definedName>
    <definedName name="_xlnm._FilterDatabase" localSheetId="3" hidden="1">WORST!$A$5:$DS$274</definedName>
    <definedName name="Area">[1]LIST!$D$4:$D$10</definedName>
    <definedName name="_xlnm.Print_Area" localSheetId="6">'AME - Quarterly'!$A$2:$P$7</definedName>
    <definedName name="_xlnm.Print_Area" localSheetId="4">'AME - Quarterly 2021'!$A$2:$Y$36</definedName>
    <definedName name="_xlnm.Print_Area" localSheetId="5">Capex!$A$2:$F$121</definedName>
    <definedName name="_xlnm.Print_Area" localSheetId="3">WORST!$A$2:$AY$121</definedName>
    <definedName name="BusinessCase" localSheetId="6">#REF!</definedName>
    <definedName name="BusinessCase" localSheetId="4">#REF!</definedName>
    <definedName name="BusinessCase" localSheetId="5">#REF!</definedName>
    <definedName name="BusinessCase">#REF!</definedName>
    <definedName name="Case" localSheetId="6">[2]LIST!#REF!</definedName>
    <definedName name="Case" localSheetId="4">[2]LIST!#REF!</definedName>
    <definedName name="Case" localSheetId="5">[2]LIST!#REF!</definedName>
    <definedName name="Case">[2]LIST!#REF!</definedName>
    <definedName name="ColNo" localSheetId="5">'[3]Capital Project Plan'!#REF!</definedName>
    <definedName name="ColNo">'[3]Capital Project Plan'!#REF!</definedName>
    <definedName name="ET" localSheetId="6">#REF!</definedName>
    <definedName name="ET" localSheetId="4">#REF!</definedName>
    <definedName name="ET" localSheetId="5">#REF!</definedName>
    <definedName name="ET" localSheetId="3">#REF!</definedName>
    <definedName name="ET">#REF!</definedName>
    <definedName name="Futuro" localSheetId="6">#REF!</definedName>
    <definedName name="Futuro" localSheetId="4">#REF!</definedName>
    <definedName name="Futuro" localSheetId="5">#REF!</definedName>
    <definedName name="Futuro" localSheetId="3">#REF!</definedName>
    <definedName name="Futuro">#REF!</definedName>
    <definedName name="Justification">[1]LIST!$E$4:$E$12</definedName>
    <definedName name="Mold" localSheetId="6">[2]LIST!#REF!</definedName>
    <definedName name="Mold" localSheetId="4">[2]LIST!#REF!</definedName>
    <definedName name="Mold" localSheetId="5">[2]LIST!#REF!</definedName>
    <definedName name="Mold">[2]LIST!#REF!</definedName>
    <definedName name="Name" localSheetId="6">[2]LIST!#REF!</definedName>
    <definedName name="Name" localSheetId="4">[2]LIST!#REF!</definedName>
    <definedName name="Name" localSheetId="5">[2]LIST!#REF!</definedName>
    <definedName name="Name">[2]LIST!#REF!</definedName>
    <definedName name="Plant">[1]LIST!$C$4:$C$22</definedName>
    <definedName name="PT" localSheetId="6">#REF!</definedName>
    <definedName name="PT" localSheetId="4">#REF!</definedName>
    <definedName name="PT" localSheetId="5">#REF!</definedName>
    <definedName name="PT" localSheetId="3">#REF!</definedName>
    <definedName name="PT">#REF!</definedName>
    <definedName name="RowNo" localSheetId="5">'[3]Capital Project Plan'!#REF!</definedName>
    <definedName name="RowNo">'[3]Capital Project Plan'!#REF!</definedName>
    <definedName name="SBU">[1]LIST!$B$4:$B$7</definedName>
    <definedName name="SSSS">'[4]Capital Project Plan'!#REF!</definedName>
    <definedName name="TE" localSheetId="6">#REF!</definedName>
    <definedName name="TE" localSheetId="4">#REF!</definedName>
    <definedName name="TE" localSheetId="5">#REF!</definedName>
    <definedName name="TE" localSheetId="3">#REF!</definedName>
    <definedName name="TE">#REF!</definedName>
    <definedName name="test" localSheetId="6">[2]LIST!#REF!</definedName>
    <definedName name="test" localSheetId="4">[2]LIST!#REF!</definedName>
    <definedName name="test" localSheetId="5">[2]LIST!#REF!</definedName>
    <definedName name="test">[2]LIST!#REF!</definedName>
    <definedName name="Z_0353662D_CFEB_493D_B682_0081A0E8080E_.wvu.FilterData" localSheetId="6" hidden="1">'AME - Quarterly'!$P$4:$P$7</definedName>
    <definedName name="Z_0353662D_CFEB_493D_B682_0081A0E8080E_.wvu.FilterData" localSheetId="4" hidden="1">'AME - Quarterly 2021'!$J$6:$Y$36</definedName>
    <definedName name="Z_0353662D_CFEB_493D_B682_0081A0E8080E_.wvu.FilterData" localSheetId="5" hidden="1">Capex!$B$4:$F$104</definedName>
    <definedName name="Z_0353662D_CFEB_493D_B682_0081A0E8080E_.wvu.FilterData" localSheetId="3" hidden="1">WORST!$F$5:$AX$91</definedName>
    <definedName name="Z_0666F8A3_1149_4423_BEEF_7ACE765BD2B9_.wvu.FilterData" localSheetId="6" hidden="1">'AME - Quarterly'!$P$4:$P$7</definedName>
    <definedName name="Z_0666F8A3_1149_4423_BEEF_7ACE765BD2B9_.wvu.FilterData" localSheetId="4" hidden="1">'AME - Quarterly 2021'!$J$6:$Y$36</definedName>
    <definedName name="Z_0666F8A3_1149_4423_BEEF_7ACE765BD2B9_.wvu.FilterData" localSheetId="5" hidden="1">Capex!$B$4:$F$104</definedName>
    <definedName name="Z_0666F8A3_1149_4423_BEEF_7ACE765BD2B9_.wvu.FilterData" localSheetId="3" hidden="1">WORST!$F$5:$AX$91</definedName>
    <definedName name="Z_1BB54B29_FDAF_4D8D_8751_E137E850A244_.wvu.FilterData" localSheetId="6" hidden="1">'AME - Quarterly'!$P$4:$P$7</definedName>
    <definedName name="Z_1BB54B29_FDAF_4D8D_8751_E137E850A244_.wvu.FilterData" localSheetId="4" hidden="1">'AME - Quarterly 2021'!$J$6:$Y$36</definedName>
    <definedName name="Z_1BB54B29_FDAF_4D8D_8751_E137E850A244_.wvu.FilterData" localSheetId="5" hidden="1">Capex!$B$4:$F$104</definedName>
    <definedName name="Z_1BB54B29_FDAF_4D8D_8751_E137E850A244_.wvu.FilterData" localSheetId="3" hidden="1">WORST!$F$5:$AX$91</definedName>
    <definedName name="Z_1EB251FF_591E_4C7E_BA42_42B17814F48B_.wvu.FilterData" localSheetId="6" hidden="1">'AME - Quarterly'!$P$4:$P$7</definedName>
    <definedName name="Z_1EB251FF_591E_4C7E_BA42_42B17814F48B_.wvu.FilterData" localSheetId="4" hidden="1">'AME - Quarterly 2021'!$J$6:$Y$36</definedName>
    <definedName name="Z_1EB251FF_591E_4C7E_BA42_42B17814F48B_.wvu.FilterData" localSheetId="5" hidden="1">Capex!$B$4:$F$117</definedName>
    <definedName name="Z_1EB251FF_591E_4C7E_BA42_42B17814F48B_.wvu.FilterData" localSheetId="3" hidden="1">WORST!$F$5:$AX$106</definedName>
    <definedName name="Z_2AEE6C6A_7D00_4007_9FF5_3F442F9FB6F7_.wvu.Cols" localSheetId="6" hidden="1">'AME - Quarterly'!#REF!</definedName>
    <definedName name="Z_2AEE6C6A_7D00_4007_9FF5_3F442F9FB6F7_.wvu.Cols" localSheetId="4" hidden="1">'AME - Quarterly 2021'!#REF!</definedName>
    <definedName name="Z_2AEE6C6A_7D00_4007_9FF5_3F442F9FB6F7_.wvu.Cols" localSheetId="5" hidden="1">Capex!#REF!</definedName>
    <definedName name="Z_2AEE6C6A_7D00_4007_9FF5_3F442F9FB6F7_.wvu.Cols" localSheetId="3" hidden="1">WORST!#REF!</definedName>
    <definedName name="Z_2AEE6C6A_7D00_4007_9FF5_3F442F9FB6F7_.wvu.FilterData" localSheetId="6" hidden="1">'AME - Quarterly'!$P$4:$P$7</definedName>
    <definedName name="Z_2AEE6C6A_7D00_4007_9FF5_3F442F9FB6F7_.wvu.FilterData" localSheetId="4" hidden="1">'AME - Quarterly 2021'!$J$6:$Y$36</definedName>
    <definedName name="Z_2AEE6C6A_7D00_4007_9FF5_3F442F9FB6F7_.wvu.FilterData" localSheetId="5" hidden="1">Capex!$B$4:$F$117</definedName>
    <definedName name="Z_2AEE6C6A_7D00_4007_9FF5_3F442F9FB6F7_.wvu.FilterData" localSheetId="3" hidden="1">WORST!$F$5:$AX$106</definedName>
    <definedName name="Z_2AEE6C6A_7D00_4007_9FF5_3F442F9FB6F7_.wvu.PrintArea" localSheetId="6" hidden="1">'AME - Quarterly'!$A$2:$P$7</definedName>
    <definedName name="Z_2AEE6C6A_7D00_4007_9FF5_3F442F9FB6F7_.wvu.PrintArea" localSheetId="4" hidden="1">'AME - Quarterly 2021'!$A$2:$Y$36</definedName>
    <definedName name="Z_2AEE6C6A_7D00_4007_9FF5_3F442F9FB6F7_.wvu.PrintArea" localSheetId="5" hidden="1">Capex!$A$2:$F$121</definedName>
    <definedName name="Z_2AEE6C6A_7D00_4007_9FF5_3F442F9FB6F7_.wvu.PrintArea" localSheetId="3" hidden="1">WORST!$A$2:$AY$121</definedName>
    <definedName name="Z_3BB66918_E1B2_427E_A514_049B3C518B58_.wvu.FilterData" localSheetId="6" hidden="1">'AME - Quarterly'!$P$4:$P$7</definedName>
    <definedName name="Z_3BB66918_E1B2_427E_A514_049B3C518B58_.wvu.FilterData" localSheetId="4" hidden="1">'AME - Quarterly 2021'!$J$6:$Y$36</definedName>
    <definedName name="Z_3BB66918_E1B2_427E_A514_049B3C518B58_.wvu.FilterData" localSheetId="5" hidden="1">Capex!$B$4:$F$104</definedName>
    <definedName name="Z_3BB66918_E1B2_427E_A514_049B3C518B58_.wvu.FilterData" localSheetId="3" hidden="1">WORST!$F$5:$AX$91</definedName>
    <definedName name="Z_50770425_C6E8_4B4E_9747_E4AE60A9F61D_.wvu.FilterData" localSheetId="6" hidden="1">'AME - Quarterly'!$P$4:$P$7</definedName>
    <definedName name="Z_50770425_C6E8_4B4E_9747_E4AE60A9F61D_.wvu.FilterData" localSheetId="4" hidden="1">'AME - Quarterly 2021'!$J$6:$Y$36</definedName>
    <definedName name="Z_50770425_C6E8_4B4E_9747_E4AE60A9F61D_.wvu.FilterData" localSheetId="5" hidden="1">Capex!$B$4:$F$104</definedName>
    <definedName name="Z_50770425_C6E8_4B4E_9747_E4AE60A9F61D_.wvu.FilterData" localSheetId="3" hidden="1">WORST!$F$5:$AX$91</definedName>
    <definedName name="Z_8CB9A7E8_159B_45A3_9634_141F3D267BEE_.wvu.FilterData" localSheetId="6" hidden="1">'AME - Quarterly'!$P$4:$P$7</definedName>
    <definedName name="Z_8CB9A7E8_159B_45A3_9634_141F3D267BEE_.wvu.FilterData" localSheetId="4" hidden="1">'AME - Quarterly 2021'!$J$6:$Y$36</definedName>
    <definedName name="Z_8CB9A7E8_159B_45A3_9634_141F3D267BEE_.wvu.FilterData" localSheetId="5" hidden="1">Capex!$B$4:$F$104</definedName>
    <definedName name="Z_8CB9A7E8_159B_45A3_9634_141F3D267BEE_.wvu.FilterData" localSheetId="3" hidden="1">WORST!$F$5:$AX$91</definedName>
    <definedName name="Z_9F7CD1C6_89AF_41A4_91AE_163EC3BDE768_.wvu.FilterData" localSheetId="6" hidden="1">'AME - Quarterly'!$P$4:$P$7</definedName>
    <definedName name="Z_9F7CD1C6_89AF_41A4_91AE_163EC3BDE768_.wvu.FilterData" localSheetId="4" hidden="1">'AME - Quarterly 2021'!$J$6:$Y$36</definedName>
    <definedName name="Z_9F7CD1C6_89AF_41A4_91AE_163EC3BDE768_.wvu.FilterData" localSheetId="5" hidden="1">Capex!$B$4:$F$104</definedName>
    <definedName name="Z_9F7CD1C6_89AF_41A4_91AE_163EC3BDE768_.wvu.FilterData" localSheetId="3" hidden="1">WORST!$F$5:$AX$91</definedName>
    <definedName name="Z_B273F215_1CB4_42AE_BD0F_0EF6FCEDED0F_.wvu.FilterData" localSheetId="6" hidden="1">'AME - Quarterly'!$P$4:$P$4</definedName>
    <definedName name="Z_B273F215_1CB4_42AE_BD0F_0EF6FCEDED0F_.wvu.FilterData" localSheetId="4" hidden="1">'AME - Quarterly 2021'!$J$6:$Y$6</definedName>
    <definedName name="Z_B273F215_1CB4_42AE_BD0F_0EF6FCEDED0F_.wvu.FilterData" localSheetId="5" hidden="1">Capex!$B$4:$F$47</definedName>
    <definedName name="Z_B273F215_1CB4_42AE_BD0F_0EF6FCEDED0F_.wvu.FilterData" localSheetId="3" hidden="1">WORST!$F$5:$AX$43</definedName>
    <definedName name="Z_B273F215_1CB4_42AE_BD0F_0EF6FCEDED0F_.wvu.PrintArea" localSheetId="6" hidden="1">'AME - Quarterly'!$P$2:$P$7</definedName>
    <definedName name="Z_B273F215_1CB4_42AE_BD0F_0EF6FCEDED0F_.wvu.PrintArea" localSheetId="4" hidden="1">'AME - Quarterly 2021'!$J$2:$Y$36</definedName>
    <definedName name="Z_B273F215_1CB4_42AE_BD0F_0EF6FCEDED0F_.wvu.PrintArea" localSheetId="5" hidden="1">Capex!$B$2:$F$106</definedName>
    <definedName name="Z_B273F215_1CB4_42AE_BD0F_0EF6FCEDED0F_.wvu.PrintArea" localSheetId="3" hidden="1">WORST!$F$2:$AX$93</definedName>
    <definedName name="Z_F087C858_DFC8_4933_9B48_4725C81CA5A1_.wvu.FilterData" localSheetId="6" hidden="1">'AME - Quarterly'!$P$4:$P$7</definedName>
    <definedName name="Z_F087C858_DFC8_4933_9B48_4725C81CA5A1_.wvu.FilterData" localSheetId="4" hidden="1">'AME - Quarterly 2021'!$J$6:$Y$36</definedName>
    <definedName name="Z_F087C858_DFC8_4933_9B48_4725C81CA5A1_.wvu.FilterData" localSheetId="5" hidden="1">Capex!$B$4:$F$117</definedName>
    <definedName name="Z_F087C858_DFC8_4933_9B48_4725C81CA5A1_.wvu.FilterData" localSheetId="3" hidden="1">WORST!$F$5:$AX$106</definedName>
    <definedName name="Z_F087C858_DFC8_4933_9B48_4725C81CA5A1_.wvu.PrintArea" localSheetId="6" hidden="1">'AME - Quarterly'!$A$2:$P$7</definedName>
    <definedName name="Z_F087C858_DFC8_4933_9B48_4725C81CA5A1_.wvu.PrintArea" localSheetId="4" hidden="1">'AME - Quarterly 2021'!$A$2:$Y$36</definedName>
    <definedName name="Z_F087C858_DFC8_4933_9B48_4725C81CA5A1_.wvu.PrintArea" localSheetId="5" hidden="1">Capex!$A$2:$F$121</definedName>
    <definedName name="Z_F087C858_DFC8_4933_9B48_4725C81CA5A1_.wvu.PrintArea" localSheetId="3" hidden="1">WORST!$A$2:$AY$121</definedName>
    <definedName name="Z_F784EEE0_488C_4484_8E7F_DB02D6488A81_.wvu.Cols" localSheetId="6" hidden="1">'AME - Quarterly'!#REF!</definedName>
    <definedName name="Z_F784EEE0_488C_4484_8E7F_DB02D6488A81_.wvu.Cols" localSheetId="4" hidden="1">'AME - Quarterly 2021'!#REF!</definedName>
    <definedName name="Z_F784EEE0_488C_4484_8E7F_DB02D6488A81_.wvu.Cols" localSheetId="5" hidden="1">Capex!#REF!</definedName>
    <definedName name="Z_F784EEE0_488C_4484_8E7F_DB02D6488A81_.wvu.Cols" localSheetId="3" hidden="1">WORST!#REF!</definedName>
    <definedName name="Z_F784EEE0_488C_4484_8E7F_DB02D6488A81_.wvu.FilterData" localSheetId="6" hidden="1">'AME - Quarterly'!$P$4:$P$7</definedName>
    <definedName name="Z_F784EEE0_488C_4484_8E7F_DB02D6488A81_.wvu.FilterData" localSheetId="4" hidden="1">'AME - Quarterly 2021'!$J$6:$Y$36</definedName>
    <definedName name="Z_F784EEE0_488C_4484_8E7F_DB02D6488A81_.wvu.FilterData" localSheetId="5" hidden="1">Capex!$B$4:$F$117</definedName>
    <definedName name="Z_F784EEE0_488C_4484_8E7F_DB02D6488A81_.wvu.FilterData" localSheetId="3" hidden="1">WORST!$F$5:$AX$106</definedName>
    <definedName name="Z_F784EEE0_488C_4484_8E7F_DB02D6488A81_.wvu.PrintArea" localSheetId="6" hidden="1">'AME - Quarterly'!$A$2:$P$7</definedName>
    <definedName name="Z_F784EEE0_488C_4484_8E7F_DB02D6488A81_.wvu.PrintArea" localSheetId="4" hidden="1">'AME - Quarterly 2021'!$A$2:$Y$36</definedName>
    <definedName name="Z_F784EEE0_488C_4484_8E7F_DB02D6488A81_.wvu.PrintArea" localSheetId="5" hidden="1">Capex!$A$2:$F$121</definedName>
    <definedName name="Z_F784EEE0_488C_4484_8E7F_DB02D6488A81_.wvu.PrintArea" localSheetId="3" hidden="1">WORST!$A$2:$AY$121</definedName>
    <definedName name="Z_F794388B_83B1_4DFD_A886_B32B24335E83_.wvu.FilterData" localSheetId="6" hidden="1">'AME - Quarterly'!$P$4:$P$7</definedName>
    <definedName name="Z_F794388B_83B1_4DFD_A886_B32B24335E83_.wvu.FilterData" localSheetId="4" hidden="1">'AME - Quarterly 2021'!$J$6:$Y$36</definedName>
    <definedName name="Z_F794388B_83B1_4DFD_A886_B32B24335E83_.wvu.FilterData" localSheetId="5" hidden="1">Capex!$B$4:$F$104</definedName>
    <definedName name="Z_F794388B_83B1_4DFD_A886_B32B24335E83_.wvu.FilterData" localSheetId="3" hidden="1">WORST!$F$5:$AX$91</definedName>
  </definedNames>
  <calcPr calcId="191029"/>
  <customWorkbookViews>
    <customWorkbookView name="Ricardo Tinti Perez - Modo de exibição pessoal" guid="{2AEE6C6A-7D00-4007-9FF5-3F442F9FB6F7}" mergeInterval="0" personalView="1" maximized="1" xWindow="-8" yWindow="-8" windowWidth="1616" windowHeight="876" tabRatio="748" activeSheetId="2"/>
    <customWorkbookView name="Ricardo Severnini - Modo de exibição pessoal" guid="{B273F215-1CB4-42AE-BD0F-0EF6FCEDED0F}" mergeInterval="0" personalView="1" maximized="1" windowWidth="1276" windowHeight="781" activeSheetId="4"/>
    <customWorkbookView name="Fernando De Toledo - Modo de exibição pessoal" guid="{F784EEE0-488C-4484-8E7F-DB02D6488A81}" mergeInterval="0" personalView="1" maximized="1" xWindow="-8" yWindow="-8" windowWidth="1696" windowHeight="1066" tabRatio="748" activeSheetId="1"/>
    <customWorkbookView name="Diego Ragonha - Modo de exibição pessoal" guid="{F087C858-DFC8-4933-9B48-4725C81CA5A1}" mergeInterval="0" personalView="1" maximized="1" windowWidth="1362" windowHeight="543" tabRatio="750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49" l="1"/>
  <c r="F39" i="149"/>
  <c r="F40" i="149"/>
  <c r="F41" i="149"/>
  <c r="F42" i="149"/>
  <c r="F43" i="149"/>
  <c r="E43" i="149" s="1"/>
  <c r="F44" i="149"/>
  <c r="E44" i="149" s="1"/>
  <c r="F6" i="149" l="1"/>
  <c r="F7" i="149"/>
  <c r="F8" i="149"/>
  <c r="F9" i="149"/>
  <c r="F10" i="149"/>
  <c r="F11" i="149"/>
  <c r="F12" i="149"/>
  <c r="F13" i="149"/>
  <c r="F14" i="149"/>
  <c r="F15" i="149"/>
  <c r="F16" i="149"/>
  <c r="F17" i="149"/>
  <c r="F18" i="149"/>
  <c r="F19" i="149"/>
  <c r="F20" i="149"/>
  <c r="F21" i="149"/>
  <c r="F22" i="149"/>
  <c r="F23" i="149"/>
  <c r="F24" i="149"/>
  <c r="F25" i="149"/>
  <c r="F26" i="149"/>
  <c r="F27" i="149"/>
  <c r="F28" i="149"/>
  <c r="F29" i="149"/>
  <c r="F30" i="149"/>
  <c r="F31" i="149"/>
  <c r="F32" i="149"/>
  <c r="F33" i="149"/>
  <c r="F34" i="149"/>
  <c r="F35" i="149"/>
  <c r="F36" i="149"/>
  <c r="F37" i="149"/>
  <c r="F30" i="120"/>
  <c r="F31" i="120"/>
  <c r="F32" i="120"/>
  <c r="F33" i="120"/>
  <c r="F34" i="120"/>
  <c r="F35" i="120"/>
  <c r="F36" i="120"/>
  <c r="F37" i="120"/>
  <c r="F38" i="120"/>
  <c r="F39" i="120"/>
  <c r="F40" i="120"/>
  <c r="F41" i="120"/>
  <c r="F42" i="120"/>
  <c r="F43" i="120"/>
  <c r="F44" i="120"/>
  <c r="F45" i="120"/>
  <c r="F46" i="120"/>
  <c r="F47" i="120"/>
  <c r="F48" i="120"/>
  <c r="F49" i="120"/>
  <c r="F50" i="120"/>
  <c r="F51" i="120"/>
  <c r="F10" i="120"/>
  <c r="F52" i="120"/>
  <c r="F18" i="120"/>
  <c r="F53" i="120"/>
  <c r="F54" i="120"/>
  <c r="F55" i="120"/>
  <c r="F56" i="120"/>
  <c r="F373" i="120"/>
  <c r="F57" i="120"/>
  <c r="F58" i="120"/>
  <c r="F59" i="120"/>
  <c r="E60" i="120"/>
  <c r="F60" i="120"/>
  <c r="F61" i="120"/>
  <c r="F62" i="120"/>
  <c r="F63" i="120"/>
  <c r="F64" i="120"/>
  <c r="E65" i="120"/>
  <c r="F65" i="120"/>
  <c r="F66" i="120"/>
  <c r="F390" i="120"/>
  <c r="F67" i="120"/>
  <c r="F374" i="120"/>
  <c r="F395" i="120"/>
  <c r="F68" i="120"/>
  <c r="F69" i="120"/>
  <c r="F24" i="120"/>
  <c r="F375" i="120"/>
  <c r="F408" i="120"/>
  <c r="F409" i="120"/>
  <c r="F407" i="120"/>
  <c r="F21" i="120"/>
  <c r="F70" i="120"/>
  <c r="F406" i="120"/>
  <c r="F23" i="120"/>
  <c r="F71" i="120"/>
  <c r="F6" i="120"/>
  <c r="F72" i="120"/>
  <c r="F73" i="120"/>
  <c r="F74" i="120"/>
  <c r="F75" i="120"/>
  <c r="F76" i="120"/>
  <c r="F77" i="120"/>
  <c r="F78" i="120"/>
  <c r="F79" i="120"/>
  <c r="F80" i="120"/>
  <c r="F81" i="120"/>
  <c r="F82" i="120"/>
  <c r="F83" i="120"/>
  <c r="F84" i="120"/>
  <c r="F85" i="120"/>
  <c r="F86" i="120"/>
  <c r="F87" i="120"/>
  <c r="F88" i="120"/>
  <c r="F89" i="120"/>
  <c r="F90" i="120"/>
  <c r="F91" i="120"/>
  <c r="F92" i="120"/>
  <c r="F93" i="120"/>
  <c r="F94" i="120"/>
  <c r="F95" i="120"/>
  <c r="F96" i="120"/>
  <c r="F97" i="120"/>
  <c r="F98" i="120"/>
  <c r="F99" i="120"/>
  <c r="F100" i="120"/>
  <c r="F101" i="120"/>
  <c r="F102" i="120"/>
  <c r="F103" i="120"/>
  <c r="F104" i="120"/>
  <c r="F105" i="120"/>
  <c r="F106" i="120"/>
  <c r="F107" i="120"/>
  <c r="F108" i="120"/>
  <c r="F109" i="120"/>
  <c r="F110" i="120"/>
  <c r="F111" i="120"/>
  <c r="F112" i="120"/>
  <c r="F113" i="120"/>
  <c r="F114" i="120"/>
  <c r="F115" i="120"/>
  <c r="F116" i="120"/>
  <c r="F117" i="120"/>
  <c r="F118" i="120"/>
  <c r="F119" i="120"/>
  <c r="F120" i="120"/>
  <c r="F121" i="120"/>
  <c r="F122" i="120"/>
  <c r="F123" i="120"/>
  <c r="F124" i="120"/>
  <c r="F125" i="120"/>
  <c r="F126" i="120"/>
  <c r="F127" i="120"/>
  <c r="F128" i="120"/>
  <c r="F129" i="120"/>
  <c r="F130" i="120"/>
  <c r="F131" i="120"/>
  <c r="F132" i="120"/>
  <c r="F133" i="120"/>
  <c r="F134" i="120"/>
  <c r="F135" i="120"/>
  <c r="F136" i="120"/>
  <c r="F137" i="120"/>
  <c r="F138" i="120"/>
  <c r="F139" i="120"/>
  <c r="F140" i="120"/>
  <c r="F141" i="120"/>
  <c r="F142" i="120"/>
  <c r="F143" i="120"/>
  <c r="F144" i="120"/>
  <c r="F145" i="120"/>
  <c r="F146" i="120"/>
  <c r="F147" i="120"/>
  <c r="F148" i="120"/>
  <c r="F149" i="120"/>
  <c r="F150" i="120"/>
  <c r="F151" i="120"/>
  <c r="F152" i="120"/>
  <c r="F153" i="120"/>
  <c r="F154" i="120"/>
  <c r="F155" i="120"/>
  <c r="F156" i="120"/>
  <c r="F157" i="120"/>
  <c r="F158" i="120"/>
  <c r="F159" i="120"/>
  <c r="F160" i="120"/>
  <c r="F161" i="120"/>
  <c r="F162" i="120"/>
  <c r="F163" i="120"/>
  <c r="F164" i="120"/>
  <c r="F165" i="120"/>
  <c r="F166" i="120"/>
  <c r="F167" i="120"/>
  <c r="F168" i="120"/>
  <c r="F169" i="120"/>
  <c r="F170" i="120"/>
  <c r="F399" i="120"/>
  <c r="F171" i="120"/>
  <c r="F172" i="120"/>
  <c r="F173" i="120"/>
  <c r="F174" i="120"/>
  <c r="F175" i="120"/>
  <c r="F176" i="120"/>
  <c r="F177" i="120"/>
  <c r="F178" i="120"/>
  <c r="F179" i="120"/>
  <c r="F180" i="120"/>
  <c r="F181" i="120"/>
  <c r="F182" i="120"/>
  <c r="F183" i="120"/>
  <c r="F184" i="120"/>
  <c r="F185" i="120"/>
  <c r="F186" i="120"/>
  <c r="F187" i="120"/>
  <c r="F188" i="120"/>
  <c r="F189" i="120"/>
  <c r="F190" i="120"/>
  <c r="F191" i="120"/>
  <c r="F192" i="120"/>
  <c r="F193" i="120"/>
  <c r="F194" i="120"/>
  <c r="F195" i="120"/>
  <c r="F11" i="120"/>
  <c r="F196" i="120"/>
  <c r="F197" i="120"/>
  <c r="F198" i="120"/>
  <c r="F199" i="120"/>
  <c r="F200" i="120"/>
  <c r="F201" i="120"/>
  <c r="F202" i="120"/>
  <c r="F203" i="120"/>
  <c r="F204" i="120"/>
  <c r="F205" i="120"/>
  <c r="F394" i="120"/>
  <c r="F206" i="120"/>
  <c r="F207" i="120"/>
  <c r="F208" i="120"/>
  <c r="F209" i="120"/>
  <c r="F210" i="120"/>
  <c r="F211" i="120"/>
  <c r="F391" i="120"/>
  <c r="F212" i="120"/>
  <c r="F213" i="120"/>
  <c r="F214" i="120"/>
  <c r="F215" i="120"/>
  <c r="F216" i="120"/>
  <c r="F217" i="120"/>
  <c r="F218" i="120"/>
  <c r="F219" i="120"/>
  <c r="F220" i="120"/>
  <c r="F221" i="120"/>
  <c r="F222" i="120"/>
  <c r="F223" i="120"/>
  <c r="F224" i="120"/>
  <c r="F225" i="120"/>
  <c r="F226" i="120"/>
  <c r="F227" i="120"/>
  <c r="F228" i="120"/>
  <c r="F229" i="120"/>
  <c r="F230" i="120"/>
  <c r="F231" i="120"/>
  <c r="F232" i="120"/>
  <c r="F233" i="120"/>
  <c r="F234" i="120"/>
  <c r="F235" i="120"/>
  <c r="F236" i="120"/>
  <c r="F237" i="120"/>
  <c r="F238" i="120"/>
  <c r="F20" i="120"/>
  <c r="F239" i="120"/>
  <c r="F240" i="120"/>
  <c r="F241" i="120"/>
  <c r="F242" i="120"/>
  <c r="F243" i="120"/>
  <c r="F244" i="120"/>
  <c r="F245" i="120"/>
  <c r="F17" i="120"/>
  <c r="F246" i="120"/>
  <c r="F247" i="120"/>
  <c r="F248" i="120"/>
  <c r="F249" i="120"/>
  <c r="F26" i="120"/>
  <c r="F250" i="120"/>
  <c r="F386" i="120"/>
  <c r="F251" i="120"/>
  <c r="F252" i="120"/>
  <c r="F253" i="120"/>
  <c r="F254" i="120"/>
  <c r="F255" i="120"/>
  <c r="F256" i="120"/>
  <c r="F385" i="120"/>
  <c r="F257" i="120"/>
  <c r="F258" i="120"/>
  <c r="F259" i="120"/>
  <c r="F260" i="120"/>
  <c r="F261" i="120"/>
  <c r="F15" i="120"/>
  <c r="F404" i="120"/>
  <c r="F262" i="120"/>
  <c r="F263" i="120"/>
  <c r="F264" i="120"/>
  <c r="F265" i="120"/>
  <c r="F266" i="120"/>
  <c r="F267" i="120"/>
  <c r="F268" i="120"/>
  <c r="F269" i="120"/>
  <c r="F270" i="120"/>
  <c r="F271" i="120"/>
  <c r="F272" i="120"/>
  <c r="F273" i="120"/>
  <c r="F387" i="120"/>
  <c r="F274" i="120"/>
  <c r="F275" i="120"/>
  <c r="F276" i="120"/>
  <c r="F277" i="120"/>
  <c r="F278" i="120"/>
  <c r="F279" i="120"/>
  <c r="F280" i="120"/>
  <c r="F281" i="120"/>
  <c r="F282" i="120"/>
  <c r="F283" i="120"/>
  <c r="F284" i="120"/>
  <c r="F285" i="120"/>
  <c r="F286" i="120"/>
  <c r="F287" i="120"/>
  <c r="F288" i="120"/>
  <c r="F289" i="120"/>
  <c r="F290" i="120"/>
  <c r="F291" i="120"/>
  <c r="F292" i="120"/>
  <c r="F293" i="120"/>
  <c r="F294" i="120"/>
  <c r="F295" i="120"/>
  <c r="F296" i="120"/>
  <c r="F297" i="120"/>
  <c r="F7" i="120"/>
  <c r="F298" i="120"/>
  <c r="F384" i="120"/>
  <c r="F299" i="120"/>
  <c r="F389" i="120"/>
  <c r="F300" i="120"/>
  <c r="F301" i="120"/>
  <c r="F302" i="120"/>
  <c r="F303" i="120"/>
  <c r="F304" i="120"/>
  <c r="F305" i="120"/>
  <c r="F5" i="120"/>
  <c r="F28" i="120"/>
  <c r="F306" i="120"/>
  <c r="F307" i="120"/>
  <c r="F308" i="120"/>
  <c r="F309" i="120"/>
  <c r="F310" i="120"/>
  <c r="F311" i="120"/>
  <c r="F312" i="120"/>
  <c r="F313" i="120"/>
  <c r="F314" i="120"/>
  <c r="F315" i="120"/>
  <c r="F316" i="120"/>
  <c r="F317" i="120"/>
  <c r="F318" i="120"/>
  <c r="F319" i="120"/>
  <c r="F388" i="120"/>
  <c r="F320" i="120"/>
  <c r="F321" i="120"/>
  <c r="F402" i="120"/>
  <c r="F393" i="120"/>
  <c r="F400" i="120"/>
  <c r="F322" i="120"/>
  <c r="F382" i="120"/>
  <c r="F323" i="120"/>
  <c r="F324" i="120"/>
  <c r="F325" i="120"/>
  <c r="F326" i="120"/>
  <c r="F327" i="120"/>
  <c r="F328" i="120"/>
  <c r="F329" i="120"/>
  <c r="F396" i="120"/>
  <c r="F392" i="120"/>
  <c r="F398" i="120"/>
  <c r="F330" i="120"/>
  <c r="F401" i="120"/>
  <c r="F380" i="120"/>
  <c r="F331" i="120"/>
  <c r="F332" i="120"/>
  <c r="F19" i="120"/>
  <c r="F333" i="120"/>
  <c r="F381" i="120"/>
  <c r="F334" i="120"/>
  <c r="F335" i="120"/>
  <c r="F336" i="120"/>
  <c r="F337" i="120"/>
  <c r="F338" i="120"/>
  <c r="F339" i="120"/>
  <c r="F340" i="120"/>
  <c r="F341" i="120"/>
  <c r="F403" i="120"/>
  <c r="F342" i="120"/>
  <c r="F343" i="120"/>
  <c r="F344" i="120"/>
  <c r="F345" i="120"/>
  <c r="F346" i="120"/>
  <c r="F347" i="120"/>
  <c r="F348" i="120"/>
  <c r="F349" i="120"/>
  <c r="F350" i="120"/>
  <c r="F351" i="120"/>
  <c r="F383" i="120"/>
  <c r="F352" i="120"/>
  <c r="F353" i="120"/>
  <c r="F397" i="120"/>
  <c r="F379" i="120"/>
  <c r="F378" i="120"/>
  <c r="F405" i="120"/>
  <c r="F354" i="120"/>
  <c r="F8" i="120"/>
  <c r="F25" i="120"/>
  <c r="F355" i="120"/>
  <c r="F356" i="120"/>
  <c r="F9" i="120"/>
  <c r="F357" i="120"/>
  <c r="F13" i="120"/>
  <c r="F377" i="120"/>
  <c r="F16" i="120"/>
  <c r="F14" i="120"/>
  <c r="F12" i="120"/>
  <c r="F358" i="120"/>
  <c r="F359" i="120"/>
  <c r="F360" i="120"/>
  <c r="F361" i="120"/>
  <c r="F362" i="120"/>
  <c r="F363" i="120"/>
  <c r="F364" i="120"/>
  <c r="F365" i="120"/>
  <c r="F27" i="120"/>
  <c r="F366" i="120"/>
  <c r="F367" i="120"/>
  <c r="F368" i="120"/>
  <c r="F376" i="120"/>
  <c r="F22" i="120"/>
  <c r="F369" i="120"/>
  <c r="F370" i="120"/>
  <c r="F371" i="120"/>
  <c r="F372" i="120"/>
  <c r="E22" i="120" l="1"/>
  <c r="E27" i="120" l="1"/>
  <c r="E42" i="149" l="1"/>
  <c r="E363" i="120" l="1"/>
  <c r="E41" i="149" l="1"/>
  <c r="E40" i="149" l="1"/>
  <c r="E38" i="149"/>
  <c r="E39" i="149"/>
  <c r="E33" i="149" l="1"/>
  <c r="E34" i="149"/>
  <c r="E35" i="149"/>
  <c r="E36" i="149"/>
  <c r="E37" i="149"/>
  <c r="E6" i="149" l="1"/>
  <c r="E8" i="149"/>
  <c r="E9" i="149"/>
  <c r="E10" i="149"/>
  <c r="E11" i="149"/>
  <c r="E12" i="149"/>
  <c r="E13" i="149"/>
  <c r="E14" i="149"/>
  <c r="E15" i="149"/>
  <c r="E16" i="149"/>
  <c r="E17" i="149"/>
  <c r="E18" i="149"/>
  <c r="E19" i="149"/>
  <c r="E20" i="149"/>
  <c r="E21" i="149"/>
  <c r="E22" i="149"/>
  <c r="E23" i="149"/>
  <c r="E24" i="149"/>
  <c r="E25" i="149"/>
  <c r="E26" i="149"/>
  <c r="E27" i="149"/>
  <c r="E28" i="149"/>
  <c r="E29" i="149"/>
  <c r="E30" i="149"/>
  <c r="E31" i="149"/>
  <c r="E32" i="149"/>
  <c r="F5" i="149"/>
  <c r="E5" i="149" s="1"/>
  <c r="E7" i="149" l="1"/>
  <c r="H1" i="149" l="1"/>
  <c r="I1" i="149"/>
  <c r="K1" i="149"/>
  <c r="L1" i="149"/>
  <c r="M1" i="149"/>
  <c r="N1" i="149"/>
  <c r="O1" i="149"/>
  <c r="P1" i="149"/>
  <c r="Q1" i="149"/>
  <c r="J5" i="149"/>
  <c r="J7" i="149"/>
  <c r="J11" i="149"/>
  <c r="J16" i="149"/>
  <c r="J19" i="149"/>
  <c r="J20" i="149"/>
  <c r="J24" i="149"/>
  <c r="J28" i="149"/>
  <c r="J30" i="149"/>
  <c r="J32" i="149"/>
  <c r="J15" i="149" l="1"/>
  <c r="J23" i="149"/>
  <c r="J8" i="149"/>
  <c r="J34" i="149"/>
  <c r="J27" i="149"/>
  <c r="J12" i="149"/>
  <c r="J31" i="149"/>
  <c r="J9" i="149"/>
  <c r="J26" i="149"/>
  <c r="J22" i="149"/>
  <c r="J18" i="149"/>
  <c r="J14" i="149"/>
  <c r="J10" i="149"/>
  <c r="J6" i="149"/>
  <c r="J29" i="149"/>
  <c r="J25" i="149"/>
  <c r="J21" i="149"/>
  <c r="J17" i="149"/>
  <c r="J13" i="149"/>
  <c r="J33" i="149"/>
  <c r="J1" i="149" l="1"/>
  <c r="E358" i="120" l="1"/>
  <c r="E377" i="120" l="1"/>
  <c r="E14" i="120"/>
  <c r="E16" i="120"/>
  <c r="E354" i="120" l="1"/>
  <c r="E378" i="120"/>
  <c r="E379" i="120"/>
  <c r="E369" i="120" l="1"/>
  <c r="E370" i="120"/>
  <c r="E371" i="120"/>
  <c r="E367" i="120"/>
  <c r="E376" i="120"/>
  <c r="E368" i="120"/>
  <c r="E372" i="120"/>
  <c r="E361" i="120" l="1"/>
  <c r="E13" i="120"/>
  <c r="E359" i="120"/>
  <c r="E362" i="120"/>
  <c r="E360" i="120"/>
  <c r="E9" i="120"/>
  <c r="E25" i="120"/>
  <c r="E364" i="120"/>
  <c r="E366" i="120"/>
  <c r="E365" i="120"/>
  <c r="E355" i="120"/>
  <c r="E356" i="120"/>
  <c r="E405" i="120"/>
  <c r="E357" i="120"/>
  <c r="E12" i="120" l="1"/>
  <c r="E30" i="120" l="1"/>
  <c r="E31" i="120"/>
  <c r="E32" i="120"/>
  <c r="E33" i="120"/>
  <c r="E34" i="120"/>
  <c r="E35" i="120"/>
  <c r="E36" i="120"/>
  <c r="E37" i="120"/>
  <c r="E38" i="120"/>
  <c r="E39" i="120"/>
  <c r="E40" i="120"/>
  <c r="E41" i="120"/>
  <c r="E42" i="120"/>
  <c r="E43" i="120"/>
  <c r="E44" i="120"/>
  <c r="E45" i="120"/>
  <c r="E46" i="120"/>
  <c r="E47" i="120"/>
  <c r="E48" i="120"/>
  <c r="E49" i="120"/>
  <c r="E50" i="120"/>
  <c r="E52" i="120"/>
  <c r="E54" i="120"/>
  <c r="E57" i="120"/>
  <c r="E64" i="120"/>
  <c r="E72" i="120"/>
  <c r="E73" i="120"/>
  <c r="E74" i="120"/>
  <c r="E75" i="120"/>
  <c r="E76" i="120"/>
  <c r="E77" i="120"/>
  <c r="E78" i="120"/>
  <c r="E79" i="120"/>
  <c r="E80" i="120"/>
  <c r="E81" i="120"/>
  <c r="E82" i="120"/>
  <c r="E83" i="120"/>
  <c r="E84" i="120"/>
  <c r="E85" i="120"/>
  <c r="E86" i="120"/>
  <c r="E87" i="120"/>
  <c r="E88" i="120"/>
  <c r="E89" i="120"/>
  <c r="E90" i="120"/>
  <c r="E91" i="120"/>
  <c r="E92" i="120"/>
  <c r="E93" i="120"/>
  <c r="E94" i="120"/>
  <c r="E95" i="120"/>
  <c r="E96" i="120"/>
  <c r="E97" i="120"/>
  <c r="E98" i="120"/>
  <c r="E99" i="120"/>
  <c r="E100" i="120"/>
  <c r="E101" i="120"/>
  <c r="E102" i="120"/>
  <c r="E103" i="120"/>
  <c r="E104" i="120"/>
  <c r="E105" i="120"/>
  <c r="E106" i="120"/>
  <c r="E107" i="120"/>
  <c r="E108" i="120"/>
  <c r="E109" i="120"/>
  <c r="E110" i="120"/>
  <c r="E111" i="120"/>
  <c r="E112" i="120"/>
  <c r="E113" i="120"/>
  <c r="E114" i="120"/>
  <c r="E115" i="120"/>
  <c r="E116" i="120"/>
  <c r="E117" i="120"/>
  <c r="E118" i="120"/>
  <c r="E119" i="120"/>
  <c r="E120" i="120"/>
  <c r="E121" i="120"/>
  <c r="E122" i="120"/>
  <c r="E123" i="120"/>
  <c r="E124" i="120"/>
  <c r="E125" i="120"/>
  <c r="E126" i="120"/>
  <c r="E127" i="120"/>
  <c r="E128" i="120"/>
  <c r="E129" i="120"/>
  <c r="E130" i="120"/>
  <c r="E131" i="120"/>
  <c r="E132" i="120"/>
  <c r="E133" i="120"/>
  <c r="E134" i="120"/>
  <c r="E135" i="120"/>
  <c r="E137" i="120"/>
  <c r="E138" i="120"/>
  <c r="E139" i="120"/>
  <c r="E140" i="120"/>
  <c r="E141" i="120"/>
  <c r="E142" i="120"/>
  <c r="E143" i="120"/>
  <c r="E144" i="120"/>
  <c r="E145" i="120"/>
  <c r="E146" i="120"/>
  <c r="E147" i="120"/>
  <c r="E148" i="120"/>
  <c r="E149" i="120"/>
  <c r="E150" i="120"/>
  <c r="E151" i="120"/>
  <c r="E152" i="120"/>
  <c r="E153" i="120"/>
  <c r="E154" i="120"/>
  <c r="E155" i="120"/>
  <c r="E156" i="120"/>
  <c r="E157" i="120"/>
  <c r="E158" i="120"/>
  <c r="E159" i="120"/>
  <c r="E160" i="120"/>
  <c r="E161" i="120"/>
  <c r="E162" i="120"/>
  <c r="E163" i="120"/>
  <c r="E164" i="120"/>
  <c r="E165" i="120"/>
  <c r="E166" i="120"/>
  <c r="E167" i="120"/>
  <c r="E168" i="120"/>
  <c r="E169" i="120"/>
  <c r="E170" i="120"/>
  <c r="E171" i="120"/>
  <c r="E172" i="120"/>
  <c r="E173" i="120"/>
  <c r="E174" i="120"/>
  <c r="E177" i="120"/>
  <c r="E178" i="120"/>
  <c r="E179" i="120"/>
  <c r="E180" i="120"/>
  <c r="E181" i="120"/>
  <c r="E182" i="120"/>
  <c r="E183" i="120"/>
  <c r="E184" i="120"/>
  <c r="E185" i="120"/>
  <c r="E186" i="120"/>
  <c r="E187" i="120"/>
  <c r="E188" i="120"/>
  <c r="E189" i="120"/>
  <c r="E190" i="120"/>
  <c r="E191" i="120"/>
  <c r="E192" i="120"/>
  <c r="E193" i="120"/>
  <c r="E194" i="120"/>
  <c r="E195" i="120"/>
  <c r="E196" i="120"/>
  <c r="E197" i="120"/>
  <c r="E198" i="120"/>
  <c r="E199" i="120"/>
  <c r="E200" i="120"/>
  <c r="E201" i="120"/>
  <c r="E202" i="120"/>
  <c r="E204" i="120"/>
  <c r="E205" i="120"/>
  <c r="E206" i="120"/>
  <c r="E207" i="120"/>
  <c r="E208" i="120"/>
  <c r="E209" i="120"/>
  <c r="E210" i="120"/>
  <c r="E212" i="120"/>
  <c r="E213" i="120"/>
  <c r="E215" i="120"/>
  <c r="E217" i="120"/>
  <c r="E219" i="120"/>
  <c r="E222" i="120"/>
  <c r="E223" i="120"/>
  <c r="E225" i="120"/>
  <c r="E227" i="120"/>
  <c r="E228" i="120"/>
  <c r="E229" i="120"/>
  <c r="E230" i="120"/>
  <c r="E231" i="120"/>
  <c r="E233" i="120"/>
  <c r="E234" i="120"/>
  <c r="E235" i="120"/>
  <c r="E236" i="120"/>
  <c r="E238" i="120"/>
  <c r="E239" i="120"/>
  <c r="E240" i="120"/>
  <c r="E241" i="120"/>
  <c r="E242" i="120"/>
  <c r="E243" i="120"/>
  <c r="E245" i="120"/>
  <c r="E249" i="120"/>
  <c r="E250" i="120"/>
  <c r="E253" i="120"/>
  <c r="E255" i="120"/>
  <c r="E256" i="120"/>
  <c r="E258" i="120"/>
  <c r="E259" i="120"/>
  <c r="E260" i="120"/>
  <c r="E262" i="120"/>
  <c r="E264" i="120"/>
  <c r="E265" i="120"/>
  <c r="E267" i="120"/>
  <c r="E268" i="120"/>
  <c r="E270" i="120"/>
  <c r="E271" i="120"/>
  <c r="E272" i="120"/>
  <c r="E273" i="120"/>
  <c r="E276" i="120"/>
  <c r="E277" i="120"/>
  <c r="E279" i="120"/>
  <c r="E281" i="120"/>
  <c r="E282" i="120"/>
  <c r="E283" i="120"/>
  <c r="E284" i="120"/>
  <c r="E285" i="120"/>
  <c r="E286" i="120"/>
  <c r="E287" i="120"/>
  <c r="E288" i="120"/>
  <c r="E289" i="120"/>
  <c r="E290" i="120"/>
  <c r="E291" i="120"/>
  <c r="E292" i="120"/>
  <c r="E293" i="120"/>
  <c r="E294" i="120"/>
  <c r="E296" i="120"/>
  <c r="E297" i="120"/>
  <c r="E298" i="120"/>
  <c r="E305" i="120"/>
  <c r="E307" i="120"/>
  <c r="E308" i="120"/>
  <c r="E310" i="120"/>
  <c r="E311" i="120"/>
  <c r="E312" i="120"/>
  <c r="E314" i="120"/>
  <c r="E315" i="120"/>
  <c r="E316" i="120"/>
  <c r="E318" i="120"/>
  <c r="E319" i="120"/>
  <c r="E320" i="120"/>
  <c r="E325" i="120"/>
  <c r="E326" i="120"/>
  <c r="E327" i="120"/>
  <c r="E333" i="120"/>
  <c r="E343" i="120"/>
  <c r="E349" i="120"/>
  <c r="E341" i="120" l="1"/>
  <c r="E383" i="120"/>
  <c r="E344" i="120"/>
  <c r="E337" i="120"/>
  <c r="E331" i="120"/>
  <c r="E328" i="120"/>
  <c r="E400" i="120"/>
  <c r="E317" i="120"/>
  <c r="E309" i="120"/>
  <c r="E303" i="120"/>
  <c r="E7" i="120"/>
  <c r="E274" i="120"/>
  <c r="E261" i="120"/>
  <c r="E254" i="120"/>
  <c r="E248" i="120"/>
  <c r="E226" i="120"/>
  <c r="E218" i="120"/>
  <c r="E211" i="120"/>
  <c r="E71" i="120"/>
  <c r="E375" i="120"/>
  <c r="E66" i="120"/>
  <c r="E373" i="120"/>
  <c r="E51" i="120"/>
  <c r="E387" i="120"/>
  <c r="E247" i="120"/>
  <c r="E203" i="120"/>
  <c r="E11" i="120"/>
  <c r="E23" i="120"/>
  <c r="E24" i="120"/>
  <c r="E56" i="120"/>
  <c r="E393" i="120"/>
  <c r="E266" i="120"/>
  <c r="E335" i="120"/>
  <c r="E402" i="120"/>
  <c r="E301" i="120"/>
  <c r="E280" i="120"/>
  <c r="E252" i="120"/>
  <c r="E246" i="120"/>
  <c r="E232" i="120"/>
  <c r="E224" i="120"/>
  <c r="E216" i="120"/>
  <c r="E406" i="120"/>
  <c r="E69" i="120"/>
  <c r="E63" i="120"/>
  <c r="E55" i="120"/>
  <c r="E380" i="120"/>
  <c r="E302" i="120"/>
  <c r="E350" i="120"/>
  <c r="E342" i="120"/>
  <c r="E401" i="120"/>
  <c r="E403" i="120"/>
  <c r="E334" i="120"/>
  <c r="E330" i="120"/>
  <c r="E321" i="120"/>
  <c r="E306" i="120"/>
  <c r="E300" i="120"/>
  <c r="E295" i="120"/>
  <c r="E251" i="120"/>
  <c r="E17" i="120"/>
  <c r="E20" i="120"/>
  <c r="E399" i="120"/>
  <c r="E70" i="120"/>
  <c r="E68" i="120"/>
  <c r="E62" i="120"/>
  <c r="E351" i="120"/>
  <c r="E398" i="120"/>
  <c r="E28" i="120"/>
  <c r="E278" i="120"/>
  <c r="E386" i="120"/>
  <c r="E214" i="120"/>
  <c r="E21" i="120"/>
  <c r="E395" i="120"/>
  <c r="E61" i="120"/>
  <c r="E53" i="120"/>
  <c r="E336" i="120"/>
  <c r="E348" i="120"/>
  <c r="E324" i="120"/>
  <c r="E257" i="120"/>
  <c r="E347" i="120"/>
  <c r="E340" i="120"/>
  <c r="E392" i="120"/>
  <c r="E323" i="120"/>
  <c r="E388" i="120"/>
  <c r="E5" i="120"/>
  <c r="E299" i="120"/>
  <c r="E385" i="120"/>
  <c r="E244" i="120"/>
  <c r="E237" i="120"/>
  <c r="E221" i="120"/>
  <c r="E176" i="120"/>
  <c r="E407" i="120"/>
  <c r="E374" i="120"/>
  <c r="E59" i="120"/>
  <c r="E18" i="120"/>
  <c r="E8" i="120"/>
  <c r="E263" i="120"/>
  <c r="E353" i="120"/>
  <c r="E339" i="120"/>
  <c r="E19" i="120"/>
  <c r="E396" i="120"/>
  <c r="E382" i="120"/>
  <c r="E384" i="120"/>
  <c r="E269" i="120"/>
  <c r="E404" i="120"/>
  <c r="E26" i="120"/>
  <c r="E220" i="120"/>
  <c r="E394" i="120"/>
  <c r="E175" i="120"/>
  <c r="E136" i="120"/>
  <c r="E409" i="120"/>
  <c r="E67" i="120"/>
  <c r="E58" i="120"/>
  <c r="E381" i="120"/>
  <c r="E313" i="120"/>
  <c r="E389" i="120"/>
  <c r="E397" i="120"/>
  <c r="E346" i="120"/>
  <c r="E352" i="120"/>
  <c r="E345" i="120"/>
  <c r="E338" i="120"/>
  <c r="E332" i="120"/>
  <c r="E329" i="120"/>
  <c r="E322" i="120"/>
  <c r="E304" i="120"/>
  <c r="E275" i="120"/>
  <c r="E15" i="120"/>
  <c r="E391" i="120"/>
  <c r="E6" i="120"/>
  <c r="E408" i="120"/>
  <c r="E390" i="120"/>
  <c r="E10" i="120"/>
  <c r="F29" i="120" l="1"/>
  <c r="E29" i="120" l="1"/>
  <c r="AS1" i="93" l="1"/>
  <c r="AS2" i="93" s="1"/>
  <c r="AR1" i="93" l="1"/>
  <c r="AR2" i="93" s="1"/>
  <c r="AM8" i="93" l="1"/>
  <c r="AM9" i="93"/>
  <c r="AM10" i="93"/>
  <c r="AM11" i="93"/>
  <c r="AM12" i="93"/>
  <c r="AM13" i="93"/>
  <c r="AM14" i="93"/>
  <c r="AM15" i="93"/>
  <c r="AM16" i="93"/>
  <c r="AM17" i="93"/>
  <c r="AM18" i="93"/>
  <c r="AM19" i="93"/>
  <c r="AM20" i="93"/>
  <c r="AM21" i="93"/>
  <c r="AM22" i="93"/>
  <c r="AM23" i="93"/>
  <c r="AM24" i="93"/>
  <c r="AM25" i="93"/>
  <c r="AM26" i="93"/>
  <c r="AM27" i="93"/>
  <c r="AM28" i="93"/>
  <c r="AM29" i="93"/>
  <c r="AM30" i="93"/>
  <c r="AM31" i="93"/>
  <c r="AM32" i="93"/>
  <c r="AM33" i="93"/>
  <c r="AM34" i="93"/>
  <c r="AM35" i="93"/>
  <c r="AM36" i="93"/>
  <c r="AM37" i="93"/>
  <c r="AM38" i="93"/>
  <c r="AQ1" i="93"/>
  <c r="AQ2" i="93" s="1"/>
  <c r="AN34" i="93" l="1"/>
  <c r="AN1" i="93" s="1"/>
  <c r="AM7" i="93"/>
  <c r="AO1" i="93" l="1"/>
  <c r="AO2" i="93" s="1"/>
  <c r="X4" i="93" l="1"/>
  <c r="Z8" i="93" l="1"/>
  <c r="BB8" i="93" s="1"/>
  <c r="Z9" i="93"/>
  <c r="BB9" i="93" s="1"/>
  <c r="Z10" i="93"/>
  <c r="BB10" i="93" s="1"/>
  <c r="Z11" i="93"/>
  <c r="BB11" i="93" s="1"/>
  <c r="Z12" i="93"/>
  <c r="BB12" i="93" s="1"/>
  <c r="Z13" i="93"/>
  <c r="BB13" i="93" s="1"/>
  <c r="Z14" i="93"/>
  <c r="BB14" i="93" s="1"/>
  <c r="Z15" i="93"/>
  <c r="BB15" i="93" s="1"/>
  <c r="Z16" i="93"/>
  <c r="BB16" i="93" s="1"/>
  <c r="Z17" i="93"/>
  <c r="BB17" i="93" s="1"/>
  <c r="Z18" i="93"/>
  <c r="BB18" i="93" s="1"/>
  <c r="Z19" i="93"/>
  <c r="BB19" i="93" s="1"/>
  <c r="Z20" i="93"/>
  <c r="BB20" i="93" s="1"/>
  <c r="Z21" i="93"/>
  <c r="BB21" i="93" s="1"/>
  <c r="Z22" i="93"/>
  <c r="BB22" i="93" s="1"/>
  <c r="Z23" i="93"/>
  <c r="BB23" i="93" s="1"/>
  <c r="Z24" i="93"/>
  <c r="BB24" i="93" s="1"/>
  <c r="Z25" i="93"/>
  <c r="BB25" i="93" s="1"/>
  <c r="Z26" i="93"/>
  <c r="BB26" i="93" s="1"/>
  <c r="Z27" i="93"/>
  <c r="BB27" i="93" s="1"/>
  <c r="Z28" i="93"/>
  <c r="BB28" i="93" s="1"/>
  <c r="Z29" i="93"/>
  <c r="BB29" i="93" s="1"/>
  <c r="Z30" i="93"/>
  <c r="BB30" i="93" s="1"/>
  <c r="Z31" i="93"/>
  <c r="BB31" i="93" s="1"/>
  <c r="Z32" i="93"/>
  <c r="BB32" i="93" s="1"/>
  <c r="Z33" i="93"/>
  <c r="BB33" i="93" s="1"/>
  <c r="Z34" i="93"/>
  <c r="BB34" i="93" s="1"/>
  <c r="Z35" i="93"/>
  <c r="BB35" i="93" s="1"/>
  <c r="Z36" i="93"/>
  <c r="BB36" i="93" s="1"/>
  <c r="Z37" i="93"/>
  <c r="BB37" i="93" s="1"/>
  <c r="Z38" i="93"/>
  <c r="BB38" i="93" s="1"/>
  <c r="Z7" i="93"/>
  <c r="AL5" i="93"/>
  <c r="DR274" i="111" l="1"/>
  <c r="DK274" i="111"/>
  <c r="DJ274" i="111"/>
  <c r="DI274" i="111"/>
  <c r="DH274" i="111"/>
  <c r="DF274" i="111"/>
  <c r="DB274" i="111"/>
  <c r="DA274" i="111"/>
  <c r="CZ274" i="111"/>
  <c r="CY274" i="111"/>
  <c r="CL274" i="111"/>
  <c r="CE274" i="111"/>
  <c r="CC274" i="111"/>
  <c r="CB274" i="111"/>
  <c r="AY274" i="111"/>
  <c r="AX274" i="111"/>
  <c r="AK274" i="111"/>
  <c r="L274" i="111"/>
  <c r="AE274" i="111" s="1"/>
  <c r="K274" i="111"/>
  <c r="J274" i="111"/>
  <c r="DR273" i="111"/>
  <c r="DK273" i="111"/>
  <c r="DJ273" i="111"/>
  <c r="DI273" i="111"/>
  <c r="DH273" i="111"/>
  <c r="DF273" i="111"/>
  <c r="DB273" i="111"/>
  <c r="DA273" i="111"/>
  <c r="CZ273" i="111"/>
  <c r="CY273" i="111"/>
  <c r="CL273" i="111"/>
  <c r="BY273" i="111"/>
  <c r="BR273" i="111"/>
  <c r="AY273" i="111"/>
  <c r="AX273" i="111"/>
  <c r="AK273" i="111"/>
  <c r="L273" i="111"/>
  <c r="AE273" i="111" s="1"/>
  <c r="K273" i="111"/>
  <c r="J273" i="111"/>
  <c r="DR272" i="111"/>
  <c r="DK272" i="111"/>
  <c r="DJ272" i="111"/>
  <c r="DI272" i="111"/>
  <c r="DH272" i="111"/>
  <c r="DF272" i="111"/>
  <c r="DB272" i="111"/>
  <c r="DA272" i="111"/>
  <c r="CZ272" i="111"/>
  <c r="CY272" i="111"/>
  <c r="CL272" i="111"/>
  <c r="BY272" i="111"/>
  <c r="AY272" i="111"/>
  <c r="AX272" i="111"/>
  <c r="AK272" i="111"/>
  <c r="L272" i="111"/>
  <c r="AE272" i="111" s="1"/>
  <c r="K272" i="111"/>
  <c r="J272" i="111"/>
  <c r="DK271" i="111"/>
  <c r="DJ271" i="111"/>
  <c r="DI271" i="111"/>
  <c r="DH271" i="111"/>
  <c r="DF271" i="111"/>
  <c r="DB271" i="111"/>
  <c r="DA271" i="111"/>
  <c r="CZ271" i="111"/>
  <c r="CY271" i="111"/>
  <c r="CL271" i="111"/>
  <c r="BY271" i="111"/>
  <c r="AY271" i="111"/>
  <c r="AX271" i="111"/>
  <c r="AK271" i="111"/>
  <c r="L271" i="111"/>
  <c r="AE271" i="111" s="1"/>
  <c r="K271" i="111"/>
  <c r="J271" i="111"/>
  <c r="DR270" i="111"/>
  <c r="DK270" i="111"/>
  <c r="DJ270" i="111"/>
  <c r="DI270" i="111"/>
  <c r="DH270" i="111"/>
  <c r="DF270" i="111"/>
  <c r="DB270" i="111"/>
  <c r="DA270" i="111"/>
  <c r="CZ270" i="111"/>
  <c r="CY270" i="111"/>
  <c r="CL270" i="111"/>
  <c r="BY270" i="111"/>
  <c r="AY270" i="111"/>
  <c r="AX270" i="111"/>
  <c r="AK270" i="111"/>
  <c r="L270" i="111"/>
  <c r="AE270" i="111" s="1"/>
  <c r="K270" i="111"/>
  <c r="J270" i="111"/>
  <c r="DR269" i="111"/>
  <c r="DK269" i="111"/>
  <c r="DJ269" i="111"/>
  <c r="DI269" i="111"/>
  <c r="DH269" i="111"/>
  <c r="DF269" i="111"/>
  <c r="DB269" i="111"/>
  <c r="DA269" i="111"/>
  <c r="CZ269" i="111"/>
  <c r="CY269" i="111"/>
  <c r="CL269" i="111"/>
  <c r="BY269" i="111"/>
  <c r="AY269" i="111"/>
  <c r="AX269" i="111"/>
  <c r="AK269" i="111"/>
  <c r="L269" i="111"/>
  <c r="AE269" i="111" s="1"/>
  <c r="K269" i="111"/>
  <c r="J269" i="111"/>
  <c r="DK268" i="111"/>
  <c r="DJ268" i="111"/>
  <c r="DI268" i="111"/>
  <c r="DH268" i="111"/>
  <c r="DF268" i="111"/>
  <c r="DB268" i="111"/>
  <c r="DA268" i="111"/>
  <c r="CZ268" i="111"/>
  <c r="CY268" i="111"/>
  <c r="CL268" i="111"/>
  <c r="BY268" i="111"/>
  <c r="AY268" i="111"/>
  <c r="AX268" i="111"/>
  <c r="AK268" i="111"/>
  <c r="L268" i="111"/>
  <c r="AE268" i="111" s="1"/>
  <c r="K268" i="111"/>
  <c r="J268" i="111"/>
  <c r="DK267" i="111"/>
  <c r="DJ267" i="111"/>
  <c r="DI267" i="111"/>
  <c r="DH267" i="111"/>
  <c r="DF267" i="111"/>
  <c r="DB267" i="111"/>
  <c r="DA267" i="111"/>
  <c r="CZ267" i="111"/>
  <c r="CY267" i="111"/>
  <c r="CL267" i="111"/>
  <c r="BY267" i="111"/>
  <c r="DS267" i="111" s="1"/>
  <c r="AY267" i="111"/>
  <c r="AX267" i="111"/>
  <c r="AK267" i="111"/>
  <c r="L267" i="111"/>
  <c r="AE267" i="111" s="1"/>
  <c r="K267" i="111"/>
  <c r="J267" i="111"/>
  <c r="DK266" i="111"/>
  <c r="DJ266" i="111"/>
  <c r="DI266" i="111"/>
  <c r="DH266" i="111"/>
  <c r="DF266" i="111"/>
  <c r="DB266" i="111"/>
  <c r="DA266" i="111"/>
  <c r="CZ266" i="111"/>
  <c r="CY266" i="111"/>
  <c r="CL266" i="111"/>
  <c r="BY266" i="111"/>
  <c r="DS266" i="111" s="1"/>
  <c r="AY266" i="111"/>
  <c r="AX266" i="111"/>
  <c r="AK266" i="111"/>
  <c r="L266" i="111"/>
  <c r="AE266" i="111" s="1"/>
  <c r="K266" i="111"/>
  <c r="J266" i="111"/>
  <c r="CZ265" i="111"/>
  <c r="CL265" i="111"/>
  <c r="BY265" i="111"/>
  <c r="AY265" i="111"/>
  <c r="L265" i="111"/>
  <c r="K265" i="111"/>
  <c r="J265" i="111"/>
  <c r="DK264" i="111"/>
  <c r="DJ264" i="111"/>
  <c r="DI264" i="111"/>
  <c r="DH264" i="111"/>
  <c r="DF264" i="111"/>
  <c r="DB264" i="111"/>
  <c r="DA264" i="111"/>
  <c r="CZ264" i="111"/>
  <c r="CY264" i="111"/>
  <c r="CL264" i="111"/>
  <c r="CK264" i="111"/>
  <c r="CJ264" i="111"/>
  <c r="CI264" i="111"/>
  <c r="CH264" i="111"/>
  <c r="CG264" i="111"/>
  <c r="CF264" i="111"/>
  <c r="CE264" i="111"/>
  <c r="CD264" i="111"/>
  <c r="CC264" i="111"/>
  <c r="AY264" i="111"/>
  <c r="AX264" i="111"/>
  <c r="AK264" i="111"/>
  <c r="J264" i="111"/>
  <c r="DR263" i="111"/>
  <c r="DK263" i="111"/>
  <c r="DJ263" i="111"/>
  <c r="DI263" i="111"/>
  <c r="DH263" i="111"/>
  <c r="DF263" i="111"/>
  <c r="DB263" i="111"/>
  <c r="DA263" i="111"/>
  <c r="CZ263" i="111"/>
  <c r="CY263" i="111"/>
  <c r="CX263" i="111"/>
  <c r="CX1" i="111" s="1"/>
  <c r="CW263" i="111"/>
  <c r="CW1" i="111" s="1"/>
  <c r="CV263" i="111"/>
  <c r="CV1" i="111" s="1"/>
  <c r="CU263" i="111"/>
  <c r="CU1" i="111" s="1"/>
  <c r="CT263" i="111"/>
  <c r="CT1" i="111" s="1"/>
  <c r="CS263" i="111"/>
  <c r="CS1" i="111" s="1"/>
  <c r="CR263" i="111"/>
  <c r="CR1" i="111" s="1"/>
  <c r="CQ263" i="111"/>
  <c r="CQ1" i="111" s="1"/>
  <c r="CP263" i="111"/>
  <c r="CP1" i="111" s="1"/>
  <c r="CO263" i="111"/>
  <c r="CN263" i="111"/>
  <c r="CM263" i="111"/>
  <c r="BY263" i="111"/>
  <c r="AY263" i="111"/>
  <c r="AX263" i="111"/>
  <c r="AK263" i="111"/>
  <c r="L263" i="111"/>
  <c r="K263" i="111"/>
  <c r="J263" i="111"/>
  <c r="DB262" i="111"/>
  <c r="DA262" i="111"/>
  <c r="CZ262" i="111"/>
  <c r="CY262" i="111"/>
  <c r="BY262" i="111"/>
  <c r="AY262" i="111"/>
  <c r="AX262" i="111"/>
  <c r="AK262" i="111"/>
  <c r="L262" i="111"/>
  <c r="AE262" i="111" s="1"/>
  <c r="K262" i="111"/>
  <c r="J262" i="111"/>
  <c r="DB261" i="111"/>
  <c r="DA261" i="111"/>
  <c r="CZ261" i="111"/>
  <c r="CY261" i="111"/>
  <c r="BY261" i="111"/>
  <c r="AY261" i="111"/>
  <c r="AX261" i="111"/>
  <c r="AK261" i="111"/>
  <c r="L261" i="111"/>
  <c r="AE261" i="111" s="1"/>
  <c r="K261" i="111"/>
  <c r="J261" i="111"/>
  <c r="DB260" i="111"/>
  <c r="DA260" i="111"/>
  <c r="CZ260" i="111"/>
  <c r="CY260" i="111"/>
  <c r="CC260" i="111"/>
  <c r="BY260" i="111" s="1"/>
  <c r="AY260" i="111"/>
  <c r="AX260" i="111"/>
  <c r="AK260" i="111"/>
  <c r="L260" i="111"/>
  <c r="AE260" i="111" s="1"/>
  <c r="K260" i="111"/>
  <c r="J260" i="111"/>
  <c r="DB259" i="111"/>
  <c r="DA259" i="111"/>
  <c r="CZ259" i="111"/>
  <c r="CY259" i="111"/>
  <c r="BZ259" i="111"/>
  <c r="BY259" i="111" s="1"/>
  <c r="AY259" i="111"/>
  <c r="AX259" i="111"/>
  <c r="AK259" i="111"/>
  <c r="L259" i="111"/>
  <c r="K259" i="111"/>
  <c r="J259" i="111"/>
  <c r="DB258" i="111"/>
  <c r="DA258" i="111"/>
  <c r="CZ258" i="111"/>
  <c r="CY258" i="111"/>
  <c r="BY258" i="111"/>
  <c r="AY258" i="111"/>
  <c r="AX258" i="111"/>
  <c r="AK258" i="111"/>
  <c r="L258" i="111"/>
  <c r="AE258" i="111" s="1"/>
  <c r="K258" i="111"/>
  <c r="J258" i="111"/>
  <c r="DK257" i="111"/>
  <c r="DJ257" i="111"/>
  <c r="DI257" i="111"/>
  <c r="DH257" i="111"/>
  <c r="DF257" i="111"/>
  <c r="DB257" i="111"/>
  <c r="DA257" i="111"/>
  <c r="CZ257" i="111"/>
  <c r="CY257" i="111"/>
  <c r="CL257" i="111"/>
  <c r="CA257" i="111"/>
  <c r="BY257" i="111" s="1"/>
  <c r="DS257" i="111" s="1"/>
  <c r="AY257" i="111"/>
  <c r="AX257" i="111"/>
  <c r="AK257" i="111"/>
  <c r="L257" i="111"/>
  <c r="AE257" i="111" s="1"/>
  <c r="K257" i="111"/>
  <c r="J257" i="111"/>
  <c r="DK256" i="111"/>
  <c r="DJ256" i="111"/>
  <c r="DI256" i="111"/>
  <c r="DH256" i="111"/>
  <c r="DF256" i="111"/>
  <c r="DB256" i="111"/>
  <c r="DA256" i="111"/>
  <c r="CZ256" i="111"/>
  <c r="CY256" i="111"/>
  <c r="CL256" i="111"/>
  <c r="BY256" i="111"/>
  <c r="DS256" i="111" s="1"/>
  <c r="AY256" i="111"/>
  <c r="AX256" i="111"/>
  <c r="AK256" i="111"/>
  <c r="L256" i="111"/>
  <c r="AE256" i="111" s="1"/>
  <c r="K256" i="111"/>
  <c r="J256" i="111"/>
  <c r="DK255" i="111"/>
  <c r="DF255" i="111"/>
  <c r="DB255" i="111"/>
  <c r="DA255" i="111"/>
  <c r="CZ255" i="111"/>
  <c r="CY255" i="111"/>
  <c r="BY255" i="111"/>
  <c r="BT255" i="111"/>
  <c r="AY255" i="111"/>
  <c r="AV255" i="111"/>
  <c r="AX255" i="111" s="1"/>
  <c r="AK255" i="111"/>
  <c r="L255" i="111"/>
  <c r="AE255" i="111" s="1"/>
  <c r="K255" i="111"/>
  <c r="J255" i="111"/>
  <c r="DB254" i="111"/>
  <c r="DA254" i="111"/>
  <c r="CZ254" i="111"/>
  <c r="CY254" i="111"/>
  <c r="BY254" i="111"/>
  <c r="AY254" i="111"/>
  <c r="AX254" i="111"/>
  <c r="L254" i="111"/>
  <c r="AE254" i="111" s="1"/>
  <c r="K254" i="111"/>
  <c r="J254" i="111"/>
  <c r="DR253" i="111"/>
  <c r="DK253" i="111"/>
  <c r="DJ253" i="111"/>
  <c r="DI253" i="111"/>
  <c r="DH253" i="111"/>
  <c r="DF253" i="111"/>
  <c r="DB253" i="111"/>
  <c r="DA253" i="111"/>
  <c r="CZ253" i="111"/>
  <c r="CY253" i="111"/>
  <c r="CO253" i="111"/>
  <c r="CN253" i="111"/>
  <c r="CM253" i="111"/>
  <c r="BY253" i="111"/>
  <c r="AY253" i="111"/>
  <c r="AX253" i="111"/>
  <c r="AK253" i="111"/>
  <c r="L253" i="111"/>
  <c r="AE253" i="111" s="1"/>
  <c r="K253" i="111"/>
  <c r="J253" i="111"/>
  <c r="DR252" i="111"/>
  <c r="DK252" i="111"/>
  <c r="DJ252" i="111"/>
  <c r="DI252" i="111"/>
  <c r="DH252" i="111"/>
  <c r="DF252" i="111"/>
  <c r="DB252" i="111"/>
  <c r="DA252" i="111"/>
  <c r="CZ252" i="111"/>
  <c r="CL252" i="111"/>
  <c r="CK252" i="111"/>
  <c r="CJ252" i="111"/>
  <c r="CI252" i="111"/>
  <c r="CH252" i="111"/>
  <c r="CG252" i="111"/>
  <c r="CF252" i="111"/>
  <c r="BV252" i="111"/>
  <c r="CY252" i="111" s="1"/>
  <c r="AY252" i="111"/>
  <c r="AX252" i="111"/>
  <c r="AK252" i="111"/>
  <c r="L252" i="111"/>
  <c r="K252" i="111"/>
  <c r="J252" i="111"/>
  <c r="DR251" i="111"/>
  <c r="DK251" i="111"/>
  <c r="DJ251" i="111"/>
  <c r="DI251" i="111"/>
  <c r="DH251" i="111"/>
  <c r="DF251" i="111"/>
  <c r="DB251" i="111"/>
  <c r="DA251" i="111"/>
  <c r="CZ251" i="111"/>
  <c r="CY251" i="111"/>
  <c r="CL251" i="111"/>
  <c r="CD251" i="111"/>
  <c r="BY251" i="111" s="1"/>
  <c r="AY251" i="111"/>
  <c r="AX251" i="111"/>
  <c r="AK251" i="111"/>
  <c r="L251" i="111"/>
  <c r="AE251" i="111" s="1"/>
  <c r="K251" i="111"/>
  <c r="J251" i="111"/>
  <c r="DR250" i="111"/>
  <c r="DK250" i="111"/>
  <c r="DJ250" i="111"/>
  <c r="DI250" i="111"/>
  <c r="DH250" i="111"/>
  <c r="DF250" i="111"/>
  <c r="DB250" i="111"/>
  <c r="DA250" i="111"/>
  <c r="CZ250" i="111"/>
  <c r="CL250" i="111"/>
  <c r="CF250" i="111"/>
  <c r="CE250" i="111"/>
  <c r="CD250" i="111"/>
  <c r="CC250" i="111"/>
  <c r="CB250" i="111"/>
  <c r="BV250" i="111"/>
  <c r="CY250" i="111" s="1"/>
  <c r="BT250" i="111"/>
  <c r="BR250" i="111"/>
  <c r="AY250" i="111"/>
  <c r="AX250" i="111"/>
  <c r="AK250" i="111"/>
  <c r="L250" i="111"/>
  <c r="AE250" i="111" s="1"/>
  <c r="K250" i="111"/>
  <c r="J250" i="111"/>
  <c r="DR249" i="111"/>
  <c r="DK249" i="111"/>
  <c r="DJ249" i="111"/>
  <c r="DI249" i="111"/>
  <c r="DH249" i="111"/>
  <c r="DF249" i="111"/>
  <c r="DB249" i="111"/>
  <c r="DA249" i="111"/>
  <c r="CZ249" i="111"/>
  <c r="CL249" i="111"/>
  <c r="CB249" i="111"/>
  <c r="BY249" i="111" s="1"/>
  <c r="BV249" i="111"/>
  <c r="CY249" i="111" s="1"/>
  <c r="AY249" i="111"/>
  <c r="AX249" i="111"/>
  <c r="AK249" i="111"/>
  <c r="L249" i="111"/>
  <c r="AE249" i="111" s="1"/>
  <c r="K249" i="111"/>
  <c r="J249" i="111"/>
  <c r="DR248" i="111"/>
  <c r="DK248" i="111"/>
  <c r="DJ248" i="111"/>
  <c r="DI248" i="111"/>
  <c r="DH248" i="111"/>
  <c r="DF248" i="111"/>
  <c r="DB248" i="111"/>
  <c r="DA248" i="111"/>
  <c r="CZ248" i="111"/>
  <c r="CL248" i="111"/>
  <c r="CC248" i="111"/>
  <c r="CB248" i="111"/>
  <c r="BZ248" i="111"/>
  <c r="BV248" i="111"/>
  <c r="CY248" i="111" s="1"/>
  <c r="BT248" i="111"/>
  <c r="BR248" i="111"/>
  <c r="AY248" i="111"/>
  <c r="AX248" i="111"/>
  <c r="AK248" i="111"/>
  <c r="L248" i="111"/>
  <c r="AE248" i="111" s="1"/>
  <c r="K248" i="111"/>
  <c r="J248" i="111"/>
  <c r="DR247" i="111"/>
  <c r="DK247" i="111"/>
  <c r="DJ247" i="111"/>
  <c r="DI247" i="111"/>
  <c r="DH247" i="111"/>
  <c r="DF247" i="111"/>
  <c r="DB247" i="111"/>
  <c r="DA247" i="111"/>
  <c r="CZ247" i="111"/>
  <c r="CY247" i="111"/>
  <c r="CL247" i="111"/>
  <c r="BY247" i="111"/>
  <c r="AY247" i="111"/>
  <c r="AX247" i="111"/>
  <c r="AK247" i="111"/>
  <c r="L247" i="111"/>
  <c r="AE247" i="111" s="1"/>
  <c r="K247" i="111"/>
  <c r="J247" i="111"/>
  <c r="DR246" i="111"/>
  <c r="DK246" i="111"/>
  <c r="DJ246" i="111"/>
  <c r="DI246" i="111"/>
  <c r="DH246" i="111"/>
  <c r="DF246" i="111"/>
  <c r="DB246" i="111"/>
  <c r="DA246" i="111"/>
  <c r="CZ246" i="111"/>
  <c r="CY246" i="111"/>
  <c r="CL246" i="111"/>
  <c r="BY246" i="111"/>
  <c r="AY246" i="111"/>
  <c r="AX246" i="111"/>
  <c r="AK246" i="111"/>
  <c r="L246" i="111"/>
  <c r="AE246" i="111" s="1"/>
  <c r="K246" i="111"/>
  <c r="J246" i="111"/>
  <c r="DR245" i="111"/>
  <c r="DK245" i="111"/>
  <c r="DJ245" i="111"/>
  <c r="DI245" i="111"/>
  <c r="DH245" i="111"/>
  <c r="DF245" i="111"/>
  <c r="DB245" i="111"/>
  <c r="DA245" i="111"/>
  <c r="CZ245" i="111"/>
  <c r="CL245" i="111"/>
  <c r="BY245" i="111"/>
  <c r="BV245" i="111"/>
  <c r="CY245" i="111" s="1"/>
  <c r="AY245" i="111"/>
  <c r="AX245" i="111"/>
  <c r="AK245" i="111"/>
  <c r="L245" i="111"/>
  <c r="AE245" i="111" s="1"/>
  <c r="K245" i="111"/>
  <c r="J245" i="111"/>
  <c r="DR244" i="111"/>
  <c r="DK244" i="111"/>
  <c r="DJ244" i="111"/>
  <c r="DI244" i="111"/>
  <c r="DH244" i="111"/>
  <c r="DF244" i="111"/>
  <c r="DB244" i="111"/>
  <c r="DA244" i="111"/>
  <c r="CZ244" i="111"/>
  <c r="CY244" i="111"/>
  <c r="CL244" i="111"/>
  <c r="BY244" i="111"/>
  <c r="BT244" i="111"/>
  <c r="BR244" i="111"/>
  <c r="AY244" i="111"/>
  <c r="AX244" i="111"/>
  <c r="AK244" i="111"/>
  <c r="L244" i="111"/>
  <c r="K244" i="111"/>
  <c r="J244" i="111"/>
  <c r="DR243" i="111"/>
  <c r="DK243" i="111"/>
  <c r="DJ243" i="111"/>
  <c r="DI243" i="111"/>
  <c r="DH243" i="111"/>
  <c r="DF243" i="111"/>
  <c r="DB243" i="111"/>
  <c r="DA243" i="111"/>
  <c r="CZ243" i="111"/>
  <c r="CY243" i="111"/>
  <c r="CL243" i="111"/>
  <c r="CB243" i="111"/>
  <c r="BY243" i="111" s="1"/>
  <c r="AY243" i="111"/>
  <c r="AX243" i="111"/>
  <c r="AK243" i="111"/>
  <c r="L243" i="111"/>
  <c r="AE243" i="111" s="1"/>
  <c r="K243" i="111"/>
  <c r="J243" i="111"/>
  <c r="DR242" i="111"/>
  <c r="DK242" i="111"/>
  <c r="DJ242" i="111"/>
  <c r="DI242" i="111"/>
  <c r="DH242" i="111"/>
  <c r="DF242" i="111"/>
  <c r="DB242" i="111"/>
  <c r="DA242" i="111"/>
  <c r="CZ242" i="111"/>
  <c r="CL242" i="111"/>
  <c r="BY242" i="111"/>
  <c r="BV242" i="111"/>
  <c r="CY242" i="111" s="1"/>
  <c r="AY242" i="111"/>
  <c r="AX242" i="111"/>
  <c r="AK242" i="111"/>
  <c r="L242" i="111"/>
  <c r="AE242" i="111" s="1"/>
  <c r="K242" i="111"/>
  <c r="J242" i="111"/>
  <c r="DR241" i="111"/>
  <c r="DK241" i="111"/>
  <c r="DJ241" i="111"/>
  <c r="DI241" i="111"/>
  <c r="DH241" i="111"/>
  <c r="DF241" i="111"/>
  <c r="DB241" i="111"/>
  <c r="DA241" i="111"/>
  <c r="CZ241" i="111"/>
  <c r="CL241" i="111"/>
  <c r="CK241" i="111"/>
  <c r="CJ241" i="111"/>
  <c r="CI241" i="111"/>
  <c r="CH241" i="111"/>
  <c r="CG241" i="111"/>
  <c r="CF241" i="111"/>
  <c r="CE241" i="111"/>
  <c r="CD241" i="111"/>
  <c r="BV241" i="111"/>
  <c r="CY241" i="111" s="1"/>
  <c r="AY241" i="111"/>
  <c r="AX241" i="111"/>
  <c r="AK241" i="111"/>
  <c r="L241" i="111"/>
  <c r="AE241" i="111" s="1"/>
  <c r="K241" i="111"/>
  <c r="J241" i="111"/>
  <c r="DR240" i="111"/>
  <c r="DK240" i="111"/>
  <c r="DJ240" i="111"/>
  <c r="DI240" i="111"/>
  <c r="DH240" i="111"/>
  <c r="DF240" i="111"/>
  <c r="DB240" i="111"/>
  <c r="DA240" i="111"/>
  <c r="CZ240" i="111"/>
  <c r="CL240" i="111"/>
  <c r="BY240" i="111"/>
  <c r="BV240" i="111"/>
  <c r="CY240" i="111" s="1"/>
  <c r="AY240" i="111"/>
  <c r="AX240" i="111"/>
  <c r="AK240" i="111"/>
  <c r="L240" i="111"/>
  <c r="AE240" i="111" s="1"/>
  <c r="K240" i="111"/>
  <c r="J240" i="111"/>
  <c r="DR239" i="111"/>
  <c r="DK239" i="111"/>
  <c r="DJ239" i="111"/>
  <c r="DI239" i="111"/>
  <c r="DH239" i="111"/>
  <c r="DF239" i="111"/>
  <c r="DB239" i="111"/>
  <c r="DA239" i="111"/>
  <c r="CZ239" i="111"/>
  <c r="CY239" i="111"/>
  <c r="CL239" i="111"/>
  <c r="BY239" i="111"/>
  <c r="BT239" i="111"/>
  <c r="AY239" i="111"/>
  <c r="AX239" i="111"/>
  <c r="AK239" i="111"/>
  <c r="L239" i="111"/>
  <c r="AE239" i="111" s="1"/>
  <c r="K239" i="111"/>
  <c r="J239" i="111"/>
  <c r="DR238" i="111"/>
  <c r="DK238" i="111"/>
  <c r="DJ238" i="111"/>
  <c r="DI238" i="111"/>
  <c r="DH238" i="111"/>
  <c r="DF238" i="111"/>
  <c r="DB238" i="111"/>
  <c r="DA238" i="111"/>
  <c r="CZ238" i="111"/>
  <c r="CL238" i="111"/>
  <c r="BZ238" i="111"/>
  <c r="BY238" i="111" s="1"/>
  <c r="BV238" i="111"/>
  <c r="CY238" i="111" s="1"/>
  <c r="AY238" i="111"/>
  <c r="AX238" i="111"/>
  <c r="AK238" i="111"/>
  <c r="L238" i="111"/>
  <c r="AE238" i="111" s="1"/>
  <c r="K238" i="111"/>
  <c r="J238" i="111"/>
  <c r="DR237" i="111"/>
  <c r="DK237" i="111"/>
  <c r="DJ237" i="111"/>
  <c r="DI237" i="111"/>
  <c r="DH237" i="111"/>
  <c r="DF237" i="111"/>
  <c r="DB237" i="111"/>
  <c r="DA237" i="111"/>
  <c r="CZ237" i="111"/>
  <c r="CY237" i="111"/>
  <c r="CL237" i="111"/>
  <c r="BY237" i="111"/>
  <c r="BT237" i="111"/>
  <c r="BR237" i="111"/>
  <c r="AY237" i="111"/>
  <c r="AX237" i="111"/>
  <c r="AK237" i="111"/>
  <c r="L237" i="111"/>
  <c r="AE237" i="111" s="1"/>
  <c r="K237" i="111"/>
  <c r="J237" i="111"/>
  <c r="DR236" i="111"/>
  <c r="DK236" i="111"/>
  <c r="DJ236" i="111"/>
  <c r="DI236" i="111"/>
  <c r="DH236" i="111"/>
  <c r="DF236" i="111"/>
  <c r="DB236" i="111"/>
  <c r="DA236" i="111"/>
  <c r="CZ236" i="111"/>
  <c r="CY236" i="111"/>
  <c r="CL236" i="111"/>
  <c r="CK236" i="111"/>
  <c r="CJ236" i="111"/>
  <c r="CI236" i="111"/>
  <c r="CG236" i="111"/>
  <c r="CC236" i="111"/>
  <c r="AY236" i="111"/>
  <c r="AX236" i="111"/>
  <c r="AK236" i="111"/>
  <c r="L236" i="111"/>
  <c r="AE236" i="111" s="1"/>
  <c r="K236" i="111"/>
  <c r="J236" i="111"/>
  <c r="DR235" i="111"/>
  <c r="DK235" i="111"/>
  <c r="DJ235" i="111"/>
  <c r="DI235" i="111"/>
  <c r="DH235" i="111"/>
  <c r="DF235" i="111"/>
  <c r="DB235" i="111"/>
  <c r="DA235" i="111"/>
  <c r="CZ235" i="111"/>
  <c r="CL235" i="111"/>
  <c r="BY235" i="111"/>
  <c r="BV235" i="111"/>
  <c r="CY235" i="111" s="1"/>
  <c r="BT235" i="111"/>
  <c r="AY235" i="111"/>
  <c r="AX235" i="111"/>
  <c r="AK235" i="111"/>
  <c r="L235" i="111"/>
  <c r="AE235" i="111" s="1"/>
  <c r="K235" i="111"/>
  <c r="J235" i="111"/>
  <c r="DR234" i="111"/>
  <c r="DK234" i="111"/>
  <c r="DJ234" i="111"/>
  <c r="DI234" i="111"/>
  <c r="DH234" i="111"/>
  <c r="DF234" i="111"/>
  <c r="DB234" i="111"/>
  <c r="DA234" i="111"/>
  <c r="CZ234" i="111"/>
  <c r="CY234" i="111"/>
  <c r="CL234" i="111"/>
  <c r="CI234" i="111"/>
  <c r="BY234" i="111" s="1"/>
  <c r="AY234" i="111"/>
  <c r="AX234" i="111"/>
  <c r="AK234" i="111"/>
  <c r="L234" i="111"/>
  <c r="AE234" i="111" s="1"/>
  <c r="K234" i="111"/>
  <c r="J234" i="111"/>
  <c r="DR233" i="111"/>
  <c r="DK233" i="111"/>
  <c r="DJ233" i="111"/>
  <c r="DI233" i="111"/>
  <c r="DH233" i="111"/>
  <c r="DF233" i="111"/>
  <c r="DB233" i="111"/>
  <c r="DA233" i="111"/>
  <c r="CZ233" i="111"/>
  <c r="CY233" i="111"/>
  <c r="CL233" i="111"/>
  <c r="BY233" i="111"/>
  <c r="AY233" i="111"/>
  <c r="AX233" i="111"/>
  <c r="AK233" i="111"/>
  <c r="L233" i="111"/>
  <c r="K233" i="111"/>
  <c r="J233" i="111"/>
  <c r="DR232" i="111"/>
  <c r="DK232" i="111"/>
  <c r="DJ232" i="111"/>
  <c r="DI232" i="111"/>
  <c r="DH232" i="111"/>
  <c r="DF232" i="111"/>
  <c r="DB232" i="111"/>
  <c r="DA232" i="111"/>
  <c r="CZ232" i="111"/>
  <c r="CY232" i="111"/>
  <c r="CL232" i="111"/>
  <c r="BY232" i="111"/>
  <c r="BT232" i="111"/>
  <c r="BR232" i="111"/>
  <c r="AY232" i="111"/>
  <c r="AX232" i="111"/>
  <c r="AK232" i="111"/>
  <c r="L232" i="111"/>
  <c r="AE232" i="111" s="1"/>
  <c r="K232" i="111"/>
  <c r="J232" i="111"/>
  <c r="DR231" i="111"/>
  <c r="DK231" i="111"/>
  <c r="DJ231" i="111"/>
  <c r="DI231" i="111"/>
  <c r="DH231" i="111"/>
  <c r="DF231" i="111"/>
  <c r="DB231" i="111"/>
  <c r="DA231" i="111"/>
  <c r="CZ231" i="111"/>
  <c r="CL231" i="111"/>
  <c r="CB231" i="111"/>
  <c r="BY231" i="111" s="1"/>
  <c r="BV231" i="111"/>
  <c r="CY231" i="111" s="1"/>
  <c r="AY231" i="111"/>
  <c r="AX231" i="111"/>
  <c r="AK231" i="111"/>
  <c r="L231" i="111"/>
  <c r="AE231" i="111" s="1"/>
  <c r="K231" i="111"/>
  <c r="J231" i="111"/>
  <c r="DR230" i="111"/>
  <c r="DK230" i="111"/>
  <c r="DJ230" i="111"/>
  <c r="DI230" i="111"/>
  <c r="DH230" i="111"/>
  <c r="DF230" i="111"/>
  <c r="DB230" i="111"/>
  <c r="DA230" i="111"/>
  <c r="CZ230" i="111"/>
  <c r="CY230" i="111"/>
  <c r="CL230" i="111"/>
  <c r="BY230" i="111"/>
  <c r="BT230" i="111"/>
  <c r="AY230" i="111"/>
  <c r="AX230" i="111"/>
  <c r="AK230" i="111"/>
  <c r="J230" i="111"/>
  <c r="DR229" i="111"/>
  <c r="DK229" i="111"/>
  <c r="DJ229" i="111"/>
  <c r="DI229" i="111"/>
  <c r="DH229" i="111"/>
  <c r="DF229" i="111"/>
  <c r="DB229" i="111"/>
  <c r="DA229" i="111"/>
  <c r="CZ229" i="111"/>
  <c r="CY229" i="111"/>
  <c r="CL229" i="111"/>
  <c r="BY229" i="111"/>
  <c r="BT229" i="111"/>
  <c r="AY229" i="111"/>
  <c r="AX229" i="111"/>
  <c r="AK229" i="111"/>
  <c r="L229" i="111"/>
  <c r="AE229" i="111" s="1"/>
  <c r="K229" i="111"/>
  <c r="J229" i="111"/>
  <c r="DR228" i="111"/>
  <c r="DK228" i="111"/>
  <c r="DJ228" i="111"/>
  <c r="DI228" i="111"/>
  <c r="DH228" i="111"/>
  <c r="DF228" i="111"/>
  <c r="DB228" i="111"/>
  <c r="DA228" i="111"/>
  <c r="CZ228" i="111"/>
  <c r="CL228" i="111"/>
  <c r="CA228" i="111"/>
  <c r="BY228" i="111" s="1"/>
  <c r="BV228" i="111"/>
  <c r="CY228" i="111" s="1"/>
  <c r="BR228" i="111"/>
  <c r="AY228" i="111"/>
  <c r="AX228" i="111"/>
  <c r="AK228" i="111"/>
  <c r="L228" i="111"/>
  <c r="AE228" i="111" s="1"/>
  <c r="K228" i="111"/>
  <c r="J228" i="111"/>
  <c r="DK227" i="111"/>
  <c r="DJ227" i="111"/>
  <c r="DI227" i="111"/>
  <c r="DH227" i="111"/>
  <c r="DF227" i="111"/>
  <c r="DB227" i="111"/>
  <c r="DA227" i="111"/>
  <c r="CZ227" i="111"/>
  <c r="CY227" i="111"/>
  <c r="CL227" i="111"/>
  <c r="BY227" i="111"/>
  <c r="DS227" i="111" s="1"/>
  <c r="AY227" i="111"/>
  <c r="AX227" i="111"/>
  <c r="AK227" i="111"/>
  <c r="L227" i="111"/>
  <c r="AE227" i="111" s="1"/>
  <c r="K227" i="111"/>
  <c r="J227" i="111"/>
  <c r="DR226" i="111"/>
  <c r="DK226" i="111"/>
  <c r="DJ226" i="111"/>
  <c r="DI226" i="111"/>
  <c r="DH226" i="111"/>
  <c r="DF226" i="111"/>
  <c r="DB226" i="111"/>
  <c r="DA226" i="111"/>
  <c r="CZ226" i="111"/>
  <c r="CY226" i="111"/>
  <c r="CL226" i="111"/>
  <c r="BY226" i="111"/>
  <c r="BR226" i="111"/>
  <c r="AY226" i="111"/>
  <c r="AX226" i="111"/>
  <c r="AK226" i="111"/>
  <c r="L226" i="111"/>
  <c r="AE226" i="111" s="1"/>
  <c r="K226" i="111"/>
  <c r="J226" i="111"/>
  <c r="DR225" i="111"/>
  <c r="DK225" i="111"/>
  <c r="DJ225" i="111"/>
  <c r="DI225" i="111"/>
  <c r="DH225" i="111"/>
  <c r="DF225" i="111"/>
  <c r="DB225" i="111"/>
  <c r="DA225" i="111"/>
  <c r="CZ225" i="111"/>
  <c r="CL225" i="111"/>
  <c r="CA225" i="111"/>
  <c r="BY225" i="111" s="1"/>
  <c r="BV225" i="111"/>
  <c r="CY225" i="111" s="1"/>
  <c r="BR225" i="111"/>
  <c r="AY225" i="111"/>
  <c r="AX225" i="111"/>
  <c r="AK225" i="111"/>
  <c r="L225" i="111"/>
  <c r="AE225" i="111" s="1"/>
  <c r="K225" i="111"/>
  <c r="J225" i="111"/>
  <c r="DR224" i="111"/>
  <c r="DK224" i="111"/>
  <c r="DJ224" i="111"/>
  <c r="DI224" i="111"/>
  <c r="DH224" i="111"/>
  <c r="DF224" i="111"/>
  <c r="DB224" i="111"/>
  <c r="DA224" i="111"/>
  <c r="CZ224" i="111"/>
  <c r="CY224" i="111"/>
  <c r="CL224" i="111"/>
  <c r="BY224" i="111"/>
  <c r="BT224" i="111"/>
  <c r="BR224" i="111"/>
  <c r="AY224" i="111"/>
  <c r="AX224" i="111"/>
  <c r="AK224" i="111"/>
  <c r="L224" i="111"/>
  <c r="AE224" i="111" s="1"/>
  <c r="K224" i="111"/>
  <c r="J224" i="111"/>
  <c r="DR223" i="111"/>
  <c r="DK223" i="111"/>
  <c r="DJ223" i="111"/>
  <c r="DI223" i="111"/>
  <c r="DH223" i="111"/>
  <c r="DF223" i="111"/>
  <c r="DB223" i="111"/>
  <c r="DA223" i="111"/>
  <c r="CZ223" i="111"/>
  <c r="CY223" i="111"/>
  <c r="CL223" i="111"/>
  <c r="BY223" i="111"/>
  <c r="AY223" i="111"/>
  <c r="AX223" i="111"/>
  <c r="AK223" i="111"/>
  <c r="L223" i="111"/>
  <c r="AE223" i="111" s="1"/>
  <c r="K223" i="111"/>
  <c r="J223" i="111"/>
  <c r="DR222" i="111"/>
  <c r="DK222" i="111"/>
  <c r="DJ222" i="111"/>
  <c r="DI222" i="111"/>
  <c r="DH222" i="111"/>
  <c r="DF222" i="111"/>
  <c r="DB222" i="111"/>
  <c r="DA222" i="111"/>
  <c r="CZ222" i="111"/>
  <c r="CL222" i="111"/>
  <c r="CK222" i="111"/>
  <c r="BZ222" i="111"/>
  <c r="BV222" i="111"/>
  <c r="CY222" i="111" s="1"/>
  <c r="BT222" i="111"/>
  <c r="BR222" i="111"/>
  <c r="AY222" i="111"/>
  <c r="AX222" i="111"/>
  <c r="AK222" i="111"/>
  <c r="L222" i="111"/>
  <c r="AE222" i="111" s="1"/>
  <c r="K222" i="111"/>
  <c r="J222" i="111"/>
  <c r="DR221" i="111"/>
  <c r="DK221" i="111"/>
  <c r="DJ221" i="111"/>
  <c r="DI221" i="111"/>
  <c r="DH221" i="111"/>
  <c r="DF221" i="111"/>
  <c r="DB221" i="111"/>
  <c r="DA221" i="111"/>
  <c r="CZ221" i="111"/>
  <c r="CY221" i="111"/>
  <c r="CL221" i="111"/>
  <c r="BY221" i="111"/>
  <c r="AY221" i="111"/>
  <c r="AX221" i="111"/>
  <c r="AK221" i="111"/>
  <c r="L221" i="111"/>
  <c r="AE221" i="111" s="1"/>
  <c r="K221" i="111"/>
  <c r="J221" i="111"/>
  <c r="DR220" i="111"/>
  <c r="DK220" i="111"/>
  <c r="DJ220" i="111"/>
  <c r="DI220" i="111"/>
  <c r="DH220" i="111"/>
  <c r="DF220" i="111"/>
  <c r="DB220" i="111"/>
  <c r="DA220" i="111"/>
  <c r="CZ220" i="111"/>
  <c r="CY220" i="111"/>
  <c r="CL220" i="111"/>
  <c r="BY220" i="111"/>
  <c r="AY220" i="111"/>
  <c r="AX220" i="111"/>
  <c r="AK220" i="111"/>
  <c r="L220" i="111"/>
  <c r="K220" i="111"/>
  <c r="J220" i="111"/>
  <c r="DR219" i="111"/>
  <c r="DK219" i="111"/>
  <c r="DJ219" i="111"/>
  <c r="DI219" i="111"/>
  <c r="DH219" i="111"/>
  <c r="DF219" i="111"/>
  <c r="DB219" i="111"/>
  <c r="DA219" i="111"/>
  <c r="CZ219" i="111"/>
  <c r="CL219" i="111"/>
  <c r="CC219" i="111"/>
  <c r="BZ219" i="111"/>
  <c r="BV219" i="111"/>
  <c r="CY219" i="111" s="1"/>
  <c r="BT219" i="111"/>
  <c r="BR219" i="111"/>
  <c r="AY219" i="111"/>
  <c r="AX219" i="111"/>
  <c r="AK219" i="111"/>
  <c r="L219" i="111"/>
  <c r="AE219" i="111" s="1"/>
  <c r="K219" i="111"/>
  <c r="J219" i="111"/>
  <c r="DR218" i="111"/>
  <c r="DK218" i="111"/>
  <c r="DJ218" i="111"/>
  <c r="DI218" i="111"/>
  <c r="DH218" i="111"/>
  <c r="DF218" i="111"/>
  <c r="DB218" i="111"/>
  <c r="DA218" i="111"/>
  <c r="CZ218" i="111"/>
  <c r="CL218" i="111"/>
  <c r="BZ218" i="111"/>
  <c r="BY218" i="111" s="1"/>
  <c r="BV218" i="111"/>
  <c r="CY218" i="111" s="1"/>
  <c r="BT218" i="111"/>
  <c r="AY218" i="111"/>
  <c r="AX218" i="111"/>
  <c r="AK218" i="111"/>
  <c r="L218" i="111"/>
  <c r="AE218" i="111" s="1"/>
  <c r="K218" i="111"/>
  <c r="J218" i="111"/>
  <c r="DR217" i="111"/>
  <c r="DK217" i="111"/>
  <c r="DJ217" i="111"/>
  <c r="DI217" i="111"/>
  <c r="DH217" i="111"/>
  <c r="DF217" i="111"/>
  <c r="DB217" i="111"/>
  <c r="DA217" i="111"/>
  <c r="CZ217" i="111"/>
  <c r="CY217" i="111"/>
  <c r="CL217" i="111"/>
  <c r="BY217" i="111"/>
  <c r="AY217" i="111"/>
  <c r="AX217" i="111"/>
  <c r="AK217" i="111"/>
  <c r="L217" i="111"/>
  <c r="K217" i="111"/>
  <c r="J217" i="111"/>
  <c r="DR216" i="111"/>
  <c r="DK216" i="111"/>
  <c r="DJ216" i="111"/>
  <c r="DI216" i="111"/>
  <c r="DH216" i="111"/>
  <c r="DF216" i="111"/>
  <c r="DB216" i="111"/>
  <c r="DA216" i="111"/>
  <c r="CZ216" i="111"/>
  <c r="CY216" i="111"/>
  <c r="CL216" i="111"/>
  <c r="CC216" i="111"/>
  <c r="CB216" i="111"/>
  <c r="AY216" i="111"/>
  <c r="AX216" i="111"/>
  <c r="AK216" i="111"/>
  <c r="L216" i="111"/>
  <c r="AE216" i="111" s="1"/>
  <c r="K216" i="111"/>
  <c r="J216" i="111"/>
  <c r="DR215" i="111"/>
  <c r="DK215" i="111"/>
  <c r="DJ215" i="111"/>
  <c r="DI215" i="111"/>
  <c r="DH215" i="111"/>
  <c r="DF215" i="111"/>
  <c r="DB215" i="111"/>
  <c r="DA215" i="111"/>
  <c r="CZ215" i="111"/>
  <c r="CY215" i="111"/>
  <c r="CL215" i="111"/>
  <c r="BY215" i="111"/>
  <c r="AY215" i="111"/>
  <c r="AX215" i="111"/>
  <c r="AK215" i="111"/>
  <c r="L215" i="111"/>
  <c r="K215" i="111"/>
  <c r="J215" i="111"/>
  <c r="DR214" i="111"/>
  <c r="DK214" i="111"/>
  <c r="DJ214" i="111"/>
  <c r="DI214" i="111"/>
  <c r="DH214" i="111"/>
  <c r="DF214" i="111"/>
  <c r="DB214" i="111"/>
  <c r="DA214" i="111"/>
  <c r="CZ214" i="111"/>
  <c r="CY214" i="111"/>
  <c r="CL214" i="111"/>
  <c r="BY214" i="111"/>
  <c r="AY214" i="111"/>
  <c r="AX214" i="111"/>
  <c r="AK214" i="111"/>
  <c r="L214" i="111"/>
  <c r="K214" i="111"/>
  <c r="J214" i="111"/>
  <c r="DR213" i="111"/>
  <c r="DK213" i="111"/>
  <c r="DJ213" i="111"/>
  <c r="DI213" i="111"/>
  <c r="DH213" i="111"/>
  <c r="DF213" i="111"/>
  <c r="DB213" i="111"/>
  <c r="DA213" i="111"/>
  <c r="CZ213" i="111"/>
  <c r="CY213" i="111"/>
  <c r="CL213" i="111"/>
  <c r="BY213" i="111"/>
  <c r="AY213" i="111"/>
  <c r="AX213" i="111"/>
  <c r="AK213" i="111"/>
  <c r="L213" i="111"/>
  <c r="K213" i="111"/>
  <c r="J213" i="111"/>
  <c r="DR212" i="111"/>
  <c r="DK212" i="111"/>
  <c r="DJ212" i="111"/>
  <c r="DI212" i="111"/>
  <c r="DH212" i="111"/>
  <c r="DF212" i="111"/>
  <c r="DB212" i="111"/>
  <c r="DA212" i="111"/>
  <c r="CZ212" i="111"/>
  <c r="CY212" i="111"/>
  <c r="CL212" i="111"/>
  <c r="BY212" i="111"/>
  <c r="AY212" i="111"/>
  <c r="AX212" i="111"/>
  <c r="AK212" i="111"/>
  <c r="L212" i="111"/>
  <c r="AE212" i="111" s="1"/>
  <c r="K212" i="111"/>
  <c r="J212" i="111"/>
  <c r="DR211" i="111"/>
  <c r="DK211" i="111"/>
  <c r="DJ211" i="111"/>
  <c r="DI211" i="111"/>
  <c r="DH211" i="111"/>
  <c r="DF211" i="111"/>
  <c r="DB211" i="111"/>
  <c r="DA211" i="111"/>
  <c r="CZ211" i="111"/>
  <c r="CY211" i="111"/>
  <c r="CL211" i="111"/>
  <c r="BY211" i="111"/>
  <c r="AY211" i="111"/>
  <c r="AX211" i="111"/>
  <c r="AK211" i="111"/>
  <c r="L211" i="111"/>
  <c r="AE211" i="111" s="1"/>
  <c r="K211" i="111"/>
  <c r="J211" i="111"/>
  <c r="DR210" i="111"/>
  <c r="DK210" i="111"/>
  <c r="DJ210" i="111"/>
  <c r="DI210" i="111"/>
  <c r="DH210" i="111"/>
  <c r="DF210" i="111"/>
  <c r="DB210" i="111"/>
  <c r="DA210" i="111"/>
  <c r="CZ210" i="111"/>
  <c r="CY210" i="111"/>
  <c r="CL210" i="111"/>
  <c r="BY210" i="111"/>
  <c r="BR210" i="111"/>
  <c r="AY210" i="111"/>
  <c r="AX210" i="111"/>
  <c r="AK210" i="111"/>
  <c r="L210" i="111"/>
  <c r="K210" i="111"/>
  <c r="J210" i="111"/>
  <c r="DR209" i="111"/>
  <c r="DK209" i="111"/>
  <c r="DJ209" i="111"/>
  <c r="DI209" i="111"/>
  <c r="DH209" i="111"/>
  <c r="DF209" i="111"/>
  <c r="DB209" i="111"/>
  <c r="DA209" i="111"/>
  <c r="CZ209" i="111"/>
  <c r="CY209" i="111"/>
  <c r="CL209" i="111"/>
  <c r="BY209" i="111"/>
  <c r="AY209" i="111"/>
  <c r="AX209" i="111"/>
  <c r="AK209" i="111"/>
  <c r="L209" i="111"/>
  <c r="K209" i="111"/>
  <c r="J209" i="111"/>
  <c r="DR208" i="111"/>
  <c r="DK208" i="111"/>
  <c r="DJ208" i="111"/>
  <c r="DI208" i="111"/>
  <c r="DH208" i="111"/>
  <c r="DF208" i="111"/>
  <c r="DB208" i="111"/>
  <c r="DA208" i="111"/>
  <c r="CZ208" i="111"/>
  <c r="CY208" i="111"/>
  <c r="CL208" i="111"/>
  <c r="BY208" i="111"/>
  <c r="AY208" i="111"/>
  <c r="AX208" i="111"/>
  <c r="AK208" i="111"/>
  <c r="L208" i="111"/>
  <c r="K208" i="111"/>
  <c r="J208" i="111"/>
  <c r="DR207" i="111"/>
  <c r="DK207" i="111"/>
  <c r="DJ207" i="111"/>
  <c r="DI207" i="111"/>
  <c r="DH207" i="111"/>
  <c r="DF207" i="111"/>
  <c r="DB207" i="111"/>
  <c r="DA207" i="111"/>
  <c r="CZ207" i="111"/>
  <c r="CY207" i="111"/>
  <c r="CL207" i="111"/>
  <c r="BY207" i="111"/>
  <c r="AY207" i="111"/>
  <c r="AX207" i="111"/>
  <c r="AK207" i="111"/>
  <c r="L207" i="111"/>
  <c r="K207" i="111"/>
  <c r="J207" i="111"/>
  <c r="DK206" i="111"/>
  <c r="DJ206" i="111"/>
  <c r="DI206" i="111"/>
  <c r="DH206" i="111"/>
  <c r="DF206" i="111"/>
  <c r="DB206" i="111"/>
  <c r="DA206" i="111"/>
  <c r="CZ206" i="111"/>
  <c r="CY206" i="111"/>
  <c r="CL206" i="111"/>
  <c r="BY206" i="111"/>
  <c r="DS206" i="111" s="1"/>
  <c r="AY206" i="111"/>
  <c r="AX206" i="111"/>
  <c r="AK206" i="111"/>
  <c r="L206" i="111"/>
  <c r="K206" i="111"/>
  <c r="J206" i="111"/>
  <c r="DR205" i="111"/>
  <c r="DK205" i="111"/>
  <c r="DJ205" i="111"/>
  <c r="DI205" i="111"/>
  <c r="DH205" i="111"/>
  <c r="DF205" i="111"/>
  <c r="DB205" i="111"/>
  <c r="DA205" i="111"/>
  <c r="CZ205" i="111"/>
  <c r="CY205" i="111"/>
  <c r="CL205" i="111"/>
  <c r="BY205" i="111"/>
  <c r="AY205" i="111"/>
  <c r="AX205" i="111"/>
  <c r="AK205" i="111"/>
  <c r="L205" i="111"/>
  <c r="K205" i="111"/>
  <c r="J205" i="111"/>
  <c r="DR204" i="111"/>
  <c r="DK204" i="111"/>
  <c r="DJ204" i="111"/>
  <c r="DI204" i="111"/>
  <c r="DH204" i="111"/>
  <c r="DF204" i="111"/>
  <c r="DB204" i="111"/>
  <c r="DA204" i="111"/>
  <c r="CZ204" i="111"/>
  <c r="CY204" i="111"/>
  <c r="CL204" i="111"/>
  <c r="BY204" i="111"/>
  <c r="BT204" i="111"/>
  <c r="BL204" i="111"/>
  <c r="AY204" i="111"/>
  <c r="AX204" i="111"/>
  <c r="AK204" i="111"/>
  <c r="L204" i="111"/>
  <c r="AE204" i="111" s="1"/>
  <c r="K204" i="111"/>
  <c r="J204" i="111"/>
  <c r="DR203" i="111"/>
  <c r="DK203" i="111"/>
  <c r="DJ203" i="111"/>
  <c r="DI203" i="111"/>
  <c r="DH203" i="111"/>
  <c r="DF203" i="111"/>
  <c r="DB203" i="111"/>
  <c r="DA203" i="111"/>
  <c r="CZ203" i="111"/>
  <c r="CY203" i="111"/>
  <c r="CL203" i="111"/>
  <c r="BY203" i="111"/>
  <c r="AY203" i="111"/>
  <c r="AX203" i="111"/>
  <c r="AK203" i="111"/>
  <c r="L203" i="111"/>
  <c r="K203" i="111"/>
  <c r="J203" i="111"/>
  <c r="DR202" i="111"/>
  <c r="DK202" i="111"/>
  <c r="DJ202" i="111"/>
  <c r="DI202" i="111"/>
  <c r="DH202" i="111"/>
  <c r="DF202" i="111"/>
  <c r="DB202" i="111"/>
  <c r="DA202" i="111"/>
  <c r="CZ202" i="111"/>
  <c r="CY202" i="111"/>
  <c r="CL202" i="111"/>
  <c r="BY202" i="111"/>
  <c r="AY202" i="111"/>
  <c r="AX202" i="111"/>
  <c r="AK202" i="111"/>
  <c r="L202" i="111"/>
  <c r="AE202" i="111" s="1"/>
  <c r="K202" i="111"/>
  <c r="J202" i="111"/>
  <c r="DR201" i="111"/>
  <c r="DK201" i="111"/>
  <c r="DJ201" i="111"/>
  <c r="DI201" i="111"/>
  <c r="DH201" i="111"/>
  <c r="DF201" i="111"/>
  <c r="DB201" i="111"/>
  <c r="DA201" i="111"/>
  <c r="CZ201" i="111"/>
  <c r="CY201" i="111"/>
  <c r="CL201" i="111"/>
  <c r="BY201" i="111"/>
  <c r="AY201" i="111"/>
  <c r="AX201" i="111"/>
  <c r="AK201" i="111"/>
  <c r="L201" i="111"/>
  <c r="AE201" i="111" s="1"/>
  <c r="K201" i="111"/>
  <c r="J201" i="111"/>
  <c r="DK200" i="111"/>
  <c r="DJ200" i="111"/>
  <c r="DI200" i="111"/>
  <c r="DH200" i="111"/>
  <c r="DF200" i="111"/>
  <c r="DB200" i="111"/>
  <c r="DA200" i="111"/>
  <c r="CZ200" i="111"/>
  <c r="CY200" i="111"/>
  <c r="CL200" i="111"/>
  <c r="BY200" i="111"/>
  <c r="DS200" i="111" s="1"/>
  <c r="AY200" i="111"/>
  <c r="AX200" i="111"/>
  <c r="AK200" i="111"/>
  <c r="L200" i="111"/>
  <c r="K200" i="111"/>
  <c r="J200" i="111"/>
  <c r="DK199" i="111"/>
  <c r="DJ199" i="111"/>
  <c r="DI199" i="111"/>
  <c r="DH199" i="111"/>
  <c r="DF199" i="111"/>
  <c r="DB199" i="111"/>
  <c r="DA199" i="111"/>
  <c r="CZ199" i="111"/>
  <c r="CY199" i="111"/>
  <c r="CL199" i="111"/>
  <c r="BY199" i="111"/>
  <c r="DS199" i="111" s="1"/>
  <c r="AY199" i="111"/>
  <c r="AX199" i="111"/>
  <c r="AK199" i="111"/>
  <c r="L199" i="111"/>
  <c r="K199" i="111"/>
  <c r="J199" i="111"/>
  <c r="DR198" i="111"/>
  <c r="DK198" i="111"/>
  <c r="DJ198" i="111"/>
  <c r="DI198" i="111"/>
  <c r="DH198" i="111"/>
  <c r="DF198" i="111"/>
  <c r="DB198" i="111"/>
  <c r="DA198" i="111"/>
  <c r="CZ198" i="111"/>
  <c r="CY198" i="111"/>
  <c r="CL198" i="111"/>
  <c r="BY198" i="111"/>
  <c r="AY198" i="111"/>
  <c r="AX198" i="111"/>
  <c r="AK198" i="111"/>
  <c r="L198" i="111"/>
  <c r="K198" i="111"/>
  <c r="J198" i="111"/>
  <c r="DR197" i="111"/>
  <c r="DK197" i="111"/>
  <c r="DJ197" i="111"/>
  <c r="DI197" i="111"/>
  <c r="DH197" i="111"/>
  <c r="DF197" i="111"/>
  <c r="DB197" i="111"/>
  <c r="DA197" i="111"/>
  <c r="CZ197" i="111"/>
  <c r="CY197" i="111"/>
  <c r="CL197" i="111"/>
  <c r="BY197" i="111"/>
  <c r="AY197" i="111"/>
  <c r="AX197" i="111"/>
  <c r="AK197" i="111"/>
  <c r="L197" i="111"/>
  <c r="K197" i="111"/>
  <c r="J197" i="111"/>
  <c r="DR196" i="111"/>
  <c r="DK196" i="111"/>
  <c r="DJ196" i="111"/>
  <c r="DI196" i="111"/>
  <c r="DH196" i="111"/>
  <c r="DF196" i="111"/>
  <c r="DB196" i="111"/>
  <c r="DA196" i="111"/>
  <c r="CZ196" i="111"/>
  <c r="CY196" i="111"/>
  <c r="CL196" i="111"/>
  <c r="BZ196" i="111"/>
  <c r="BY196" i="111" s="1"/>
  <c r="BT196" i="111"/>
  <c r="AY196" i="111"/>
  <c r="AX196" i="111"/>
  <c r="AK196" i="111"/>
  <c r="L196" i="111"/>
  <c r="AE196" i="111" s="1"/>
  <c r="K196" i="111"/>
  <c r="J196" i="111"/>
  <c r="DR195" i="111"/>
  <c r="DK195" i="111"/>
  <c r="DJ195" i="111"/>
  <c r="DI195" i="111"/>
  <c r="DH195" i="111"/>
  <c r="DF195" i="111"/>
  <c r="DB195" i="111"/>
  <c r="DA195" i="111"/>
  <c r="CZ195" i="111"/>
  <c r="CY195" i="111"/>
  <c r="CL195" i="111"/>
  <c r="CC195" i="111"/>
  <c r="BY195" i="111" s="1"/>
  <c r="AY195" i="111"/>
  <c r="AX195" i="111"/>
  <c r="AK195" i="111"/>
  <c r="L195" i="111"/>
  <c r="AE195" i="111" s="1"/>
  <c r="K195" i="111"/>
  <c r="J195" i="111"/>
  <c r="DR194" i="111"/>
  <c r="DK194" i="111"/>
  <c r="DJ194" i="111"/>
  <c r="DI194" i="111"/>
  <c r="DH194" i="111"/>
  <c r="DF194" i="111"/>
  <c r="DB194" i="111"/>
  <c r="DA194" i="111"/>
  <c r="CZ194" i="111"/>
  <c r="CY194" i="111"/>
  <c r="CL194" i="111"/>
  <c r="BY194" i="111"/>
  <c r="AY194" i="111"/>
  <c r="AX194" i="111"/>
  <c r="AK194" i="111"/>
  <c r="L194" i="111"/>
  <c r="AE194" i="111" s="1"/>
  <c r="K194" i="111"/>
  <c r="J194" i="111"/>
  <c r="DR193" i="111"/>
  <c r="DK193" i="111"/>
  <c r="DJ193" i="111"/>
  <c r="DI193" i="111"/>
  <c r="DH193" i="111"/>
  <c r="DF193" i="111"/>
  <c r="DB193" i="111"/>
  <c r="DA193" i="111"/>
  <c r="CZ193" i="111"/>
  <c r="CY193" i="111"/>
  <c r="CL193" i="111"/>
  <c r="BY193" i="111"/>
  <c r="BT193" i="111"/>
  <c r="AY193" i="111"/>
  <c r="AX193" i="111"/>
  <c r="AK193" i="111"/>
  <c r="L193" i="111"/>
  <c r="AE193" i="111" s="1"/>
  <c r="K193" i="111"/>
  <c r="J193" i="111"/>
  <c r="DK192" i="111"/>
  <c r="DJ192" i="111"/>
  <c r="DI192" i="111"/>
  <c r="DH192" i="111"/>
  <c r="DF192" i="111"/>
  <c r="DB192" i="111"/>
  <c r="DA192" i="111"/>
  <c r="CZ192" i="111"/>
  <c r="CY192" i="111"/>
  <c r="CL192" i="111"/>
  <c r="BY192" i="111"/>
  <c r="AY192" i="111"/>
  <c r="AX192" i="111"/>
  <c r="AK192" i="111"/>
  <c r="L192" i="111"/>
  <c r="K192" i="111"/>
  <c r="J192" i="111"/>
  <c r="DK191" i="111"/>
  <c r="DJ191" i="111"/>
  <c r="DI191" i="111"/>
  <c r="DH191" i="111"/>
  <c r="DF191" i="111"/>
  <c r="DB191" i="111"/>
  <c r="DA191" i="111"/>
  <c r="CZ191" i="111"/>
  <c r="CY191" i="111"/>
  <c r="CL191" i="111"/>
  <c r="BY191" i="111"/>
  <c r="DS191" i="111" s="1"/>
  <c r="AY191" i="111"/>
  <c r="AX191" i="111"/>
  <c r="AK191" i="111"/>
  <c r="L191" i="111"/>
  <c r="K191" i="111"/>
  <c r="J191" i="111"/>
  <c r="DK190" i="111"/>
  <c r="DJ190" i="111"/>
  <c r="DI190" i="111"/>
  <c r="DH190" i="111"/>
  <c r="DF190" i="111"/>
  <c r="DB190" i="111"/>
  <c r="DA190" i="111"/>
  <c r="CZ190" i="111"/>
  <c r="CY190" i="111"/>
  <c r="CL190" i="111"/>
  <c r="BY190" i="111"/>
  <c r="DS190" i="111" s="1"/>
  <c r="AY190" i="111"/>
  <c r="AX190" i="111"/>
  <c r="AK190" i="111"/>
  <c r="L190" i="111"/>
  <c r="K190" i="111"/>
  <c r="J190" i="111"/>
  <c r="DK189" i="111"/>
  <c r="DJ189" i="111"/>
  <c r="DI189" i="111"/>
  <c r="DH189" i="111"/>
  <c r="DF189" i="111"/>
  <c r="DB189" i="111"/>
  <c r="DA189" i="111"/>
  <c r="CZ189" i="111"/>
  <c r="CY189" i="111"/>
  <c r="CL189" i="111"/>
  <c r="BY189" i="111"/>
  <c r="DS189" i="111" s="1"/>
  <c r="AY189" i="111"/>
  <c r="AX189" i="111"/>
  <c r="AK189" i="111"/>
  <c r="L189" i="111"/>
  <c r="K189" i="111"/>
  <c r="J189" i="111"/>
  <c r="DK188" i="111"/>
  <c r="DJ188" i="111"/>
  <c r="DI188" i="111"/>
  <c r="DH188" i="111"/>
  <c r="DF188" i="111"/>
  <c r="DB188" i="111"/>
  <c r="DA188" i="111"/>
  <c r="CZ188" i="111"/>
  <c r="CY188" i="111"/>
  <c r="CL188" i="111"/>
  <c r="BY188" i="111"/>
  <c r="AY188" i="111"/>
  <c r="AX188" i="111"/>
  <c r="AK188" i="111"/>
  <c r="L188" i="111"/>
  <c r="K188" i="111"/>
  <c r="J188" i="111"/>
  <c r="DK187" i="111"/>
  <c r="DJ187" i="111"/>
  <c r="DI187" i="111"/>
  <c r="DH187" i="111"/>
  <c r="DF187" i="111"/>
  <c r="DB187" i="111"/>
  <c r="DA187" i="111"/>
  <c r="CZ187" i="111"/>
  <c r="CY187" i="111"/>
  <c r="CL187" i="111"/>
  <c r="BY187" i="111"/>
  <c r="DS187" i="111" s="1"/>
  <c r="AY187" i="111"/>
  <c r="AX187" i="111"/>
  <c r="AK187" i="111"/>
  <c r="L187" i="111"/>
  <c r="K187" i="111"/>
  <c r="J187" i="111"/>
  <c r="DK186" i="111"/>
  <c r="DJ186" i="111"/>
  <c r="DI186" i="111"/>
  <c r="DH186" i="111"/>
  <c r="DF186" i="111"/>
  <c r="DB186" i="111"/>
  <c r="DA186" i="111"/>
  <c r="CZ186" i="111"/>
  <c r="CY186" i="111"/>
  <c r="CL186" i="111"/>
  <c r="BY186" i="111"/>
  <c r="DS186" i="111" s="1"/>
  <c r="AY186" i="111"/>
  <c r="AX186" i="111"/>
  <c r="AK186" i="111"/>
  <c r="L186" i="111"/>
  <c r="K186" i="111"/>
  <c r="J186" i="111"/>
  <c r="DK185" i="111"/>
  <c r="DJ185" i="111"/>
  <c r="DI185" i="111"/>
  <c r="DH185" i="111"/>
  <c r="DF185" i="111"/>
  <c r="DB185" i="111"/>
  <c r="DA185" i="111"/>
  <c r="CZ185" i="111"/>
  <c r="CY185" i="111"/>
  <c r="CL185" i="111"/>
  <c r="BY185" i="111"/>
  <c r="DS185" i="111" s="1"/>
  <c r="AY185" i="111"/>
  <c r="AX185" i="111"/>
  <c r="AK185" i="111"/>
  <c r="L185" i="111"/>
  <c r="K185" i="111"/>
  <c r="J185" i="111"/>
  <c r="DR184" i="111"/>
  <c r="DK184" i="111"/>
  <c r="DJ184" i="111"/>
  <c r="DI184" i="111"/>
  <c r="DH184" i="111"/>
  <c r="DF184" i="111"/>
  <c r="DB184" i="111"/>
  <c r="DA184" i="111"/>
  <c r="CZ184" i="111"/>
  <c r="CY184" i="111"/>
  <c r="CL184" i="111"/>
  <c r="BY184" i="111"/>
  <c r="AY184" i="111"/>
  <c r="AX184" i="111"/>
  <c r="AK184" i="111"/>
  <c r="L184" i="111"/>
  <c r="K184" i="111"/>
  <c r="J184" i="111"/>
  <c r="DR183" i="111"/>
  <c r="DK183" i="111"/>
  <c r="DJ183" i="111"/>
  <c r="DI183" i="111"/>
  <c r="DH183" i="111"/>
  <c r="DF183" i="111"/>
  <c r="DB183" i="111"/>
  <c r="DA183" i="111"/>
  <c r="CZ183" i="111"/>
  <c r="CY183" i="111"/>
  <c r="CL183" i="111"/>
  <c r="BY183" i="111"/>
  <c r="AY183" i="111"/>
  <c r="AX183" i="111"/>
  <c r="AK183" i="111"/>
  <c r="L183" i="111"/>
  <c r="K183" i="111"/>
  <c r="J183" i="111"/>
  <c r="DK182" i="111"/>
  <c r="DJ182" i="111"/>
  <c r="DI182" i="111"/>
  <c r="DH182" i="111"/>
  <c r="DF182" i="111"/>
  <c r="DB182" i="111"/>
  <c r="DA182" i="111"/>
  <c r="CZ182" i="111"/>
  <c r="CY182" i="111"/>
  <c r="CL182" i="111"/>
  <c r="BY182" i="111"/>
  <c r="DS182" i="111" s="1"/>
  <c r="AY182" i="111"/>
  <c r="AX182" i="111"/>
  <c r="AK182" i="111"/>
  <c r="L182" i="111"/>
  <c r="K182" i="111"/>
  <c r="J182" i="111"/>
  <c r="DK181" i="111"/>
  <c r="DJ181" i="111"/>
  <c r="DI181" i="111"/>
  <c r="DH181" i="111"/>
  <c r="DF181" i="111"/>
  <c r="DB181" i="111"/>
  <c r="DA181" i="111"/>
  <c r="CZ181" i="111"/>
  <c r="CY181" i="111"/>
  <c r="CL181" i="111"/>
  <c r="BY181" i="111"/>
  <c r="DS181" i="111" s="1"/>
  <c r="AY181" i="111"/>
  <c r="AX181" i="111"/>
  <c r="AK181" i="111"/>
  <c r="L181" i="111"/>
  <c r="K181" i="111"/>
  <c r="J181" i="111"/>
  <c r="DK180" i="111"/>
  <c r="DJ180" i="111"/>
  <c r="DI180" i="111"/>
  <c r="DH180" i="111"/>
  <c r="DF180" i="111"/>
  <c r="DB180" i="111"/>
  <c r="DA180" i="111"/>
  <c r="CZ180" i="111"/>
  <c r="CY180" i="111"/>
  <c r="CL180" i="111"/>
  <c r="BY180" i="111"/>
  <c r="DS180" i="111" s="1"/>
  <c r="AY180" i="111"/>
  <c r="AX180" i="111"/>
  <c r="AK180" i="111"/>
  <c r="L180" i="111"/>
  <c r="K180" i="111"/>
  <c r="J180" i="111"/>
  <c r="DR179" i="111"/>
  <c r="DK179" i="111"/>
  <c r="DJ179" i="111"/>
  <c r="DI179" i="111"/>
  <c r="DH179" i="111"/>
  <c r="DF179" i="111"/>
  <c r="DB179" i="111"/>
  <c r="DA179" i="111"/>
  <c r="CZ179" i="111"/>
  <c r="CY179" i="111"/>
  <c r="CL179" i="111"/>
  <c r="BY179" i="111"/>
  <c r="AY179" i="111"/>
  <c r="AX179" i="111"/>
  <c r="AK179" i="111"/>
  <c r="L179" i="111"/>
  <c r="K179" i="111"/>
  <c r="J179" i="111"/>
  <c r="DR178" i="111"/>
  <c r="DK178" i="111"/>
  <c r="DJ178" i="111"/>
  <c r="DI178" i="111"/>
  <c r="DH178" i="111"/>
  <c r="DF178" i="111"/>
  <c r="DB178" i="111"/>
  <c r="DA178" i="111"/>
  <c r="CZ178" i="111"/>
  <c r="CY178" i="111"/>
  <c r="CL178" i="111"/>
  <c r="BY178" i="111"/>
  <c r="BL178" i="111"/>
  <c r="AY178" i="111"/>
  <c r="AX178" i="111"/>
  <c r="AK178" i="111"/>
  <c r="L178" i="111"/>
  <c r="AE178" i="111" s="1"/>
  <c r="K178" i="111"/>
  <c r="J178" i="111"/>
  <c r="DR177" i="111"/>
  <c r="DK177" i="111"/>
  <c r="DJ177" i="111"/>
  <c r="DI177" i="111"/>
  <c r="DH177" i="111"/>
  <c r="DF177" i="111"/>
  <c r="DB177" i="111"/>
  <c r="DA177" i="111"/>
  <c r="CZ177" i="111"/>
  <c r="CY177" i="111"/>
  <c r="CL177" i="111"/>
  <c r="BY177" i="111"/>
  <c r="AY177" i="111"/>
  <c r="AX177" i="111"/>
  <c r="AK177" i="111"/>
  <c r="L177" i="111"/>
  <c r="K177" i="111"/>
  <c r="J177" i="111"/>
  <c r="DR176" i="111"/>
  <c r="DK176" i="111"/>
  <c r="DJ176" i="111"/>
  <c r="DI176" i="111"/>
  <c r="DH176" i="111"/>
  <c r="DF176" i="111"/>
  <c r="DB176" i="111"/>
  <c r="DA176" i="111"/>
  <c r="CZ176" i="111"/>
  <c r="CY176" i="111"/>
  <c r="CL176" i="111"/>
  <c r="BY176" i="111"/>
  <c r="BR176" i="111"/>
  <c r="BL176" i="111"/>
  <c r="AY176" i="111"/>
  <c r="AX176" i="111"/>
  <c r="AK176" i="111"/>
  <c r="L176" i="111"/>
  <c r="AE176" i="111" s="1"/>
  <c r="K176" i="111"/>
  <c r="J176" i="111"/>
  <c r="DR175" i="111"/>
  <c r="DK175" i="111"/>
  <c r="DJ175" i="111"/>
  <c r="DI175" i="111"/>
  <c r="DH175" i="111"/>
  <c r="DF175" i="111"/>
  <c r="DB175" i="111"/>
  <c r="DA175" i="111"/>
  <c r="CZ175" i="111"/>
  <c r="CY175" i="111"/>
  <c r="CL175" i="111"/>
  <c r="BY175" i="111"/>
  <c r="AY175" i="111"/>
  <c r="AX175" i="111"/>
  <c r="AK175" i="111"/>
  <c r="L175" i="111"/>
  <c r="K175" i="111"/>
  <c r="J175" i="111"/>
  <c r="DK174" i="111"/>
  <c r="DJ174" i="111"/>
  <c r="DI174" i="111"/>
  <c r="DH174" i="111"/>
  <c r="DF174" i="111"/>
  <c r="DB174" i="111"/>
  <c r="DA174" i="111"/>
  <c r="CZ174" i="111"/>
  <c r="CY174" i="111"/>
  <c r="CL174" i="111"/>
  <c r="BY174" i="111"/>
  <c r="DS174" i="111" s="1"/>
  <c r="AY174" i="111"/>
  <c r="AX174" i="111"/>
  <c r="AK174" i="111"/>
  <c r="L174" i="111"/>
  <c r="K174" i="111"/>
  <c r="J174" i="111"/>
  <c r="DK173" i="111"/>
  <c r="DJ173" i="111"/>
  <c r="DI173" i="111"/>
  <c r="DH173" i="111"/>
  <c r="DF173" i="111"/>
  <c r="DB173" i="111"/>
  <c r="DA173" i="111"/>
  <c r="CZ173" i="111"/>
  <c r="CY173" i="111"/>
  <c r="CL173" i="111"/>
  <c r="BY173" i="111"/>
  <c r="AY173" i="111"/>
  <c r="AX173" i="111"/>
  <c r="AK173" i="111"/>
  <c r="L173" i="111"/>
  <c r="K173" i="111"/>
  <c r="J173" i="111"/>
  <c r="DK172" i="111"/>
  <c r="DJ172" i="111"/>
  <c r="DI172" i="111"/>
  <c r="DH172" i="111"/>
  <c r="DF172" i="111"/>
  <c r="DB172" i="111"/>
  <c r="DA172" i="111"/>
  <c r="CZ172" i="111"/>
  <c r="CY172" i="111"/>
  <c r="CL172" i="111"/>
  <c r="BY172" i="111"/>
  <c r="DS172" i="111" s="1"/>
  <c r="AY172" i="111"/>
  <c r="AX172" i="111"/>
  <c r="AK172" i="111"/>
  <c r="L172" i="111"/>
  <c r="K172" i="111"/>
  <c r="J172" i="111"/>
  <c r="DR171" i="111"/>
  <c r="DK171" i="111"/>
  <c r="DJ171" i="111"/>
  <c r="DI171" i="111"/>
  <c r="DH171" i="111"/>
  <c r="DF171" i="111"/>
  <c r="DB171" i="111"/>
  <c r="DA171" i="111"/>
  <c r="CZ171" i="111"/>
  <c r="CY171" i="111"/>
  <c r="CL171" i="111"/>
  <c r="BY171" i="111"/>
  <c r="AY171" i="111"/>
  <c r="AX171" i="111"/>
  <c r="AK171" i="111"/>
  <c r="L171" i="111"/>
  <c r="K171" i="111"/>
  <c r="J171" i="111"/>
  <c r="DK170" i="111"/>
  <c r="DJ170" i="111"/>
  <c r="DI170" i="111"/>
  <c r="DH170" i="111"/>
  <c r="DF170" i="111"/>
  <c r="DB170" i="111"/>
  <c r="DA170" i="111"/>
  <c r="CZ170" i="111"/>
  <c r="CY170" i="111"/>
  <c r="CL170" i="111"/>
  <c r="BY170" i="111"/>
  <c r="DS170" i="111" s="1"/>
  <c r="AY170" i="111"/>
  <c r="AX170" i="111"/>
  <c r="AK170" i="111"/>
  <c r="L170" i="111"/>
  <c r="K170" i="111"/>
  <c r="J170" i="111"/>
  <c r="DK169" i="111"/>
  <c r="DJ169" i="111"/>
  <c r="DI169" i="111"/>
  <c r="DH169" i="111"/>
  <c r="DF169" i="111"/>
  <c r="DB169" i="111"/>
  <c r="DA169" i="111"/>
  <c r="CZ169" i="111"/>
  <c r="CY169" i="111"/>
  <c r="CL169" i="111"/>
  <c r="BY169" i="111"/>
  <c r="DS169" i="111" s="1"/>
  <c r="AY169" i="111"/>
  <c r="AX169" i="111"/>
  <c r="AK169" i="111"/>
  <c r="L169" i="111"/>
  <c r="K169" i="111"/>
  <c r="J169" i="111"/>
  <c r="DK168" i="111"/>
  <c r="DJ168" i="111"/>
  <c r="DI168" i="111"/>
  <c r="DH168" i="111"/>
  <c r="DF168" i="111"/>
  <c r="DB168" i="111"/>
  <c r="DA168" i="111"/>
  <c r="CZ168" i="111"/>
  <c r="CY168" i="111"/>
  <c r="CL168" i="111"/>
  <c r="BY168" i="111"/>
  <c r="DS168" i="111" s="1"/>
  <c r="AY168" i="111"/>
  <c r="AX168" i="111"/>
  <c r="AK168" i="111"/>
  <c r="L168" i="111"/>
  <c r="K168" i="111"/>
  <c r="J168" i="111"/>
  <c r="DK167" i="111"/>
  <c r="DJ167" i="111"/>
  <c r="DI167" i="111"/>
  <c r="DH167" i="111"/>
  <c r="DF167" i="111"/>
  <c r="DB167" i="111"/>
  <c r="DA167" i="111"/>
  <c r="CZ167" i="111"/>
  <c r="CY167" i="111"/>
  <c r="CL167" i="111"/>
  <c r="BY167" i="111"/>
  <c r="DS167" i="111" s="1"/>
  <c r="AY167" i="111"/>
  <c r="AX167" i="111"/>
  <c r="AK167" i="111"/>
  <c r="L167" i="111"/>
  <c r="K167" i="111"/>
  <c r="J167" i="111"/>
  <c r="DR166" i="111"/>
  <c r="DK166" i="111"/>
  <c r="DJ166" i="111"/>
  <c r="DI166" i="111"/>
  <c r="DH166" i="111"/>
  <c r="DF166" i="111"/>
  <c r="DB166" i="111"/>
  <c r="DA166" i="111"/>
  <c r="CZ166" i="111"/>
  <c r="CY166" i="111"/>
  <c r="CL166" i="111"/>
  <c r="BY166" i="111"/>
  <c r="AY166" i="111"/>
  <c r="AX166" i="111"/>
  <c r="AK166" i="111"/>
  <c r="L166" i="111"/>
  <c r="K166" i="111"/>
  <c r="J166" i="111"/>
  <c r="DK165" i="111"/>
  <c r="DJ165" i="111"/>
  <c r="DI165" i="111"/>
  <c r="DH165" i="111"/>
  <c r="DF165" i="111"/>
  <c r="DB165" i="111"/>
  <c r="DA165" i="111"/>
  <c r="CZ165" i="111"/>
  <c r="CY165" i="111"/>
  <c r="CL165" i="111"/>
  <c r="BY165" i="111"/>
  <c r="DS165" i="111" s="1"/>
  <c r="AY165" i="111"/>
  <c r="AX165" i="111"/>
  <c r="AK165" i="111"/>
  <c r="L165" i="111"/>
  <c r="K165" i="111"/>
  <c r="J165" i="111"/>
  <c r="DK164" i="111"/>
  <c r="DJ164" i="111"/>
  <c r="DI164" i="111"/>
  <c r="DH164" i="111"/>
  <c r="DF164" i="111"/>
  <c r="DB164" i="111"/>
  <c r="DA164" i="111"/>
  <c r="CZ164" i="111"/>
  <c r="CY164" i="111"/>
  <c r="CL164" i="111"/>
  <c r="BY164" i="111"/>
  <c r="DS164" i="111" s="1"/>
  <c r="AY164" i="111"/>
  <c r="AX164" i="111"/>
  <c r="AK164" i="111"/>
  <c r="L164" i="111"/>
  <c r="K164" i="111"/>
  <c r="J164" i="111"/>
  <c r="DR163" i="111"/>
  <c r="DK163" i="111"/>
  <c r="DJ163" i="111"/>
  <c r="DI163" i="111"/>
  <c r="DH163" i="111"/>
  <c r="DF163" i="111"/>
  <c r="DB163" i="111"/>
  <c r="DA163" i="111"/>
  <c r="CZ163" i="111"/>
  <c r="CY163" i="111"/>
  <c r="CL163" i="111"/>
  <c r="BY163" i="111"/>
  <c r="AY163" i="111"/>
  <c r="AX163" i="111"/>
  <c r="AK163" i="111"/>
  <c r="L163" i="111"/>
  <c r="K163" i="111"/>
  <c r="J163" i="111"/>
  <c r="DK162" i="111"/>
  <c r="DJ162" i="111"/>
  <c r="DI162" i="111"/>
  <c r="DH162" i="111"/>
  <c r="DF162" i="111"/>
  <c r="DB162" i="111"/>
  <c r="DA162" i="111"/>
  <c r="CZ162" i="111"/>
  <c r="CY162" i="111"/>
  <c r="CL162" i="111"/>
  <c r="BY162" i="111"/>
  <c r="DS162" i="111" s="1"/>
  <c r="AY162" i="111"/>
  <c r="AX162" i="111"/>
  <c r="AK162" i="111"/>
  <c r="L162" i="111"/>
  <c r="K162" i="111"/>
  <c r="J162" i="111"/>
  <c r="DR161" i="111"/>
  <c r="DK161" i="111"/>
  <c r="DJ161" i="111"/>
  <c r="DI161" i="111"/>
  <c r="DH161" i="111"/>
  <c r="DF161" i="111"/>
  <c r="DB161" i="111"/>
  <c r="DA161" i="111"/>
  <c r="CZ161" i="111"/>
  <c r="CY161" i="111"/>
  <c r="CL161" i="111"/>
  <c r="BY161" i="111"/>
  <c r="AY161" i="111"/>
  <c r="AX161" i="111"/>
  <c r="AK161" i="111"/>
  <c r="L161" i="111"/>
  <c r="K161" i="111"/>
  <c r="J161" i="111"/>
  <c r="DK160" i="111"/>
  <c r="DJ160" i="111"/>
  <c r="DI160" i="111"/>
  <c r="DH160" i="111"/>
  <c r="DF160" i="111"/>
  <c r="DB160" i="111"/>
  <c r="DA160" i="111"/>
  <c r="CZ160" i="111"/>
  <c r="CY160" i="111"/>
  <c r="CL160" i="111"/>
  <c r="BY160" i="111"/>
  <c r="DS160" i="111" s="1"/>
  <c r="AY160" i="111"/>
  <c r="AX160" i="111"/>
  <c r="AK160" i="111"/>
  <c r="L160" i="111"/>
  <c r="K160" i="111"/>
  <c r="J160" i="111"/>
  <c r="DR159" i="111"/>
  <c r="DK159" i="111"/>
  <c r="DJ159" i="111"/>
  <c r="DI159" i="111"/>
  <c r="DH159" i="111"/>
  <c r="DF159" i="111"/>
  <c r="DB159" i="111"/>
  <c r="DA159" i="111"/>
  <c r="CZ159" i="111"/>
  <c r="CY159" i="111"/>
  <c r="CL159" i="111"/>
  <c r="BY159" i="111"/>
  <c r="AY159" i="111"/>
  <c r="AX159" i="111"/>
  <c r="AK159" i="111"/>
  <c r="L159" i="111"/>
  <c r="K159" i="111"/>
  <c r="J159" i="111"/>
  <c r="DR158" i="111"/>
  <c r="DK158" i="111"/>
  <c r="DJ158" i="111"/>
  <c r="DI158" i="111"/>
  <c r="DH158" i="111"/>
  <c r="DF158" i="111"/>
  <c r="DB158" i="111"/>
  <c r="DA158" i="111"/>
  <c r="CZ158" i="111"/>
  <c r="CY158" i="111"/>
  <c r="CL158" i="111"/>
  <c r="BY158" i="111"/>
  <c r="AY158" i="111"/>
  <c r="AX158" i="111"/>
  <c r="AK158" i="111"/>
  <c r="L158" i="111"/>
  <c r="K158" i="111"/>
  <c r="J158" i="111"/>
  <c r="DK157" i="111"/>
  <c r="DJ157" i="111"/>
  <c r="DI157" i="111"/>
  <c r="DH157" i="111"/>
  <c r="DF157" i="111"/>
  <c r="DB157" i="111"/>
  <c r="DA157" i="111"/>
  <c r="CZ157" i="111"/>
  <c r="CY157" i="111"/>
  <c r="CL157" i="111"/>
  <c r="BY157" i="111"/>
  <c r="DS157" i="111" s="1"/>
  <c r="AY157" i="111"/>
  <c r="AX157" i="111"/>
  <c r="AK157" i="111"/>
  <c r="L157" i="111"/>
  <c r="K157" i="111"/>
  <c r="J157" i="111"/>
  <c r="DR156" i="111"/>
  <c r="DK156" i="111"/>
  <c r="DJ156" i="111"/>
  <c r="DI156" i="111"/>
  <c r="DH156" i="111"/>
  <c r="DF156" i="111"/>
  <c r="DB156" i="111"/>
  <c r="DA156" i="111"/>
  <c r="CZ156" i="111"/>
  <c r="CY156" i="111"/>
  <c r="CL156" i="111"/>
  <c r="BY156" i="111"/>
  <c r="AY156" i="111"/>
  <c r="AX156" i="111"/>
  <c r="AK156" i="111"/>
  <c r="L156" i="111"/>
  <c r="K156" i="111"/>
  <c r="J156" i="111"/>
  <c r="DK155" i="111"/>
  <c r="DJ155" i="111"/>
  <c r="DI155" i="111"/>
  <c r="DH155" i="111"/>
  <c r="DF155" i="111"/>
  <c r="DB155" i="111"/>
  <c r="DA155" i="111"/>
  <c r="CZ155" i="111"/>
  <c r="CY155" i="111"/>
  <c r="CL155" i="111"/>
  <c r="BY155" i="111"/>
  <c r="AY155" i="111"/>
  <c r="AX155" i="111"/>
  <c r="AK155" i="111"/>
  <c r="L155" i="111"/>
  <c r="K155" i="111"/>
  <c r="J155" i="111"/>
  <c r="DK154" i="111"/>
  <c r="DJ154" i="111"/>
  <c r="DI154" i="111"/>
  <c r="DH154" i="111"/>
  <c r="DF154" i="111"/>
  <c r="DB154" i="111"/>
  <c r="DA154" i="111"/>
  <c r="CZ154" i="111"/>
  <c r="CY154" i="111"/>
  <c r="CL154" i="111"/>
  <c r="BY154" i="111"/>
  <c r="AY154" i="111"/>
  <c r="AX154" i="111"/>
  <c r="AK154" i="111"/>
  <c r="L154" i="111"/>
  <c r="K154" i="111"/>
  <c r="J154" i="111"/>
  <c r="DR153" i="111"/>
  <c r="DK153" i="111"/>
  <c r="DJ153" i="111"/>
  <c r="DI153" i="111"/>
  <c r="DH153" i="111"/>
  <c r="DF153" i="111"/>
  <c r="DB153" i="111"/>
  <c r="DA153" i="111"/>
  <c r="CZ153" i="111"/>
  <c r="CY153" i="111"/>
  <c r="CL153" i="111"/>
  <c r="BY153" i="111"/>
  <c r="AY153" i="111"/>
  <c r="AX153" i="111"/>
  <c r="AK153" i="111"/>
  <c r="L153" i="111"/>
  <c r="K153" i="111"/>
  <c r="J153" i="111"/>
  <c r="DK152" i="111"/>
  <c r="DJ152" i="111"/>
  <c r="DI152" i="111"/>
  <c r="DH152" i="111"/>
  <c r="DF152" i="111"/>
  <c r="DB152" i="111"/>
  <c r="DA152" i="111"/>
  <c r="CZ152" i="111"/>
  <c r="CY152" i="111"/>
  <c r="CL152" i="111"/>
  <c r="BY152" i="111"/>
  <c r="DS152" i="111" s="1"/>
  <c r="AY152" i="111"/>
  <c r="AX152" i="111"/>
  <c r="AK152" i="111"/>
  <c r="L152" i="111"/>
  <c r="K152" i="111"/>
  <c r="J152" i="111"/>
  <c r="DR151" i="111"/>
  <c r="DK151" i="111"/>
  <c r="DJ151" i="111"/>
  <c r="DI151" i="111"/>
  <c r="DH151" i="111"/>
  <c r="DF151" i="111"/>
  <c r="DB151" i="111"/>
  <c r="DA151" i="111"/>
  <c r="CZ151" i="111"/>
  <c r="CY151" i="111"/>
  <c r="CL151" i="111"/>
  <c r="BY151" i="111"/>
  <c r="AY151" i="111"/>
  <c r="AX151" i="111"/>
  <c r="AK151" i="111"/>
  <c r="L151" i="111"/>
  <c r="K151" i="111"/>
  <c r="J151" i="111"/>
  <c r="DK150" i="111"/>
  <c r="DJ150" i="111"/>
  <c r="DI150" i="111"/>
  <c r="DH150" i="111"/>
  <c r="DF150" i="111"/>
  <c r="DB150" i="111"/>
  <c r="DA150" i="111"/>
  <c r="CZ150" i="111"/>
  <c r="CY150" i="111"/>
  <c r="CL150" i="111"/>
  <c r="BY150" i="111"/>
  <c r="DS150" i="111" s="1"/>
  <c r="AY150" i="111"/>
  <c r="AX150" i="111"/>
  <c r="AK150" i="111"/>
  <c r="L150" i="111"/>
  <c r="K150" i="111"/>
  <c r="J150" i="111"/>
  <c r="DK149" i="111"/>
  <c r="DJ149" i="111"/>
  <c r="DI149" i="111"/>
  <c r="DH149" i="111"/>
  <c r="DF149" i="111"/>
  <c r="DB149" i="111"/>
  <c r="DA149" i="111"/>
  <c r="CZ149" i="111"/>
  <c r="CY149" i="111"/>
  <c r="CL149" i="111"/>
  <c r="BY149" i="111"/>
  <c r="DS149" i="111" s="1"/>
  <c r="AY149" i="111"/>
  <c r="AX149" i="111"/>
  <c r="AK149" i="111"/>
  <c r="L149" i="111"/>
  <c r="K149" i="111"/>
  <c r="J149" i="111"/>
  <c r="DR148" i="111"/>
  <c r="DK148" i="111"/>
  <c r="DJ148" i="111"/>
  <c r="DI148" i="111"/>
  <c r="DH148" i="111"/>
  <c r="DF148" i="111"/>
  <c r="DB148" i="111"/>
  <c r="DA148" i="111"/>
  <c r="CZ148" i="111"/>
  <c r="CY148" i="111"/>
  <c r="CL148" i="111"/>
  <c r="BY148" i="111"/>
  <c r="AY148" i="111"/>
  <c r="AX148" i="111"/>
  <c r="AK148" i="111"/>
  <c r="L148" i="111"/>
  <c r="K148" i="111"/>
  <c r="J148" i="111"/>
  <c r="DK147" i="111"/>
  <c r="DJ147" i="111"/>
  <c r="DI147" i="111"/>
  <c r="DH147" i="111"/>
  <c r="DF147" i="111"/>
  <c r="DB147" i="111"/>
  <c r="DA147" i="111"/>
  <c r="CZ147" i="111"/>
  <c r="CY147" i="111"/>
  <c r="CL147" i="111"/>
  <c r="BY147" i="111"/>
  <c r="DS147" i="111" s="1"/>
  <c r="AY147" i="111"/>
  <c r="AX147" i="111"/>
  <c r="AK147" i="111"/>
  <c r="L147" i="111"/>
  <c r="K147" i="111"/>
  <c r="J147" i="111"/>
  <c r="DK146" i="111"/>
  <c r="DJ146" i="111"/>
  <c r="DI146" i="111"/>
  <c r="DH146" i="111"/>
  <c r="DF146" i="111"/>
  <c r="DB146" i="111"/>
  <c r="DA146" i="111"/>
  <c r="CZ146" i="111"/>
  <c r="CY146" i="111"/>
  <c r="CL146" i="111"/>
  <c r="BY146" i="111"/>
  <c r="DS146" i="111" s="1"/>
  <c r="AY146" i="111"/>
  <c r="AX146" i="111"/>
  <c r="AK146" i="111"/>
  <c r="L146" i="111"/>
  <c r="K146" i="111"/>
  <c r="J146" i="111"/>
  <c r="DK145" i="111"/>
  <c r="DJ145" i="111"/>
  <c r="DI145" i="111"/>
  <c r="DH145" i="111"/>
  <c r="DF145" i="111"/>
  <c r="DB145" i="111"/>
  <c r="DA145" i="111"/>
  <c r="CZ145" i="111"/>
  <c r="CY145" i="111"/>
  <c r="CL145" i="111"/>
  <c r="BY145" i="111"/>
  <c r="DS145" i="111" s="1"/>
  <c r="AY145" i="111"/>
  <c r="AX145" i="111"/>
  <c r="AK145" i="111"/>
  <c r="L145" i="111"/>
  <c r="K145" i="111"/>
  <c r="J145" i="111"/>
  <c r="DR144" i="111"/>
  <c r="DK144" i="111"/>
  <c r="DJ144" i="111"/>
  <c r="DI144" i="111"/>
  <c r="DH144" i="111"/>
  <c r="DF144" i="111"/>
  <c r="DB144" i="111"/>
  <c r="DA144" i="111"/>
  <c r="CZ144" i="111"/>
  <c r="CY144" i="111"/>
  <c r="CL144" i="111"/>
  <c r="BY144" i="111"/>
  <c r="AY144" i="111"/>
  <c r="AX144" i="111"/>
  <c r="AK144" i="111"/>
  <c r="L144" i="111"/>
  <c r="K144" i="111"/>
  <c r="J144" i="111"/>
  <c r="DR143" i="111"/>
  <c r="DK143" i="111"/>
  <c r="DJ143" i="111"/>
  <c r="DI143" i="111"/>
  <c r="DH143" i="111"/>
  <c r="DF143" i="111"/>
  <c r="DB143" i="111"/>
  <c r="DA143" i="111"/>
  <c r="CZ143" i="111"/>
  <c r="CY143" i="111"/>
  <c r="CL143" i="111"/>
  <c r="BY143" i="111"/>
  <c r="AY143" i="111"/>
  <c r="AX143" i="111"/>
  <c r="AK143" i="111"/>
  <c r="L143" i="111"/>
  <c r="K143" i="111"/>
  <c r="J143" i="111"/>
  <c r="DK142" i="111"/>
  <c r="DJ142" i="111"/>
  <c r="DI142" i="111"/>
  <c r="DH142" i="111"/>
  <c r="DF142" i="111"/>
  <c r="DB142" i="111"/>
  <c r="DA142" i="111"/>
  <c r="CZ142" i="111"/>
  <c r="CY142" i="111"/>
  <c r="CL142" i="111"/>
  <c r="BY142" i="111"/>
  <c r="DS142" i="111" s="1"/>
  <c r="AY142" i="111"/>
  <c r="AX142" i="111"/>
  <c r="AK142" i="111"/>
  <c r="L142" i="111"/>
  <c r="K142" i="111"/>
  <c r="J142" i="111"/>
  <c r="DK141" i="111"/>
  <c r="DJ141" i="111"/>
  <c r="DI141" i="111"/>
  <c r="DH141" i="111"/>
  <c r="DF141" i="111"/>
  <c r="DB141" i="111"/>
  <c r="DA141" i="111"/>
  <c r="CZ141" i="111"/>
  <c r="CY141" i="111"/>
  <c r="CL141" i="111"/>
  <c r="BY141" i="111"/>
  <c r="DS141" i="111" s="1"/>
  <c r="AY141" i="111"/>
  <c r="AX141" i="111"/>
  <c r="AK141" i="111"/>
  <c r="L141" i="111"/>
  <c r="K141" i="111"/>
  <c r="J141" i="111"/>
  <c r="DK140" i="111"/>
  <c r="DJ140" i="111"/>
  <c r="DI140" i="111"/>
  <c r="DH140" i="111"/>
  <c r="DF140" i="111"/>
  <c r="DB140" i="111"/>
  <c r="DA140" i="111"/>
  <c r="CZ140" i="111"/>
  <c r="CY140" i="111"/>
  <c r="CL140" i="111"/>
  <c r="BY140" i="111"/>
  <c r="DS140" i="111" s="1"/>
  <c r="AY140" i="111"/>
  <c r="AX140" i="111"/>
  <c r="AK140" i="111"/>
  <c r="L140" i="111"/>
  <c r="K140" i="111"/>
  <c r="J140" i="111"/>
  <c r="DK139" i="111"/>
  <c r="DJ139" i="111"/>
  <c r="DI139" i="111"/>
  <c r="DH139" i="111"/>
  <c r="DF139" i="111"/>
  <c r="DB139" i="111"/>
  <c r="DA139" i="111"/>
  <c r="CZ139" i="111"/>
  <c r="CY139" i="111"/>
  <c r="CL139" i="111"/>
  <c r="BY139" i="111"/>
  <c r="DS139" i="111" s="1"/>
  <c r="AY139" i="111"/>
  <c r="AX139" i="111"/>
  <c r="AK139" i="111"/>
  <c r="L139" i="111"/>
  <c r="K139" i="111"/>
  <c r="J139" i="111"/>
  <c r="DK138" i="111"/>
  <c r="DJ138" i="111"/>
  <c r="DI138" i="111"/>
  <c r="DH138" i="111"/>
  <c r="DF138" i="111"/>
  <c r="DB138" i="111"/>
  <c r="DA138" i="111"/>
  <c r="CZ138" i="111"/>
  <c r="CY138" i="111"/>
  <c r="CL138" i="111"/>
  <c r="BY138" i="111"/>
  <c r="DS138" i="111" s="1"/>
  <c r="AY138" i="111"/>
  <c r="AX138" i="111"/>
  <c r="AK138" i="111"/>
  <c r="L138" i="111"/>
  <c r="K138" i="111"/>
  <c r="J138" i="111"/>
  <c r="DK137" i="111"/>
  <c r="DJ137" i="111"/>
  <c r="DI137" i="111"/>
  <c r="DH137" i="111"/>
  <c r="DF137" i="111"/>
  <c r="DB137" i="111"/>
  <c r="DA137" i="111"/>
  <c r="CZ137" i="111"/>
  <c r="CY137" i="111"/>
  <c r="CL137" i="111"/>
  <c r="BY137" i="111"/>
  <c r="DS137" i="111" s="1"/>
  <c r="AY137" i="111"/>
  <c r="AX137" i="111"/>
  <c r="AK137" i="111"/>
  <c r="L137" i="111"/>
  <c r="K137" i="111"/>
  <c r="J137" i="111"/>
  <c r="DK136" i="111"/>
  <c r="DJ136" i="111"/>
  <c r="DI136" i="111"/>
  <c r="DH136" i="111"/>
  <c r="DF136" i="111"/>
  <c r="DB136" i="111"/>
  <c r="DA136" i="111"/>
  <c r="CZ136" i="111"/>
  <c r="CY136" i="111"/>
  <c r="CL136" i="111"/>
  <c r="BY136" i="111"/>
  <c r="DS136" i="111" s="1"/>
  <c r="AY136" i="111"/>
  <c r="AX136" i="111"/>
  <c r="AK136" i="111"/>
  <c r="L136" i="111"/>
  <c r="K136" i="111"/>
  <c r="J136" i="111"/>
  <c r="DK135" i="111"/>
  <c r="DJ135" i="111"/>
  <c r="DI135" i="111"/>
  <c r="DH135" i="111"/>
  <c r="DF135" i="111"/>
  <c r="DB135" i="111"/>
  <c r="DA135" i="111"/>
  <c r="CZ135" i="111"/>
  <c r="CY135" i="111"/>
  <c r="CL135" i="111"/>
  <c r="BY135" i="111"/>
  <c r="DS135" i="111" s="1"/>
  <c r="AY135" i="111"/>
  <c r="AX135" i="111"/>
  <c r="AK135" i="111"/>
  <c r="L135" i="111"/>
  <c r="K135" i="111"/>
  <c r="J135" i="111"/>
  <c r="DR134" i="111"/>
  <c r="DK134" i="111"/>
  <c r="DJ134" i="111"/>
  <c r="DI134" i="111"/>
  <c r="DH134" i="111"/>
  <c r="DF134" i="111"/>
  <c r="DB134" i="111"/>
  <c r="DA134" i="111"/>
  <c r="CZ134" i="111"/>
  <c r="CY134" i="111"/>
  <c r="CL134" i="111"/>
  <c r="BY134" i="111"/>
  <c r="AY134" i="111"/>
  <c r="AX134" i="111"/>
  <c r="AK134" i="111"/>
  <c r="L134" i="111"/>
  <c r="K134" i="111"/>
  <c r="J134" i="111"/>
  <c r="DR133" i="111"/>
  <c r="DK133" i="111"/>
  <c r="DJ133" i="111"/>
  <c r="DI133" i="111"/>
  <c r="DH133" i="111"/>
  <c r="DF133" i="111"/>
  <c r="DB133" i="111"/>
  <c r="DA133" i="111"/>
  <c r="CZ133" i="111"/>
  <c r="CY133" i="111"/>
  <c r="CL133" i="111"/>
  <c r="BY133" i="111"/>
  <c r="AY133" i="111"/>
  <c r="AX133" i="111"/>
  <c r="AK133" i="111"/>
  <c r="L133" i="111"/>
  <c r="K133" i="111"/>
  <c r="J133" i="111"/>
  <c r="DK132" i="111"/>
  <c r="DJ132" i="111"/>
  <c r="DI132" i="111"/>
  <c r="DH132" i="111"/>
  <c r="DF132" i="111"/>
  <c r="DB132" i="111"/>
  <c r="DA132" i="111"/>
  <c r="CZ132" i="111"/>
  <c r="CY132" i="111"/>
  <c r="CL132" i="111"/>
  <c r="BY132" i="111"/>
  <c r="DS132" i="111" s="1"/>
  <c r="AY132" i="111"/>
  <c r="AX132" i="111"/>
  <c r="AK132" i="111"/>
  <c r="L132" i="111"/>
  <c r="K132" i="111"/>
  <c r="J132" i="111"/>
  <c r="DR131" i="111"/>
  <c r="DK131" i="111"/>
  <c r="DJ131" i="111"/>
  <c r="DI131" i="111"/>
  <c r="DH131" i="111"/>
  <c r="DF131" i="111"/>
  <c r="DB131" i="111"/>
  <c r="DA131" i="111"/>
  <c r="CZ131" i="111"/>
  <c r="CY131" i="111"/>
  <c r="CL131" i="111"/>
  <c r="BY131" i="111"/>
  <c r="AY131" i="111"/>
  <c r="AX131" i="111"/>
  <c r="AK131" i="111"/>
  <c r="L131" i="111"/>
  <c r="K131" i="111"/>
  <c r="J131" i="111"/>
  <c r="DK130" i="111"/>
  <c r="DJ130" i="111"/>
  <c r="DI130" i="111"/>
  <c r="DH130" i="111"/>
  <c r="DF130" i="111"/>
  <c r="DB130" i="111"/>
  <c r="DA130" i="111"/>
  <c r="CZ130" i="111"/>
  <c r="CY130" i="111"/>
  <c r="CL130" i="111"/>
  <c r="BY130" i="111"/>
  <c r="DS130" i="111" s="1"/>
  <c r="AY130" i="111"/>
  <c r="AX130" i="111"/>
  <c r="AK130" i="111"/>
  <c r="L130" i="111"/>
  <c r="K130" i="111"/>
  <c r="J130" i="111"/>
  <c r="DK129" i="111"/>
  <c r="DJ129" i="111"/>
  <c r="DI129" i="111"/>
  <c r="DH129" i="111"/>
  <c r="DF129" i="111"/>
  <c r="DB129" i="111"/>
  <c r="DA129" i="111"/>
  <c r="CZ129" i="111"/>
  <c r="CY129" i="111"/>
  <c r="CL129" i="111"/>
  <c r="BY129" i="111"/>
  <c r="AY129" i="111"/>
  <c r="AX129" i="111"/>
  <c r="AK129" i="111"/>
  <c r="L129" i="111"/>
  <c r="K129" i="111"/>
  <c r="J129" i="111"/>
  <c r="DK128" i="111"/>
  <c r="DJ128" i="111"/>
  <c r="DI128" i="111"/>
  <c r="DH128" i="111"/>
  <c r="DF128" i="111"/>
  <c r="DB128" i="111"/>
  <c r="DA128" i="111"/>
  <c r="CZ128" i="111"/>
  <c r="CY128" i="111"/>
  <c r="CL128" i="111"/>
  <c r="BY128" i="111"/>
  <c r="DS128" i="111" s="1"/>
  <c r="AY128" i="111"/>
  <c r="AX128" i="111"/>
  <c r="AK128" i="111"/>
  <c r="L128" i="111"/>
  <c r="K128" i="111"/>
  <c r="J128" i="111"/>
  <c r="DR127" i="111"/>
  <c r="DK127" i="111"/>
  <c r="DJ127" i="111"/>
  <c r="DI127" i="111"/>
  <c r="DH127" i="111"/>
  <c r="DF127" i="111"/>
  <c r="DB127" i="111"/>
  <c r="DA127" i="111"/>
  <c r="CZ127" i="111"/>
  <c r="CY127" i="111"/>
  <c r="CL127" i="111"/>
  <c r="BY127" i="111"/>
  <c r="AY127" i="111"/>
  <c r="AX127" i="111"/>
  <c r="AK127" i="111"/>
  <c r="L127" i="111"/>
  <c r="K127" i="111"/>
  <c r="J127" i="111"/>
  <c r="DR126" i="111"/>
  <c r="DK126" i="111"/>
  <c r="DJ126" i="111"/>
  <c r="DI126" i="111"/>
  <c r="DH126" i="111"/>
  <c r="DF126" i="111"/>
  <c r="DB126" i="111"/>
  <c r="DA126" i="111"/>
  <c r="CZ126" i="111"/>
  <c r="CY126" i="111"/>
  <c r="CL126" i="111"/>
  <c r="BY126" i="111"/>
  <c r="AY126" i="111"/>
  <c r="AX126" i="111"/>
  <c r="AK126" i="111"/>
  <c r="L126" i="111"/>
  <c r="K126" i="111"/>
  <c r="J126" i="111"/>
  <c r="DK125" i="111"/>
  <c r="DJ125" i="111"/>
  <c r="DI125" i="111"/>
  <c r="DH125" i="111"/>
  <c r="DF125" i="111"/>
  <c r="DB125" i="111"/>
  <c r="DA125" i="111"/>
  <c r="CZ125" i="111"/>
  <c r="CY125" i="111"/>
  <c r="CL125" i="111"/>
  <c r="BY125" i="111"/>
  <c r="DS125" i="111" s="1"/>
  <c r="AY125" i="111"/>
  <c r="AX125" i="111"/>
  <c r="AK125" i="111"/>
  <c r="L125" i="111"/>
  <c r="K125" i="111"/>
  <c r="J125" i="111"/>
  <c r="DR124" i="111"/>
  <c r="DK124" i="111"/>
  <c r="DJ124" i="111"/>
  <c r="DI124" i="111"/>
  <c r="DH124" i="111"/>
  <c r="DF124" i="111"/>
  <c r="DB124" i="111"/>
  <c r="DA124" i="111"/>
  <c r="CZ124" i="111"/>
  <c r="CY124" i="111"/>
  <c r="CL124" i="111"/>
  <c r="BY124" i="111"/>
  <c r="AY124" i="111"/>
  <c r="AX124" i="111"/>
  <c r="AK124" i="111"/>
  <c r="L124" i="111"/>
  <c r="K124" i="111"/>
  <c r="J124" i="111"/>
  <c r="DR123" i="111"/>
  <c r="DK123" i="111"/>
  <c r="DJ123" i="111"/>
  <c r="DI123" i="111"/>
  <c r="DH123" i="111"/>
  <c r="DF123" i="111"/>
  <c r="DB123" i="111"/>
  <c r="DA123" i="111"/>
  <c r="CZ123" i="111"/>
  <c r="CY123" i="111"/>
  <c r="CL123" i="111"/>
  <c r="BY123" i="111"/>
  <c r="AY123" i="111"/>
  <c r="AX123" i="111"/>
  <c r="AK123" i="111"/>
  <c r="L123" i="111"/>
  <c r="K123" i="111"/>
  <c r="J123" i="111"/>
  <c r="DR122" i="111"/>
  <c r="DK122" i="111"/>
  <c r="DJ122" i="111"/>
  <c r="DI122" i="111"/>
  <c r="DH122" i="111"/>
  <c r="DF122" i="111"/>
  <c r="DB122" i="111"/>
  <c r="DA122" i="111"/>
  <c r="CZ122" i="111"/>
  <c r="CY122" i="111"/>
  <c r="CL122" i="111"/>
  <c r="BY122" i="111"/>
  <c r="AY122" i="111"/>
  <c r="AX122" i="111"/>
  <c r="AK122" i="111"/>
  <c r="L122" i="111"/>
  <c r="K122" i="111"/>
  <c r="J122" i="111"/>
  <c r="DK121" i="111"/>
  <c r="DJ121" i="111"/>
  <c r="DI121" i="111"/>
  <c r="DH121" i="111"/>
  <c r="DF121" i="111"/>
  <c r="DB121" i="111"/>
  <c r="DA121" i="111"/>
  <c r="CZ121" i="111"/>
  <c r="CY121" i="111"/>
  <c r="CL121" i="111"/>
  <c r="BY121" i="111"/>
  <c r="DS121" i="111" s="1"/>
  <c r="AY121" i="111"/>
  <c r="AX121" i="111"/>
  <c r="AK121" i="111"/>
  <c r="L121" i="111"/>
  <c r="K121" i="111"/>
  <c r="J121" i="111"/>
  <c r="DK120" i="111"/>
  <c r="DJ120" i="111"/>
  <c r="DI120" i="111"/>
  <c r="DH120" i="111"/>
  <c r="DF120" i="111"/>
  <c r="DB120" i="111"/>
  <c r="DA120" i="111"/>
  <c r="CZ120" i="111"/>
  <c r="CY120" i="111"/>
  <c r="CL120" i="111"/>
  <c r="BY120" i="111"/>
  <c r="DS120" i="111" s="1"/>
  <c r="AY120" i="111"/>
  <c r="AX120" i="111"/>
  <c r="AK120" i="111"/>
  <c r="L120" i="111"/>
  <c r="K120" i="111"/>
  <c r="J120" i="111"/>
  <c r="DR119" i="111"/>
  <c r="DK119" i="111"/>
  <c r="DJ119" i="111"/>
  <c r="DI119" i="111"/>
  <c r="DH119" i="111"/>
  <c r="DF119" i="111"/>
  <c r="DB119" i="111"/>
  <c r="DA119" i="111"/>
  <c r="CZ119" i="111"/>
  <c r="CY119" i="111"/>
  <c r="CL119" i="111"/>
  <c r="BY119" i="111"/>
  <c r="AY119" i="111"/>
  <c r="AX119" i="111"/>
  <c r="AK119" i="111"/>
  <c r="L119" i="111"/>
  <c r="K119" i="111"/>
  <c r="J119" i="111"/>
  <c r="DK118" i="111"/>
  <c r="DJ118" i="111"/>
  <c r="DI118" i="111"/>
  <c r="DH118" i="111"/>
  <c r="DF118" i="111"/>
  <c r="DB118" i="111"/>
  <c r="DA118" i="111"/>
  <c r="CZ118" i="111"/>
  <c r="CY118" i="111"/>
  <c r="CL118" i="111"/>
  <c r="BY118" i="111"/>
  <c r="DS118" i="111" s="1"/>
  <c r="AY118" i="111"/>
  <c r="AX118" i="111"/>
  <c r="AK118" i="111"/>
  <c r="L118" i="111"/>
  <c r="K118" i="111"/>
  <c r="J118" i="111"/>
  <c r="DK117" i="111"/>
  <c r="DJ117" i="111"/>
  <c r="DI117" i="111"/>
  <c r="DH117" i="111"/>
  <c r="DF117" i="111"/>
  <c r="DB117" i="111"/>
  <c r="DA117" i="111"/>
  <c r="CZ117" i="111"/>
  <c r="CY117" i="111"/>
  <c r="CL117" i="111"/>
  <c r="BY117" i="111"/>
  <c r="DS117" i="111" s="1"/>
  <c r="AY117" i="111"/>
  <c r="AX117" i="111"/>
  <c r="AK117" i="111"/>
  <c r="L117" i="111"/>
  <c r="K117" i="111"/>
  <c r="J117" i="111"/>
  <c r="DK116" i="111"/>
  <c r="DJ116" i="111"/>
  <c r="DI116" i="111"/>
  <c r="DH116" i="111"/>
  <c r="DF116" i="111"/>
  <c r="DB116" i="111"/>
  <c r="DA116" i="111"/>
  <c r="CZ116" i="111"/>
  <c r="CY116" i="111"/>
  <c r="CL116" i="111"/>
  <c r="BY116" i="111"/>
  <c r="DS116" i="111" s="1"/>
  <c r="AY116" i="111"/>
  <c r="AX116" i="111"/>
  <c r="AK116" i="111"/>
  <c r="L116" i="111"/>
  <c r="K116" i="111"/>
  <c r="J116" i="111"/>
  <c r="DK115" i="111"/>
  <c r="DJ115" i="111"/>
  <c r="DI115" i="111"/>
  <c r="DH115" i="111"/>
  <c r="DF115" i="111"/>
  <c r="DB115" i="111"/>
  <c r="DA115" i="111"/>
  <c r="CZ115" i="111"/>
  <c r="CY115" i="111"/>
  <c r="CL115" i="111"/>
  <c r="BY115" i="111"/>
  <c r="DS115" i="111" s="1"/>
  <c r="AY115" i="111"/>
  <c r="AX115" i="111"/>
  <c r="AK115" i="111"/>
  <c r="L115" i="111"/>
  <c r="K115" i="111"/>
  <c r="J115" i="111"/>
  <c r="DK114" i="111"/>
  <c r="DJ114" i="111"/>
  <c r="DI114" i="111"/>
  <c r="DH114" i="111"/>
  <c r="DF114" i="111"/>
  <c r="DB114" i="111"/>
  <c r="DA114" i="111"/>
  <c r="CZ114" i="111"/>
  <c r="CY114" i="111"/>
  <c r="CL114" i="111"/>
  <c r="BY114" i="111"/>
  <c r="DS114" i="111" s="1"/>
  <c r="AY114" i="111"/>
  <c r="AX114" i="111"/>
  <c r="AK114" i="111"/>
  <c r="L114" i="111"/>
  <c r="K114" i="111"/>
  <c r="J114" i="111"/>
  <c r="DK113" i="111"/>
  <c r="DJ113" i="111"/>
  <c r="DI113" i="111"/>
  <c r="DH113" i="111"/>
  <c r="DF113" i="111"/>
  <c r="DB113" i="111"/>
  <c r="DA113" i="111"/>
  <c r="CZ113" i="111"/>
  <c r="CY113" i="111"/>
  <c r="CL113" i="111"/>
  <c r="BY113" i="111"/>
  <c r="DS113" i="111" s="1"/>
  <c r="AY113" i="111"/>
  <c r="AX113" i="111"/>
  <c r="AK113" i="111"/>
  <c r="L113" i="111"/>
  <c r="K113" i="111"/>
  <c r="J113" i="111"/>
  <c r="DR112" i="111"/>
  <c r="DK112" i="111"/>
  <c r="DJ112" i="111"/>
  <c r="DI112" i="111"/>
  <c r="DH112" i="111"/>
  <c r="DF112" i="111"/>
  <c r="DB112" i="111"/>
  <c r="DA112" i="111"/>
  <c r="CZ112" i="111"/>
  <c r="CY112" i="111"/>
  <c r="CL112" i="111"/>
  <c r="BY112" i="111"/>
  <c r="AY112" i="111"/>
  <c r="AV112" i="111"/>
  <c r="AX112" i="111" s="1"/>
  <c r="AK112" i="111"/>
  <c r="L112" i="111"/>
  <c r="K112" i="111"/>
  <c r="J112" i="111"/>
  <c r="DK111" i="111"/>
  <c r="DJ111" i="111"/>
  <c r="DI111" i="111"/>
  <c r="DH111" i="111"/>
  <c r="DF111" i="111"/>
  <c r="DB111" i="111"/>
  <c r="DA111" i="111"/>
  <c r="CZ111" i="111"/>
  <c r="CY111" i="111"/>
  <c r="CL111" i="111"/>
  <c r="BY111" i="111"/>
  <c r="DS111" i="111" s="1"/>
  <c r="AY111" i="111"/>
  <c r="AX111" i="111"/>
  <c r="AK111" i="111"/>
  <c r="L111" i="111"/>
  <c r="K111" i="111"/>
  <c r="J111" i="111"/>
  <c r="DK110" i="111"/>
  <c r="DJ110" i="111"/>
  <c r="DI110" i="111"/>
  <c r="DH110" i="111"/>
  <c r="DF110" i="111"/>
  <c r="DB110" i="111"/>
  <c r="DA110" i="111"/>
  <c r="CZ110" i="111"/>
  <c r="CY110" i="111"/>
  <c r="CL110" i="111"/>
  <c r="BY110" i="111"/>
  <c r="AY110" i="111"/>
  <c r="AX110" i="111"/>
  <c r="AK110" i="111"/>
  <c r="L110" i="111"/>
  <c r="K110" i="111"/>
  <c r="J110" i="111"/>
  <c r="DK109" i="111"/>
  <c r="DJ109" i="111"/>
  <c r="DI109" i="111"/>
  <c r="DH109" i="111"/>
  <c r="DF109" i="111"/>
  <c r="DB109" i="111"/>
  <c r="DA109" i="111"/>
  <c r="CZ109" i="111"/>
  <c r="CY109" i="111"/>
  <c r="CL109" i="111"/>
  <c r="BY109" i="111"/>
  <c r="DS109" i="111" s="1"/>
  <c r="AY109" i="111"/>
  <c r="AX109" i="111"/>
  <c r="AK109" i="111"/>
  <c r="L109" i="111"/>
  <c r="K109" i="111"/>
  <c r="J109" i="111"/>
  <c r="DR108" i="111"/>
  <c r="DK108" i="111"/>
  <c r="DJ108" i="111"/>
  <c r="DI108" i="111"/>
  <c r="DH108" i="111"/>
  <c r="DF108" i="111"/>
  <c r="DB108" i="111"/>
  <c r="DA108" i="111"/>
  <c r="CZ108" i="111"/>
  <c r="CY108" i="111"/>
  <c r="CL108" i="111"/>
  <c r="BY108" i="111"/>
  <c r="AY108" i="111"/>
  <c r="AX108" i="111"/>
  <c r="AK108" i="111"/>
  <c r="L108" i="111"/>
  <c r="K108" i="111"/>
  <c r="J108" i="111"/>
  <c r="DR107" i="111"/>
  <c r="DK107" i="111"/>
  <c r="DJ107" i="111"/>
  <c r="DI107" i="111"/>
  <c r="DH107" i="111"/>
  <c r="DF107" i="111"/>
  <c r="DB107" i="111"/>
  <c r="DA107" i="111"/>
  <c r="CZ107" i="111"/>
  <c r="CY107" i="111"/>
  <c r="CL107" i="111"/>
  <c r="BY107" i="111"/>
  <c r="AY107" i="111"/>
  <c r="AX107" i="111"/>
  <c r="AK107" i="111"/>
  <c r="L107" i="111"/>
  <c r="K107" i="111"/>
  <c r="J107" i="111"/>
  <c r="DK106" i="111"/>
  <c r="DJ106" i="111"/>
  <c r="DI106" i="111"/>
  <c r="DH106" i="111"/>
  <c r="DF106" i="111"/>
  <c r="DB106" i="111"/>
  <c r="DA106" i="111"/>
  <c r="CZ106" i="111"/>
  <c r="CY106" i="111"/>
  <c r="CL106" i="111"/>
  <c r="BY106" i="111"/>
  <c r="DS106" i="111" s="1"/>
  <c r="AY106" i="111"/>
  <c r="AX106" i="111"/>
  <c r="AK106" i="111"/>
  <c r="L106" i="111"/>
  <c r="K106" i="111"/>
  <c r="J106" i="111"/>
  <c r="DK105" i="111"/>
  <c r="DJ105" i="111"/>
  <c r="DI105" i="111"/>
  <c r="DH105" i="111"/>
  <c r="DF105" i="111"/>
  <c r="DB105" i="111"/>
  <c r="DA105" i="111"/>
  <c r="CZ105" i="111"/>
  <c r="CY105" i="111"/>
  <c r="CL105" i="111"/>
  <c r="BY105" i="111"/>
  <c r="AY105" i="111"/>
  <c r="AX105" i="111"/>
  <c r="AK105" i="111"/>
  <c r="L105" i="111"/>
  <c r="K105" i="111"/>
  <c r="J105" i="111"/>
  <c r="DK104" i="111"/>
  <c r="DJ104" i="111"/>
  <c r="DI104" i="111"/>
  <c r="DH104" i="111"/>
  <c r="DF104" i="111"/>
  <c r="DB104" i="111"/>
  <c r="DA104" i="111"/>
  <c r="CZ104" i="111"/>
  <c r="CY104" i="111"/>
  <c r="CL104" i="111"/>
  <c r="BY104" i="111"/>
  <c r="DS104" i="111" s="1"/>
  <c r="AY104" i="111"/>
  <c r="AX104" i="111"/>
  <c r="AK104" i="111"/>
  <c r="L104" i="111"/>
  <c r="K104" i="111"/>
  <c r="J104" i="111"/>
  <c r="DK103" i="111"/>
  <c r="DJ103" i="111"/>
  <c r="DI103" i="111"/>
  <c r="DH103" i="111"/>
  <c r="DF103" i="111"/>
  <c r="DB103" i="111"/>
  <c r="DA103" i="111"/>
  <c r="CZ103" i="111"/>
  <c r="CY103" i="111"/>
  <c r="CL103" i="111"/>
  <c r="BY103" i="111"/>
  <c r="AY103" i="111"/>
  <c r="AX103" i="111"/>
  <c r="AK103" i="111"/>
  <c r="L103" i="111"/>
  <c r="K103" i="111"/>
  <c r="J103" i="111"/>
  <c r="DK102" i="111"/>
  <c r="DJ102" i="111"/>
  <c r="DI102" i="111"/>
  <c r="DH102" i="111"/>
  <c r="DF102" i="111"/>
  <c r="DB102" i="111"/>
  <c r="DA102" i="111"/>
  <c r="CZ102" i="111"/>
  <c r="CY102" i="111"/>
  <c r="CL102" i="111"/>
  <c r="BY102" i="111"/>
  <c r="DS102" i="111" s="1"/>
  <c r="AY102" i="111"/>
  <c r="AX102" i="111"/>
  <c r="AK102" i="111"/>
  <c r="L102" i="111"/>
  <c r="K102" i="111"/>
  <c r="J102" i="111"/>
  <c r="DK101" i="111"/>
  <c r="DJ101" i="111"/>
  <c r="DI101" i="111"/>
  <c r="DH101" i="111"/>
  <c r="DF101" i="111"/>
  <c r="DB101" i="111"/>
  <c r="DA101" i="111"/>
  <c r="CZ101" i="111"/>
  <c r="CY101" i="111"/>
  <c r="CL101" i="111"/>
  <c r="BY101" i="111"/>
  <c r="AY101" i="111"/>
  <c r="AX101" i="111"/>
  <c r="AK101" i="111"/>
  <c r="L101" i="111"/>
  <c r="K101" i="111"/>
  <c r="J101" i="111"/>
  <c r="DK100" i="111"/>
  <c r="DJ100" i="111"/>
  <c r="DI100" i="111"/>
  <c r="DH100" i="111"/>
  <c r="DF100" i="111"/>
  <c r="DB100" i="111"/>
  <c r="DA100" i="111"/>
  <c r="CZ100" i="111"/>
  <c r="CY100" i="111"/>
  <c r="CL100" i="111"/>
  <c r="BY100" i="111"/>
  <c r="DS100" i="111" s="1"/>
  <c r="AY100" i="111"/>
  <c r="AX100" i="111"/>
  <c r="AK100" i="111"/>
  <c r="L100" i="111"/>
  <c r="K100" i="111"/>
  <c r="J100" i="111"/>
  <c r="DK99" i="111"/>
  <c r="DJ99" i="111"/>
  <c r="DI99" i="111"/>
  <c r="DH99" i="111"/>
  <c r="DF99" i="111"/>
  <c r="DB99" i="111"/>
  <c r="DA99" i="111"/>
  <c r="CZ99" i="111"/>
  <c r="CY99" i="111"/>
  <c r="CL99" i="111"/>
  <c r="BY99" i="111"/>
  <c r="AY99" i="111"/>
  <c r="AX99" i="111"/>
  <c r="AK99" i="111"/>
  <c r="L99" i="111"/>
  <c r="K99" i="111"/>
  <c r="J99" i="111"/>
  <c r="DK98" i="111"/>
  <c r="DJ98" i="111"/>
  <c r="DI98" i="111"/>
  <c r="DH98" i="111"/>
  <c r="DF98" i="111"/>
  <c r="DB98" i="111"/>
  <c r="DA98" i="111"/>
  <c r="CZ98" i="111"/>
  <c r="CY98" i="111"/>
  <c r="CL98" i="111"/>
  <c r="BY98" i="111"/>
  <c r="DS98" i="111" s="1"/>
  <c r="AY98" i="111"/>
  <c r="AX98" i="111"/>
  <c r="AK98" i="111"/>
  <c r="L98" i="111"/>
  <c r="K98" i="111"/>
  <c r="J98" i="111"/>
  <c r="DK97" i="111"/>
  <c r="DJ97" i="111"/>
  <c r="DI97" i="111"/>
  <c r="DH97" i="111"/>
  <c r="DF97" i="111"/>
  <c r="DB97" i="111"/>
  <c r="DA97" i="111"/>
  <c r="CZ97" i="111"/>
  <c r="CY97" i="111"/>
  <c r="CL97" i="111"/>
  <c r="BY97" i="111"/>
  <c r="AY97" i="111"/>
  <c r="AX97" i="111"/>
  <c r="AK97" i="111"/>
  <c r="L97" i="111"/>
  <c r="K97" i="111"/>
  <c r="J97" i="111"/>
  <c r="DK96" i="111"/>
  <c r="DJ96" i="111"/>
  <c r="DI96" i="111"/>
  <c r="DH96" i="111"/>
  <c r="DF96" i="111"/>
  <c r="DB96" i="111"/>
  <c r="DA96" i="111"/>
  <c r="CZ96" i="111"/>
  <c r="CY96" i="111"/>
  <c r="CL96" i="111"/>
  <c r="BY96" i="111"/>
  <c r="DS96" i="111" s="1"/>
  <c r="AY96" i="111"/>
  <c r="AX96" i="111"/>
  <c r="AK96" i="111"/>
  <c r="L96" i="111"/>
  <c r="K96" i="111"/>
  <c r="J96" i="111"/>
  <c r="DR95" i="111"/>
  <c r="DK95" i="111"/>
  <c r="DJ95" i="111"/>
  <c r="DI95" i="111"/>
  <c r="DH95" i="111"/>
  <c r="DF95" i="111"/>
  <c r="DB95" i="111"/>
  <c r="DA95" i="111"/>
  <c r="CZ95" i="111"/>
  <c r="CY95" i="111"/>
  <c r="CL95" i="111"/>
  <c r="BY95" i="111"/>
  <c r="AY95" i="111"/>
  <c r="AX95" i="111"/>
  <c r="AK95" i="111"/>
  <c r="L95" i="111"/>
  <c r="K95" i="111"/>
  <c r="J95" i="111"/>
  <c r="DK94" i="111"/>
  <c r="DJ94" i="111"/>
  <c r="DI94" i="111"/>
  <c r="DH94" i="111"/>
  <c r="DF94" i="111"/>
  <c r="DB94" i="111"/>
  <c r="DA94" i="111"/>
  <c r="CZ94" i="111"/>
  <c r="CY94" i="111"/>
  <c r="CL94" i="111"/>
  <c r="BY94" i="111"/>
  <c r="DS94" i="111" s="1"/>
  <c r="AY94" i="111"/>
  <c r="AX94" i="111"/>
  <c r="AK94" i="111"/>
  <c r="L94" i="111"/>
  <c r="K94" i="111"/>
  <c r="J94" i="111"/>
  <c r="DK93" i="111"/>
  <c r="DJ93" i="111"/>
  <c r="DI93" i="111"/>
  <c r="DH93" i="111"/>
  <c r="DF93" i="111"/>
  <c r="DB93" i="111"/>
  <c r="DA93" i="111"/>
  <c r="CZ93" i="111"/>
  <c r="CY93" i="111"/>
  <c r="CL93" i="111"/>
  <c r="BY93" i="111"/>
  <c r="DS93" i="111" s="1"/>
  <c r="AY93" i="111"/>
  <c r="AX93" i="111"/>
  <c r="AK93" i="111"/>
  <c r="L93" i="111"/>
  <c r="K93" i="111"/>
  <c r="J93" i="111"/>
  <c r="DR92" i="111"/>
  <c r="DK92" i="111"/>
  <c r="DJ92" i="111"/>
  <c r="DI92" i="111"/>
  <c r="DH92" i="111"/>
  <c r="DF92" i="111"/>
  <c r="DB92" i="111"/>
  <c r="DA92" i="111"/>
  <c r="CZ92" i="111"/>
  <c r="CY92" i="111"/>
  <c r="CL92" i="111"/>
  <c r="BY92" i="111"/>
  <c r="AY92" i="111"/>
  <c r="AX92" i="111"/>
  <c r="AK92" i="111"/>
  <c r="L92" i="111"/>
  <c r="K92" i="111"/>
  <c r="J92" i="111"/>
  <c r="DR91" i="111"/>
  <c r="DK91" i="111"/>
  <c r="DJ91" i="111"/>
  <c r="DI91" i="111"/>
  <c r="DH91" i="111"/>
  <c r="DF91" i="111"/>
  <c r="DB91" i="111"/>
  <c r="DA91" i="111"/>
  <c r="CZ91" i="111"/>
  <c r="CY91" i="111"/>
  <c r="CL91" i="111"/>
  <c r="BY91" i="111"/>
  <c r="AY91" i="111"/>
  <c r="AX91" i="111"/>
  <c r="AK91" i="111"/>
  <c r="L91" i="111"/>
  <c r="K91" i="111"/>
  <c r="J91" i="111"/>
  <c r="DK90" i="111"/>
  <c r="DJ90" i="111"/>
  <c r="DI90" i="111"/>
  <c r="DH90" i="111"/>
  <c r="DF90" i="111"/>
  <c r="DB90" i="111"/>
  <c r="DA90" i="111"/>
  <c r="CZ90" i="111"/>
  <c r="CY90" i="111"/>
  <c r="CL90" i="111"/>
  <c r="BY90" i="111"/>
  <c r="DS90" i="111" s="1"/>
  <c r="AY90" i="111"/>
  <c r="AX90" i="111"/>
  <c r="AK90" i="111"/>
  <c r="L90" i="111"/>
  <c r="K90" i="111"/>
  <c r="J90" i="111"/>
  <c r="DK89" i="111"/>
  <c r="DJ89" i="111"/>
  <c r="DI89" i="111"/>
  <c r="DH89" i="111"/>
  <c r="DF89" i="111"/>
  <c r="DB89" i="111"/>
  <c r="DA89" i="111"/>
  <c r="CZ89" i="111"/>
  <c r="CY89" i="111"/>
  <c r="CL89" i="111"/>
  <c r="BY89" i="111"/>
  <c r="DS89" i="111" s="1"/>
  <c r="AY89" i="111"/>
  <c r="AX89" i="111"/>
  <c r="AK89" i="111"/>
  <c r="L89" i="111"/>
  <c r="K89" i="111"/>
  <c r="J89" i="111"/>
  <c r="DK88" i="111"/>
  <c r="DJ88" i="111"/>
  <c r="DI88" i="111"/>
  <c r="DH88" i="111"/>
  <c r="DF88" i="111"/>
  <c r="DB88" i="111"/>
  <c r="DA88" i="111"/>
  <c r="CZ88" i="111"/>
  <c r="CY88" i="111"/>
  <c r="CL88" i="111"/>
  <c r="BY88" i="111"/>
  <c r="DS88" i="111" s="1"/>
  <c r="AY88" i="111"/>
  <c r="AX88" i="111"/>
  <c r="AK88" i="111"/>
  <c r="L88" i="111"/>
  <c r="K88" i="111"/>
  <c r="J88" i="111"/>
  <c r="DK87" i="111"/>
  <c r="DJ87" i="111"/>
  <c r="DI87" i="111"/>
  <c r="DH87" i="111"/>
  <c r="DF87" i="111"/>
  <c r="DB87" i="111"/>
  <c r="DA87" i="111"/>
  <c r="CZ87" i="111"/>
  <c r="CY87" i="111"/>
  <c r="CL87" i="111"/>
  <c r="BY87" i="111"/>
  <c r="DS87" i="111" s="1"/>
  <c r="AY87" i="111"/>
  <c r="AX87" i="111"/>
  <c r="AK87" i="111"/>
  <c r="L87" i="111"/>
  <c r="K87" i="111"/>
  <c r="J87" i="111"/>
  <c r="DK86" i="111"/>
  <c r="DJ86" i="111"/>
  <c r="DI86" i="111"/>
  <c r="DH86" i="111"/>
  <c r="DF86" i="111"/>
  <c r="DB86" i="111"/>
  <c r="DA86" i="111"/>
  <c r="CZ86" i="111"/>
  <c r="CY86" i="111"/>
  <c r="CL86" i="111"/>
  <c r="BY86" i="111"/>
  <c r="DS86" i="111" s="1"/>
  <c r="AY86" i="111"/>
  <c r="AX86" i="111"/>
  <c r="AK86" i="111"/>
  <c r="L86" i="111"/>
  <c r="K86" i="111"/>
  <c r="J86" i="111"/>
  <c r="DR85" i="111"/>
  <c r="DK85" i="111"/>
  <c r="DJ85" i="111"/>
  <c r="DI85" i="111"/>
  <c r="DH85" i="111"/>
  <c r="DF85" i="111"/>
  <c r="DB85" i="111"/>
  <c r="DA85" i="111"/>
  <c r="CZ85" i="111"/>
  <c r="CY85" i="111"/>
  <c r="CL85" i="111"/>
  <c r="BY85" i="111"/>
  <c r="AY85" i="111"/>
  <c r="AX85" i="111"/>
  <c r="AK85" i="111"/>
  <c r="L85" i="111"/>
  <c r="K85" i="111"/>
  <c r="J85" i="111"/>
  <c r="DK84" i="111"/>
  <c r="DJ84" i="111"/>
  <c r="DI84" i="111"/>
  <c r="DH84" i="111"/>
  <c r="DF84" i="111"/>
  <c r="DB84" i="111"/>
  <c r="DA84" i="111"/>
  <c r="CZ84" i="111"/>
  <c r="CY84" i="111"/>
  <c r="CL84" i="111"/>
  <c r="BY84" i="111"/>
  <c r="DS84" i="111" s="1"/>
  <c r="AY84" i="111"/>
  <c r="AX84" i="111"/>
  <c r="AK84" i="111"/>
  <c r="L84" i="111"/>
  <c r="K84" i="111"/>
  <c r="J84" i="111"/>
  <c r="DK83" i="111"/>
  <c r="DJ83" i="111"/>
  <c r="DI83" i="111"/>
  <c r="DH83" i="111"/>
  <c r="DF83" i="111"/>
  <c r="DB83" i="111"/>
  <c r="DA83" i="111"/>
  <c r="CZ83" i="111"/>
  <c r="CY83" i="111"/>
  <c r="CL83" i="111"/>
  <c r="BY83" i="111"/>
  <c r="DS83" i="111" s="1"/>
  <c r="AY83" i="111"/>
  <c r="AX83" i="111"/>
  <c r="AK83" i="111"/>
  <c r="L83" i="111"/>
  <c r="K83" i="111"/>
  <c r="J83" i="111"/>
  <c r="DK82" i="111"/>
  <c r="DJ82" i="111"/>
  <c r="DI82" i="111"/>
  <c r="DH82" i="111"/>
  <c r="DF82" i="111"/>
  <c r="DB82" i="111"/>
  <c r="DA82" i="111"/>
  <c r="CZ82" i="111"/>
  <c r="CY82" i="111"/>
  <c r="CL82" i="111"/>
  <c r="BY82" i="111"/>
  <c r="DS82" i="111" s="1"/>
  <c r="AY82" i="111"/>
  <c r="AX82" i="111"/>
  <c r="AK82" i="111"/>
  <c r="L82" i="111"/>
  <c r="K82" i="111"/>
  <c r="J82" i="111"/>
  <c r="DK81" i="111"/>
  <c r="DJ81" i="111"/>
  <c r="DI81" i="111"/>
  <c r="DH81" i="111"/>
  <c r="DF81" i="111"/>
  <c r="DB81" i="111"/>
  <c r="DA81" i="111"/>
  <c r="CZ81" i="111"/>
  <c r="CY81" i="111"/>
  <c r="CL81" i="111"/>
  <c r="BY81" i="111"/>
  <c r="DS81" i="111" s="1"/>
  <c r="AY81" i="111"/>
  <c r="AX81" i="111"/>
  <c r="AK81" i="111"/>
  <c r="L81" i="111"/>
  <c r="K81" i="111"/>
  <c r="J81" i="111"/>
  <c r="DK80" i="111"/>
  <c r="DJ80" i="111"/>
  <c r="DI80" i="111"/>
  <c r="DH80" i="111"/>
  <c r="DF80" i="111"/>
  <c r="DB80" i="111"/>
  <c r="DA80" i="111"/>
  <c r="CZ80" i="111"/>
  <c r="CY80" i="111"/>
  <c r="CL80" i="111"/>
  <c r="BY80" i="111"/>
  <c r="DS80" i="111" s="1"/>
  <c r="AY80" i="111"/>
  <c r="AX80" i="111"/>
  <c r="AK80" i="111"/>
  <c r="L80" i="111"/>
  <c r="K80" i="111"/>
  <c r="J80" i="111"/>
  <c r="DK79" i="111"/>
  <c r="DJ79" i="111"/>
  <c r="DI79" i="111"/>
  <c r="DH79" i="111"/>
  <c r="DF79" i="111"/>
  <c r="DB79" i="111"/>
  <c r="DA79" i="111"/>
  <c r="CZ79" i="111"/>
  <c r="CY79" i="111"/>
  <c r="CL79" i="111"/>
  <c r="BY79" i="111"/>
  <c r="DS79" i="111" s="1"/>
  <c r="AY79" i="111"/>
  <c r="AX79" i="111"/>
  <c r="AK79" i="111"/>
  <c r="L79" i="111"/>
  <c r="K79" i="111"/>
  <c r="J79" i="111"/>
  <c r="DK78" i="111"/>
  <c r="DJ78" i="111"/>
  <c r="DI78" i="111"/>
  <c r="DH78" i="111"/>
  <c r="DF78" i="111"/>
  <c r="DB78" i="111"/>
  <c r="DA78" i="111"/>
  <c r="CZ78" i="111"/>
  <c r="CY78" i="111"/>
  <c r="CL78" i="111"/>
  <c r="BY78" i="111"/>
  <c r="DS78" i="111" s="1"/>
  <c r="AY78" i="111"/>
  <c r="AX78" i="111"/>
  <c r="AK78" i="111"/>
  <c r="L78" i="111"/>
  <c r="K78" i="111"/>
  <c r="J78" i="111"/>
  <c r="DK77" i="111"/>
  <c r="DJ77" i="111"/>
  <c r="DI77" i="111"/>
  <c r="DH77" i="111"/>
  <c r="DF77" i="111"/>
  <c r="DB77" i="111"/>
  <c r="DA77" i="111"/>
  <c r="CZ77" i="111"/>
  <c r="CY77" i="111"/>
  <c r="CL77" i="111"/>
  <c r="BY77" i="111"/>
  <c r="DS77" i="111" s="1"/>
  <c r="AY77" i="111"/>
  <c r="AX77" i="111"/>
  <c r="AK77" i="111"/>
  <c r="L77" i="111"/>
  <c r="K77" i="111"/>
  <c r="J77" i="111"/>
  <c r="DK76" i="111"/>
  <c r="DJ76" i="111"/>
  <c r="DI76" i="111"/>
  <c r="DH76" i="111"/>
  <c r="DF76" i="111"/>
  <c r="DB76" i="111"/>
  <c r="DA76" i="111"/>
  <c r="CZ76" i="111"/>
  <c r="CY76" i="111"/>
  <c r="CL76" i="111"/>
  <c r="BY76" i="111"/>
  <c r="DS76" i="111" s="1"/>
  <c r="AY76" i="111"/>
  <c r="AX76" i="111"/>
  <c r="AK76" i="111"/>
  <c r="L76" i="111"/>
  <c r="K76" i="111"/>
  <c r="J76" i="111"/>
  <c r="DK75" i="111"/>
  <c r="DJ75" i="111"/>
  <c r="DI75" i="111"/>
  <c r="DH75" i="111"/>
  <c r="DF75" i="111"/>
  <c r="DB75" i="111"/>
  <c r="DA75" i="111"/>
  <c r="CZ75" i="111"/>
  <c r="CY75" i="111"/>
  <c r="CL75" i="111"/>
  <c r="BY75" i="111"/>
  <c r="DS75" i="111" s="1"/>
  <c r="AY75" i="111"/>
  <c r="AX75" i="111"/>
  <c r="AK75" i="111"/>
  <c r="L75" i="111"/>
  <c r="K75" i="111"/>
  <c r="J75" i="111"/>
  <c r="DK74" i="111"/>
  <c r="DJ74" i="111"/>
  <c r="DI74" i="111"/>
  <c r="DH74" i="111"/>
  <c r="DF74" i="111"/>
  <c r="DB74" i="111"/>
  <c r="DA74" i="111"/>
  <c r="CZ74" i="111"/>
  <c r="CY74" i="111"/>
  <c r="CL74" i="111"/>
  <c r="BY74" i="111"/>
  <c r="DS74" i="111" s="1"/>
  <c r="AY74" i="111"/>
  <c r="AX74" i="111"/>
  <c r="AK74" i="111"/>
  <c r="L74" i="111"/>
  <c r="K74" i="111"/>
  <c r="J74" i="111"/>
  <c r="DR73" i="111"/>
  <c r="DK73" i="111"/>
  <c r="DJ73" i="111"/>
  <c r="DI73" i="111"/>
  <c r="DH73" i="111"/>
  <c r="DF73" i="111"/>
  <c r="DB73" i="111"/>
  <c r="DA73" i="111"/>
  <c r="CZ73" i="111"/>
  <c r="CY73" i="111"/>
  <c r="CL73" i="111"/>
  <c r="CD73" i="111"/>
  <c r="BY73" i="111" s="1"/>
  <c r="BT73" i="111"/>
  <c r="AY73" i="111"/>
  <c r="AX73" i="111"/>
  <c r="AK73" i="111"/>
  <c r="L73" i="111"/>
  <c r="AE73" i="111" s="1"/>
  <c r="K73" i="111"/>
  <c r="J73" i="111"/>
  <c r="DR72" i="111"/>
  <c r="DK72" i="111"/>
  <c r="DJ72" i="111"/>
  <c r="DI72" i="111"/>
  <c r="DH72" i="111"/>
  <c r="DF72" i="111"/>
  <c r="DB72" i="111"/>
  <c r="DA72" i="111"/>
  <c r="CZ72" i="111"/>
  <c r="CL72" i="111"/>
  <c r="CB72" i="111"/>
  <c r="CA72" i="111"/>
  <c r="BV72" i="111"/>
  <c r="CY72" i="111" s="1"/>
  <c r="BR72" i="111"/>
  <c r="AY72" i="111"/>
  <c r="AX72" i="111"/>
  <c r="AK72" i="111"/>
  <c r="L72" i="111"/>
  <c r="AE72" i="111" s="1"/>
  <c r="K72" i="111"/>
  <c r="J72" i="111"/>
  <c r="DR71" i="111"/>
  <c r="DK71" i="111"/>
  <c r="DJ71" i="111"/>
  <c r="DI71" i="111"/>
  <c r="DH71" i="111"/>
  <c r="DF71" i="111"/>
  <c r="DB71" i="111"/>
  <c r="DA71" i="111"/>
  <c r="CZ71" i="111"/>
  <c r="CY71" i="111"/>
  <c r="CL71" i="111"/>
  <c r="BY71" i="111"/>
  <c r="BT71" i="111"/>
  <c r="BR71" i="111"/>
  <c r="AY71" i="111"/>
  <c r="AX71" i="111"/>
  <c r="AK71" i="111"/>
  <c r="L71" i="111"/>
  <c r="AE71" i="111" s="1"/>
  <c r="K71" i="111"/>
  <c r="J71" i="111"/>
  <c r="DR70" i="111"/>
  <c r="DK70" i="111"/>
  <c r="DJ70" i="111"/>
  <c r="DI70" i="111"/>
  <c r="DH70" i="111"/>
  <c r="DF70" i="111"/>
  <c r="DB70" i="111"/>
  <c r="DA70" i="111"/>
  <c r="CZ70" i="111"/>
  <c r="CL70" i="111"/>
  <c r="CC70" i="111"/>
  <c r="CB70" i="111"/>
  <c r="BZ70" i="111"/>
  <c r="BV70" i="111"/>
  <c r="CY70" i="111" s="1"/>
  <c r="AY70" i="111"/>
  <c r="AX70" i="111"/>
  <c r="AK70" i="111"/>
  <c r="L70" i="111"/>
  <c r="AE70" i="111" s="1"/>
  <c r="K70" i="111"/>
  <c r="J70" i="111"/>
  <c r="DR69" i="111"/>
  <c r="DK69" i="111"/>
  <c r="DJ69" i="111"/>
  <c r="DI69" i="111"/>
  <c r="DH69" i="111"/>
  <c r="DF69" i="111"/>
  <c r="DB69" i="111"/>
  <c r="DA69" i="111"/>
  <c r="CZ69" i="111"/>
  <c r="CL69" i="111"/>
  <c r="BZ69" i="111"/>
  <c r="BY69" i="111" s="1"/>
  <c r="BV69" i="111"/>
  <c r="CY69" i="111" s="1"/>
  <c r="BT69" i="111"/>
  <c r="BR69" i="111"/>
  <c r="AY69" i="111"/>
  <c r="AX69" i="111"/>
  <c r="AK69" i="111"/>
  <c r="L69" i="111"/>
  <c r="K69" i="111"/>
  <c r="J69" i="111"/>
  <c r="DR68" i="111"/>
  <c r="DK68" i="111"/>
  <c r="DJ68" i="111"/>
  <c r="DI68" i="111"/>
  <c r="DH68" i="111"/>
  <c r="DF68" i="111"/>
  <c r="DB68" i="111"/>
  <c r="DA68" i="111"/>
  <c r="CZ68" i="111"/>
  <c r="CY68" i="111"/>
  <c r="CL68" i="111"/>
  <c r="BY68" i="111"/>
  <c r="BT68" i="111"/>
  <c r="BR68" i="111"/>
  <c r="AY68" i="111"/>
  <c r="AX68" i="111"/>
  <c r="AK68" i="111"/>
  <c r="L68" i="111"/>
  <c r="AE68" i="111" s="1"/>
  <c r="K68" i="111"/>
  <c r="J68" i="111"/>
  <c r="DR67" i="111"/>
  <c r="DK67" i="111"/>
  <c r="DJ67" i="111"/>
  <c r="DI67" i="111"/>
  <c r="DH67" i="111"/>
  <c r="DF67" i="111"/>
  <c r="DB67" i="111"/>
  <c r="DA67" i="111"/>
  <c r="CZ67" i="111"/>
  <c r="CL67" i="111"/>
  <c r="BZ67" i="111"/>
  <c r="BY67" i="111" s="1"/>
  <c r="BV67" i="111"/>
  <c r="CY67" i="111" s="1"/>
  <c r="BR67" i="111"/>
  <c r="AY67" i="111"/>
  <c r="AW67" i="111"/>
  <c r="AW1" i="111" s="1"/>
  <c r="AV67" i="111"/>
  <c r="AK67" i="111"/>
  <c r="L67" i="111"/>
  <c r="K67" i="111"/>
  <c r="J67" i="111"/>
  <c r="DR66" i="111"/>
  <c r="DK66" i="111"/>
  <c r="DJ66" i="111"/>
  <c r="DI66" i="111"/>
  <c r="DH66" i="111"/>
  <c r="DF66" i="111"/>
  <c r="DB66" i="111"/>
  <c r="DA66" i="111"/>
  <c r="CZ66" i="111"/>
  <c r="CL66" i="111"/>
  <c r="CA66" i="111"/>
  <c r="BY66" i="111" s="1"/>
  <c r="BV66" i="111"/>
  <c r="CY66" i="111" s="1"/>
  <c r="AY66" i="111"/>
  <c r="AX66" i="111"/>
  <c r="AK66" i="111"/>
  <c r="L66" i="111"/>
  <c r="AE66" i="111" s="1"/>
  <c r="K66" i="111"/>
  <c r="J66" i="111"/>
  <c r="DR65" i="111"/>
  <c r="DK65" i="111"/>
  <c r="DJ65" i="111"/>
  <c r="DI65" i="111"/>
  <c r="DH65" i="111"/>
  <c r="DF65" i="111"/>
  <c r="DB65" i="111"/>
  <c r="DA65" i="111"/>
  <c r="CZ65" i="111"/>
  <c r="CL65" i="111"/>
  <c r="BZ65" i="111"/>
  <c r="BY65" i="111" s="1"/>
  <c r="BV65" i="111"/>
  <c r="CY65" i="111" s="1"/>
  <c r="AY65" i="111"/>
  <c r="AX65" i="111"/>
  <c r="AK65" i="111"/>
  <c r="L65" i="111"/>
  <c r="AE65" i="111" s="1"/>
  <c r="K65" i="111"/>
  <c r="J65" i="111"/>
  <c r="DR64" i="111"/>
  <c r="DK64" i="111"/>
  <c r="DJ64" i="111"/>
  <c r="DI64" i="111"/>
  <c r="DH64" i="111"/>
  <c r="DF64" i="111"/>
  <c r="DB64" i="111"/>
  <c r="DA64" i="111"/>
  <c r="CZ64" i="111"/>
  <c r="CL64" i="111"/>
  <c r="CK64" i="111"/>
  <c r="CA64" i="111"/>
  <c r="BV64" i="111"/>
  <c r="CY64" i="111" s="1"/>
  <c r="BT64" i="111"/>
  <c r="BR64" i="111"/>
  <c r="AY64" i="111"/>
  <c r="AX64" i="111"/>
  <c r="AK64" i="111"/>
  <c r="L64" i="111"/>
  <c r="AE64" i="111" s="1"/>
  <c r="K64" i="111"/>
  <c r="J64" i="111"/>
  <c r="DR63" i="111"/>
  <c r="DK63" i="111"/>
  <c r="DJ63" i="111"/>
  <c r="DI63" i="111"/>
  <c r="DH63" i="111"/>
  <c r="DF63" i="111"/>
  <c r="DB63" i="111"/>
  <c r="DA63" i="111"/>
  <c r="CZ63" i="111"/>
  <c r="CL63" i="111"/>
  <c r="BY63" i="111"/>
  <c r="BV63" i="111"/>
  <c r="CY63" i="111" s="1"/>
  <c r="AY63" i="111"/>
  <c r="AX63" i="111"/>
  <c r="AK63" i="111"/>
  <c r="L63" i="111"/>
  <c r="AE63" i="111" s="1"/>
  <c r="K63" i="111"/>
  <c r="J63" i="111"/>
  <c r="DR62" i="111"/>
  <c r="DK62" i="111"/>
  <c r="DJ62" i="111"/>
  <c r="DI62" i="111"/>
  <c r="DH62" i="111"/>
  <c r="DF62" i="111"/>
  <c r="DB62" i="111"/>
  <c r="DA62" i="111"/>
  <c r="CZ62" i="111"/>
  <c r="CL62" i="111"/>
  <c r="BY62" i="111"/>
  <c r="BV62" i="111"/>
  <c r="CY62" i="111" s="1"/>
  <c r="BT62" i="111"/>
  <c r="BR62" i="111"/>
  <c r="AY62" i="111"/>
  <c r="AX62" i="111"/>
  <c r="AK62" i="111"/>
  <c r="AE62" i="111"/>
  <c r="J62" i="111"/>
  <c r="DR61" i="111"/>
  <c r="DK61" i="111"/>
  <c r="DJ61" i="111"/>
  <c r="DI61" i="111"/>
  <c r="DH61" i="111"/>
  <c r="DF61" i="111"/>
  <c r="DB61" i="111"/>
  <c r="DA61" i="111"/>
  <c r="CZ61" i="111"/>
  <c r="CL61" i="111"/>
  <c r="CD61" i="111"/>
  <c r="CC61" i="111"/>
  <c r="BZ61" i="111"/>
  <c r="BV61" i="111"/>
  <c r="CY61" i="111" s="1"/>
  <c r="BT61" i="111"/>
  <c r="BR61" i="111"/>
  <c r="AY61" i="111"/>
  <c r="AX61" i="111"/>
  <c r="AK61" i="111"/>
  <c r="L61" i="111"/>
  <c r="AE61" i="111" s="1"/>
  <c r="K61" i="111"/>
  <c r="J61" i="111"/>
  <c r="DB60" i="111"/>
  <c r="DA60" i="111"/>
  <c r="CZ60" i="111"/>
  <c r="CY60" i="111"/>
  <c r="CC60" i="111"/>
  <c r="BY60" i="111" s="1"/>
  <c r="AY60" i="111"/>
  <c r="AX60" i="111"/>
  <c r="AK60" i="111"/>
  <c r="L60" i="111"/>
  <c r="AE60" i="111" s="1"/>
  <c r="K60" i="111"/>
  <c r="J60" i="111"/>
  <c r="DR59" i="111"/>
  <c r="DK59" i="111"/>
  <c r="DJ59" i="111"/>
  <c r="DI59" i="111"/>
  <c r="DH59" i="111"/>
  <c r="DF59" i="111"/>
  <c r="DB59" i="111"/>
  <c r="DA59" i="111"/>
  <c r="CZ59" i="111"/>
  <c r="CY59" i="111"/>
  <c r="CL59" i="111"/>
  <c r="CA59" i="111"/>
  <c r="BY59" i="111" s="1"/>
  <c r="BT59" i="111"/>
  <c r="BR59" i="111"/>
  <c r="AY59" i="111"/>
  <c r="AX59" i="111"/>
  <c r="AK59" i="111"/>
  <c r="L59" i="111"/>
  <c r="AE59" i="111" s="1"/>
  <c r="K59" i="111"/>
  <c r="J59" i="111"/>
  <c r="DR58" i="111"/>
  <c r="DK58" i="111"/>
  <c r="DJ58" i="111"/>
  <c r="DI58" i="111"/>
  <c r="DH58" i="111"/>
  <c r="DF58" i="111"/>
  <c r="DB58" i="111"/>
  <c r="DA58" i="111"/>
  <c r="CZ58" i="111"/>
  <c r="CL58" i="111"/>
  <c r="CA58" i="111"/>
  <c r="BZ58" i="111"/>
  <c r="BV58" i="111"/>
  <c r="CY58" i="111" s="1"/>
  <c r="BT58" i="111"/>
  <c r="BR58" i="111"/>
  <c r="AY58" i="111"/>
  <c r="AX58" i="111"/>
  <c r="AK58" i="111"/>
  <c r="L58" i="111"/>
  <c r="AE58" i="111" s="1"/>
  <c r="K58" i="111"/>
  <c r="J58" i="111"/>
  <c r="DR57" i="111"/>
  <c r="DK57" i="111"/>
  <c r="DJ57" i="111"/>
  <c r="DI57" i="111"/>
  <c r="DH57" i="111"/>
  <c r="DF57" i="111"/>
  <c r="DB57" i="111"/>
  <c r="DA57" i="111"/>
  <c r="CZ57" i="111"/>
  <c r="CY57" i="111"/>
  <c r="CL57" i="111"/>
  <c r="BY57" i="111"/>
  <c r="AY57" i="111"/>
  <c r="AX57" i="111"/>
  <c r="AK57" i="111"/>
  <c r="L57" i="111"/>
  <c r="AE57" i="111" s="1"/>
  <c r="K57" i="111"/>
  <c r="J57" i="111"/>
  <c r="DR56" i="111"/>
  <c r="DK56" i="111"/>
  <c r="DJ56" i="111"/>
  <c r="DI56" i="111"/>
  <c r="DH56" i="111"/>
  <c r="DF56" i="111"/>
  <c r="DB56" i="111"/>
  <c r="DA56" i="111"/>
  <c r="CZ56" i="111"/>
  <c r="CY56" i="111"/>
  <c r="CL56" i="111"/>
  <c r="CK56" i="111"/>
  <c r="CA56" i="111"/>
  <c r="AY56" i="111"/>
  <c r="AX56" i="111"/>
  <c r="AK56" i="111"/>
  <c r="L56" i="111"/>
  <c r="AE56" i="111" s="1"/>
  <c r="K56" i="111"/>
  <c r="J56" i="111"/>
  <c r="DR55" i="111"/>
  <c r="DK55" i="111"/>
  <c r="DJ55" i="111"/>
  <c r="DI55" i="111"/>
  <c r="DH55" i="111"/>
  <c r="DF55" i="111"/>
  <c r="DB55" i="111"/>
  <c r="DA55" i="111"/>
  <c r="CZ55" i="111"/>
  <c r="CL55" i="111"/>
  <c r="CK55" i="111"/>
  <c r="CI55" i="111"/>
  <c r="CH55" i="111"/>
  <c r="CG55" i="111"/>
  <c r="CF55" i="111"/>
  <c r="CE55" i="111"/>
  <c r="CD55" i="111"/>
  <c r="CA55" i="111"/>
  <c r="BZ55" i="111"/>
  <c r="BV55" i="111"/>
  <c r="CY55" i="111" s="1"/>
  <c r="BT55" i="111"/>
  <c r="BR55" i="111"/>
  <c r="AY55" i="111"/>
  <c r="AX55" i="111"/>
  <c r="AK55" i="111"/>
  <c r="L55" i="111"/>
  <c r="K55" i="111"/>
  <c r="J55" i="111"/>
  <c r="DR54" i="111"/>
  <c r="DK54" i="111"/>
  <c r="DJ54" i="111"/>
  <c r="DI54" i="111"/>
  <c r="DH54" i="111"/>
  <c r="DF54" i="111"/>
  <c r="DB54" i="111"/>
  <c r="DA54" i="111"/>
  <c r="CZ54" i="111"/>
  <c r="CL54" i="111"/>
  <c r="CG54" i="111"/>
  <c r="CF54" i="111"/>
  <c r="CE54" i="111"/>
  <c r="CD54" i="111"/>
  <c r="CC54" i="111"/>
  <c r="BZ54" i="111"/>
  <c r="BV54" i="111"/>
  <c r="CY54" i="111" s="1"/>
  <c r="BT54" i="111"/>
  <c r="BR54" i="111"/>
  <c r="AY54" i="111"/>
  <c r="AX54" i="111"/>
  <c r="AK54" i="111"/>
  <c r="L54" i="111"/>
  <c r="AE54" i="111" s="1"/>
  <c r="K54" i="111"/>
  <c r="J54" i="111"/>
  <c r="DR53" i="111"/>
  <c r="DK53" i="111"/>
  <c r="DJ53" i="111"/>
  <c r="DI53" i="111"/>
  <c r="DH53" i="111"/>
  <c r="DF53" i="111"/>
  <c r="DB53" i="111"/>
  <c r="DA53" i="111"/>
  <c r="CZ53" i="111"/>
  <c r="CL53" i="111"/>
  <c r="CK53" i="111"/>
  <c r="CJ53" i="111"/>
  <c r="CI53" i="111"/>
  <c r="CH53" i="111"/>
  <c r="CG53" i="111"/>
  <c r="CF53" i="111"/>
  <c r="CE53" i="111"/>
  <c r="CD53" i="111"/>
  <c r="CC53" i="111"/>
  <c r="CB53" i="111"/>
  <c r="BV53" i="111"/>
  <c r="CY53" i="111" s="1"/>
  <c r="AY53" i="111"/>
  <c r="AX53" i="111"/>
  <c r="AK53" i="111"/>
  <c r="L53" i="111"/>
  <c r="AE53" i="111" s="1"/>
  <c r="K53" i="111"/>
  <c r="J53" i="111"/>
  <c r="DR52" i="111"/>
  <c r="DK52" i="111"/>
  <c r="DJ52" i="111"/>
  <c r="DI52" i="111"/>
  <c r="DH52" i="111"/>
  <c r="DF52" i="111"/>
  <c r="DB52" i="111"/>
  <c r="DA52" i="111"/>
  <c r="CZ52" i="111"/>
  <c r="CL52" i="111"/>
  <c r="CC52" i="111"/>
  <c r="CB52" i="111"/>
  <c r="CA52" i="111"/>
  <c r="BZ52" i="111"/>
  <c r="BV52" i="111"/>
  <c r="CY52" i="111" s="1"/>
  <c r="BT52" i="111"/>
  <c r="BR52" i="111"/>
  <c r="AY52" i="111"/>
  <c r="AX52" i="111"/>
  <c r="AK52" i="111"/>
  <c r="L52" i="111"/>
  <c r="AE52" i="111" s="1"/>
  <c r="K52" i="111"/>
  <c r="J52" i="111"/>
  <c r="DR51" i="111"/>
  <c r="DK51" i="111"/>
  <c r="DJ51" i="111"/>
  <c r="DI51" i="111"/>
  <c r="DH51" i="111"/>
  <c r="DF51" i="111"/>
  <c r="DB51" i="111"/>
  <c r="DA51" i="111"/>
  <c r="CZ51" i="111"/>
  <c r="CL51" i="111"/>
  <c r="BZ51" i="111"/>
  <c r="BY51" i="111" s="1"/>
  <c r="BV51" i="111"/>
  <c r="CY51" i="111" s="1"/>
  <c r="AY51" i="111"/>
  <c r="AX51" i="111"/>
  <c r="AK51" i="111"/>
  <c r="L51" i="111"/>
  <c r="AE51" i="111" s="1"/>
  <c r="K51" i="111"/>
  <c r="J51" i="111"/>
  <c r="DR50" i="111"/>
  <c r="DK50" i="111"/>
  <c r="DJ50" i="111"/>
  <c r="DI50" i="111"/>
  <c r="DH50" i="111"/>
  <c r="DF50" i="111"/>
  <c r="DB50" i="111"/>
  <c r="DA50" i="111"/>
  <c r="CZ50" i="111"/>
  <c r="CL50" i="111"/>
  <c r="BZ50" i="111"/>
  <c r="BY50" i="111" s="1"/>
  <c r="BV50" i="111"/>
  <c r="CY50" i="111" s="1"/>
  <c r="BT50" i="111"/>
  <c r="AY50" i="111"/>
  <c r="AX50" i="111"/>
  <c r="AK50" i="111"/>
  <c r="L50" i="111"/>
  <c r="K50" i="111"/>
  <c r="J50" i="111"/>
  <c r="DR49" i="111"/>
  <c r="DK49" i="111"/>
  <c r="DJ49" i="111"/>
  <c r="DI49" i="111"/>
  <c r="DH49" i="111"/>
  <c r="DF49" i="111"/>
  <c r="DB49" i="111"/>
  <c r="DA49" i="111"/>
  <c r="CZ49" i="111"/>
  <c r="CL49" i="111"/>
  <c r="CC49" i="111"/>
  <c r="CB49" i="111"/>
  <c r="CA49" i="111"/>
  <c r="BZ49" i="111"/>
  <c r="BV49" i="111"/>
  <c r="CY49" i="111" s="1"/>
  <c r="BT49" i="111"/>
  <c r="BR49" i="111"/>
  <c r="AY49" i="111"/>
  <c r="AX49" i="111"/>
  <c r="AK49" i="111"/>
  <c r="L49" i="111"/>
  <c r="AE49" i="111" s="1"/>
  <c r="K49" i="111"/>
  <c r="J49" i="111"/>
  <c r="DR48" i="111"/>
  <c r="DK48" i="111"/>
  <c r="DJ48" i="111"/>
  <c r="DI48" i="111"/>
  <c r="DH48" i="111"/>
  <c r="DF48" i="111"/>
  <c r="DB48" i="111"/>
  <c r="DA48" i="111"/>
  <c r="CZ48" i="111"/>
  <c r="CL48" i="111"/>
  <c r="CJ48" i="111"/>
  <c r="CG48" i="111"/>
  <c r="CF48" i="111"/>
  <c r="CE48" i="111"/>
  <c r="CD48" i="111"/>
  <c r="CC48" i="111"/>
  <c r="CB48" i="111"/>
  <c r="CA48" i="111"/>
  <c r="BZ48" i="111"/>
  <c r="BV48" i="111"/>
  <c r="CY48" i="111" s="1"/>
  <c r="BT48" i="111"/>
  <c r="AY48" i="111"/>
  <c r="AX48" i="111"/>
  <c r="AK48" i="111"/>
  <c r="L48" i="111"/>
  <c r="AE48" i="111" s="1"/>
  <c r="K48" i="111"/>
  <c r="J48" i="111"/>
  <c r="DR47" i="111"/>
  <c r="DK47" i="111"/>
  <c r="DJ47" i="111"/>
  <c r="DI47" i="111"/>
  <c r="DH47" i="111"/>
  <c r="DF47" i="111"/>
  <c r="DB47" i="111"/>
  <c r="DA47" i="111"/>
  <c r="CZ47" i="111"/>
  <c r="CL47" i="111"/>
  <c r="CC47" i="111"/>
  <c r="CB47" i="111"/>
  <c r="BV47" i="111"/>
  <c r="CY47" i="111" s="1"/>
  <c r="BR47" i="111"/>
  <c r="AY47" i="111"/>
  <c r="AX47" i="111"/>
  <c r="AK47" i="111"/>
  <c r="L47" i="111"/>
  <c r="K47" i="111"/>
  <c r="J47" i="111"/>
  <c r="CZ46" i="111"/>
  <c r="BY46" i="111"/>
  <c r="AY46" i="111"/>
  <c r="J46" i="111"/>
  <c r="CZ45" i="111"/>
  <c r="BY45" i="111"/>
  <c r="AY45" i="111"/>
  <c r="DR44" i="111"/>
  <c r="DK44" i="111"/>
  <c r="DJ44" i="111"/>
  <c r="DI44" i="111"/>
  <c r="DH44" i="111"/>
  <c r="DF44" i="111"/>
  <c r="DB44" i="111"/>
  <c r="DA44" i="111"/>
  <c r="CZ44" i="111"/>
  <c r="CY44" i="111"/>
  <c r="CL44" i="111"/>
  <c r="BY44" i="111"/>
  <c r="AY44" i="111"/>
  <c r="AK44" i="111"/>
  <c r="DR43" i="111"/>
  <c r="DK43" i="111"/>
  <c r="DJ43" i="111"/>
  <c r="DI43" i="111"/>
  <c r="DH43" i="111"/>
  <c r="DF43" i="111"/>
  <c r="DB43" i="111"/>
  <c r="DA43" i="111"/>
  <c r="CZ43" i="111"/>
  <c r="CY43" i="111"/>
  <c r="CL43" i="111"/>
  <c r="BY43" i="111"/>
  <c r="AY43" i="111"/>
  <c r="AK43" i="111"/>
  <c r="L43" i="111"/>
  <c r="K43" i="111"/>
  <c r="J43" i="111"/>
  <c r="DR42" i="111"/>
  <c r="DK42" i="111"/>
  <c r="DJ42" i="111"/>
  <c r="DI42" i="111"/>
  <c r="DH42" i="111"/>
  <c r="DF42" i="111"/>
  <c r="DB42" i="111"/>
  <c r="DA42" i="111"/>
  <c r="CZ42" i="111"/>
  <c r="CY42" i="111"/>
  <c r="CL42" i="111"/>
  <c r="BY42" i="111"/>
  <c r="AY42" i="111"/>
  <c r="AK42" i="111"/>
  <c r="DR41" i="111"/>
  <c r="DK41" i="111"/>
  <c r="DJ41" i="111"/>
  <c r="DI41" i="111"/>
  <c r="DH41" i="111"/>
  <c r="DF41" i="111"/>
  <c r="DB41" i="111"/>
  <c r="DA41" i="111"/>
  <c r="CZ41" i="111"/>
  <c r="CY41" i="111"/>
  <c r="CL41" i="111"/>
  <c r="BY41" i="111"/>
  <c r="AY41" i="111"/>
  <c r="AK41" i="111"/>
  <c r="DR40" i="111"/>
  <c r="DK40" i="111"/>
  <c r="DJ40" i="111"/>
  <c r="DI40" i="111"/>
  <c r="DH40" i="111"/>
  <c r="DF40" i="111"/>
  <c r="DB40" i="111"/>
  <c r="DA40" i="111"/>
  <c r="CZ40" i="111"/>
  <c r="CY40" i="111"/>
  <c r="CL40" i="111"/>
  <c r="BY40" i="111"/>
  <c r="AY40" i="111"/>
  <c r="AK40" i="111"/>
  <c r="L40" i="111"/>
  <c r="K40" i="111"/>
  <c r="J40" i="111"/>
  <c r="DR39" i="111"/>
  <c r="DK39" i="111"/>
  <c r="DJ39" i="111"/>
  <c r="DI39" i="111"/>
  <c r="DH39" i="111"/>
  <c r="DF39" i="111"/>
  <c r="DB39" i="111"/>
  <c r="DA39" i="111"/>
  <c r="CZ39" i="111"/>
  <c r="CY39" i="111"/>
  <c r="CL39" i="111"/>
  <c r="BY39" i="111"/>
  <c r="AY39" i="111"/>
  <c r="AK39" i="111"/>
  <c r="L39" i="111"/>
  <c r="K39" i="111"/>
  <c r="J39" i="111"/>
  <c r="DR38" i="111"/>
  <c r="DK38" i="111"/>
  <c r="DJ38" i="111"/>
  <c r="DI38" i="111"/>
  <c r="DH38" i="111"/>
  <c r="DF38" i="111"/>
  <c r="DB38" i="111"/>
  <c r="DA38" i="111"/>
  <c r="CZ38" i="111"/>
  <c r="CY38" i="111"/>
  <c r="CL38" i="111"/>
  <c r="BY38" i="111"/>
  <c r="AY38" i="111"/>
  <c r="AK38" i="111"/>
  <c r="DR37" i="111"/>
  <c r="DK37" i="111"/>
  <c r="DJ37" i="111"/>
  <c r="DI37" i="111"/>
  <c r="DH37" i="111"/>
  <c r="DF37" i="111"/>
  <c r="DB37" i="111"/>
  <c r="DA37" i="111"/>
  <c r="CZ37" i="111"/>
  <c r="CY37" i="111"/>
  <c r="CL37" i="111"/>
  <c r="BY37" i="111"/>
  <c r="AY37" i="111"/>
  <c r="AK37" i="111"/>
  <c r="L37" i="111"/>
  <c r="AE37" i="111" s="1"/>
  <c r="K37" i="111"/>
  <c r="J37" i="111"/>
  <c r="DR36" i="111"/>
  <c r="DK36" i="111"/>
  <c r="DJ36" i="111"/>
  <c r="DI36" i="111"/>
  <c r="DH36" i="111"/>
  <c r="DF36" i="111"/>
  <c r="DB36" i="111"/>
  <c r="DA36" i="111"/>
  <c r="CZ36" i="111"/>
  <c r="CY36" i="111"/>
  <c r="CL36" i="111"/>
  <c r="BY36" i="111"/>
  <c r="AY36" i="111"/>
  <c r="AK36" i="111"/>
  <c r="L36" i="111"/>
  <c r="AE36" i="111" s="1"/>
  <c r="K36" i="111"/>
  <c r="J36" i="111"/>
  <c r="DR35" i="111"/>
  <c r="DK35" i="111"/>
  <c r="DJ35" i="111"/>
  <c r="DI35" i="111"/>
  <c r="DH35" i="111"/>
  <c r="DF35" i="111"/>
  <c r="DB35" i="111"/>
  <c r="DA35" i="111"/>
  <c r="CZ35" i="111"/>
  <c r="CY35" i="111"/>
  <c r="CL35" i="111"/>
  <c r="BY35" i="111"/>
  <c r="AY35" i="111"/>
  <c r="AK35" i="111"/>
  <c r="L35" i="111"/>
  <c r="AE35" i="111" s="1"/>
  <c r="K35" i="111"/>
  <c r="J35" i="111"/>
  <c r="DR34" i="111"/>
  <c r="DK34" i="111"/>
  <c r="DJ34" i="111"/>
  <c r="DI34" i="111"/>
  <c r="DH34" i="111"/>
  <c r="DF34" i="111"/>
  <c r="DB34" i="111"/>
  <c r="DA34" i="111"/>
  <c r="CZ34" i="111"/>
  <c r="CY34" i="111"/>
  <c r="CL34" i="111"/>
  <c r="BY34" i="111"/>
  <c r="BR34" i="111"/>
  <c r="AY34" i="111"/>
  <c r="AK34" i="111"/>
  <c r="L34" i="111"/>
  <c r="AE34" i="111" s="1"/>
  <c r="K34" i="111"/>
  <c r="J34" i="111"/>
  <c r="DK33" i="111"/>
  <c r="DJ33" i="111"/>
  <c r="DI33" i="111"/>
  <c r="DH33" i="111"/>
  <c r="DF33" i="111"/>
  <c r="DB33" i="111"/>
  <c r="DA33" i="111"/>
  <c r="CZ33" i="111"/>
  <c r="CL33" i="111"/>
  <c r="BY33" i="111"/>
  <c r="DS33" i="111" s="1"/>
  <c r="BV33" i="111"/>
  <c r="CY33" i="111" s="1"/>
  <c r="AY33" i="111"/>
  <c r="AX33" i="111"/>
  <c r="AK33" i="111"/>
  <c r="L33" i="111"/>
  <c r="AE33" i="111" s="1"/>
  <c r="K33" i="111"/>
  <c r="J33" i="111"/>
  <c r="DK32" i="111"/>
  <c r="DJ32" i="111"/>
  <c r="DI32" i="111"/>
  <c r="DH32" i="111"/>
  <c r="DF32" i="111"/>
  <c r="DB32" i="111"/>
  <c r="DA32" i="111"/>
  <c r="CZ32" i="111"/>
  <c r="CY32" i="111"/>
  <c r="CL32" i="111"/>
  <c r="BY32" i="111"/>
  <c r="DS32" i="111" s="1"/>
  <c r="AY32" i="111"/>
  <c r="AX32" i="111"/>
  <c r="AK32" i="111"/>
  <c r="L32" i="111"/>
  <c r="AE32" i="111" s="1"/>
  <c r="K32" i="111"/>
  <c r="J32" i="111"/>
  <c r="DK31" i="111"/>
  <c r="DJ31" i="111"/>
  <c r="DI31" i="111"/>
  <c r="DH31" i="111"/>
  <c r="DF31" i="111"/>
  <c r="DB31" i="111"/>
  <c r="DA31" i="111"/>
  <c r="CZ31" i="111"/>
  <c r="CY31" i="111"/>
  <c r="CL31" i="111"/>
  <c r="BY31" i="111"/>
  <c r="DS31" i="111" s="1"/>
  <c r="AY31" i="111"/>
  <c r="AX31" i="111"/>
  <c r="AK31" i="111"/>
  <c r="L31" i="111"/>
  <c r="AE31" i="111" s="1"/>
  <c r="K31" i="111"/>
  <c r="J31" i="111"/>
  <c r="DK30" i="111"/>
  <c r="DJ30" i="111"/>
  <c r="DI30" i="111"/>
  <c r="DH30" i="111"/>
  <c r="DF30" i="111"/>
  <c r="DB30" i="111"/>
  <c r="DA30" i="111"/>
  <c r="CZ30" i="111"/>
  <c r="CY30" i="111"/>
  <c r="CL30" i="111"/>
  <c r="BY30" i="111"/>
  <c r="DS30" i="111" s="1"/>
  <c r="AY30" i="111"/>
  <c r="AX30" i="111"/>
  <c r="AK30" i="111"/>
  <c r="L30" i="111"/>
  <c r="AE30" i="111" s="1"/>
  <c r="K30" i="111"/>
  <c r="J30" i="111"/>
  <c r="DK29" i="111"/>
  <c r="DJ29" i="111"/>
  <c r="DI29" i="111"/>
  <c r="DH29" i="111"/>
  <c r="DF29" i="111"/>
  <c r="DB29" i="111"/>
  <c r="DA29" i="111"/>
  <c r="CZ29" i="111"/>
  <c r="CY29" i="111"/>
  <c r="CL29" i="111"/>
  <c r="BY29" i="111"/>
  <c r="DS29" i="111" s="1"/>
  <c r="AY29" i="111"/>
  <c r="AX29" i="111"/>
  <c r="AK29" i="111"/>
  <c r="L29" i="111"/>
  <c r="AE29" i="111" s="1"/>
  <c r="K29" i="111"/>
  <c r="J29" i="111"/>
  <c r="DK28" i="111"/>
  <c r="DJ28" i="111"/>
  <c r="DI28" i="111"/>
  <c r="DH28" i="111"/>
  <c r="DF28" i="111"/>
  <c r="DB28" i="111"/>
  <c r="DA28" i="111"/>
  <c r="CZ28" i="111"/>
  <c r="CY28" i="111"/>
  <c r="CL28" i="111"/>
  <c r="BY28" i="111"/>
  <c r="DS28" i="111" s="1"/>
  <c r="AY28" i="111"/>
  <c r="AX28" i="111"/>
  <c r="AK28" i="111"/>
  <c r="L28" i="111"/>
  <c r="AE28" i="111" s="1"/>
  <c r="K28" i="111"/>
  <c r="J28" i="111"/>
  <c r="DK27" i="111"/>
  <c r="DJ27" i="111"/>
  <c r="DI27" i="111"/>
  <c r="DH27" i="111"/>
  <c r="DF27" i="111"/>
  <c r="DB27" i="111"/>
  <c r="DA27" i="111"/>
  <c r="CZ27" i="111"/>
  <c r="CY27" i="111"/>
  <c r="CL27" i="111"/>
  <c r="BY27" i="111"/>
  <c r="DS27" i="111" s="1"/>
  <c r="AY27" i="111"/>
  <c r="AX27" i="111"/>
  <c r="AK27" i="111"/>
  <c r="L27" i="111"/>
  <c r="AE27" i="111" s="1"/>
  <c r="K27" i="111"/>
  <c r="J27" i="111"/>
  <c r="DK26" i="111"/>
  <c r="DJ26" i="111"/>
  <c r="DI26" i="111"/>
  <c r="DH26" i="111"/>
  <c r="DF26" i="111"/>
  <c r="DB26" i="111"/>
  <c r="DA26" i="111"/>
  <c r="CZ26" i="111"/>
  <c r="CY26" i="111"/>
  <c r="CL26" i="111"/>
  <c r="BY26" i="111"/>
  <c r="DS26" i="111" s="1"/>
  <c r="AY26" i="111"/>
  <c r="AX26" i="111"/>
  <c r="AK26" i="111"/>
  <c r="L26" i="111"/>
  <c r="AE26" i="111" s="1"/>
  <c r="K26" i="111"/>
  <c r="J26" i="111"/>
  <c r="DK25" i="111"/>
  <c r="DJ25" i="111"/>
  <c r="DI25" i="111"/>
  <c r="DH25" i="111"/>
  <c r="DF25" i="111"/>
  <c r="DB25" i="111"/>
  <c r="DA25" i="111"/>
  <c r="CZ25" i="111"/>
  <c r="CY25" i="111"/>
  <c r="CL25" i="111"/>
  <c r="BY25" i="111"/>
  <c r="DS25" i="111" s="1"/>
  <c r="AY25" i="111"/>
  <c r="AX25" i="111"/>
  <c r="AK25" i="111"/>
  <c r="L25" i="111"/>
  <c r="AE25" i="111" s="1"/>
  <c r="K25" i="111"/>
  <c r="J25" i="111"/>
  <c r="DK24" i="111"/>
  <c r="DJ24" i="111"/>
  <c r="DI24" i="111"/>
  <c r="DH24" i="111"/>
  <c r="DF24" i="111"/>
  <c r="DB24" i="111"/>
  <c r="DA24" i="111"/>
  <c r="CZ24" i="111"/>
  <c r="CY24" i="111"/>
  <c r="CL24" i="111"/>
  <c r="BY24" i="111"/>
  <c r="DS24" i="111" s="1"/>
  <c r="AY24" i="111"/>
  <c r="AX24" i="111"/>
  <c r="AK24" i="111"/>
  <c r="L24" i="111"/>
  <c r="AE24" i="111" s="1"/>
  <c r="K24" i="111"/>
  <c r="J24" i="111"/>
  <c r="DK23" i="111"/>
  <c r="DJ23" i="111"/>
  <c r="DI23" i="111"/>
  <c r="DH23" i="111"/>
  <c r="DF23" i="111"/>
  <c r="DB23" i="111"/>
  <c r="DA23" i="111"/>
  <c r="CZ23" i="111"/>
  <c r="CY23" i="111"/>
  <c r="CL23" i="111"/>
  <c r="BY23" i="111"/>
  <c r="DS23" i="111" s="1"/>
  <c r="AY23" i="111"/>
  <c r="AX23" i="111"/>
  <c r="AK23" i="111"/>
  <c r="L23" i="111"/>
  <c r="K23" i="111"/>
  <c r="J23" i="111"/>
  <c r="DK22" i="111"/>
  <c r="DJ22" i="111"/>
  <c r="DI22" i="111"/>
  <c r="DH22" i="111"/>
  <c r="DF22" i="111"/>
  <c r="DB22" i="111"/>
  <c r="DA22" i="111"/>
  <c r="CZ22" i="111"/>
  <c r="CY22" i="111"/>
  <c r="CL22" i="111"/>
  <c r="BY22" i="111"/>
  <c r="DS22" i="111" s="1"/>
  <c r="AY22" i="111"/>
  <c r="AX22" i="111"/>
  <c r="AK22" i="111"/>
  <c r="L22" i="111"/>
  <c r="K22" i="111"/>
  <c r="J22" i="111"/>
  <c r="DK21" i="111"/>
  <c r="DJ21" i="111"/>
  <c r="DI21" i="111"/>
  <c r="DH21" i="111"/>
  <c r="DF21" i="111"/>
  <c r="DB21" i="111"/>
  <c r="DA21" i="111"/>
  <c r="CZ21" i="111"/>
  <c r="CY21" i="111"/>
  <c r="CL21" i="111"/>
  <c r="BY21" i="111"/>
  <c r="DS21" i="111" s="1"/>
  <c r="AY21" i="111"/>
  <c r="AX21" i="111"/>
  <c r="AK21" i="111"/>
  <c r="L21" i="111"/>
  <c r="K21" i="111"/>
  <c r="J21" i="111"/>
  <c r="DK20" i="111"/>
  <c r="DJ20" i="111"/>
  <c r="DI20" i="111"/>
  <c r="DH20" i="111"/>
  <c r="DF20" i="111"/>
  <c r="DB20" i="111"/>
  <c r="DA20" i="111"/>
  <c r="CZ20" i="111"/>
  <c r="CY20" i="111"/>
  <c r="CL20" i="111"/>
  <c r="BY20" i="111"/>
  <c r="DS20" i="111" s="1"/>
  <c r="AY20" i="111"/>
  <c r="AX20" i="111"/>
  <c r="AK20" i="111"/>
  <c r="L20" i="111"/>
  <c r="AE20" i="111" s="1"/>
  <c r="K20" i="111"/>
  <c r="J20" i="111"/>
  <c r="DK19" i="111"/>
  <c r="DJ19" i="111"/>
  <c r="DI19" i="111"/>
  <c r="DH19" i="111"/>
  <c r="DF19" i="111"/>
  <c r="DB19" i="111"/>
  <c r="DA19" i="111"/>
  <c r="CZ19" i="111"/>
  <c r="CY19" i="111"/>
  <c r="CL19" i="111"/>
  <c r="BY19" i="111"/>
  <c r="DS19" i="111" s="1"/>
  <c r="AY19" i="111"/>
  <c r="AX19" i="111"/>
  <c r="AK19" i="111"/>
  <c r="L19" i="111"/>
  <c r="K19" i="111"/>
  <c r="J19" i="111"/>
  <c r="DK18" i="111"/>
  <c r="DJ18" i="111"/>
  <c r="DI18" i="111"/>
  <c r="DH18" i="111"/>
  <c r="DF18" i="111"/>
  <c r="DB18" i="111"/>
  <c r="DA18" i="111"/>
  <c r="CZ18" i="111"/>
  <c r="CY18" i="111"/>
  <c r="CL18" i="111"/>
  <c r="BY18" i="111"/>
  <c r="DS18" i="111" s="1"/>
  <c r="AY18" i="111"/>
  <c r="AX18" i="111"/>
  <c r="AK18" i="111"/>
  <c r="L18" i="111"/>
  <c r="AE18" i="111" s="1"/>
  <c r="K18" i="111"/>
  <c r="J18" i="111"/>
  <c r="DK17" i="111"/>
  <c r="DJ17" i="111"/>
  <c r="DI17" i="111"/>
  <c r="DH17" i="111"/>
  <c r="DF17" i="111"/>
  <c r="DB17" i="111"/>
  <c r="DA17" i="111"/>
  <c r="CZ17" i="111"/>
  <c r="CY17" i="111"/>
  <c r="CL17" i="111"/>
  <c r="BY17" i="111"/>
  <c r="DS17" i="111" s="1"/>
  <c r="AY17" i="111"/>
  <c r="AX17" i="111"/>
  <c r="AK17" i="111"/>
  <c r="L17" i="111"/>
  <c r="K17" i="111"/>
  <c r="J17" i="111"/>
  <c r="DK16" i="111"/>
  <c r="DJ16" i="111"/>
  <c r="DI16" i="111"/>
  <c r="DH16" i="111"/>
  <c r="DF16" i="111"/>
  <c r="DB16" i="111"/>
  <c r="DA16" i="111"/>
  <c r="CZ16" i="111"/>
  <c r="CY16" i="111"/>
  <c r="CL16" i="111"/>
  <c r="BY16" i="111"/>
  <c r="DS16" i="111" s="1"/>
  <c r="AY16" i="111"/>
  <c r="AX16" i="111"/>
  <c r="AK16" i="111"/>
  <c r="L16" i="111"/>
  <c r="K16" i="111"/>
  <c r="J16" i="111"/>
  <c r="DK15" i="111"/>
  <c r="DJ15" i="111"/>
  <c r="DI15" i="111"/>
  <c r="DH15" i="111"/>
  <c r="DF15" i="111"/>
  <c r="DB15" i="111"/>
  <c r="DA15" i="111"/>
  <c r="CZ15" i="111"/>
  <c r="CY15" i="111"/>
  <c r="CL15" i="111"/>
  <c r="BY15" i="111"/>
  <c r="DS15" i="111" s="1"/>
  <c r="AY15" i="111"/>
  <c r="AX15" i="111"/>
  <c r="AK15" i="111"/>
  <c r="L15" i="111"/>
  <c r="AE15" i="111" s="1"/>
  <c r="K15" i="111"/>
  <c r="J15" i="111"/>
  <c r="DK14" i="111"/>
  <c r="DJ14" i="111"/>
  <c r="DI14" i="111"/>
  <c r="DH14" i="111"/>
  <c r="DF14" i="111"/>
  <c r="DB14" i="111"/>
  <c r="DA14" i="111"/>
  <c r="CZ14" i="111"/>
  <c r="CY14" i="111"/>
  <c r="CL14" i="111"/>
  <c r="BY14" i="111"/>
  <c r="DS14" i="111" s="1"/>
  <c r="AY14" i="111"/>
  <c r="AX14" i="111"/>
  <c r="AK14" i="111"/>
  <c r="L14" i="111"/>
  <c r="AE14" i="111" s="1"/>
  <c r="K14" i="111"/>
  <c r="J14" i="111"/>
  <c r="DK13" i="111"/>
  <c r="DJ13" i="111"/>
  <c r="DI13" i="111"/>
  <c r="DH13" i="111"/>
  <c r="DF13" i="111"/>
  <c r="DB13" i="111"/>
  <c r="DA13" i="111"/>
  <c r="CZ13" i="111"/>
  <c r="CY13" i="111"/>
  <c r="CL13" i="111"/>
  <c r="BY13" i="111"/>
  <c r="DS13" i="111" s="1"/>
  <c r="AY13" i="111"/>
  <c r="AX13" i="111"/>
  <c r="AK13" i="111"/>
  <c r="L13" i="111"/>
  <c r="AE13" i="111" s="1"/>
  <c r="K13" i="111"/>
  <c r="J13" i="111"/>
  <c r="DK12" i="111"/>
  <c r="DJ12" i="111"/>
  <c r="DI12" i="111"/>
  <c r="DH12" i="111"/>
  <c r="DF12" i="111"/>
  <c r="DB12" i="111"/>
  <c r="DA12" i="111"/>
  <c r="CZ12" i="111"/>
  <c r="CY12" i="111"/>
  <c r="CL12" i="111"/>
  <c r="BY12" i="111"/>
  <c r="DS12" i="111" s="1"/>
  <c r="AY12" i="111"/>
  <c r="AX12" i="111"/>
  <c r="AK12" i="111"/>
  <c r="L12" i="111"/>
  <c r="AE12" i="111" s="1"/>
  <c r="K12" i="111"/>
  <c r="J12" i="111"/>
  <c r="DK11" i="111"/>
  <c r="DJ11" i="111"/>
  <c r="DI11" i="111"/>
  <c r="DH11" i="111"/>
  <c r="DF11" i="111"/>
  <c r="DB11" i="111"/>
  <c r="DA11" i="111"/>
  <c r="CZ11" i="111"/>
  <c r="CY11" i="111"/>
  <c r="CL11" i="111"/>
  <c r="BY11" i="111"/>
  <c r="DS11" i="111" s="1"/>
  <c r="AY11" i="111"/>
  <c r="AX11" i="111"/>
  <c r="AK11" i="111"/>
  <c r="L11" i="111"/>
  <c r="AE11" i="111" s="1"/>
  <c r="K11" i="111"/>
  <c r="J11" i="111"/>
  <c r="DK10" i="111"/>
  <c r="DJ10" i="111"/>
  <c r="DI10" i="111"/>
  <c r="DH10" i="111"/>
  <c r="DF10" i="111"/>
  <c r="DB10" i="111"/>
  <c r="DA10" i="111"/>
  <c r="CZ10" i="111"/>
  <c r="CY10" i="111"/>
  <c r="CL10" i="111"/>
  <c r="BY10" i="111"/>
  <c r="AY10" i="111"/>
  <c r="AX10" i="111"/>
  <c r="AK10" i="111"/>
  <c r="L10" i="111"/>
  <c r="K10" i="111"/>
  <c r="J10" i="111"/>
  <c r="DR9" i="111"/>
  <c r="DK9" i="111"/>
  <c r="DJ9" i="111"/>
  <c r="DI9" i="111"/>
  <c r="DH9" i="111"/>
  <c r="DF9" i="111"/>
  <c r="DB9" i="111"/>
  <c r="DA9" i="111"/>
  <c r="CZ9" i="111"/>
  <c r="CL9" i="111"/>
  <c r="BZ9" i="111"/>
  <c r="BV9" i="111"/>
  <c r="CY9" i="111" s="1"/>
  <c r="AY9" i="111"/>
  <c r="AX9" i="111"/>
  <c r="AK9" i="111"/>
  <c r="J9" i="111"/>
  <c r="CZ8" i="111"/>
  <c r="BY8" i="111"/>
  <c r="AY8" i="111"/>
  <c r="DR7" i="111"/>
  <c r="DK7" i="111"/>
  <c r="DJ7" i="111"/>
  <c r="DI7" i="111"/>
  <c r="DH7" i="111"/>
  <c r="DF7" i="111"/>
  <c r="DF1" i="111" s="1"/>
  <c r="DB7" i="111"/>
  <c r="DA7" i="111"/>
  <c r="CZ7" i="111"/>
  <c r="CL7" i="111"/>
  <c r="CH7" i="111"/>
  <c r="CG7" i="111"/>
  <c r="CE7" i="111"/>
  <c r="CA7" i="111"/>
  <c r="BV7" i="111"/>
  <c r="CY7" i="111" s="1"/>
  <c r="AY7" i="111"/>
  <c r="AX7" i="111"/>
  <c r="AK7" i="111"/>
  <c r="AK1" i="111" s="1"/>
  <c r="L7" i="111"/>
  <c r="AE7" i="111" s="1"/>
  <c r="K7" i="111"/>
  <c r="J7" i="111"/>
  <c r="DR6" i="111"/>
  <c r="DK6" i="111"/>
  <c r="DJ6" i="111"/>
  <c r="DI6" i="111"/>
  <c r="DH6" i="111"/>
  <c r="DF6" i="111"/>
  <c r="DB6" i="111"/>
  <c r="DA6" i="111"/>
  <c r="CZ6" i="111"/>
  <c r="CL6" i="111"/>
  <c r="CE6" i="111"/>
  <c r="CD6" i="111"/>
  <c r="CC6" i="111"/>
  <c r="CB6" i="111"/>
  <c r="CA6" i="111"/>
  <c r="BV6" i="111"/>
  <c r="CY6" i="111" s="1"/>
  <c r="AY6" i="111"/>
  <c r="AX6" i="111"/>
  <c r="AK6" i="111"/>
  <c r="L6" i="111"/>
  <c r="AE6" i="111" s="1"/>
  <c r="K6" i="111"/>
  <c r="J6" i="111"/>
  <c r="DQ3" i="111"/>
  <c r="DP3" i="111"/>
  <c r="DO3" i="111"/>
  <c r="DN3" i="111"/>
  <c r="DM3" i="111"/>
  <c r="DL3" i="111"/>
  <c r="DQ1" i="111"/>
  <c r="DP1" i="111"/>
  <c r="DO1" i="111"/>
  <c r="DN1" i="111"/>
  <c r="DM1" i="111"/>
  <c r="DL1" i="111"/>
  <c r="DD1" i="111"/>
  <c r="BX1" i="111"/>
  <c r="BW1" i="111"/>
  <c r="BU1" i="111"/>
  <c r="BS1" i="111"/>
  <c r="BQ1" i="111"/>
  <c r="BP1" i="111"/>
  <c r="BO1" i="111"/>
  <c r="BN1" i="111"/>
  <c r="BM1" i="111"/>
  <c r="BK1" i="111"/>
  <c r="BJ1" i="111"/>
  <c r="BI1" i="111"/>
  <c r="BH1" i="111"/>
  <c r="BG1" i="111"/>
  <c r="BF1" i="111"/>
  <c r="BE1" i="111"/>
  <c r="BD1" i="111"/>
  <c r="BC1" i="111"/>
  <c r="BB1" i="111"/>
  <c r="BA1" i="111"/>
  <c r="AZ1" i="111"/>
  <c r="AU1" i="111"/>
  <c r="AT1" i="111"/>
  <c r="AS1" i="111"/>
  <c r="AR1" i="111"/>
  <c r="AN1" i="111"/>
  <c r="AL1" i="111"/>
  <c r="AH1" i="111"/>
  <c r="DC270" i="111" l="1"/>
  <c r="DE270" i="111" s="1"/>
  <c r="DS270" i="111"/>
  <c r="CM1" i="111"/>
  <c r="CO1" i="111"/>
  <c r="DC153" i="111"/>
  <c r="DE153" i="111" s="1"/>
  <c r="BY264" i="111"/>
  <c r="DS264" i="111" s="1"/>
  <c r="DC25" i="111"/>
  <c r="DE25" i="111" s="1"/>
  <c r="DC44" i="111"/>
  <c r="DE44" i="111" s="1"/>
  <c r="DC102" i="111"/>
  <c r="DE102" i="111" s="1"/>
  <c r="DC85" i="111"/>
  <c r="DE85" i="111" s="1"/>
  <c r="CN1" i="111"/>
  <c r="DC186" i="111"/>
  <c r="DE186" i="111" s="1"/>
  <c r="BY52" i="111"/>
  <c r="DC52" i="111" s="1"/>
  <c r="DE52" i="111" s="1"/>
  <c r="CB1" i="111"/>
  <c r="BY49" i="111"/>
  <c r="DS49" i="111" s="1"/>
  <c r="DC79" i="111"/>
  <c r="DE79" i="111" s="1"/>
  <c r="DC184" i="111"/>
  <c r="DE184" i="111" s="1"/>
  <c r="DS224" i="111"/>
  <c r="DC31" i="111"/>
  <c r="DE31" i="111" s="1"/>
  <c r="DC125" i="111"/>
  <c r="DE125" i="111" s="1"/>
  <c r="DC227" i="111"/>
  <c r="DE227" i="111" s="1"/>
  <c r="DC36" i="111"/>
  <c r="DE36" i="111" s="1"/>
  <c r="DS36" i="111"/>
  <c r="DC39" i="111"/>
  <c r="DE39" i="111" s="1"/>
  <c r="DS39" i="111"/>
  <c r="DC197" i="111"/>
  <c r="DE197" i="111" s="1"/>
  <c r="DS242" i="111"/>
  <c r="DC253" i="111"/>
  <c r="DE253" i="111" s="1"/>
  <c r="DC34" i="111"/>
  <c r="DE34" i="111" s="1"/>
  <c r="BY241" i="111"/>
  <c r="DC241" i="111" s="1"/>
  <c r="DE241" i="111" s="1"/>
  <c r="BY64" i="111"/>
  <c r="DS64" i="111" s="1"/>
  <c r="DS34" i="111"/>
  <c r="DC140" i="111"/>
  <c r="DE140" i="111" s="1"/>
  <c r="CL253" i="111"/>
  <c r="BR1" i="111"/>
  <c r="BY53" i="111"/>
  <c r="DC53" i="111" s="1"/>
  <c r="DE53" i="111" s="1"/>
  <c r="BT1" i="111"/>
  <c r="DC41" i="111"/>
  <c r="DE41" i="111" s="1"/>
  <c r="BL3" i="111"/>
  <c r="BZ1" i="111"/>
  <c r="BY7" i="111"/>
  <c r="DS7" i="111" s="1"/>
  <c r="BY48" i="111"/>
  <c r="DS48" i="111" s="1"/>
  <c r="BY58" i="111"/>
  <c r="DC58" i="111" s="1"/>
  <c r="DE58" i="111" s="1"/>
  <c r="DC87" i="111"/>
  <c r="DE87" i="111" s="1"/>
  <c r="DC89" i="111"/>
  <c r="DE89" i="111" s="1"/>
  <c r="DC167" i="111"/>
  <c r="DE167" i="111" s="1"/>
  <c r="DC174" i="111"/>
  <c r="DE174" i="111" s="1"/>
  <c r="BL1" i="111"/>
  <c r="DC108" i="111"/>
  <c r="DE108" i="111" s="1"/>
  <c r="DC90" i="111"/>
  <c r="DE90" i="111" s="1"/>
  <c r="DC122" i="111"/>
  <c r="DE122" i="111" s="1"/>
  <c r="DC137" i="111"/>
  <c r="DE137" i="111" s="1"/>
  <c r="DC175" i="111"/>
  <c r="DE175" i="111" s="1"/>
  <c r="DC204" i="111"/>
  <c r="DE204" i="111" s="1"/>
  <c r="DC238" i="111"/>
  <c r="DE238" i="111" s="1"/>
  <c r="BY61" i="111"/>
  <c r="DC61" i="111" s="1"/>
  <c r="DE61" i="111" s="1"/>
  <c r="DC74" i="111"/>
  <c r="DE74" i="111" s="1"/>
  <c r="DC88" i="111"/>
  <c r="DE88" i="111" s="1"/>
  <c r="DC246" i="111"/>
  <c r="DE246" i="111" s="1"/>
  <c r="CH1" i="111"/>
  <c r="BY252" i="111"/>
  <c r="DC252" i="111" s="1"/>
  <c r="DE252" i="111" s="1"/>
  <c r="DC28" i="111"/>
  <c r="DE28" i="111" s="1"/>
  <c r="DC173" i="111"/>
  <c r="DE173" i="111" s="1"/>
  <c r="BY219" i="111"/>
  <c r="DC219" i="111" s="1"/>
  <c r="DE219" i="111" s="1"/>
  <c r="CD1" i="111"/>
  <c r="AV1" i="111"/>
  <c r="DC179" i="111"/>
  <c r="DE179" i="111" s="1"/>
  <c r="BY216" i="111"/>
  <c r="DC216" i="111" s="1"/>
  <c r="DE216" i="111" s="1"/>
  <c r="CJ1" i="111"/>
  <c r="DC243" i="111"/>
  <c r="DE243" i="111" s="1"/>
  <c r="BY55" i="111"/>
  <c r="DC55" i="111" s="1"/>
  <c r="DE55" i="111" s="1"/>
  <c r="BY9" i="111"/>
  <c r="DS9" i="111" s="1"/>
  <c r="DC16" i="111"/>
  <c r="DE16" i="111" s="1"/>
  <c r="DC32" i="111"/>
  <c r="DE32" i="111" s="1"/>
  <c r="CK1" i="111"/>
  <c r="CF1" i="111"/>
  <c r="DC62" i="111"/>
  <c r="DE62" i="111" s="1"/>
  <c r="DC158" i="111"/>
  <c r="DE158" i="111" s="1"/>
  <c r="DC160" i="111"/>
  <c r="DE160" i="111" s="1"/>
  <c r="CE1" i="111"/>
  <c r="DS41" i="111"/>
  <c r="DC33" i="111"/>
  <c r="DE33" i="111" s="1"/>
  <c r="BY47" i="111"/>
  <c r="DS47" i="111" s="1"/>
  <c r="BY56" i="111"/>
  <c r="DS56" i="111" s="1"/>
  <c r="DC68" i="111"/>
  <c r="DE68" i="111" s="1"/>
  <c r="DC76" i="111"/>
  <c r="DE76" i="111" s="1"/>
  <c r="DC154" i="111"/>
  <c r="DE154" i="111" s="1"/>
  <c r="DC240" i="111"/>
  <c r="DE240" i="111" s="1"/>
  <c r="BY250" i="111"/>
  <c r="DS250" i="111" s="1"/>
  <c r="DC161" i="111"/>
  <c r="DE161" i="111" s="1"/>
  <c r="DS161" i="111"/>
  <c r="DC180" i="111"/>
  <c r="DE180" i="111" s="1"/>
  <c r="DC205" i="111"/>
  <c r="DE205" i="111" s="1"/>
  <c r="DC223" i="111"/>
  <c r="DE223" i="111" s="1"/>
  <c r="CL263" i="111"/>
  <c r="CI1" i="111"/>
  <c r="DC82" i="111"/>
  <c r="DE82" i="111" s="1"/>
  <c r="DC100" i="111"/>
  <c r="DE100" i="111" s="1"/>
  <c r="DC116" i="111"/>
  <c r="DE116" i="111" s="1"/>
  <c r="DC224" i="111"/>
  <c r="DE224" i="111" s="1"/>
  <c r="BY236" i="111"/>
  <c r="DS236" i="111" s="1"/>
  <c r="DS243" i="111"/>
  <c r="BY6" i="111"/>
  <c r="DC6" i="111" s="1"/>
  <c r="CG1" i="111"/>
  <c r="DC106" i="111"/>
  <c r="DE106" i="111" s="1"/>
  <c r="DC164" i="111"/>
  <c r="DE164" i="111" s="1"/>
  <c r="DC171" i="111"/>
  <c r="DE171" i="111" s="1"/>
  <c r="DC206" i="111"/>
  <c r="DE206" i="111" s="1"/>
  <c r="BY222" i="111"/>
  <c r="DC222" i="111" s="1"/>
  <c r="DE222" i="111" s="1"/>
  <c r="DC233" i="111"/>
  <c r="DE233" i="111" s="1"/>
  <c r="DC215" i="111"/>
  <c r="DE215" i="111" s="1"/>
  <c r="DK1" i="111"/>
  <c r="DC69" i="111"/>
  <c r="DE69" i="111" s="1"/>
  <c r="DC189" i="111"/>
  <c r="DE189" i="111" s="1"/>
  <c r="DF3" i="111"/>
  <c r="CV3" i="111"/>
  <c r="BY54" i="111"/>
  <c r="DS54" i="111" s="1"/>
  <c r="BY70" i="111"/>
  <c r="DC70" i="111" s="1"/>
  <c r="DE70" i="111" s="1"/>
  <c r="DC121" i="111"/>
  <c r="DE121" i="111" s="1"/>
  <c r="CS3" i="111"/>
  <c r="AX67" i="111"/>
  <c r="AX1" i="111" s="1"/>
  <c r="CC1" i="111"/>
  <c r="DC134" i="111"/>
  <c r="DE134" i="111" s="1"/>
  <c r="DC145" i="111"/>
  <c r="DE145" i="111" s="1"/>
  <c r="DC201" i="111"/>
  <c r="DE201" i="111" s="1"/>
  <c r="DS201" i="111"/>
  <c r="DS226" i="111"/>
  <c r="BY248" i="111"/>
  <c r="DS248" i="111" s="1"/>
  <c r="BY274" i="111"/>
  <c r="DC274" i="111" s="1"/>
  <c r="DE274" i="111" s="1"/>
  <c r="DS246" i="111"/>
  <c r="DS251" i="111"/>
  <c r="DS178" i="111"/>
  <c r="DS107" i="111"/>
  <c r="DS239" i="111"/>
  <c r="DS245" i="111"/>
  <c r="DS127" i="111"/>
  <c r="DS65" i="111"/>
  <c r="DS92" i="111"/>
  <c r="DS95" i="111"/>
  <c r="DS153" i="111"/>
  <c r="DS195" i="111"/>
  <c r="DS38" i="111"/>
  <c r="DS69" i="111"/>
  <c r="DS40" i="111"/>
  <c r="DS193" i="111"/>
  <c r="DS85" i="111"/>
  <c r="DS112" i="111"/>
  <c r="DS119" i="111"/>
  <c r="DS126" i="111"/>
  <c r="DS131" i="111"/>
  <c r="DS148" i="111"/>
  <c r="DS151" i="111"/>
  <c r="DS156" i="111"/>
  <c r="DS175" i="111"/>
  <c r="DS183" i="111"/>
  <c r="DS203" i="111"/>
  <c r="DC10" i="111"/>
  <c r="DE10" i="111" s="1"/>
  <c r="DC14" i="111"/>
  <c r="DE14" i="111" s="1"/>
  <c r="DC30" i="111"/>
  <c r="DE30" i="111" s="1"/>
  <c r="DS57" i="111"/>
  <c r="DS68" i="111"/>
  <c r="DC71" i="111"/>
  <c r="DE71" i="111" s="1"/>
  <c r="DC75" i="111"/>
  <c r="DE75" i="111" s="1"/>
  <c r="DC78" i="111"/>
  <c r="DE78" i="111" s="1"/>
  <c r="DC81" i="111"/>
  <c r="DE81" i="111" s="1"/>
  <c r="DC86" i="111"/>
  <c r="DE86" i="111" s="1"/>
  <c r="DC91" i="111"/>
  <c r="DE91" i="111" s="1"/>
  <c r="DS91" i="111"/>
  <c r="DC93" i="111"/>
  <c r="DE93" i="111" s="1"/>
  <c r="DC96" i="111"/>
  <c r="DE96" i="111" s="1"/>
  <c r="DS108" i="111"/>
  <c r="DC110" i="111"/>
  <c r="DE110" i="111" s="1"/>
  <c r="DC113" i="111"/>
  <c r="DE113" i="111" s="1"/>
  <c r="DC117" i="111"/>
  <c r="DE117" i="111" s="1"/>
  <c r="DC126" i="111"/>
  <c r="DE126" i="111" s="1"/>
  <c r="DC132" i="111"/>
  <c r="DE132" i="111" s="1"/>
  <c r="DS134" i="111"/>
  <c r="DS144" i="111"/>
  <c r="DS159" i="111"/>
  <c r="DC168" i="111"/>
  <c r="DE168" i="111" s="1"/>
  <c r="DS171" i="111"/>
  <c r="DS184" i="111"/>
  <c r="DC188" i="111"/>
  <c r="DE188" i="111" s="1"/>
  <c r="DC203" i="111"/>
  <c r="DE203" i="111" s="1"/>
  <c r="DC207" i="111"/>
  <c r="DE207" i="111" s="1"/>
  <c r="DC211" i="111"/>
  <c r="DE211" i="111" s="1"/>
  <c r="DC221" i="111"/>
  <c r="DE221" i="111" s="1"/>
  <c r="DS272" i="111"/>
  <c r="BR3" i="111"/>
  <c r="DA1" i="111"/>
  <c r="DI1" i="111"/>
  <c r="DC15" i="111"/>
  <c r="DE15" i="111" s="1"/>
  <c r="DC17" i="111"/>
  <c r="DE17" i="111" s="1"/>
  <c r="DC19" i="111"/>
  <c r="DE19" i="111" s="1"/>
  <c r="DC63" i="111"/>
  <c r="DE63" i="111" s="1"/>
  <c r="DC77" i="111"/>
  <c r="DE77" i="111" s="1"/>
  <c r="DC83" i="111"/>
  <c r="DE83" i="111" s="1"/>
  <c r="DC98" i="111"/>
  <c r="DE98" i="111" s="1"/>
  <c r="DC136" i="111"/>
  <c r="DE136" i="111" s="1"/>
  <c r="DC141" i="111"/>
  <c r="DE141" i="111" s="1"/>
  <c r="DC185" i="111"/>
  <c r="DE185" i="111" s="1"/>
  <c r="DC190" i="111"/>
  <c r="DE190" i="111" s="1"/>
  <c r="DC239" i="111"/>
  <c r="DE239" i="111" s="1"/>
  <c r="DS249" i="111"/>
  <c r="DC255" i="111"/>
  <c r="DE255" i="111" s="1"/>
  <c r="DS263" i="111"/>
  <c r="DC267" i="111"/>
  <c r="DE267" i="111" s="1"/>
  <c r="DC273" i="111"/>
  <c r="DE273" i="111" s="1"/>
  <c r="DS179" i="111"/>
  <c r="DC12" i="111"/>
  <c r="DE12" i="111" s="1"/>
  <c r="DC24" i="111"/>
  <c r="DE24" i="111" s="1"/>
  <c r="DC29" i="111"/>
  <c r="DE29" i="111" s="1"/>
  <c r="DC37" i="111"/>
  <c r="DE37" i="111" s="1"/>
  <c r="DS71" i="111"/>
  <c r="DS73" i="111"/>
  <c r="DC104" i="111"/>
  <c r="DE104" i="111" s="1"/>
  <c r="DC120" i="111"/>
  <c r="DE120" i="111" s="1"/>
  <c r="DS122" i="111"/>
  <c r="DS124" i="111"/>
  <c r="DC127" i="111"/>
  <c r="DE127" i="111" s="1"/>
  <c r="DS133" i="111"/>
  <c r="DS143" i="111"/>
  <c r="DC152" i="111"/>
  <c r="DE152" i="111" s="1"/>
  <c r="DC155" i="111"/>
  <c r="DE155" i="111" s="1"/>
  <c r="DS163" i="111"/>
  <c r="DS166" i="111"/>
  <c r="DC170" i="111"/>
  <c r="DE170" i="111" s="1"/>
  <c r="DS177" i="111"/>
  <c r="DC181" i="111"/>
  <c r="DE181" i="111" s="1"/>
  <c r="DC192" i="111"/>
  <c r="DE192" i="111" s="1"/>
  <c r="DC194" i="111"/>
  <c r="DE194" i="111" s="1"/>
  <c r="DS194" i="111"/>
  <c r="DS210" i="111"/>
  <c r="DC212" i="111"/>
  <c r="DE212" i="111" s="1"/>
  <c r="DS212" i="111"/>
  <c r="DC214" i="111"/>
  <c r="DE214" i="111" s="1"/>
  <c r="DC217" i="111"/>
  <c r="DE217" i="111" s="1"/>
  <c r="DS253" i="111"/>
  <c r="DC263" i="111"/>
  <c r="DE263" i="111" s="1"/>
  <c r="DC266" i="111"/>
  <c r="DE266" i="111" s="1"/>
  <c r="DS10" i="111"/>
  <c r="DB3" i="111"/>
  <c r="CZ1" i="111"/>
  <c r="DR1" i="111"/>
  <c r="DC18" i="111"/>
  <c r="DE18" i="111" s="1"/>
  <c r="DC21" i="111"/>
  <c r="DE21" i="111" s="1"/>
  <c r="DC23" i="111"/>
  <c r="DE23" i="111" s="1"/>
  <c r="DC84" i="111"/>
  <c r="DE84" i="111" s="1"/>
  <c r="DS101" i="111"/>
  <c r="DC101" i="111"/>
  <c r="DE101" i="111" s="1"/>
  <c r="DC107" i="111"/>
  <c r="DE107" i="111" s="1"/>
  <c r="DC135" i="111"/>
  <c r="DE135" i="111" s="1"/>
  <c r="DC139" i="111"/>
  <c r="DE139" i="111" s="1"/>
  <c r="DC143" i="111"/>
  <c r="DE143" i="111" s="1"/>
  <c r="DC148" i="111"/>
  <c r="DE148" i="111" s="1"/>
  <c r="DC151" i="111"/>
  <c r="DE151" i="111" s="1"/>
  <c r="DC172" i="111"/>
  <c r="DE172" i="111" s="1"/>
  <c r="DC187" i="111"/>
  <c r="DE187" i="111" s="1"/>
  <c r="DC191" i="111"/>
  <c r="DE191" i="111" s="1"/>
  <c r="DS215" i="111"/>
  <c r="DC268" i="111"/>
  <c r="DE268" i="111" s="1"/>
  <c r="DS268" i="111"/>
  <c r="DS103" i="111"/>
  <c r="DC103" i="111"/>
  <c r="DE103" i="111" s="1"/>
  <c r="CP3" i="111"/>
  <c r="AY1" i="111"/>
  <c r="DS99" i="111"/>
  <c r="DC99" i="111"/>
  <c r="DE99" i="111" s="1"/>
  <c r="DC176" i="111"/>
  <c r="DE176" i="111" s="1"/>
  <c r="DS176" i="111"/>
  <c r="AZ3" i="111"/>
  <c r="BF3" i="111"/>
  <c r="DH1" i="111"/>
  <c r="DJ1" i="111"/>
  <c r="DC11" i="111"/>
  <c r="DE11" i="111" s="1"/>
  <c r="DC13" i="111"/>
  <c r="DE13" i="111" s="1"/>
  <c r="DC20" i="111"/>
  <c r="DE20" i="111" s="1"/>
  <c r="DC22" i="111"/>
  <c r="DE22" i="111" s="1"/>
  <c r="DC26" i="111"/>
  <c r="DE26" i="111" s="1"/>
  <c r="DC35" i="111"/>
  <c r="DE35" i="111" s="1"/>
  <c r="DS35" i="111"/>
  <c r="DC67" i="111"/>
  <c r="DE67" i="111" s="1"/>
  <c r="DC80" i="111"/>
  <c r="DE80" i="111" s="1"/>
  <c r="DS97" i="111"/>
  <c r="DC97" i="111"/>
  <c r="DE97" i="111" s="1"/>
  <c r="DS105" i="111"/>
  <c r="DC105" i="111"/>
  <c r="DE105" i="111" s="1"/>
  <c r="DS110" i="111"/>
  <c r="DC112" i="111"/>
  <c r="DE112" i="111" s="1"/>
  <c r="DC115" i="111"/>
  <c r="DE115" i="111" s="1"/>
  <c r="DC119" i="111"/>
  <c r="DE119" i="111" s="1"/>
  <c r="DC129" i="111"/>
  <c r="DE129" i="111" s="1"/>
  <c r="DS129" i="111"/>
  <c r="DC138" i="111"/>
  <c r="DE138" i="111" s="1"/>
  <c r="DC142" i="111"/>
  <c r="DE142" i="111" s="1"/>
  <c r="DS155" i="111"/>
  <c r="DC157" i="111"/>
  <c r="DE157" i="111" s="1"/>
  <c r="DS173" i="111"/>
  <c r="DS188" i="111"/>
  <c r="DS192" i="111"/>
  <c r="DC195" i="111"/>
  <c r="DE195" i="111" s="1"/>
  <c r="DS205" i="111"/>
  <c r="DS207" i="111"/>
  <c r="DS221" i="111"/>
  <c r="DS232" i="111"/>
  <c r="DS234" i="111"/>
  <c r="DS235" i="111"/>
  <c r="DC237" i="111"/>
  <c r="DE237" i="111" s="1"/>
  <c r="DS244" i="111"/>
  <c r="DC27" i="111"/>
  <c r="DE27" i="111" s="1"/>
  <c r="DS37" i="111"/>
  <c r="DC42" i="111"/>
  <c r="DE42" i="111" s="1"/>
  <c r="DS42" i="111"/>
  <c r="DS44" i="111"/>
  <c r="DS62" i="111"/>
  <c r="DS63" i="111"/>
  <c r="DC94" i="111"/>
  <c r="DE94" i="111" s="1"/>
  <c r="DS123" i="111"/>
  <c r="DC128" i="111"/>
  <c r="DE128" i="111" s="1"/>
  <c r="DC130" i="111"/>
  <c r="DE130" i="111" s="1"/>
  <c r="DC133" i="111"/>
  <c r="DE133" i="111" s="1"/>
  <c r="DC146" i="111"/>
  <c r="DE146" i="111" s="1"/>
  <c r="DC149" i="111"/>
  <c r="DE149" i="111" s="1"/>
  <c r="DS154" i="111"/>
  <c r="DS158" i="111"/>
  <c r="DC162" i="111"/>
  <c r="DE162" i="111" s="1"/>
  <c r="DC165" i="111"/>
  <c r="DE165" i="111" s="1"/>
  <c r="DC178" i="111"/>
  <c r="DE178" i="111" s="1"/>
  <c r="DS209" i="111"/>
  <c r="DS214" i="111"/>
  <c r="DS217" i="111"/>
  <c r="DS223" i="111"/>
  <c r="DS229" i="111"/>
  <c r="DS231" i="111"/>
  <c r="DC232" i="111"/>
  <c r="DE232" i="111" s="1"/>
  <c r="DC244" i="111"/>
  <c r="DE244" i="111" s="1"/>
  <c r="DC38" i="111"/>
  <c r="DE38" i="111" s="1"/>
  <c r="DC40" i="111"/>
  <c r="DE40" i="111" s="1"/>
  <c r="DC43" i="111"/>
  <c r="DE43" i="111" s="1"/>
  <c r="DS43" i="111"/>
  <c r="DC95" i="111"/>
  <c r="DE95" i="111" s="1"/>
  <c r="DC109" i="111"/>
  <c r="DE109" i="111" s="1"/>
  <c r="DC111" i="111"/>
  <c r="DE111" i="111" s="1"/>
  <c r="DC114" i="111"/>
  <c r="DE114" i="111" s="1"/>
  <c r="DC118" i="111"/>
  <c r="DE118" i="111" s="1"/>
  <c r="DC124" i="111"/>
  <c r="DE124" i="111" s="1"/>
  <c r="DC147" i="111"/>
  <c r="DE147" i="111" s="1"/>
  <c r="DC150" i="111"/>
  <c r="DE150" i="111" s="1"/>
  <c r="DC159" i="111"/>
  <c r="DE159" i="111" s="1"/>
  <c r="DC166" i="111"/>
  <c r="DE166" i="111" s="1"/>
  <c r="DC169" i="111"/>
  <c r="DE169" i="111" s="1"/>
  <c r="DS197" i="111"/>
  <c r="DC199" i="111"/>
  <c r="DE199" i="111" s="1"/>
  <c r="DS204" i="111"/>
  <c r="DC210" i="111"/>
  <c r="DE210" i="111" s="1"/>
  <c r="DS211" i="111"/>
  <c r="DS218" i="111"/>
  <c r="DS225" i="111"/>
  <c r="DC226" i="111"/>
  <c r="DE226" i="111" s="1"/>
  <c r="DS228" i="111"/>
  <c r="DS230" i="111"/>
  <c r="DS233" i="111"/>
  <c r="DS237" i="111"/>
  <c r="DS238" i="111"/>
  <c r="DS240" i="111"/>
  <c r="DC242" i="111"/>
  <c r="DE242" i="111" s="1"/>
  <c r="DC256" i="111"/>
  <c r="DE256" i="111" s="1"/>
  <c r="DC257" i="111"/>
  <c r="DE257" i="111" s="1"/>
  <c r="DC272" i="111"/>
  <c r="DE272" i="111" s="1"/>
  <c r="DS273" i="111"/>
  <c r="DB1" i="111"/>
  <c r="CY1" i="111"/>
  <c r="CY3" i="111"/>
  <c r="DS50" i="111"/>
  <c r="DC50" i="111"/>
  <c r="DE50" i="111" s="1"/>
  <c r="DS66" i="111"/>
  <c r="DC66" i="111"/>
  <c r="DE66" i="111" s="1"/>
  <c r="DS59" i="111"/>
  <c r="DC59" i="111"/>
  <c r="DE59" i="111" s="1"/>
  <c r="BV1" i="111"/>
  <c r="DS51" i="111"/>
  <c r="DC51" i="111"/>
  <c r="DE51" i="111" s="1"/>
  <c r="DC65" i="111"/>
  <c r="DE65" i="111" s="1"/>
  <c r="DC57" i="111"/>
  <c r="DE57" i="111" s="1"/>
  <c r="CA1" i="111"/>
  <c r="DS67" i="111"/>
  <c r="DC73" i="111"/>
  <c r="DE73" i="111" s="1"/>
  <c r="DS196" i="111"/>
  <c r="DC196" i="111"/>
  <c r="DE196" i="111" s="1"/>
  <c r="BY72" i="111"/>
  <c r="DS72" i="111" s="1"/>
  <c r="DC182" i="111"/>
  <c r="DE182" i="111" s="1"/>
  <c r="DC193" i="111"/>
  <c r="DE193" i="111" s="1"/>
  <c r="DC200" i="111"/>
  <c r="DE200" i="111" s="1"/>
  <c r="DC209" i="111"/>
  <c r="DE209" i="111" s="1"/>
  <c r="DS213" i="111"/>
  <c r="DC213" i="111"/>
  <c r="DE213" i="111" s="1"/>
  <c r="DS220" i="111"/>
  <c r="DC220" i="111"/>
  <c r="DE220" i="111" s="1"/>
  <c r="DC229" i="111"/>
  <c r="DE229" i="111" s="1"/>
  <c r="DC231" i="111"/>
  <c r="DE231" i="111" s="1"/>
  <c r="DC269" i="111"/>
  <c r="DE269" i="111" s="1"/>
  <c r="DS269" i="111"/>
  <c r="DS198" i="111"/>
  <c r="DC198" i="111"/>
  <c r="DE198" i="111" s="1"/>
  <c r="DS202" i="111"/>
  <c r="DC202" i="111"/>
  <c r="DE202" i="111" s="1"/>
  <c r="DC230" i="111"/>
  <c r="DE230" i="111" s="1"/>
  <c r="DC234" i="111"/>
  <c r="DE234" i="111" s="1"/>
  <c r="DC251" i="111"/>
  <c r="DE251" i="111" s="1"/>
  <c r="DC271" i="111"/>
  <c r="DE271" i="111" s="1"/>
  <c r="DS271" i="111"/>
  <c r="DC92" i="111"/>
  <c r="DE92" i="111" s="1"/>
  <c r="DC123" i="111"/>
  <c r="DE123" i="111" s="1"/>
  <c r="DC131" i="111"/>
  <c r="DE131" i="111" s="1"/>
  <c r="DC144" i="111"/>
  <c r="DE144" i="111" s="1"/>
  <c r="DC156" i="111"/>
  <c r="DE156" i="111" s="1"/>
  <c r="DC163" i="111"/>
  <c r="DE163" i="111" s="1"/>
  <c r="DC177" i="111"/>
  <c r="DE177" i="111" s="1"/>
  <c r="DC218" i="111"/>
  <c r="DE218" i="111" s="1"/>
  <c r="DC245" i="111"/>
  <c r="DE245" i="111" s="1"/>
  <c r="DC249" i="111"/>
  <c r="DE249" i="111" s="1"/>
  <c r="DC183" i="111"/>
  <c r="DE183" i="111" s="1"/>
  <c r="DS208" i="111"/>
  <c r="DC208" i="111"/>
  <c r="DE208" i="111" s="1"/>
  <c r="DC225" i="111"/>
  <c r="DE225" i="111" s="1"/>
  <c r="DC228" i="111"/>
  <c r="DE228" i="111" s="1"/>
  <c r="DC235" i="111"/>
  <c r="DE235" i="111" s="1"/>
  <c r="DS247" i="111"/>
  <c r="DC247" i="111"/>
  <c r="DE247" i="111" s="1"/>
  <c r="DC258" i="111"/>
  <c r="DC48" i="111" l="1"/>
  <c r="DE48" i="111" s="1"/>
  <c r="DC236" i="111"/>
  <c r="DE236" i="111" s="1"/>
  <c r="CM3" i="111"/>
  <c r="CL3" i="111" s="1"/>
  <c r="DC264" i="111"/>
  <c r="DE264" i="111" s="1"/>
  <c r="DS53" i="111"/>
  <c r="DS52" i="111"/>
  <c r="DC56" i="111"/>
  <c r="DE56" i="111" s="1"/>
  <c r="DS252" i="111"/>
  <c r="CL1" i="111"/>
  <c r="DC47" i="111"/>
  <c r="DE47" i="111" s="1"/>
  <c r="DC49" i="111"/>
  <c r="DE49" i="111" s="1"/>
  <c r="DS55" i="111"/>
  <c r="DS219" i="111"/>
  <c r="DS241" i="111"/>
  <c r="DC7" i="111"/>
  <c r="DE7" i="111" s="1"/>
  <c r="DS6" i="111"/>
  <c r="DC250" i="111"/>
  <c r="DE250" i="111" s="1"/>
  <c r="DS274" i="111"/>
  <c r="DC64" i="111"/>
  <c r="DE64" i="111" s="1"/>
  <c r="BZ3" i="111"/>
  <c r="DC9" i="111"/>
  <c r="DE9" i="111" s="1"/>
  <c r="CF3" i="111"/>
  <c r="DS61" i="111"/>
  <c r="DC248" i="111"/>
  <c r="DE248" i="111" s="1"/>
  <c r="DS70" i="111"/>
  <c r="DS222" i="111"/>
  <c r="DC54" i="111"/>
  <c r="DE54" i="111" s="1"/>
  <c r="DS216" i="111"/>
  <c r="DS58" i="111"/>
  <c r="CC3" i="111"/>
  <c r="CI3" i="111"/>
  <c r="AY3" i="111"/>
  <c r="DC72" i="111"/>
  <c r="DE72" i="111" s="1"/>
  <c r="DE6" i="111"/>
  <c r="BY1" i="111"/>
  <c r="BY3" i="111" l="1"/>
  <c r="DS1" i="111"/>
  <c r="DC1" i="111"/>
  <c r="DE1" i="111"/>
  <c r="BC1" i="93"/>
  <c r="BB7" i="93" l="1"/>
  <c r="AN2" i="93"/>
  <c r="AP1" i="93"/>
  <c r="AP2" i="93" s="1"/>
  <c r="M38" i="93"/>
  <c r="AM1" i="93" l="1"/>
  <c r="AM2" i="93" s="1"/>
  <c r="Z1" i="93" l="1"/>
  <c r="AL1" i="93"/>
  <c r="AL2" i="93" s="1"/>
  <c r="AZ5" i="93" l="1"/>
  <c r="AX5" i="93"/>
  <c r="AV5" i="93"/>
  <c r="AV3" i="93" s="1"/>
  <c r="AK5" i="93"/>
  <c r="AA5" i="93"/>
  <c r="AB5" i="93"/>
  <c r="AC5" i="93"/>
  <c r="AD5" i="93"/>
  <c r="AE5" i="93"/>
  <c r="AF5" i="93"/>
  <c r="AG5" i="93"/>
  <c r="AH5" i="93"/>
  <c r="AI5" i="93"/>
  <c r="AJ5" i="93"/>
  <c r="AU5" i="93"/>
  <c r="AA1" i="93"/>
  <c r="AB1" i="93"/>
  <c r="AC1" i="93"/>
  <c r="AD1" i="93"/>
  <c r="AE1" i="93"/>
  <c r="AF1" i="93"/>
  <c r="AG1" i="93"/>
  <c r="AH1" i="93"/>
  <c r="AI1" i="93"/>
  <c r="AJ1" i="93"/>
  <c r="AK1" i="93"/>
  <c r="AU1" i="93"/>
  <c r="AV1" i="93"/>
  <c r="AX1" i="93"/>
  <c r="AJ4" i="93" l="1"/>
  <c r="AY5" i="93"/>
  <c r="AW5" i="93"/>
  <c r="BA1" i="93"/>
  <c r="BA5" i="93"/>
  <c r="AZ1" i="93"/>
  <c r="AY1" i="93"/>
  <c r="AW1" i="93"/>
  <c r="AT5" i="93"/>
  <c r="AT1" i="93" l="1"/>
  <c r="M37" i="93" l="1"/>
  <c r="AK2" i="93" l="1"/>
  <c r="M36" i="93" l="1"/>
  <c r="AJ2" i="93" l="1"/>
  <c r="Z5" i="93" l="1"/>
  <c r="BB1" i="93" l="1"/>
  <c r="AG4" i="93" l="1"/>
  <c r="AA4" i="93"/>
  <c r="AD4" i="93"/>
  <c r="AI2" i="93" l="1"/>
  <c r="W5" i="93" l="1"/>
  <c r="V5" i="93"/>
  <c r="AH2" i="93" l="1"/>
  <c r="M34" i="93" l="1"/>
  <c r="M35" i="93"/>
  <c r="M31" i="93" l="1"/>
  <c r="M32" i="93"/>
  <c r="M33" i="93"/>
  <c r="AG2" i="93" l="1"/>
  <c r="M30" i="93" l="1"/>
  <c r="AF2" i="93" l="1"/>
  <c r="AE2" i="93" l="1"/>
  <c r="AD2" i="93"/>
  <c r="AC2" i="93"/>
  <c r="AA2" i="93"/>
  <c r="M8" i="93" l="1"/>
  <c r="M9" i="93"/>
  <c r="M10" i="93"/>
  <c r="M11" i="93"/>
  <c r="M12" i="93"/>
  <c r="M13" i="93"/>
  <c r="M14" i="93"/>
  <c r="M15" i="93"/>
  <c r="M16" i="93"/>
  <c r="M17" i="93"/>
  <c r="M18" i="93"/>
  <c r="M19" i="93"/>
  <c r="M20" i="93"/>
  <c r="M21" i="93"/>
  <c r="M22" i="93"/>
  <c r="M23" i="93"/>
  <c r="M24" i="93"/>
  <c r="M25" i="93"/>
  <c r="M26" i="93"/>
  <c r="M27" i="93"/>
  <c r="M28" i="93"/>
  <c r="M29" i="93"/>
  <c r="M7" i="93"/>
  <c r="D14" i="45" l="1"/>
  <c r="D20" i="45" l="1"/>
  <c r="D17" i="45"/>
  <c r="F17" i="47"/>
  <c r="D11" i="45" l="1"/>
  <c r="D8" i="45"/>
  <c r="B5" i="45" l="1"/>
  <c r="D7" i="48" s="1"/>
  <c r="K11" i="45" l="1"/>
  <c r="F19" i="48" l="1"/>
  <c r="J19" i="48" s="1"/>
  <c r="F16" i="48"/>
  <c r="J16" i="48" s="1"/>
  <c r="F10" i="48"/>
  <c r="J10" i="48" s="1"/>
  <c r="F7" i="48"/>
  <c r="J7" i="48" s="1"/>
  <c r="F20" i="45" l="1"/>
  <c r="F17" i="45"/>
  <c r="F14" i="45"/>
  <c r="F11" i="45"/>
  <c r="F8" i="45"/>
  <c r="N10" i="38" l="1"/>
  <c r="K10" i="38"/>
  <c r="B16" i="38"/>
  <c r="B23" i="38"/>
  <c r="O8" i="38" l="1"/>
  <c r="O6" i="38"/>
  <c r="O4" i="38"/>
  <c r="G82" i="36" l="1"/>
  <c r="F82" i="36"/>
  <c r="F63" i="36" l="1"/>
  <c r="F139" i="36" l="1"/>
  <c r="G139" i="36"/>
  <c r="F127" i="36"/>
  <c r="G118" i="36"/>
  <c r="F102" i="36"/>
  <c r="F47" i="36"/>
  <c r="G34" i="36"/>
  <c r="F27" i="36"/>
  <c r="F34" i="36" s="1"/>
  <c r="F114" i="36"/>
  <c r="F118" i="36" s="1"/>
  <c r="G63" i="36"/>
  <c r="G14" i="36"/>
  <c r="G47" i="36"/>
  <c r="F14" i="36"/>
  <c r="G102" i="36" l="1"/>
  <c r="G127" i="36"/>
  <c r="K8" i="34" l="1"/>
  <c r="J8" i="34"/>
  <c r="I8" i="34"/>
  <c r="H8" i="34"/>
  <c r="G8" i="34"/>
  <c r="J92" i="34"/>
  <c r="J87" i="34" l="1"/>
  <c r="AB2" i="93" l="1"/>
  <c r="Z2" i="93" l="1"/>
</calcChain>
</file>

<file path=xl/sharedStrings.xml><?xml version="1.0" encoding="utf-8"?>
<sst xmlns="http://schemas.openxmlformats.org/spreadsheetml/2006/main" count="7042" uniqueCount="1893">
  <si>
    <t>ANO</t>
  </si>
  <si>
    <t>LÍDER</t>
  </si>
  <si>
    <t>DATA 
CONCLUSÃO</t>
  </si>
  <si>
    <t>NOME PROJETO</t>
  </si>
  <si>
    <t>A</t>
  </si>
  <si>
    <t>OK</t>
  </si>
  <si>
    <t>COMENTÁRIO STATUS</t>
  </si>
  <si>
    <t>New</t>
  </si>
  <si>
    <t>Carryover</t>
  </si>
  <si>
    <t>AME - REGIONAL ADJUSTMENT</t>
  </si>
  <si>
    <t>PCI IN (8) ROGERS MECHANICAL PRESSES</t>
  </si>
  <si>
    <t>LCP-160092</t>
  </si>
  <si>
    <t>STEAM COGEN</t>
  </si>
  <si>
    <t>LCP-160138</t>
  </si>
  <si>
    <t>LCP-160208</t>
  </si>
  <si>
    <t>FLEXCORD SENSOR DETECTOR UPGRADE</t>
  </si>
  <si>
    <t>LCP-170013</t>
  </si>
  <si>
    <t>ADEQUATION OF NR#12 COMPLIANCE PHASE III</t>
  </si>
  <si>
    <t>LCP-170039</t>
  </si>
  <si>
    <t>GREEN TIRE DEBOOKER FOR MRT PRESSES</t>
  </si>
  <si>
    <t>LCP-170065</t>
  </si>
  <si>
    <t>AME - ARTICULATED DRUM TIRE 20,5" GREADER LRF AND OTR LAMINATOR</t>
  </si>
  <si>
    <t>LCP-170069</t>
  </si>
  <si>
    <t>REPLACE AND UPGRADE OF ROLLS IN WIRE CALANDER</t>
  </si>
  <si>
    <t>LCP-170077</t>
  </si>
  <si>
    <t>AMERICANA WIND UP LET OFF PHASE III</t>
  </si>
  <si>
    <t>LCP-170099</t>
  </si>
  <si>
    <t>FAM PRODUCTIVITY PROJECTS</t>
  </si>
  <si>
    <t>LCP-170107</t>
  </si>
  <si>
    <t>WIRE CAL AUTOMATIC WIND UP &amp; CUTE IN ANGLE</t>
  </si>
  <si>
    <t>LCP-170118</t>
  </si>
  <si>
    <t>RET - THERMAL OIL BOILER</t>
  </si>
  <si>
    <t>LCP-170154</t>
  </si>
  <si>
    <t>BRZ - AVCB NEW WAREHOUSE-BUILDING COMMERCIAL</t>
  </si>
  <si>
    <t>LCP-170159</t>
  </si>
  <si>
    <t>AME - SEPARATED INNERLINER NEST#18 &amp; #20</t>
  </si>
  <si>
    <t>LCP-170161</t>
  </si>
  <si>
    <t>AME WAREHOUSE MANAGEMENT SYSTEM UPGRADE</t>
  </si>
  <si>
    <t>LCP-170170</t>
  </si>
  <si>
    <t>AME - R1 MACHINE STITCHER UPGRADE</t>
  </si>
  <si>
    <t>LCP-170194</t>
  </si>
  <si>
    <t>UPG MOUNTING LINE FOR MQB - ANCHIETA</t>
  </si>
  <si>
    <t>LCP-170210</t>
  </si>
  <si>
    <t>CURING EXHAUST SYSTEM - FSP</t>
  </si>
  <si>
    <t>LCP-180002</t>
  </si>
  <si>
    <t>FAM AVCB PHASE II EMERGENCY LIGHTINING AND ALARMS</t>
  </si>
  <si>
    <t>LCP-180003</t>
  </si>
  <si>
    <t>GEM PROJECT EMC GRAVATAÍ</t>
  </si>
  <si>
    <t>LCP-180005</t>
  </si>
  <si>
    <t>QUICK CHANGE OVER NGTTS#3</t>
  </si>
  <si>
    <t>LCP-180009</t>
  </si>
  <si>
    <t>VOC REDUCTION IN APEX APLIER</t>
  </si>
  <si>
    <t>LCP-180010</t>
  </si>
  <si>
    <t>(3) NEW 52 HYDRAULIC CONSUMER PRESSES</t>
  </si>
  <si>
    <t>LCP-180011</t>
  </si>
  <si>
    <t>IMPROVEMENT OF EXHAUST COMMERCIAL FINAL FINISH AREA</t>
  </si>
  <si>
    <t>LCP-180013</t>
  </si>
  <si>
    <t>MIXER#2 BODY REPLACEMENT</t>
  </si>
  <si>
    <t>LCP-180014</t>
  </si>
  <si>
    <t>SEMI AUTOMATIC BEAD STAPLER</t>
  </si>
  <si>
    <t>LCP-180015</t>
  </si>
  <si>
    <t>UPGRADE OF DRIVES NRM#2 - CAL4R#2</t>
  </si>
  <si>
    <t>LCP-180080</t>
  </si>
  <si>
    <t>COMMERCIAL TIRE BUILDING MACHINE</t>
  </si>
  <si>
    <t>LCP-180056</t>
  </si>
  <si>
    <t>AME- Cement house cointaiment area</t>
  </si>
  <si>
    <t>LCP-180104</t>
  </si>
  <si>
    <t>AME - FVM GRINDERS AUTOMATION</t>
  </si>
  <si>
    <t>LCP-180043</t>
  </si>
  <si>
    <t>AME - REPLACEMENT OF HOTFORMER CHILLER</t>
  </si>
  <si>
    <t>LCP-180115</t>
  </si>
  <si>
    <t>AME - CLOSED WATER SYSTEM - MIXERS SUBSTATIONS</t>
  </si>
  <si>
    <t>LCP-180019</t>
  </si>
  <si>
    <t>AME - ANNUAL MISCELANEOUS &lt;50K ALL PLANTS</t>
  </si>
  <si>
    <t>LCP-180049</t>
  </si>
  <si>
    <t>AME - UPG PLC OF BB#3</t>
  </si>
  <si>
    <t>LCP-190020</t>
  </si>
  <si>
    <t>AME - ROBOT FOR BEAD WINDER</t>
  </si>
  <si>
    <t>LCP-180095</t>
  </si>
  <si>
    <t>AME - METAL DETECTOR IN CALANDERS (FORD PROJECT)</t>
  </si>
  <si>
    <t>LCP-180051</t>
  </si>
  <si>
    <t>BRZ - FAM WH Loading Docks Adequacy - 5 Remaining Equipments</t>
  </si>
  <si>
    <t>LCP-180205</t>
  </si>
  <si>
    <t>SORTER B2 - MRT TIRES ADEQUACY</t>
  </si>
  <si>
    <t>LCP-180163</t>
  </si>
  <si>
    <t>2018 MISCELLANEOUS PROJECT TO MC PLANTs</t>
  </si>
  <si>
    <t>LCP-180155</t>
  </si>
  <si>
    <t>SAO - NR12 PROJECT</t>
  </si>
  <si>
    <t>LCP-180117</t>
  </si>
  <si>
    <t>SAO - NEW ORBITREAD MACHINE</t>
  </si>
  <si>
    <t>LCP-180150</t>
  </si>
  <si>
    <t>SAO - SHEROGRAPHY UPGRADE (OBSEOLESCENCE AND SOFTWARE)</t>
  </si>
  <si>
    <t>LCP-180108</t>
  </si>
  <si>
    <t>RET - ADEQ. OF NR17 &amp; NR12</t>
  </si>
  <si>
    <t>LCP-180090</t>
  </si>
  <si>
    <t>RET - UPGRADE DRIVE GV3000 TO POWERFLEX EXTRUDER</t>
  </si>
  <si>
    <t>LCP-180101</t>
  </si>
  <si>
    <t>RET - ANNUAL MISCELLANEOUS &lt;50K ALL PLANTS</t>
  </si>
  <si>
    <t>AME - CAPITALIZED INTEREST</t>
  </si>
  <si>
    <t>LCP-180111</t>
  </si>
  <si>
    <t>REG - LAPG VDA FIRE PROTECTION LINE</t>
  </si>
  <si>
    <t>LCP-180078</t>
  </si>
  <si>
    <t>BRZ - FAM WH Security Control (Control System &amp; Cameras)</t>
  </si>
  <si>
    <t>LCP-180082</t>
  </si>
  <si>
    <t>NEW RUBBER PROCESS ANALYZER (RPA)</t>
  </si>
  <si>
    <t>LCP-180081</t>
  </si>
  <si>
    <t>GEM PROJECT SÃO CAETANO DO SUL</t>
  </si>
  <si>
    <t>LCP-180018</t>
  </si>
  <si>
    <t>AUTOMATIC BARCODE READER - FF CONSUMER</t>
  </si>
  <si>
    <t>LCP-180088</t>
  </si>
  <si>
    <t>UPGRADE OF CURING WEB APPLICATION</t>
  </si>
  <si>
    <t>LCP-180097</t>
  </si>
  <si>
    <t>UPGRADE FACKTOR LINK/ GML D#4</t>
  </si>
  <si>
    <t>LCP-180113</t>
  </si>
  <si>
    <t>LCP-180114</t>
  </si>
  <si>
    <t>LAMINATOR PROFILE AUTOMATION</t>
  </si>
  <si>
    <t>LCP-180116</t>
  </si>
  <si>
    <t>HVAC – CENTRAL OFFICE</t>
  </si>
  <si>
    <t>LCP-180137</t>
  </si>
  <si>
    <t>(10) VDF PANEL INSTALLATION</t>
  </si>
  <si>
    <t>LCP-180139</t>
  </si>
  <si>
    <t>POWER HOUSE STEAM TURBINE</t>
  </si>
  <si>
    <t>LCP-180157</t>
  </si>
  <si>
    <t>FIRE FIGHTING SYSTEM BUILDING 76</t>
  </si>
  <si>
    <t>LCP-180142</t>
  </si>
  <si>
    <t>ADEQUACY OF NR#12 COMPLIANCE - PHASE IV</t>
  </si>
  <si>
    <t>LCP-180149</t>
  </si>
  <si>
    <t>EXHAUST SYSTEM - LINES A/B &amp; G/H CONSUMER PRESSES</t>
  </si>
  <si>
    <t>LCP-180174</t>
  </si>
  <si>
    <t>METAL DETECTOR IN EXTRUDERS</t>
  </si>
  <si>
    <t>LCP-180177</t>
  </si>
  <si>
    <t>NEW DUCTS TO COMMERCIAL CURING AREA</t>
  </si>
  <si>
    <t>LCP-180178</t>
  </si>
  <si>
    <t>WIND UP LET OFF NGTTS#5 &amp; #8</t>
  </si>
  <si>
    <t>LCP-180179</t>
  </si>
  <si>
    <t>UPG DRIVES &amp; CONTROLS – CAL3R</t>
  </si>
  <si>
    <t>LCP-180180</t>
  </si>
  <si>
    <t>ANCHOR SYSTEM &amp; SAFETY LINE - PHASE II</t>
  </si>
  <si>
    <t>LCP-190011</t>
  </si>
  <si>
    <t>QCO - MOTHER ROLL CALEMARD</t>
  </si>
  <si>
    <t>LCP-190004</t>
  </si>
  <si>
    <t>DRIVE OVER READER BERTOLINI</t>
  </si>
  <si>
    <t>AME- (1) BALANCE MACHINE MARKER (DOWN SIDE)</t>
  </si>
  <si>
    <t>LCP-190006</t>
  </si>
  <si>
    <t>EDGE STRIP KNIFE FOR PLY CUTTER</t>
  </si>
  <si>
    <t>LCP-190019</t>
  </si>
  <si>
    <t>LCP-190047</t>
  </si>
  <si>
    <t>SAO - ANNUAL MISCELLANEOUS  &lt;50K ALL PLANTS</t>
  </si>
  <si>
    <t>LCP-190025</t>
  </si>
  <si>
    <t>BRZ - WAREHOUSE SAFETY IMPROVEMENTS - AM PLANT</t>
  </si>
  <si>
    <t>LCP-190085</t>
  </si>
  <si>
    <t xml:space="preserve">BRZ - BLUE RACKS FOR CONSUMER TIRES </t>
  </si>
  <si>
    <t>LCP-190068</t>
  </si>
  <si>
    <t>MC Geral - Miscelanius Quartely</t>
  </si>
  <si>
    <t>LCP-190057</t>
  </si>
  <si>
    <t>AME - UP GRADE EXTRUSORA Q5 ( AUTOMAX ) PHASE 2</t>
  </si>
  <si>
    <t>LCP-190061</t>
  </si>
  <si>
    <t>SECURITY IMPROVEMENT IN (8) APEX APPLIER - NGTTS</t>
  </si>
  <si>
    <t>LCP-190069</t>
  </si>
  <si>
    <t>WAREHOUSE MANAGEMENT CONTROL</t>
  </si>
  <si>
    <t>LCP-190086</t>
  </si>
  <si>
    <t>PHYSICAL LAYOUT REVIEW</t>
  </si>
  <si>
    <t>LCP-190066</t>
  </si>
  <si>
    <t>REPLACEMENT OF BARREL AND SCREW - Q#5</t>
  </si>
  <si>
    <t>LCP-190089</t>
  </si>
  <si>
    <t>AME - X-ray B upgrade</t>
  </si>
  <si>
    <t>LCP-190078</t>
  </si>
  <si>
    <t>REPLACEMENT OF ROLLS CAL3R</t>
  </si>
  <si>
    <t>LCP-190092</t>
  </si>
  <si>
    <t>SHIPMENT SAFETY IMPROVEMENT</t>
  </si>
  <si>
    <t>LCP-190120</t>
  </si>
  <si>
    <t>CAP-PROT.SYST.RETROFITTING-MAIN SUBSTATI</t>
  </si>
  <si>
    <t>LCP-190117</t>
  </si>
  <si>
    <t>CAP-X-RAY GREEN POINT MARKER</t>
  </si>
  <si>
    <t>LCP-190129</t>
  </si>
  <si>
    <t>AME</t>
  </si>
  <si>
    <t>RET</t>
  </si>
  <si>
    <t>BRZ</t>
  </si>
  <si>
    <t>MC</t>
  </si>
  <si>
    <t>SAO</t>
  </si>
  <si>
    <t>Facilities Sustaining</t>
  </si>
  <si>
    <t>Quality - Improvement</t>
  </si>
  <si>
    <t>Capability</t>
  </si>
  <si>
    <t>Quality - Cost Savings</t>
  </si>
  <si>
    <t>Energy Conservation</t>
  </si>
  <si>
    <t>EHS</t>
  </si>
  <si>
    <t>Productivity</t>
  </si>
  <si>
    <t>SAG</t>
  </si>
  <si>
    <t>IT</t>
  </si>
  <si>
    <t>PROJECT TYPE</t>
  </si>
  <si>
    <t xml:space="preserve">New
C/O </t>
  </si>
  <si>
    <t>NUM. PROJETO</t>
  </si>
  <si>
    <t>PLANTA</t>
  </si>
  <si>
    <t>N.</t>
  </si>
  <si>
    <t>TECO</t>
  </si>
  <si>
    <t>PROJETO CANCELADO</t>
  </si>
  <si>
    <t>OK, FINALIZADO</t>
  </si>
  <si>
    <t>MOLD CLEAN S.B.O</t>
  </si>
  <si>
    <t>LCP-190143</t>
  </si>
  <si>
    <t>NEW OIL LINE SYDININI</t>
  </si>
  <si>
    <t>LCP-190142</t>
  </si>
  <si>
    <t>WIRE CALENDER EDGE TRIMMING DEVICE</t>
  </si>
  <si>
    <t>LCP-190144</t>
  </si>
  <si>
    <t>WHEEL PULSE TRANSDUCERS - CWPTA</t>
  </si>
  <si>
    <t>LCP-190138</t>
  </si>
  <si>
    <t>LCP-190140</t>
  </si>
  <si>
    <t>UPGRADE RING 18" CUV IN MC ANCHIETA</t>
  </si>
  <si>
    <t>LCP-190132</t>
  </si>
  <si>
    <t>VEHICLE DYNAMICS AREA (VDA) REPAVING</t>
  </si>
  <si>
    <t>LCP-190149</t>
  </si>
  <si>
    <t>B1 - UPGRADE HMI HF PLT2</t>
  </si>
  <si>
    <t>LCP-190151</t>
  </si>
  <si>
    <t>METAL DETECTOR IN APEXER (NAKATA)</t>
  </si>
  <si>
    <t>B1 - UPGRADE PC-ETMS BALANCE AND FVM MACHINE</t>
  </si>
  <si>
    <t>LCP-190150</t>
  </si>
  <si>
    <t>TOTAL 2020</t>
  </si>
  <si>
    <t>BUDGET CANCELADO</t>
  </si>
  <si>
    <t>CLSD</t>
  </si>
  <si>
    <t>EM EXECUÇÃO</t>
  </si>
  <si>
    <t>DIVISÃO</t>
  </si>
  <si>
    <t>FIRE FIGHTING SYSTEM BUILDING 75</t>
  </si>
  <si>
    <t>B2</t>
  </si>
  <si>
    <t>STAFF</t>
  </si>
  <si>
    <t>B1</t>
  </si>
  <si>
    <t>TRANSFER O'RING NGTT'S #01,02,04,05 AND 06</t>
  </si>
  <si>
    <t>LCP-190157</t>
  </si>
  <si>
    <t>LCP-190159</t>
  </si>
  <si>
    <t>PROJETO CANCELADO, SERÁ USADO O BUDGET EM OUTRO PROJETO USD20K</t>
  </si>
  <si>
    <t>Capital</t>
  </si>
  <si>
    <t>Expenses</t>
  </si>
  <si>
    <t>WIRE CALENDER WIGWAG FEED CONVEYOR</t>
  </si>
  <si>
    <t>DOR PROJECT IC TRANSPORTS</t>
  </si>
  <si>
    <t>LCP-190173</t>
  </si>
  <si>
    <t>REPLACE AND UPGRADE OF ROLLS IN WIRE CALENDER</t>
  </si>
  <si>
    <t>LCP-190178</t>
  </si>
  <si>
    <t>LCP-190184</t>
  </si>
  <si>
    <t>LCP-190186</t>
  </si>
  <si>
    <t>CORSAIR Project</t>
  </si>
  <si>
    <t>LCP-190187</t>
  </si>
  <si>
    <t>LCP-190188</t>
  </si>
  <si>
    <t>GUM CAL#01 ROLL REPLACEMENT</t>
  </si>
  <si>
    <t>LCP-190179</t>
  </si>
  <si>
    <t>AME-REPL &amp; UPG OF ROLLS IN CAL3R</t>
  </si>
  <si>
    <t>AME-REPL &amp; UPG OF ROLLS IN CAL4R1</t>
  </si>
  <si>
    <t>AME-REPL &amp; UPG OF ROLLS IN CAL4R2</t>
  </si>
  <si>
    <t>REPLACEMENT OF LINNER AND SCREW  EXTRUDER MIXER#01</t>
  </si>
  <si>
    <t>LCP-190198</t>
  </si>
  <si>
    <t>MOBILE DOCK LEVELER FOR NEW WAREHOUSE</t>
  </si>
  <si>
    <t>LCP-190199</t>
  </si>
  <si>
    <t>(02) TRANSFER ORING NGTTS &amp; MONO CUTTER IN ANGLE</t>
  </si>
  <si>
    <t>BUDGET CANCELADO, SUBSTITUIDO PELO LCP-190190</t>
  </si>
  <si>
    <t>LCP-190202</t>
  </si>
  <si>
    <t>MIXER#6 BODY REPLACEMENT</t>
  </si>
  <si>
    <t>SAFETY SYSTEM  RIVER PUMP AREA</t>
  </si>
  <si>
    <t>LCP-190203</t>
  </si>
  <si>
    <t>LCP-190204</t>
  </si>
  <si>
    <t>INFLATION TESTING MACHINE</t>
  </si>
  <si>
    <t>LCP-190208</t>
  </si>
  <si>
    <t>CONTOUR CORRECTION MACHINE</t>
  </si>
  <si>
    <t>ALPHA SHEAR LETOFF TREATMENT</t>
  </si>
  <si>
    <t>LCP-190213</t>
  </si>
  <si>
    <t>LCP-200001</t>
  </si>
  <si>
    <t>LCP-190215</t>
  </si>
  <si>
    <t>ADDITIONAL DS3 BEAD CHUCK</t>
  </si>
  <si>
    <t>BLUE RACKS FOR MRT TIRES</t>
  </si>
  <si>
    <t>-</t>
  </si>
  <si>
    <t>LCP-190225</t>
  </si>
  <si>
    <t>LCP-190228</t>
  </si>
  <si>
    <t>LCP-190229</t>
  </si>
  <si>
    <t>UPGRADE PANELVIEW MRT CURING PRESS</t>
  </si>
  <si>
    <t>UPGRADE TYLOR SYSTEM IN MRT CURING PRESSES</t>
  </si>
  <si>
    <t>UPGRADE (54) RTD CARD CONSUMER CURING PRESSES</t>
  </si>
  <si>
    <t>LCP-190227</t>
  </si>
  <si>
    <t>LCP-190231</t>
  </si>
  <si>
    <t>HOTFORMER UPGRADE LINNER AND SCREW</t>
  </si>
  <si>
    <t>NEW CARS BEAR TRAP FOR CONSUMER TIRES</t>
  </si>
  <si>
    <t>LCP-190232</t>
  </si>
  <si>
    <t>UPGRADE LASER MARKER TIRE BUILD MACHINE</t>
  </si>
  <si>
    <t>LCP-190233</t>
  </si>
  <si>
    <t>UPGRADE OF CUSHION DRIVES IN DUPLEX</t>
  </si>
  <si>
    <t>LCP-190234</t>
  </si>
  <si>
    <t>UPGRADE OF CUSHION MILL DRIVES</t>
  </si>
  <si>
    <t>LCP-190235</t>
  </si>
  <si>
    <t>UPGRADE OF LINNER AND SCREW EXTRUDER MIXER#1</t>
  </si>
  <si>
    <t>LCP-190237</t>
  </si>
  <si>
    <t xml:space="preserve"> UPGRADE OF MIXER#5 EXTRUDER DRIVES</t>
  </si>
  <si>
    <t>LCP-190238</t>
  </si>
  <si>
    <t>LCP-190239</t>
  </si>
  <si>
    <t>UPGRADE PANELVIEW TIRE BUILD MACHINE</t>
  </si>
  <si>
    <t>PCI IN (6) ROGERS MECHANICAL PRESSES</t>
  </si>
  <si>
    <t>LCP-200008</t>
  </si>
  <si>
    <t>LCP-200009</t>
  </si>
  <si>
    <t>LCP-200011</t>
  </si>
  <si>
    <t xml:space="preserve">UMBRELLA PROJECT CONTROL MAX 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</si>
  <si>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</si>
  <si>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</si>
  <si>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</si>
  <si>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</si>
  <si>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</si>
  <si>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</si>
  <si>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</si>
  <si>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</si>
  <si>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</si>
  <si>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</si>
  <si>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</si>
  <si>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</si>
  <si>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
INVEST.</t>
  </si>
  <si>
    <t>DATA DE LIBERAÇÃO</t>
  </si>
  <si>
    <t>LCP-200023</t>
  </si>
  <si>
    <t>UPGRADE KOKUSAI #01</t>
  </si>
  <si>
    <t>LCP-200026</t>
  </si>
  <si>
    <t>AME-MISCELANEOUS QUARTELY 2020</t>
  </si>
  <si>
    <t>REPLACE OF ROLLS IN HOTFORMER</t>
  </si>
  <si>
    <t>REPLACEMENT OF RING IN KOKUSAI</t>
  </si>
  <si>
    <t>LCP-200028</t>
  </si>
  <si>
    <t>Quality</t>
  </si>
  <si>
    <t>LCP-200037</t>
  </si>
  <si>
    <t>LCP-190251</t>
  </si>
  <si>
    <t>LCP-200030</t>
  </si>
  <si>
    <t>REPL OF ACCELERATOR TUBE - EBP SYSTEM FOR CAL3R</t>
  </si>
  <si>
    <t>Data Encerramento (politica 12 meses)</t>
  </si>
  <si>
    <t>ESTUDO ADEQ. CARGA/POTENCIA CM EPIACABA</t>
  </si>
  <si>
    <t>EEX-200001-00-02</t>
  </si>
  <si>
    <t>APRECIAÇÃO DE RISCO NR12</t>
  </si>
  <si>
    <t>EEX-200001-00-03</t>
  </si>
  <si>
    <t>ESTUDO VIABILIDADE SISTEMA FIO SOLTO</t>
  </si>
  <si>
    <t>EEX-200001-00-04</t>
  </si>
  <si>
    <t>ESTUDO VIABILIDADE SISTEMA DAMI K7</t>
  </si>
  <si>
    <t>EEX-200001-00-05</t>
  </si>
  <si>
    <t>LICENÇA DE OPERAÇÃO CETESB (2) VMI &amp; NAKATA</t>
  </si>
  <si>
    <t>BUDGET CANCELADO: DECISÃO FOI NÃO COMPRAR MAIS OS RACKS MRT</t>
  </si>
  <si>
    <t>MIXER#7 BODY REPLACEMENT</t>
  </si>
  <si>
    <t>LCP-200053</t>
  </si>
  <si>
    <t>TOTAL 2021</t>
  </si>
  <si>
    <t>AME - Bijinic Tank</t>
  </si>
  <si>
    <t>ADEQ. PROT. ESTEIRA INFERIOR FF B2</t>
  </si>
  <si>
    <t>LCP-200026-03</t>
  </si>
  <si>
    <t>LCP-200026-04</t>
  </si>
  <si>
    <t>HOTFORMER UPG LINNER AND SCREW STATIONS #04</t>
  </si>
  <si>
    <t>LCP-200076</t>
  </si>
  <si>
    <t>LCP-200077</t>
  </si>
  <si>
    <t xml:space="preserve">AME-CAMERAS INSTALLATION  </t>
  </si>
  <si>
    <t>AME-BATHROOM ADEQUATION FAM NR24</t>
  </si>
  <si>
    <t>UPG MÁQ. GIRAR TAMBOR OTR</t>
  </si>
  <si>
    <t>PROLONGAR PLATAFORMA RETIRADA ENRROSCO NGTTS</t>
  </si>
  <si>
    <t>UPG TROCADOR CALOR PORÃO OTR</t>
  </si>
  <si>
    <t>ADEQ. SIST. ATERRAMENTO PIT STOPS</t>
  </si>
  <si>
    <t>CTI-006-04-00028 - CALENDER ROLL CRASH PROTECTION</t>
  </si>
  <si>
    <t>RETROFIT IHM COMPRESSOR CENTAC #14</t>
  </si>
  <si>
    <t>LCP-200026-06</t>
  </si>
  <si>
    <t>LCP-200026-07</t>
  </si>
  <si>
    <t>LCP-200026-08</t>
  </si>
  <si>
    <t>LCP-200026-09</t>
  </si>
  <si>
    <t>LCP-200026-10</t>
  </si>
  <si>
    <t>LCP-200026-13</t>
  </si>
  <si>
    <t>LCP-200026-18</t>
  </si>
  <si>
    <t>LCP-200026-20</t>
  </si>
  <si>
    <t>EEX-200001-00-06</t>
  </si>
  <si>
    <t>EST. VIAB. EFICIENCIA ENERGETICA RED. CONSUMO VAPOR</t>
  </si>
  <si>
    <t>EEX-200001-00-07</t>
  </si>
  <si>
    <t>EEX-200001-00-08</t>
  </si>
  <si>
    <t>EEX-200001-00-09</t>
  </si>
  <si>
    <t>EEX-200001-00-10</t>
  </si>
  <si>
    <t>EEX-200001-00-11</t>
  </si>
  <si>
    <t>EEX-200001-00-12</t>
  </si>
  <si>
    <t>EEX-200001-00-13</t>
  </si>
  <si>
    <t>EEX-200001-00-14</t>
  </si>
  <si>
    <t>EEX-200001-00-15</t>
  </si>
  <si>
    <t>EST. VIAB. OTIM. TERMICA DOS PAINEIS ELETRICOS FF B1 E TBM</t>
  </si>
  <si>
    <t>EST. VIAB. SIST. PRESSUR. HID. 2400 LBS PRENSAS OTR</t>
  </si>
  <si>
    <t>EST. VIAB. MAQUINA TAMBOR OTR</t>
  </si>
  <si>
    <t xml:space="preserve">READEQUAÇÃO CECOM CALANDRA Z </t>
  </si>
  <si>
    <t>RELOCAR RACK DA FISCHER PARA AREA DE FITINHA</t>
  </si>
  <si>
    <t>RELOCAR SECADOR AR SALA PÓ MIXER #07 PARA AREA EXTERNA</t>
  </si>
  <si>
    <t>ESTUDO SEL. CARGA/POT SEF#901 - CUB#05</t>
  </si>
  <si>
    <t>RELOCAR BANCADA MANUT. VULC.B1 PARA FRENTE AS PRENSAS</t>
  </si>
  <si>
    <t>AME-METAL DETECTOR IN CAL 4R2</t>
  </si>
  <si>
    <t>LCP-XXXXXX</t>
  </si>
  <si>
    <t>P.O</t>
  </si>
  <si>
    <t>Gasto 2020    (Jan-Abr)</t>
  </si>
  <si>
    <t>Previsão Gasto     (Maio-Dez)</t>
  </si>
  <si>
    <t>Plano Corte 2020</t>
  </si>
  <si>
    <t>Impossivel Parar</t>
  </si>
  <si>
    <t>Equipment should arrive in Aug/20</t>
  </si>
  <si>
    <t>Equipment Obsolete, high risk of failure</t>
  </si>
  <si>
    <t>Necessary finalize the start-up</t>
  </si>
  <si>
    <t>Equipment should arrive in Oct/20, to be Installed in 2021</t>
  </si>
  <si>
    <t>Equipment should arrive on Oct/20, to be Installed in 2021</t>
  </si>
  <si>
    <t>Equipment should arrive on Jul/20, to be Installed in 2021</t>
  </si>
  <si>
    <t>Equipment should arrive in Nov/20, to be Installed in 2021</t>
  </si>
  <si>
    <t>Strategic project to business</t>
  </si>
  <si>
    <t>Manipulator / Paletization / False Truck / Whell grease application</t>
  </si>
  <si>
    <t>Equipment should arrive on Nov/20, to be Installed in 2021</t>
  </si>
  <si>
    <t>Equipment delivered, to be installed in 2021</t>
  </si>
  <si>
    <t>Condition is high critical (detachment of chamber) in the next week will be check again. If necessary the body delivery in this year, the total cost = $1.1MM (&gt;$800)</t>
  </si>
  <si>
    <t>Equipment should arrive on Jun/20, to be Installed in 2021</t>
  </si>
  <si>
    <t>All works in primary substation will be executed in 2021</t>
  </si>
  <si>
    <t>Necessary finalize to Cetesb Requirement</t>
  </si>
  <si>
    <t>Ford Healthy Chart</t>
  </si>
  <si>
    <t>CTI Requirement</t>
  </si>
  <si>
    <t>Liability</t>
  </si>
  <si>
    <t>Equipment should arrive on May/20</t>
  </si>
  <si>
    <t>Brazilian law (NR35)</t>
  </si>
  <si>
    <t>Equipment should arrive on Jul/20</t>
  </si>
  <si>
    <t>Out off spec - Comply with global standard GMS</t>
  </si>
  <si>
    <t>Fiat Requirement (Tdip Shoulder)</t>
  </si>
  <si>
    <t>Equipment should arrive on May/20, to be Installed in 2021</t>
  </si>
  <si>
    <t>Property Security</t>
  </si>
  <si>
    <t>CATEGORY</t>
  </si>
  <si>
    <t>X</t>
  </si>
  <si>
    <t>Y</t>
  </si>
  <si>
    <t>Corsair/VDA/ARO 18</t>
  </si>
  <si>
    <t>SOBRA</t>
  </si>
  <si>
    <t>Imported Equipment should arrive on May/20, to be Installed in 2021</t>
  </si>
  <si>
    <t>Final costs to be transfer (Akron), Mechanical Drum should arrive Oct/20</t>
  </si>
  <si>
    <t>Finance</t>
  </si>
  <si>
    <t>Start-up</t>
  </si>
  <si>
    <t>Exception sheet (+18 Month)</t>
  </si>
  <si>
    <t>Compliance</t>
  </si>
  <si>
    <t>Fire Protection</t>
  </si>
  <si>
    <t>Energy Saving</t>
  </si>
  <si>
    <t>EHS/PRODUCTIVITY/REALIBILITY</t>
  </si>
  <si>
    <t>VW</t>
  </si>
  <si>
    <t xml:space="preserve">Supplier Agreement </t>
  </si>
  <si>
    <t>Waste results</t>
  </si>
  <si>
    <t>Lack of MRT Capacity</t>
  </si>
  <si>
    <t>Lack of Mixers Capacity</t>
  </si>
  <si>
    <t>Cost Reduction from over weight tire</t>
  </si>
  <si>
    <t>Finalize manipulator to attend production cycle and AVCB Requirement</t>
  </si>
  <si>
    <t>Production and permits</t>
  </si>
  <si>
    <t>Project Strategy Business</t>
  </si>
  <si>
    <t>Cetesb Requirement</t>
  </si>
  <si>
    <t>GM</t>
  </si>
  <si>
    <t>Lack of aviation capacity</t>
  </si>
  <si>
    <t>lack of consumer capacity</t>
  </si>
  <si>
    <t>lack of WH capacity</t>
  </si>
  <si>
    <t>Safety deliveries</t>
  </si>
  <si>
    <t>Compensation Saving</t>
  </si>
  <si>
    <t>Ford Requirement to attendance until end of 2020</t>
  </si>
  <si>
    <t>Qualiy saving</t>
  </si>
  <si>
    <t>VW requirement to attendance until end of 2020</t>
  </si>
  <si>
    <t>VW requirement</t>
  </si>
  <si>
    <t xml:space="preserve">Quality </t>
  </si>
  <si>
    <t>Without expenses in 2020</t>
  </si>
  <si>
    <t>Budget
Total</t>
  </si>
  <si>
    <r>
      <rPr>
        <sz val="28"/>
        <color theme="1"/>
        <rFont val="Franklin Gothic Heavy"/>
        <family val="2"/>
      </rPr>
      <t>CAPEX PROJECTS 2020</t>
    </r>
    <r>
      <rPr>
        <sz val="36"/>
        <color theme="1"/>
        <rFont val="Franklin Gothic Heavy"/>
        <family val="2"/>
      </rPr>
      <t xml:space="preserve"> </t>
    </r>
    <r>
      <rPr>
        <sz val="18"/>
        <color theme="1"/>
        <rFont val="Franklin Gothic Heavy"/>
        <family val="2"/>
      </rPr>
      <t>($000)</t>
    </r>
  </si>
  <si>
    <t>REGION</t>
  </si>
  <si>
    <t>Region Adjustment</t>
  </si>
  <si>
    <t>Capitalized Interest</t>
  </si>
  <si>
    <t>IMPACT</t>
  </si>
  <si>
    <t>WITH
P.O</t>
  </si>
  <si>
    <t>COMMENTS</t>
  </si>
  <si>
    <t>LCP-200092</t>
  </si>
  <si>
    <t xml:space="preserve">NEW TRUCK FOR CLEANING </t>
  </si>
  <si>
    <t>SYSTEM STATUS SAP</t>
  </si>
  <si>
    <t>COMENTÁRIO STATUS DO PROJETO</t>
  </si>
  <si>
    <t>Data
Abertura</t>
  </si>
  <si>
    <t>Data de
Aprovação
(GBS)</t>
  </si>
  <si>
    <t>Data Encerramento
(TECO - SAP)</t>
  </si>
  <si>
    <t>Ano</t>
  </si>
  <si>
    <t>ENCERRADO</t>
  </si>
  <si>
    <t>REL</t>
  </si>
  <si>
    <t>RESPONSÁVEL</t>
  </si>
  <si>
    <t>AME - STERLINE - SOYBEAN OIL</t>
  </si>
  <si>
    <t>UPGRADE TPMS SYSTEM MC GRAVATAI</t>
  </si>
  <si>
    <t>GENERATION CONTROL SYSTEM - POWER HOUSE ADEQUACY</t>
  </si>
  <si>
    <t>EEX-200001-00-16</t>
  </si>
  <si>
    <t>PROJETO AS-BUILT ZIG ZAG CAL-Z</t>
  </si>
  <si>
    <t>EEX-200001-00-17</t>
  </si>
  <si>
    <t>IDLE ASSETS FAM</t>
  </si>
  <si>
    <t>REGINALDO MARESCHI</t>
  </si>
  <si>
    <t>HUELITON MAGNANI</t>
  </si>
  <si>
    <t>FABIO MORAES</t>
  </si>
  <si>
    <t>CHARLES BARBAN</t>
  </si>
  <si>
    <t>HEDSLEY QUINTAL</t>
  </si>
  <si>
    <t>GUSTAVO PARRAS</t>
  </si>
  <si>
    <t>HENRIQUE CARDOSO</t>
  </si>
  <si>
    <t>DIEGO CASTANHARO</t>
  </si>
  <si>
    <t>RICARDO TEIXEIRA</t>
  </si>
  <si>
    <t>TI</t>
  </si>
  <si>
    <t>DIEGO RAGONHA</t>
  </si>
  <si>
    <t>PATRICIA</t>
  </si>
  <si>
    <t>NUM. DOC APPROVAL</t>
  </si>
  <si>
    <t>AME - UPGRADE DRIVE + MOTOR AC MILL MIXER#3</t>
  </si>
  <si>
    <t>PROJETOS POR ENGENHEIROS</t>
  </si>
  <si>
    <t>CATEGORIA</t>
  </si>
  <si>
    <t>Responsavel</t>
  </si>
  <si>
    <t>LCP</t>
  </si>
  <si>
    <t>Projetos</t>
  </si>
  <si>
    <t>Prev. Termino</t>
  </si>
  <si>
    <t>CAPITAL</t>
  </si>
  <si>
    <t>BARBAN</t>
  </si>
  <si>
    <t>TOTAL</t>
  </si>
  <si>
    <t>CASTANHARO</t>
  </si>
  <si>
    <t>QUARTELY</t>
  </si>
  <si>
    <t>FABIO</t>
  </si>
  <si>
    <t>HENRIQUE</t>
  </si>
  <si>
    <t>MAGNANI</t>
  </si>
  <si>
    <t>PARRAS</t>
  </si>
  <si>
    <t>QUINTAL/REGINALDO</t>
  </si>
  <si>
    <t>RAGONHA/SIA</t>
  </si>
  <si>
    <t>AME-GATE HOUSE IMPROVEMENT</t>
  </si>
  <si>
    <t>LCP-200026-23</t>
  </si>
  <si>
    <t>OUTROS</t>
  </si>
  <si>
    <t>INSTALACAO DE LONADO RESTAURANTE</t>
  </si>
  <si>
    <t>INSTALACAO DE LONADO GOODPLACE</t>
  </si>
  <si>
    <t>INSTALACAO ENFARDADEIRA DEPTO 85</t>
  </si>
  <si>
    <t>RICARDO</t>
  </si>
  <si>
    <t>DIRECT CHARGE</t>
  </si>
  <si>
    <t>ESTUDO ANALISE MUNICIO &amp; PREFEITURA</t>
  </si>
  <si>
    <t>EEX-200001-00-18</t>
  </si>
  <si>
    <t>RELOCAÇÃO CONJ. FACA MOINHO 84 BB#04</t>
  </si>
  <si>
    <t>EEX-200001-00-19</t>
  </si>
  <si>
    <t>BUDGET CANCELADO, REFEITO P/ 02 MAQ. LCP-190159</t>
  </si>
  <si>
    <t>PROJETO CANCELADO - REPROVADO POR FINANÇAS (QUALIDADE ANALISAR O PROJETO)</t>
  </si>
  <si>
    <t>PROJETO CANCELADO - MOTIVO: ABAIXO DE US$ 50K (SEGURADO PELO LANZA)</t>
  </si>
  <si>
    <t>PROJETO CANCELADO
REPROVADO PELA REGIÃO - MAURICIO DENARDO</t>
  </si>
  <si>
    <t>PROJETO CANCELADO
BUDGET REJEITADO POR ELAINE LORENZI, EM 01/11/19</t>
  </si>
  <si>
    <t>PROJETO CANCELADO
MOTIVO: O MATERIAL NÃO CHEGA EM 2019 (NÃO TERA GASTO EM 2019)</t>
  </si>
  <si>
    <t xml:space="preserve">PROJETO CANCELADO
MOTIVO: NÃO TERA GASTO EM 2019  = item abaixo de US$ 5 K </t>
  </si>
  <si>
    <t>PROJETO CANCELADO
MOTIVO: MATERIAL NÃO CHEGA EM 2019 - NÃO TERA GASTO EM 2019</t>
  </si>
  <si>
    <t>PROJETO CANCELADO
CANCELADO DEVIDO AO ALTO TEMPO DE APROVAÇÃO (NÃO INVESTE EM 2019)</t>
  </si>
  <si>
    <t>PROJETO CANCELADO
 REJEITADO POR FINANÇÃO - NÃO É CAPITAL</t>
  </si>
  <si>
    <t>PROJETO CANCELADO
MOTIVO: O VALOR UNITARIO É ABAIXO DE US$ 5K</t>
  </si>
  <si>
    <t>PROJETO CANCELADO
DECISÃO DO TIME DE INOVAÇÀO (PATRICIA) CANCELAMENTO DO PROJETO</t>
  </si>
  <si>
    <t>Relocação de Alimentação de potência do Chiller do BB#07</t>
  </si>
  <si>
    <t>EEX-200001-00-20</t>
  </si>
  <si>
    <t>RELOCAÇÃO DA ALIMENTAÇÃO POTENCIA CHILLER BB#07</t>
  </si>
  <si>
    <t>LCP-200115</t>
  </si>
  <si>
    <t>BT DRUM WYKO UPGRADE</t>
  </si>
  <si>
    <t>LCP-200116</t>
  </si>
  <si>
    <t>PROJETO PRODITIVIDADE B2</t>
  </si>
  <si>
    <t>UPG PLC AUTOMAX EXTRUDER SBO</t>
  </si>
  <si>
    <t>LCP-200117</t>
  </si>
  <si>
    <t>AME - BT DRUM WYKO UPGRADE</t>
  </si>
  <si>
    <t>SBO - UPGRADE PLC AUTOMAX EXTRUDER</t>
  </si>
  <si>
    <t>ANDERSON BASSO</t>
  </si>
  <si>
    <t xml:space="preserve">AME - PRODUCTIVITY MRT </t>
  </si>
  <si>
    <t>LCP-200121</t>
  </si>
  <si>
    <t>LCP-200120</t>
  </si>
  <si>
    <t>LCP-200119</t>
  </si>
  <si>
    <t>REPL MAIN GEARBOX 6” &amp; 10” MRT EXTRUDER</t>
  </si>
  <si>
    <t>REWIND STATIONS MRT  BUILD MACHINES</t>
  </si>
  <si>
    <t>7+5</t>
  </si>
  <si>
    <t>AME - BAMBURIES BATCH-OFF CRANES</t>
  </si>
  <si>
    <t>AME - UPGRADE GENERAL PANEL CURING PRESSES MRT</t>
  </si>
  <si>
    <t>LCP-200131</t>
  </si>
  <si>
    <t>LCP-200130</t>
  </si>
  <si>
    <t>AME - SAFETY UPGRADE BEADWINDER #03</t>
  </si>
  <si>
    <t>LCP-200129</t>
  </si>
  <si>
    <t>LCP-200126</t>
  </si>
  <si>
    <t>LCP-200125</t>
  </si>
  <si>
    <t>LCP-200124</t>
  </si>
  <si>
    <t>CANCELADO</t>
  </si>
  <si>
    <t>LCP-200142</t>
  </si>
  <si>
    <t>UPGRADE XLE#7 AIR COMPRESSOR</t>
  </si>
  <si>
    <t>LCP-200137</t>
  </si>
  <si>
    <t>AUTOMATIC LOADING WIND UP – GUM CALENDER #2</t>
  </si>
  <si>
    <t>LCP-200145</t>
  </si>
  <si>
    <t>BARCODE SYSTEM IN SEQUENCING AREA ANCHIETA</t>
  </si>
  <si>
    <t xml:space="preserve">UPGRADE DRIVE VTW MICRIPOISE BALANCE MACHINE - GRAVATAI </t>
  </si>
  <si>
    <t>UPGRADE MICROPOISE BALANCE MACHINE ANCHIETA</t>
  </si>
  <si>
    <t>8+4</t>
  </si>
  <si>
    <t>1 st Quarter</t>
  </si>
  <si>
    <t>2 st Quarter</t>
  </si>
  <si>
    <t>3 st Quarter</t>
  </si>
  <si>
    <t>4 st Quarter</t>
  </si>
  <si>
    <t>ANUAL</t>
  </si>
  <si>
    <t>6+6</t>
  </si>
  <si>
    <t>RISCOS</t>
  </si>
  <si>
    <t>AKRON MESNAC</t>
  </si>
  <si>
    <t>SHEROGRAFIA</t>
  </si>
  <si>
    <t>RAIO X (VISTO)</t>
  </si>
  <si>
    <t>OFFSET</t>
  </si>
  <si>
    <t>CAL3R</t>
  </si>
  <si>
    <t>CAL4R1</t>
  </si>
  <si>
    <t>CAL4R2</t>
  </si>
  <si>
    <t>GEARBOX 10"</t>
  </si>
  <si>
    <t>Á GASTAR</t>
  </si>
  <si>
    <t>SET-DEZ</t>
  </si>
  <si>
    <t>S.C</t>
  </si>
  <si>
    <t>NEW PROJ.</t>
  </si>
  <si>
    <t>LCP-200149</t>
  </si>
  <si>
    <t>APROVADO</t>
  </si>
  <si>
    <t>RECUSADO</t>
  </si>
  <si>
    <t>SOLICITANTE</t>
  </si>
  <si>
    <t xml:space="preserve">   BUDGET</t>
  </si>
  <si>
    <t xml:space="preserve">   ACTUAL</t>
  </si>
  <si>
    <t xml:space="preserve">  COMM PO</t>
  </si>
  <si>
    <t xml:space="preserve"> COMMITMENT</t>
  </si>
  <si>
    <t xml:space="preserve">  ASSIGNED</t>
  </si>
  <si>
    <t xml:space="preserve">  AVALILABE</t>
  </si>
  <si>
    <t>N/A</t>
  </si>
  <si>
    <t>PO</t>
  </si>
  <si>
    <t>SC</t>
  </si>
  <si>
    <t>COMPRAS</t>
  </si>
  <si>
    <t>PPP</t>
  </si>
  <si>
    <t>SIM</t>
  </si>
  <si>
    <t>VALOR RISK</t>
  </si>
  <si>
    <t>IMPORTAÇÃO</t>
  </si>
  <si>
    <t>FORNECEDOR</t>
  </si>
  <si>
    <t>ENGENHARIA</t>
  </si>
  <si>
    <t>PROJETO</t>
  </si>
  <si>
    <t>DESCRIÇÃO</t>
  </si>
  <si>
    <t>ENGENHEIRO</t>
  </si>
  <si>
    <t>VALOR</t>
  </si>
  <si>
    <t>CAPEX - PLANO DE CONTINGÊNCIA</t>
  </si>
  <si>
    <t>DEADLINE PARA AGIR</t>
  </si>
  <si>
    <t>Imediato - Estoque</t>
  </si>
  <si>
    <t>RISK</t>
  </si>
  <si>
    <t>=</t>
  </si>
  <si>
    <t>NEW FORECAST</t>
  </si>
  <si>
    <t>+</t>
  </si>
  <si>
    <t>CONTINGENCY PLAN</t>
  </si>
  <si>
    <t>NEW TOTAL</t>
  </si>
  <si>
    <t>DASHBOARD - CAPEX RISKS</t>
  </si>
  <si>
    <t>DASHBOARD - COMPARATIVO CENÁRIOS (OTIMISTA vs PESSIMISTA)</t>
  </si>
  <si>
    <t>OTIMISTA (riscos mitigados)</t>
  </si>
  <si>
    <t>PESSIMISTA (riscos não mitigados)</t>
  </si>
  <si>
    <t>QUARTELY - NOVOS PROJETOS</t>
  </si>
  <si>
    <t>PROJETO DAS CAMERAS</t>
  </si>
  <si>
    <t>HUELITON</t>
  </si>
  <si>
    <t>BASSO</t>
  </si>
  <si>
    <t>OFFSETAR COM LCP-200125</t>
  </si>
  <si>
    <t>REQUISITAR - PUXAR</t>
  </si>
  <si>
    <t xml:space="preserve"> 43</t>
  </si>
  <si>
    <t>55</t>
  </si>
  <si>
    <t>MOTOR DO BBY#03</t>
  </si>
  <si>
    <t xml:space="preserve"> 13</t>
  </si>
  <si>
    <t>ANALISE DE RATE</t>
  </si>
  <si>
    <t xml:space="preserve">MASTER PLAN SECURITY AMERICANA PLANT </t>
  </si>
  <si>
    <t>Q1</t>
  </si>
  <si>
    <t>Q2</t>
  </si>
  <si>
    <t>Q3</t>
  </si>
  <si>
    <t>Q4</t>
  </si>
  <si>
    <t>BUDGET</t>
  </si>
  <si>
    <t>ACTUAL</t>
  </si>
  <si>
    <t>LCP-200169</t>
  </si>
  <si>
    <t>UPGRADE PLC5 FISCHER 01</t>
  </si>
  <si>
    <t>ASSIGNED</t>
  </si>
  <si>
    <t>AVAILABLE</t>
  </si>
  <si>
    <t>LCP-200170</t>
  </si>
  <si>
    <t>LCP-200177</t>
  </si>
  <si>
    <t>NEW POWER GENERATOR</t>
  </si>
  <si>
    <t>x1</t>
  </si>
  <si>
    <t>x2</t>
  </si>
  <si>
    <t>ALEXANDRE STOCO</t>
  </si>
  <si>
    <t>ALEXANDRE SANTOS</t>
  </si>
  <si>
    <t>AMERICANA CONSUMER HMC TIRE BUILDING</t>
  </si>
  <si>
    <t>ICP-180009</t>
  </si>
  <si>
    <t>ICP-180013</t>
  </si>
  <si>
    <t>ICP-180031</t>
  </si>
  <si>
    <t>ICP-150042</t>
  </si>
  <si>
    <t>ICP-160008</t>
  </si>
  <si>
    <t>ICP-160011</t>
  </si>
  <si>
    <t>ICP-160022</t>
  </si>
  <si>
    <t>ICP-180015</t>
  </si>
  <si>
    <t>ICP-180044</t>
  </si>
  <si>
    <t>ICP-180053</t>
  </si>
  <si>
    <t>ICP-190027</t>
  </si>
  <si>
    <t>ICP-190047</t>
  </si>
  <si>
    <t>ICP-180007</t>
  </si>
  <si>
    <t>ICP-180020</t>
  </si>
  <si>
    <t>ICP-190053</t>
  </si>
  <si>
    <t>ICP-200001</t>
  </si>
  <si>
    <t>ICP-200008</t>
  </si>
  <si>
    <t>ICP-190041</t>
  </si>
  <si>
    <t>ICP-190002</t>
  </si>
  <si>
    <t>ICP-180041</t>
  </si>
  <si>
    <t>ICP-200023</t>
  </si>
  <si>
    <t>ICP-200024</t>
  </si>
  <si>
    <t>ICP-200037</t>
  </si>
  <si>
    <t>Molds</t>
  </si>
  <si>
    <t>LCP-200185</t>
  </si>
  <si>
    <t>AJUSTE REG / ICP / PROJETO</t>
  </si>
  <si>
    <t>ROGÉRIO SIA</t>
  </si>
  <si>
    <t>ENGINEERING CONTRACTOR’S SHOP STANDARDIZATION</t>
  </si>
  <si>
    <t>LCP-200175</t>
  </si>
  <si>
    <t>RETROFIT–BLUE RACKS FOR CONSUMER TIRES</t>
  </si>
  <si>
    <t>ICP-200043</t>
  </si>
  <si>
    <t>ICP-200033</t>
  </si>
  <si>
    <t>REGIÃO</t>
  </si>
  <si>
    <t>TOTAL 2022
Carryover</t>
  </si>
  <si>
    <t>TECO DATA PREVISTA</t>
  </si>
  <si>
    <t>CAPITALIZAÇÃO DATA PREVISTA</t>
  </si>
  <si>
    <t>COMFORT LANES REPAVING</t>
  </si>
  <si>
    <t>LCP-200159</t>
  </si>
  <si>
    <t>LCP-210022</t>
  </si>
  <si>
    <t>Data Encerramento (politica 18 meses ~ 547 dias)</t>
  </si>
  <si>
    <t>PROJECT RUNNER</t>
  </si>
  <si>
    <t>Data CLOSE (politica 24 meses ~ 730 dias)</t>
  </si>
  <si>
    <t>Data TECO (politica 18 meses ~ 547 dias)</t>
  </si>
  <si>
    <t>Jan
Real</t>
  </si>
  <si>
    <t>Em aprovação</t>
  </si>
  <si>
    <t>REPLACEMENT OF BOTTOM COOLING TANK D#4</t>
  </si>
  <si>
    <t>REPLACEMENT OF THE PRIMARY GEARBOX MIXER#06</t>
  </si>
  <si>
    <t>UPGRADE OF DRIVES BEADWINDER#03</t>
  </si>
  <si>
    <t>UPG AKROSCAN SYSTEM FOR LINES FVM</t>
  </si>
  <si>
    <t>IMPROVEMENT CLIMATIZATION IN THE TBM'S</t>
  </si>
  <si>
    <t>CRTD</t>
  </si>
  <si>
    <t>AME - 2021 MISCELLANEOUS ANNUAL BUDGET</t>
  </si>
  <si>
    <t>WASTEWATER TANK IMPROVEMENT</t>
  </si>
  <si>
    <t>GESTÃO DE PROJETOS CAPEX 2021 ($000)</t>
  </si>
  <si>
    <t>UPPER CONVEYORS UPGRADE – CURING B1</t>
  </si>
  <si>
    <t>LCP-210011</t>
  </si>
  <si>
    <t>LCP-210010</t>
  </si>
  <si>
    <t>LCP-210007</t>
  </si>
  <si>
    <t>FSB - 2021 MISCELLANEOUS ANNUAL BUDGET</t>
  </si>
  <si>
    <t xml:space="preserve">Fev 
Real </t>
  </si>
  <si>
    <t>CREEL ROOM TRANSFER FROM GADSTEN PLANT</t>
  </si>
  <si>
    <t>NUM. HOPPER</t>
  </si>
  <si>
    <t>LCP-210018</t>
  </si>
  <si>
    <t>LCP-210014</t>
  </si>
  <si>
    <t>LCP-210025</t>
  </si>
  <si>
    <t>LCP-210016</t>
  </si>
  <si>
    <t>LCP-210040</t>
  </si>
  <si>
    <t>LCP-210038</t>
  </si>
  <si>
    <t>LCP-210045</t>
  </si>
  <si>
    <t>LCP-210052</t>
  </si>
  <si>
    <t>LCP-210020</t>
  </si>
  <si>
    <t>UPGRADE COOLING SYSTEM BB#4</t>
  </si>
  <si>
    <t>OSEP</t>
  </si>
  <si>
    <t>UPG SISTEMA DE FREIO LET OFF ISO#5</t>
  </si>
  <si>
    <t>NÚMERO NO HOPPER</t>
  </si>
  <si>
    <t>NIP POINT EM ESTEIRAS CTI-055-11-00101</t>
  </si>
  <si>
    <t>JUNIOR BUENO</t>
  </si>
  <si>
    <t>ROBERTO DANEZI</t>
  </si>
  <si>
    <t>BENCHMARK PICKER ROLL - CHILE</t>
  </si>
  <si>
    <t>CELSO COSTA</t>
  </si>
  <si>
    <t>CENTRALIZADOR DE PNEUS ESTEIRAS AÉREAS</t>
  </si>
  <si>
    <t>REINALDO CREN</t>
  </si>
  <si>
    <t>ADEQUAÇÃO DE VESTIÁRIOS E BANHEIROS</t>
  </si>
  <si>
    <t>MARCELO SIQUEIRA</t>
  </si>
  <si>
    <t>RICARDO SEVERNINI</t>
  </si>
  <si>
    <t>TRANSF EXTRUSORA Q6 - CAL4R2 E ESTEIRA NOVA</t>
  </si>
  <si>
    <t>GABRIEL ROMAGNOLO</t>
  </si>
  <si>
    <t>MELHORIAS CARRO DUMMY</t>
  </si>
  <si>
    <t>JOAO DA SILVA</t>
  </si>
  <si>
    <t>SISTEMA DE TRAVAMENTO LOTOTO NR 12</t>
  </si>
  <si>
    <t>LINHA DE SEGURANÇA DA CALZ (CREEL ROOM)</t>
  </si>
  <si>
    <t>WILIAN CANTELLI</t>
  </si>
  <si>
    <t>HOPPER APROVADO</t>
  </si>
  <si>
    <t>LCP-210055</t>
  </si>
  <si>
    <t>Passo atual no Hopper</t>
  </si>
  <si>
    <t>Parado com:</t>
  </si>
  <si>
    <t>INTERFACE GESTÃO MÁQUINA EPI</t>
  </si>
  <si>
    <t>DANILO LEONE</t>
  </si>
  <si>
    <t>MARCELO SOARES</t>
  </si>
  <si>
    <t>WILLIAN CANTELLI</t>
  </si>
  <si>
    <t>DETECÇÃO FIO SOLTO AMORT. FSC#01 E AB#02</t>
  </si>
  <si>
    <t>MAGRI</t>
  </si>
  <si>
    <t>CAL. Z - UPG DRIVE PF700S POR PF755</t>
  </si>
  <si>
    <t>PEDROSA</t>
  </si>
  <si>
    <t>MIXER#7 - UPG DRIVE PF700S POR PF755</t>
  </si>
  <si>
    <t>RODRIGO BARBOZA</t>
  </si>
  <si>
    <t>MIXER#4 - UPG DRIVE DO MOINHO 100"</t>
  </si>
  <si>
    <t>CLAUDIO ROQUE JUNIOR</t>
  </si>
  <si>
    <t>RETROFIT SIST. HIDRAULICO  EMPILHADEIRA FILOMENA</t>
  </si>
  <si>
    <t>ROBERTO DANEZI JUNIOR</t>
  </si>
  <si>
    <t>ISOLADORAS - CHECKLIST POKA YOKE</t>
  </si>
  <si>
    <t>GUIA LINEAR PARA APLICAÇÃO DE APEX NGTTS</t>
  </si>
  <si>
    <t>FIRE PROTECTION SYSTEM MAIN SUBSTATION</t>
  </si>
  <si>
    <t>B1- PASSADEIRA DE FORRO / MAQ. REFUGO</t>
  </si>
  <si>
    <t>PLY CUTTER - REDUÇÃO DE BAD GOODS E FRICÇÃO</t>
  </si>
  <si>
    <t>ENTUBADORA - AUTOMAÇÃO DE SETUP DE MÁQ.</t>
  </si>
  <si>
    <t xml:space="preserve">Mar
Real </t>
  </si>
  <si>
    <t>LCP-210077</t>
  </si>
  <si>
    <t>AERO - VENTILATION AND EXHAUSTING SYSTEM</t>
  </si>
  <si>
    <t>LCP-210078</t>
  </si>
  <si>
    <t>PAULO FIGEURIA</t>
  </si>
  <si>
    <t>SISTEMA DE TRANSMISSÃO LET-OFF DE DG</t>
  </si>
  <si>
    <t>ICP-210004</t>
  </si>
  <si>
    <t>ICP-210016</t>
  </si>
  <si>
    <t>LCP-210007-02</t>
  </si>
  <si>
    <t>LCP-210007-03</t>
  </si>
  <si>
    <t>LCP-210007-04</t>
  </si>
  <si>
    <t>LCP-210007-05</t>
  </si>
  <si>
    <t>LCP-210007-06</t>
  </si>
  <si>
    <t>LCP-210007-07</t>
  </si>
  <si>
    <t>LCP-210007-08</t>
  </si>
  <si>
    <t>LCP-210007-09</t>
  </si>
  <si>
    <t>LCP-210007-10</t>
  </si>
  <si>
    <t>LCP-210007-11</t>
  </si>
  <si>
    <t>LCP-210007-12</t>
  </si>
  <si>
    <t>LCP-210007-13</t>
  </si>
  <si>
    <t>LCP-210007-14</t>
  </si>
  <si>
    <t>LCP-210007-15</t>
  </si>
  <si>
    <t>LCP-210007-16</t>
  </si>
  <si>
    <t>LCP-210007-17</t>
  </si>
  <si>
    <t>LCP-210007-18</t>
  </si>
  <si>
    <t>LCP-210007-19</t>
  </si>
  <si>
    <t>LCP-210007-20</t>
  </si>
  <si>
    <t>LCP-210007-21</t>
  </si>
  <si>
    <t>LCP-210007-22</t>
  </si>
  <si>
    <t>LCP-210007-23</t>
  </si>
  <si>
    <t>GESTÃO DE PROJETOS QUARTELY 2021 ($)</t>
  </si>
  <si>
    <t xml:space="preserve">RET - FLAT PRECURED EXPANSION </t>
  </si>
  <si>
    <t>LCP-210083</t>
  </si>
  <si>
    <t>NEW AIR COMPRESSOR - 100 PSI</t>
  </si>
  <si>
    <t>RICARDO ALNIEZI</t>
  </si>
  <si>
    <t>AME - UPG BARREL AND SCREWS</t>
  </si>
  <si>
    <t>LCP-210084</t>
  </si>
  <si>
    <t>CAL4R2 - UPG OF THE BELT STEEL SYSTEM</t>
  </si>
  <si>
    <t>LCP-210085</t>
  </si>
  <si>
    <t>LCP-210086</t>
  </si>
  <si>
    <t>Comentários Hopper</t>
  </si>
  <si>
    <t>ICP-210011</t>
  </si>
  <si>
    <t>LCP-210092</t>
  </si>
  <si>
    <t>RET - UPG PLC AND PRESS TEMP CONTROL</t>
  </si>
  <si>
    <t>Aprovado</t>
  </si>
  <si>
    <t>PNC - PNEUMATIC CORE CONSTRUCTION</t>
  </si>
  <si>
    <t>Growth</t>
  </si>
  <si>
    <t>LCP-210098</t>
  </si>
  <si>
    <t>FSB - FM GLOBAL ADEQUANCY</t>
  </si>
  <si>
    <t>LCP-210100</t>
  </si>
  <si>
    <t xml:space="preserve">Abr
Real </t>
  </si>
  <si>
    <t>21/0002</t>
  </si>
  <si>
    <t>19/0119</t>
  </si>
  <si>
    <t>20/0103</t>
  </si>
  <si>
    <t>20/0085</t>
  </si>
  <si>
    <t>21/0008</t>
  </si>
  <si>
    <t>18/0110</t>
  </si>
  <si>
    <t>20/0112</t>
  </si>
  <si>
    <t>21/0006</t>
  </si>
  <si>
    <t>20/0116</t>
  </si>
  <si>
    <t>19/0039</t>
  </si>
  <si>
    <t>20/0001</t>
  </si>
  <si>
    <t>21/0023</t>
  </si>
  <si>
    <t>19/0094</t>
  </si>
  <si>
    <t>21/0014</t>
  </si>
  <si>
    <t>20/0106</t>
  </si>
  <si>
    <t>19/0042</t>
  </si>
  <si>
    <t>19/0080</t>
  </si>
  <si>
    <t>20/0083</t>
  </si>
  <si>
    <t>20/0037</t>
  </si>
  <si>
    <t xml:space="preserve">20/0038 </t>
  </si>
  <si>
    <t xml:space="preserve">19/0117 </t>
  </si>
  <si>
    <t>19/0109</t>
  </si>
  <si>
    <t>21/0013</t>
  </si>
  <si>
    <t>21/0003</t>
  </si>
  <si>
    <t>18/0154</t>
  </si>
  <si>
    <t xml:space="preserve">18/0159 </t>
  </si>
  <si>
    <t>18/0139</t>
  </si>
  <si>
    <t>20/0006</t>
  </si>
  <si>
    <t>20/0084</t>
  </si>
  <si>
    <t xml:space="preserve">18/0107 </t>
  </si>
  <si>
    <t>18/0148</t>
  </si>
  <si>
    <t>18/0040</t>
  </si>
  <si>
    <t>20/0068</t>
  </si>
  <si>
    <t>19/0110</t>
  </si>
  <si>
    <t>20/0051</t>
  </si>
  <si>
    <t>18/0155</t>
  </si>
  <si>
    <t>20/0045</t>
  </si>
  <si>
    <t>20/0002</t>
  </si>
  <si>
    <t>18/0111</t>
  </si>
  <si>
    <t>18/0138</t>
  </si>
  <si>
    <t>19/0101</t>
  </si>
  <si>
    <t>18/003</t>
  </si>
  <si>
    <t>18/0045</t>
  </si>
  <si>
    <t>17/0086</t>
  </si>
  <si>
    <t>18/0026</t>
  </si>
  <si>
    <t>18/0087</t>
  </si>
  <si>
    <t>18/0023</t>
  </si>
  <si>
    <t>18/0152</t>
  </si>
  <si>
    <t>18/0065</t>
  </si>
  <si>
    <t>18/0077</t>
  </si>
  <si>
    <t>18/0067</t>
  </si>
  <si>
    <t>18/0071</t>
  </si>
  <si>
    <t>18/0106</t>
  </si>
  <si>
    <t>18/0150</t>
  </si>
  <si>
    <t>18/153</t>
  </si>
  <si>
    <t>20/0031</t>
  </si>
  <si>
    <t>18/0134</t>
  </si>
  <si>
    <t>18/0156</t>
  </si>
  <si>
    <t>19/0014</t>
  </si>
  <si>
    <t>19/0070</t>
  </si>
  <si>
    <t>19/0071</t>
  </si>
  <si>
    <t>19/0045</t>
  </si>
  <si>
    <t>19/0090</t>
  </si>
  <si>
    <t>19/0095</t>
  </si>
  <si>
    <t>19/0081</t>
  </si>
  <si>
    <t>20/0008</t>
  </si>
  <si>
    <t>19/0061</t>
  </si>
  <si>
    <t>20/007</t>
  </si>
  <si>
    <t>20/0010</t>
  </si>
  <si>
    <t>20/0007</t>
  </si>
  <si>
    <t>21/0030</t>
  </si>
  <si>
    <t>21/0029</t>
  </si>
  <si>
    <t>21/0031</t>
  </si>
  <si>
    <t>21/0032</t>
  </si>
  <si>
    <t>21/0034</t>
  </si>
  <si>
    <t>21/0035</t>
  </si>
  <si>
    <t>21/0036</t>
  </si>
  <si>
    <t>21/0037</t>
  </si>
  <si>
    <t>21/0040</t>
  </si>
  <si>
    <t>21/0039</t>
  </si>
  <si>
    <t>RET - BATHROOM ADEQUANCY NR24</t>
  </si>
  <si>
    <t>LCP-210101</t>
  </si>
  <si>
    <t>NR12 ADEQUANCY AERO RETREAD MACHINES</t>
  </si>
  <si>
    <t>LCP-210102</t>
  </si>
  <si>
    <t>LCP-210103</t>
  </si>
  <si>
    <t>CARLOS SERAFIM</t>
  </si>
  <si>
    <t>AME - CENTAC#17 100 PSI AIR COMPRESSOR</t>
  </si>
  <si>
    <t>TNC</t>
  </si>
  <si>
    <t>BANBURY</t>
  </si>
  <si>
    <t>CALANDRA</t>
  </si>
  <si>
    <t>CASA FORÇA</t>
  </si>
  <si>
    <t>CONST. TBM</t>
  </si>
  <si>
    <t>CONST. TRADIC.</t>
  </si>
  <si>
    <t>CONSTRUÇÃO</t>
  </si>
  <si>
    <t>ENTUBADORA</t>
  </si>
  <si>
    <t>FACILIDADES</t>
  </si>
  <si>
    <t>FINAL FINISH</t>
  </si>
  <si>
    <t>MANUTENÇÃO</t>
  </si>
  <si>
    <t>PRÉDIO 3</t>
  </si>
  <si>
    <t>SUBESTAÇÃO</t>
  </si>
  <si>
    <t>VULCANIZAÇÃO</t>
  </si>
  <si>
    <t>GERAL</t>
  </si>
  <si>
    <t>PREPARAÇÃO</t>
  </si>
  <si>
    <t>UTIL</t>
  </si>
  <si>
    <t>ETE</t>
  </si>
  <si>
    <t>FACIL</t>
  </si>
  <si>
    <t xml:space="preserve"> FASE 1 - IMPLEMENTAÇÃO EM 2 MÁQUINAS
PQ13/14 e PQ19/20</t>
  </si>
  <si>
    <t>AME - (8) PCI Cavities</t>
  </si>
  <si>
    <t>LCP-210114</t>
  </si>
  <si>
    <t>LCP-210106</t>
  </si>
  <si>
    <t>LCP-210107</t>
  </si>
  <si>
    <t>LCP-210110</t>
  </si>
  <si>
    <t>AME - COOLING SYSTEM UPGRADE MIXER#03</t>
  </si>
  <si>
    <t>COOLING SYSTEM UPGRADE MIXER#02–PHASE I</t>
  </si>
  <si>
    <t>LCP-210121</t>
  </si>
  <si>
    <t>20/0036</t>
  </si>
  <si>
    <t>LCP-210118</t>
  </si>
  <si>
    <t>LCP-210120</t>
  </si>
  <si>
    <t>AME -COMPLEXITY AND CONCURRENCY INCREASE</t>
  </si>
  <si>
    <t>AME - UPG WIND-UP EXTRUDER 8x8 SW</t>
  </si>
  <si>
    <t>AME - REPLACEMENT X-RAY SET TUBE (A &amp; C)</t>
  </si>
  <si>
    <t>LCP-210123</t>
  </si>
  <si>
    <t>ICP-210002</t>
  </si>
  <si>
    <t xml:space="preserve">Mai
Real </t>
  </si>
  <si>
    <t>LCP-210137</t>
  </si>
  <si>
    <t>LCP-210135</t>
  </si>
  <si>
    <t>LCP-210007-01</t>
  </si>
  <si>
    <t>LCP-210132</t>
  </si>
  <si>
    <t>LCP-210134</t>
  </si>
  <si>
    <t>LCP-210133</t>
  </si>
  <si>
    <t>LCP-210131</t>
  </si>
  <si>
    <t>LCP-210138</t>
  </si>
  <si>
    <t>LCP-210149</t>
  </si>
  <si>
    <t>19/0118</t>
  </si>
  <si>
    <t>20/0108</t>
  </si>
  <si>
    <t>FATURAR PO + ENTREGAS DE NF</t>
  </si>
  <si>
    <t>ICP-210032</t>
  </si>
  <si>
    <t>DEVE DEIXAR A LISTA NO:</t>
  </si>
  <si>
    <t>LCP-210146</t>
  </si>
  <si>
    <t>LCP-210147</t>
  </si>
  <si>
    <t>LCP-210148</t>
  </si>
  <si>
    <t>LCP-210140</t>
  </si>
  <si>
    <t>AME - MILLS ADEQUACY PROJECT FAM</t>
  </si>
  <si>
    <t>AME - NEW RAINWATER CONTAINMENT SYSTEM</t>
  </si>
  <si>
    <t>AME - CAL 3R COOLING IMPROVEMENT</t>
  </si>
  <si>
    <t>AME -SIDEWALK BUILDING IN FRONT OF PLANT</t>
  </si>
  <si>
    <t>AME - STEEL TRANSFERS BAND NGTTS</t>
  </si>
  <si>
    <t>AME - CURING VACUUM SYSTEM UPGRADE</t>
  </si>
  <si>
    <t>AME - WOMEN'S RESTROOM</t>
  </si>
  <si>
    <t>AME – INTERNAL LIGHTING ADEQUACY</t>
  </si>
  <si>
    <t>MC - FALSE TRUCK TIRES SYSTEM RETROFIT</t>
  </si>
  <si>
    <t>AME - WIRE CALENDER NR12 - BRZ MANDATORY</t>
  </si>
  <si>
    <t>LCP-210007-24</t>
  </si>
  <si>
    <t>LIMPADORA DE TROCADORES DE CALOR SHELL &amp; TUBE</t>
  </si>
  <si>
    <t>LCP-210007-25</t>
  </si>
  <si>
    <t>LCP-210007-26</t>
  </si>
  <si>
    <t>LCP-210007-27</t>
  </si>
  <si>
    <t>MARIANA BRASIL</t>
  </si>
  <si>
    <t>ADEQUAÇÃO DIQUES CONTENÇÃO - TANQUES EXT</t>
  </si>
  <si>
    <t>GATEWAY DH+ PARA PRENSAS COM SLC500 5/04</t>
  </si>
  <si>
    <t>EDUARDO ALVEZ</t>
  </si>
  <si>
    <t>CARRO LAGARTA TM</t>
  </si>
  <si>
    <t>CONTINGENCIA</t>
  </si>
  <si>
    <t>AME - NR12 - NT CONSUMMER BUILDING ENHANCEMENT</t>
  </si>
  <si>
    <t xml:space="preserve">Jun
Real </t>
  </si>
  <si>
    <t>Jul
OBJ</t>
  </si>
  <si>
    <t>JAN
OBJ</t>
  </si>
  <si>
    <t>FEV
OBJ</t>
  </si>
  <si>
    <t>MAR
OBJ</t>
  </si>
  <si>
    <t>ABR
OBJ</t>
  </si>
  <si>
    <t>MAI
OBJ</t>
  </si>
  <si>
    <t>JUN
OBJ</t>
  </si>
  <si>
    <t>AGO
OBJ</t>
  </si>
  <si>
    <t>SET
OBJ</t>
  </si>
  <si>
    <t>OUT
OBJ</t>
  </si>
  <si>
    <t>AME – WULO CONSUMMER BUILDING - STEP 1 - NT20</t>
  </si>
  <si>
    <t>AME – WULO – CONSUMMER BUILDING - STEP 2 - NT22</t>
  </si>
  <si>
    <t>AME - NEW MRT KOKUSAI MACHINE</t>
  </si>
  <si>
    <t>Jul
Real</t>
  </si>
  <si>
    <t>Inicialmente o projeto foi recusado pelo Alexandre, porém foi aceito. Necessário aceitar no Hopper.</t>
  </si>
  <si>
    <t>Sarah solicitou revisão ao Engenheiro Responsavel</t>
  </si>
  <si>
    <t>Alexandre solicitou revisão ao Solicitante</t>
  </si>
  <si>
    <t xml:space="preserve">AME - RESTAURANT’S KITCHEN ADEQUACY </t>
  </si>
  <si>
    <t>TOTAL
2019</t>
  </si>
  <si>
    <t>AOP
2020</t>
  </si>
  <si>
    <t>AOP
2021</t>
  </si>
  <si>
    <t>ICP vs LCP
Horas de Akron</t>
  </si>
  <si>
    <t>DOWNPAYMENT JUNHO = 180K a confirmar com John Bucey</t>
  </si>
  <si>
    <t>LCP-210007-28</t>
  </si>
  <si>
    <t>LCP-210007-29</t>
  </si>
  <si>
    <t>VULCAWELD - PRENSA PARA CREEL ROOM</t>
  </si>
  <si>
    <t>Não excluir esta linha. Pois tem o valor do AOP alocado neste projeto. Cancelado em 2021</t>
  </si>
  <si>
    <t>Não excluir esta linha. Pois tem o valor do AOP alocado neste projeto. Projeto se tornou um Quartely</t>
  </si>
  <si>
    <t>LCP-210019</t>
  </si>
  <si>
    <t>ICP-210036</t>
  </si>
  <si>
    <t>DISPONIVEL</t>
  </si>
  <si>
    <t>GUILHERME TUPY</t>
  </si>
  <si>
    <t>ZIPPER ELETRICO PARA AS NGTTS</t>
  </si>
  <si>
    <t>Em aprovação 2022</t>
  </si>
  <si>
    <t>AME - COGEN OVERHAUL</t>
  </si>
  <si>
    <t>LCP-210177</t>
  </si>
  <si>
    <t>NUM. PROJETO (WBS)</t>
  </si>
  <si>
    <t>Ago
Real</t>
  </si>
  <si>
    <t>Limpar Pedidos e Liberar para CLOSE</t>
  </si>
  <si>
    <t>E.S ATÉ DEZ</t>
  </si>
  <si>
    <r>
      <rPr>
        <sz val="11"/>
        <color theme="3" tint="0.59999389629810485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>Q4/22</t>
    </r>
  </si>
  <si>
    <r>
      <rPr>
        <sz val="11"/>
        <color theme="3" tint="0.59999389629810485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Q2/22</t>
    </r>
  </si>
  <si>
    <t>ICP-210031</t>
  </si>
  <si>
    <t>ICP-210037</t>
  </si>
  <si>
    <t>19/0106</t>
  </si>
  <si>
    <t>LCP-210180</t>
  </si>
  <si>
    <t>BUDGET ORIGINAL APROVADO</t>
  </si>
  <si>
    <t>BUDGET FINAL APROVADO</t>
  </si>
  <si>
    <t>Comentários sobre o que falta comprometer</t>
  </si>
  <si>
    <t>Dezembro</t>
  </si>
  <si>
    <t>EBENÉZER DAINEZ</t>
  </si>
  <si>
    <t>Negociação comercial ficar acima do valor estimado para abertura do Budget.</t>
  </si>
  <si>
    <t>2022 Carta Suporte em andamento -</t>
  </si>
  <si>
    <t>SCOPE CHANGE ou OVERRUN</t>
  </si>
  <si>
    <t>DATA E MOTIVO</t>
  </si>
  <si>
    <t>% OVERRUN</t>
  </si>
  <si>
    <t>Scope Change</t>
  </si>
  <si>
    <t>Overrun</t>
  </si>
  <si>
    <t>11/06/21 - PCI para 6 prensas mecânicas 47'
Taxa de importação</t>
  </si>
  <si>
    <t>26/05/21 - Spindle replacement
Machine upgrade start-up
Kokusai - comissionamennto de viagem e custo adicional
COVID-19</t>
  </si>
  <si>
    <t>28/09/21 - Adicional 2 semanas de serviço tecnico.
Retrablaho e neutralização de radioatividade.
Impostoso.</t>
  </si>
  <si>
    <t>18/03/21 
Replacement main gearbox 6' e 10' MRT.
Extruder.</t>
  </si>
  <si>
    <t>31/03/21
Troca de desenho blue rack.</t>
  </si>
  <si>
    <t>JOAO ZAINA</t>
  </si>
  <si>
    <t>CTVM - VBOX EQUIPMENT</t>
  </si>
  <si>
    <t>LCP-210189</t>
  </si>
  <si>
    <t>Set
Real</t>
  </si>
  <si>
    <t>30/08/21
Aumento do preço do ferro</t>
  </si>
  <si>
    <t>Item sendo comprado pelo Estoque</t>
  </si>
  <si>
    <t>LCP-210196</t>
  </si>
  <si>
    <t>ICP-XXXXX3</t>
  </si>
  <si>
    <t>Devido os impostos creditados nesse equipamento</t>
  </si>
  <si>
    <t>LCP-210200</t>
  </si>
  <si>
    <t>LCP-210204</t>
  </si>
  <si>
    <t>Comparativo OBJ vs ESTIMADO ENG</t>
  </si>
  <si>
    <t>Comparativo REAL vs ESTIMADO ENG</t>
  </si>
  <si>
    <t>LCP-210190</t>
  </si>
  <si>
    <t>ICP-XXXXX</t>
  </si>
  <si>
    <t>AME - UPG EXTRUDER READ 8X3 EXTRUDER</t>
  </si>
  <si>
    <t>AME - (2) NEW AIR DRYER POWER HOUSE</t>
  </si>
  <si>
    <t>AME - MIXER #3 BODY REPLACEMENT</t>
  </si>
  <si>
    <t>AME - NEW MIXER SLURRY - PLITVIC</t>
  </si>
  <si>
    <t>Procv</t>
  </si>
  <si>
    <t>Diferença</t>
  </si>
  <si>
    <t>-5K : Rolo trincado, sem reparo, será devolvido ao estoque e será comprado um novo.
35K em 2022 chegará 1 novo rolo
3 TROCAS 2022:
Falta trocar 03 rolos: Aguardando parada de máquina para troca de 01 rolo, após a troca desse será enviado para retrofit e retorna para outra posição assim funciona para proximo rolo. Tempo de máquina para troca 24hrs, tempo retrofit, 30 dias cada rolo.</t>
  </si>
  <si>
    <t>Em estudo</t>
  </si>
  <si>
    <t>Projeto aprovado em 22/09/2021. Em processo de abertura de SC</t>
  </si>
  <si>
    <t xml:space="preserve">Iidentificada uma oportunidade durante a instalação das cameras 
e precisou-se corrigir a iluminacao do local </t>
  </si>
  <si>
    <t>Aumento de preço de varios equipamentos</t>
  </si>
  <si>
    <t xml:space="preserve">Aumentos no valor de  cabos e componentes eletronicos </t>
  </si>
  <si>
    <t>MATERIAL
 OUT/DEZ</t>
  </si>
  <si>
    <t>$ 243,688.55 Running Balance
$ 77,293.76 PO 8240657189 Data de envio atual esperada é 1º de dezembro de 2021.
$ 166,300.32 PO 8240634175 Nicholas Bracken confirmed these are not scheduled to ship until 10/12/2021.</t>
  </si>
  <si>
    <t>Valor alocado
OUT a DEZ</t>
  </si>
  <si>
    <t>VALOR IMPORTADO</t>
  </si>
  <si>
    <t>DATA DE PRONTIDÃO</t>
  </si>
  <si>
    <t>MÃO DE OBRA
OUT / DEZ</t>
  </si>
  <si>
    <t>FRETE (AEREO/MARITIMO)</t>
  </si>
  <si>
    <t>NÚMERO DO PO (RISCOS)</t>
  </si>
  <si>
    <t>NÃO POSSUI RISCOS</t>
  </si>
  <si>
    <t>O MATERIAL IRÁ CHEGAR EM OUTUBRO, NÃO FORAM SINALIZADOS RISCOS</t>
  </si>
  <si>
    <t xml:space="preserve">EM NEGOCIAÇÃO COM O DEPARTAMENTO DE COMPRAS, REALIZADA A EQUALIZAÇÃO TÉCNICA E AGUARDANDO SAIR O PEDIDO </t>
  </si>
  <si>
    <t>OS MATERIAIS IRÃO CHEGAR ATÉ DEZEMBRO, NÃO FORAM SINALIZADOS RISCOS ATÉ O MOMENTO
PREVISÃO DE CHEGADA DAS PRIMEIRAS PEÇAS: ATÉ O FINAL DE NOVEMBRO</t>
  </si>
  <si>
    <t>SERVIÇO FINALIZADO, AGUARDANDO OS LAUDOS DA EMPRESA</t>
  </si>
  <si>
    <t>OS MATERIAIS IRÃO CHEGAR ATÉ DEZEMBRO, ESTÁ SENDO CADASTRADO OS MATERIAIS NA PLANTA PARA SEREM COMPRADOS
PREVISÃO DE EXECUÇÃO UPG SBC - 2021</t>
  </si>
  <si>
    <t>NÃO POSSUI RISCOS (SC DE COMPRAS DE MATERIAIS E M.O PARA SBC)</t>
  </si>
  <si>
    <t>SC'S DE IT PARA COMPRA DE EQUIPAMENTOS AUDIOVISUAIS EM ANDAMENTO</t>
  </si>
  <si>
    <t>PROJETO NÃO IRÁ ACONTECER, MICROPOISE COBROU HORAS A MENOS DO QUE FOI PREVISTO NO CONTRATO
OBS.: INVOICE DANDO ENTRADA ENTRE FINANÇAS E FISCAL</t>
  </si>
  <si>
    <t>APROXIMADAMENTE 20K DE MATERIAIS NÃO SERÃO GASTOS DEVIDO A NEGOCIAÇÃO COMERCIAL (VALOR MENOR)</t>
  </si>
  <si>
    <t>APROXIMADAMENTE 30K DE MATERIAIS NÃO IRÃO CHEGAR, DEVIDO A APROVAÇÃO DE BUDGET E PRAZOS DE ENTREGA DOS SECADORES DE AR</t>
  </si>
  <si>
    <t>NÃO POSSUI POR AINDA ESTAR APROVANDO O BUDGET</t>
  </si>
  <si>
    <t>APROXIMADAMENTE 10K DEVIDO A NÃO APROVAÇÃO DO BUDGET EM TEMPO HÁBIL</t>
  </si>
  <si>
    <t>RISCO DE NÃO ENTREGAR OS MATERIAIS PREVISTOS EM NOVEMBRO, PODENDO SER ENTREGUES EM DEZEMBRO</t>
  </si>
  <si>
    <t>8240657149 (Módulo tensionador)</t>
  </si>
  <si>
    <t xml:space="preserve">NÃO POSSUI RISCOS  </t>
  </si>
  <si>
    <t>RISCO DO FORNECEDOR NÃO ENTREGAR O REDUTOR EM DEZEMBRO, PODENDO SER ENTREGUE POSTERIORMENTE EM 2022</t>
  </si>
  <si>
    <t>8240579875 (Redutor SEW)</t>
  </si>
  <si>
    <t>RISCO DO MATERIAL NÃO SER ENTREGUE NO MÊS ATUAL, SENDO ENTREGUE POSTERIORMENTE</t>
  </si>
  <si>
    <t>8240433863 (Rolo Comerio Ercole)</t>
  </si>
  <si>
    <t>25.150,00 EUR</t>
  </si>
  <si>
    <t>NÃO POSSUI RISCOS, OS ITENS ESTÃO PREVISTOS A CHEGAREM EM OUTUBRO</t>
  </si>
  <si>
    <t>NÃO POSSUI PEDIDOS COM RISCOS</t>
  </si>
  <si>
    <t>SUPORTE DE AKRON,EM ANDAMENTO</t>
  </si>
  <si>
    <t>15,487.32 USD</t>
  </si>
  <si>
    <t>AEREO</t>
  </si>
  <si>
    <t>NÃO POSSUI PEDIDOS COM RISCOS
OBS.: AGUARDANDO CONTRATO COM A LGS</t>
  </si>
  <si>
    <t>NÃO POSSUI RISCOS, SERVIÇO SERÁ FEITO PELA ADZ</t>
  </si>
  <si>
    <t>ENTREGA DO COMPRESSOR E PAINEL, ENTREGA PREVISTA PARA DEZEMBRO</t>
  </si>
  <si>
    <t>8240641477 - COMPRESSOR
122447490 - PAINEL (FALTA GERAR PO)</t>
  </si>
  <si>
    <t>ESTÁ EM COTAÇÃO</t>
  </si>
  <si>
    <t>ENTREGA DOS PCI'S, A ROGERS SINALIZOU A ENTREGA DE TRÊS PARA 2021, TRABALHANDO PARA ENTREGAR OS SEIS</t>
  </si>
  <si>
    <t>4500413489 - PCI'S</t>
  </si>
  <si>
    <t>531,816.00 USD</t>
  </si>
  <si>
    <t>PREVISTO PARA DEZ/21</t>
  </si>
  <si>
    <t>MARITIMO</t>
  </si>
  <si>
    <t>NÃO POSSUI RISCOS, MATERIAIS SENDO ENTREGUES PELA INTERENG</t>
  </si>
  <si>
    <t>EM PROCESSO DE COTAÇÃO</t>
  </si>
  <si>
    <t>MATERIAL SENDO COMPRADO PELO ALMOXARIFADO, PREVISTO CHEGAR EM NOVEMBRO/21</t>
  </si>
  <si>
    <t>PREVISÃO DE ENTREGA PARA DEZEMBRO/21, SERÁ PAGO EM TRANSITO</t>
  </si>
  <si>
    <t>AGUARDANDO PEDIDO DE COMPRAS PARA O RC 1001669935 E 1001677591 (TAMBORES E SUB COMPONENTES)</t>
  </si>
  <si>
    <t>684,000.00 USD</t>
  </si>
  <si>
    <t>8240686114 - CREEL ROOM / SC122560553 - FREIOS</t>
  </si>
  <si>
    <t>177,395.00 USD (BV)</t>
  </si>
  <si>
    <t>Projeto Sera Capitalizado só quando tudo for instalado. Falta instalar Drive</t>
  </si>
  <si>
    <t xml:space="preserve">RISCO DE ENTREGA DO PAINEL DA ROCKWELL, 55K </t>
  </si>
  <si>
    <t>RISCO DE 15K, CASO O PAINEL NÃO SEJA ENTREGUE NA DATA PREVISTA</t>
  </si>
  <si>
    <t xml:space="preserve">(ADZ ATÉ O MOMENTO NÃO ACENOU RISCO) </t>
  </si>
  <si>
    <t>AG. CONTRATO DE COMPRAS</t>
  </si>
  <si>
    <t>RISCO DE 70K PARA ESTEIRAS</t>
  </si>
  <si>
    <t>PO DE AKRON (ESTEIRAS)</t>
  </si>
  <si>
    <t>70K (ESTEIRAS)</t>
  </si>
  <si>
    <t>BUDGET NECESSITA SER APROVADO EM OUTUBRO/21 PARA NÃO CORRER O RISCO DE NÃO CUMPRIR O CAPITAL</t>
  </si>
  <si>
    <t>BUDGET EM APROVAÇÃO</t>
  </si>
  <si>
    <t xml:space="preserve">RISCO DE 50K ROBÔ FANUC </t>
  </si>
  <si>
    <t>50K (ROBÔ FANUC)</t>
  </si>
  <si>
    <t>Dez/21 (chegada prevista)</t>
  </si>
  <si>
    <t>Risco de 50K (Chegada das cameras)</t>
  </si>
  <si>
    <t xml:space="preserve">AGUARDANDO PEDIDO DE COMPRAS  </t>
  </si>
  <si>
    <t>8240607168 (ROBÔ FANUC)</t>
  </si>
  <si>
    <t>50K (CAMERAS)</t>
  </si>
  <si>
    <t>N/A (POR CONTA DA EMPRESA)</t>
  </si>
  <si>
    <t>RISCO DE NÃO SER ENTREGUES OS PAINÉIS DA INTERENG (VALOR TOTAL COMPROMETIDO)
AINDA NÃO GEROU PEDIDO DE COMPRAS -&gt; 410K</t>
  </si>
  <si>
    <t>AGUARDANDO GERAR O PEDIDO DE COMPRAS</t>
  </si>
  <si>
    <t>PROJETO TURN KEY, HÁ RISCOS PARA O INÍCIO DA EXECUÇÃO POIS COMPRAS AINDA NÃO FECHOU O PEDIDO</t>
  </si>
  <si>
    <t>RISCO DE NÃO SER ENTRE ENTREGUE O CHILLER EM 2021 - APROXIMADAMENTE 350K (BRL)</t>
  </si>
  <si>
    <t>POSSUI RISCOS CASO O CHILLER  NÃO SEJA ENTREGUE EM 2021 - APROXIMADAMENTE 350K (BRL)</t>
  </si>
  <si>
    <t>RISCOS DOS MATERIAIS NÃO SEREM ENTREGUES - 50K (US$)</t>
  </si>
  <si>
    <t>POSSUI RISCOS CASO OS MATERIAIS NÃO FOREM ENTREGUES EM 2021, APROXIMADAMENTE 50K (US$)</t>
  </si>
  <si>
    <t>NÃO POSSUI RISCOS (TURN KEY)</t>
  </si>
  <si>
    <t>RISCO DA COZINHA NÃO PARAR O FUNCIONAMENTO E NÃO TER O CONTAINER LOCADO (TURN KEY) 75K US$</t>
  </si>
  <si>
    <t>MATERIAL SENDO COMPRADO, AGUARDANDO GERAR O PEDIDO DE COMPRAS</t>
  </si>
  <si>
    <t xml:space="preserve">RISCO CASO AS MÁQUINAS NÃO PAREM, CONFORME PLANEJADO
VALOR TOTAL
</t>
  </si>
  <si>
    <t>RISCO DE NÃO FAZER A MONOVIA, VALOR ESTÁ FICANDO ACIMA DO ESTIMADO - 28,6K US$</t>
  </si>
  <si>
    <t>Aprovado em 06/10/2021
Aquisição de 4 talhas. 
Suplemento de U$ 306,570K (capital) e U$17K (despesa)</t>
  </si>
  <si>
    <t>LAPG - CHARGER FOR ELETRIC VEHICLE</t>
  </si>
  <si>
    <t>Informar</t>
  </si>
  <si>
    <t>SC Será aberta até 15/10</t>
  </si>
  <si>
    <t>Valor da SC de M.O vai passar de 25K para 70K</t>
  </si>
  <si>
    <t>SC de 7,6K irá fechar em torno de 25K</t>
  </si>
  <si>
    <t>Alterar SC para valor total até 15/10</t>
  </si>
  <si>
    <t>U$ 7K de imposto + 7K de M.O de instação - SC será aberta até dia 15/10</t>
  </si>
  <si>
    <t>SC de M.O será aberta até 15/10</t>
  </si>
  <si>
    <t>SC de Materiais faltantes será aberta até 15/10</t>
  </si>
  <si>
    <t>SC será aberta até 15/10</t>
  </si>
  <si>
    <t>Projeto On Hold</t>
  </si>
  <si>
    <t>Impostos de importação</t>
  </si>
  <si>
    <t>Pendências e atendimento de novas necessidades levantadas pelos usuarios + Equipamentos de IT (data show sala de reuniões) + Dirigivel</t>
  </si>
  <si>
    <t>SC Será aberta até 15/10 - M.O</t>
  </si>
  <si>
    <t>SC Será aberta até 15/10 - M.O - Risco de não executar a MO este ano (23K)</t>
  </si>
  <si>
    <t>Sendo comprado pelo Almoxarifado
Chegada do material Importado em Novembro
Frete: Aéreo
Pedido do Almoxarifado: 
8240644584
8240615986
8240664072</t>
  </si>
  <si>
    <t>OUT: Material INTERENG
NOV/DEZ: Materiais de Proteções + Instalação</t>
  </si>
  <si>
    <t>DOWNPAYMENT - Matt Wallace está cuidando</t>
  </si>
  <si>
    <t>2021: Projetos Eletrico
2022: 80K de materiais/Instalação (falar pra Região que o prazo de entrega não atende este ano, mais estamos trabalhando para antecipar)</t>
  </si>
  <si>
    <t>LCP-210209</t>
  </si>
  <si>
    <t>AME - MIXER#07 REPLACEMENT 2nd GEARBOX</t>
  </si>
  <si>
    <t>Projeto aprovado dia 14/10 Será aberta SC até 15/10</t>
  </si>
  <si>
    <t>Aguardando conclusão do Projeto Mecanico da Base para seguir com SC - Será berta SC dia 22/10</t>
  </si>
  <si>
    <t>30K M.O do Anthony (Goodyear Akron) Aguardando resposta do Anthony e 15K de impostos de importação</t>
  </si>
  <si>
    <t>Aguardando Over run para comprometer o restante</t>
  </si>
  <si>
    <t>5K transferencia de ICP</t>
  </si>
  <si>
    <t>Sobra</t>
  </si>
  <si>
    <t>Está no Porto. Será requisitado em Novembro</t>
  </si>
  <si>
    <t>RISCO DEVIDO FECHAMENTO DE PEDIDO, PROJETO TURN KEY</t>
  </si>
  <si>
    <t>PREVISTO PARA OUT/21
CHEGA EM DEZEMBRO</t>
  </si>
  <si>
    <t>ENTREGA DOS MATERIAIS NACIONAIS (FREIOS) E ENTREGA DO CREEL ROOM EM AMERICANA, EM FASE DE EMBALAGEM PELA EMPRESA PROPAC</t>
  </si>
  <si>
    <t>15/10/21 
Devido aumento do material para fabricação desses equipamentos e ficou faltando 49 skids</t>
  </si>
  <si>
    <t>20/0015</t>
  </si>
  <si>
    <t>50K SC será aberta para Retrofit das peças</t>
  </si>
  <si>
    <t>Verificar com Felipe 18-10</t>
  </si>
  <si>
    <t>U$ 5,8K de impostos + SC de 2k de M.O será aberta até 15/10 (18/10)</t>
  </si>
  <si>
    <t>9K de impostos + 17k de M.O (via ICP)</t>
  </si>
  <si>
    <t>Sobra 795</t>
  </si>
  <si>
    <t>UPGRADE SISTEMA MEDIÇÃO TEMPERATURA CAL41</t>
  </si>
  <si>
    <t>LCP-210007-30</t>
  </si>
  <si>
    <t>LISTADO NO E.S Q3</t>
  </si>
  <si>
    <t>Área do Projeto</t>
  </si>
  <si>
    <t>Utilidades/Facilidades</t>
  </si>
  <si>
    <t>OUT: 103k Projeto Eletrico/Mec + M.O e implementação
NOV: 98k Continuação da implementeção
DEZ: 20k Testes
JAN: 42,6 Teste e start up</t>
  </si>
  <si>
    <t>2021: Compra de materiais, alguns importados.
2022: Intalação
58 Maquinas MRT (precisa de 8 horas de máquina parada/máquina) Previsão de uma máquina por dia com suporte da manutenção</t>
  </si>
  <si>
    <t>Necessidade de substituir mais dois rolamentos e também o embuchamento do assento da carcaça de um dos lados.</t>
  </si>
  <si>
    <t>Parada do Natal. Interligação no separador de agua e oleo, e instalação das Bombas</t>
  </si>
  <si>
    <t>ICP-210053</t>
  </si>
  <si>
    <t>LCP-210213</t>
  </si>
  <si>
    <t>21/0110</t>
  </si>
  <si>
    <t>Diferença com o Budet</t>
  </si>
  <si>
    <t>Budget final</t>
  </si>
  <si>
    <t>Comprometido vs base Nov e Dez</t>
  </si>
  <si>
    <t xml:space="preserve">Out 
Real </t>
  </si>
  <si>
    <t>Nov
Obj.</t>
  </si>
  <si>
    <t xml:space="preserve">Ago
Real </t>
  </si>
  <si>
    <t xml:space="preserve">Set 
Real </t>
  </si>
  <si>
    <t xml:space="preserve">Out
REAL </t>
  </si>
  <si>
    <t>LCP-210007-31</t>
  </si>
  <si>
    <t>RETROFIT SIST.INFLACAO FVMs ASTEC</t>
  </si>
  <si>
    <t>Josh Réckman, comprador GY. Ricardo Alniezi está em contato com ele
Conforme alinhado com a região, downpayment retirado, será desenvolvido novo fornecedor (Sinoarp)</t>
  </si>
  <si>
    <t>Retirar</t>
  </si>
  <si>
    <t xml:space="preserve">Downpayment
</t>
  </si>
  <si>
    <t>Soma 2021+2022 do 10+2</t>
  </si>
  <si>
    <t>Soma 2021 e 2022</t>
  </si>
  <si>
    <t>LCP-210212</t>
  </si>
  <si>
    <t>Possibilidade de Downpayment para este ano 100K</t>
  </si>
  <si>
    <t>ICP Downpayment Novembro $367K
Valor da Máquina: $1,2M
OUT 2022: CHEGADA DA MAQ</t>
  </si>
  <si>
    <t>DEZ: Materiais
Pedido Local OK
FRETE: Marítimo
Prontidão para 24/Novembro
Chegada do equipamento em Dez
11K Mão de obra
85K Possivel Troca de peças danificadas. Aguardando chegada do equipamento para ter certeza</t>
  </si>
  <si>
    <t>17k serviço Spindle
Ao receber a Invoice o Budget será reaberto o TECO, para ajudar o PO local
Pode dar TECO - Pedidos que Não serao usados já foram cancelados
Solicitado retirada do TECO no dia 22/10 para ajustes no PO local de importação, TECO aprovado para retirada em 25/10 e retirado em 26/10
PO local ajustado e TECO retornado no mesmo dia (26/10)</t>
  </si>
  <si>
    <t>Set:
280 Dowpayment</t>
  </si>
  <si>
    <t>DEZ: 25K Cameras
2022: Materiais e Instalação</t>
  </si>
  <si>
    <t xml:space="preserve">2022: 4 talhas no Mixer 5
</t>
  </si>
  <si>
    <t>DEZ: Instalacão</t>
  </si>
  <si>
    <t>Iluminação Externa em Execução 2022</t>
  </si>
  <si>
    <t>DEZ: Entrega Projeto
Março: Inicio da Instalacão</t>
  </si>
  <si>
    <t>Dez: Pintura guia, faixa de pedestre e rampa de acessibilidade</t>
  </si>
  <si>
    <t>LCP-210208</t>
  </si>
  <si>
    <t>AME - 2500 HP MAIN MOTOR - SPARE FOR MIXERS</t>
  </si>
  <si>
    <t>LCP-210218</t>
  </si>
  <si>
    <t>LCP-210219</t>
  </si>
  <si>
    <t>New Business</t>
  </si>
  <si>
    <t>Aprovado em 22/11</t>
  </si>
  <si>
    <t>LCP-210220</t>
  </si>
  <si>
    <t>LCP-210221</t>
  </si>
  <si>
    <t>LCP-210215</t>
  </si>
  <si>
    <t>Pedido não foi fechado com DOwnpayment
Para 2021 = 60K (Chiller, Bombas, Trocador Calor)
Nov: 30K do projeto
Dez: 30k materiais *aguardando PO
Srs. Boa tarde! 
Fizemos hoje primeira reunião para definição de qual caminho seguir do projeto de resfriamento de manta do BB#04.
Pontos discutido para melhor desenvolvimento do projeto.
•	Temperatura saída manta 120 graus;
•	Espessura da manta 12 mm;
•	Troca do sabão ( Temperatura ambiente );
•	Tempo da manta em transporte;
•	Comprimento batch off + Exaustão;
•	Comprimento looping no transportador cabide;
•	Possibilidade trocar esteira resfriamento por uma esteira vazada;
•	Enclausuramento da esteira de resfriamento;
•	Cortina de ar gelado – Antes Wig Wag;
•	Capacidade de equipamentos ( Chillers / Bombas / Trocador de Calor );
Na próxima semana teremos outra reunião com as sugestão para definição e aprovação para seguir com projeto.
Valor de novembro transferido para dezembro, aguardando definição do projeto.</t>
  </si>
  <si>
    <t>AOP 2022</t>
  </si>
  <si>
    <t>?</t>
  </si>
  <si>
    <r>
      <rPr>
        <sz val="11"/>
        <color theme="7" tint="0.3999755851924192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>Q4/23</t>
    </r>
  </si>
  <si>
    <t>Dez
Real SAP</t>
  </si>
  <si>
    <t>Dez
ENG</t>
  </si>
  <si>
    <r>
      <rPr>
        <sz val="11"/>
        <color theme="3" tint="0.59999389629810485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Q3/22</t>
    </r>
  </si>
  <si>
    <t>Calculo ROI está com Eloides, precisa transf. Para a Lais</t>
  </si>
  <si>
    <t>NÃO</t>
  </si>
  <si>
    <t>CALC ROI</t>
  </si>
  <si>
    <t>LAIS</t>
  </si>
  <si>
    <t>EBENEZER</t>
  </si>
  <si>
    <t>APROV FINANÇAS</t>
  </si>
  <si>
    <t>SARAH PREDOZA</t>
  </si>
  <si>
    <t>AG. INFO SOLICITANTE</t>
  </si>
  <si>
    <t>INSERIR NO HOPPER</t>
  </si>
  <si>
    <t>CESAR PENTEADO</t>
  </si>
  <si>
    <t>PROX RODADA TEN</t>
  </si>
  <si>
    <t>ALEXANDRE MARTINS</t>
  </si>
  <si>
    <t>Nov
Real</t>
  </si>
  <si>
    <t>Dez
OBJ</t>
  </si>
  <si>
    <t>LCP-210007-32</t>
  </si>
  <si>
    <t>UPGRADE CENTRALIZADOR A LASER - TBM</t>
  </si>
  <si>
    <r>
      <rPr>
        <sz val="11"/>
        <color theme="3" tint="0.59999389629810485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Q1/22</t>
    </r>
  </si>
  <si>
    <t>E.S NO Q1</t>
  </si>
  <si>
    <r>
      <rPr>
        <sz val="11"/>
        <color rgb="FF00CC66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Q1/22</t>
    </r>
  </si>
  <si>
    <r>
      <rPr>
        <sz val="11"/>
        <color rgb="FF00CC66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Q1/22</t>
    </r>
  </si>
  <si>
    <r>
      <rPr>
        <sz val="11"/>
        <color rgb="FF00CC66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Q4/21</t>
    </r>
  </si>
  <si>
    <t>12 PRENSAS:
Projeção para execução Maior que 24 meses (previsto finalizar em junho 22)
A instalação iniciou dia 05/04  (3 meses pro prensa)
PRENSAS
1) PQ21/22 - OK
2) PQ15/16 - OK
3) PR17/18 - Em andamento
4) PR01/02 - Outubro
Primeira Parte: Pneumática / Hidráulica e Elétrica: 45 dias
Teste de Qualidade: 15 dias
Terceira Parte: Aguarda retorno de Akron: De uma semana a 1 mês
ESTIMADO 3 PRENSAS PARA 2021 E AS DEMAIS PARA 2022
Entrega dos painéis Intereng previsto para o dia 23 de dezembro</t>
  </si>
  <si>
    <r>
      <rPr>
        <b/>
        <sz val="10"/>
        <rFont val="Calibri"/>
        <family val="2"/>
        <scheme val="minor"/>
      </rPr>
      <t>DEZ: 
55K Painel Intereng dia 23 de dezembro
15K Gtel Instlação
10K CF</t>
    </r>
    <r>
      <rPr>
        <sz val="10"/>
        <rFont val="Calibri"/>
        <family val="2"/>
        <scheme val="minor"/>
      </rPr>
      <t xml:space="preserve">
DOWNPAYMENT SET = 180K em ICP
</t>
    </r>
    <r>
      <rPr>
        <sz val="10"/>
        <color rgb="FFFF0000"/>
        <rFont val="Calibri"/>
        <family val="2"/>
        <scheme val="minor"/>
      </rPr>
      <t>FRETE: MARÍTIMO
PRONTIDÃO: ABRIL/22
INCOTERM: FOB - Da para pagar em Transito</t>
    </r>
  </si>
  <si>
    <t>Devido a diferença no valor do frete</t>
  </si>
  <si>
    <t>LCP-210217</t>
  </si>
  <si>
    <t>Aprovado em 02/12</t>
  </si>
  <si>
    <t xml:space="preserve">Gate 2B </t>
  </si>
  <si>
    <t>AER - MOLD FOR NEW TIRE RETREAD</t>
  </si>
  <si>
    <t xml:space="preserve">ADEQUAÇÃO NR 12 - E1/E2 &amp; LRF
</t>
  </si>
  <si>
    <t xml:space="preserve">UPGRADE (06) SYNCHRONOUS VARIXX AND PROT. MODULES
</t>
  </si>
  <si>
    <t xml:space="preserve">PICKER ROLL 8X8
</t>
  </si>
  <si>
    <t>LAPG - PROVING GROUNDS REPAVE PHASE 1</t>
  </si>
  <si>
    <t>ICP</t>
  </si>
  <si>
    <t>TWIN SCREW MIXER#6</t>
  </si>
  <si>
    <t>UPGRADE OF MRT YXLON</t>
  </si>
  <si>
    <t>Americana 2016 MISCELLANEOUS PROJECT</t>
  </si>
  <si>
    <t>Americana REPLACEMENT OF WIRE CORD DETEC</t>
  </si>
  <si>
    <t>Americana AVCB New Warehouse-Bldg Comm</t>
  </si>
  <si>
    <t>Americana (3) 52" Hydraulic Cons Presses</t>
  </si>
  <si>
    <t>AMERICANA 2ND MRT MESNAC</t>
  </si>
  <si>
    <t>REPLACE PLC/CCM OF BATCH OFF MIXER#3</t>
  </si>
  <si>
    <t>Brazil GE Mounting Project</t>
  </si>
  <si>
    <t>Americana FVM Grinder Automation</t>
  </si>
  <si>
    <t>BRS GEM Project</t>
  </si>
  <si>
    <t>Americana Mixer #2 Body Replacement</t>
  </si>
  <si>
    <t>Americana Replace PLC/CCM BO Mixer#3</t>
  </si>
  <si>
    <t>CAPITAL Equipment To Molds Consumer Tire</t>
  </si>
  <si>
    <t>Americana Upgrade MRT Xylon X-Ray</t>
  </si>
  <si>
    <t>CORSAIR</t>
  </si>
  <si>
    <t>AMERICANA TRANSFER O-RING, MONO CUTTER</t>
  </si>
  <si>
    <t>AMERICANA AKROMARKER FOR FVM-AAA</t>
  </si>
  <si>
    <t>AMERICANA INFLATION TESTING MACHINE	ICP-200001</t>
  </si>
  <si>
    <t>AMERICANA UPGRADE KOKUSAI #1</t>
  </si>
  <si>
    <t>AME - BT DRUM WYKO</t>
  </si>
  <si>
    <t>AME REWIND STAT COM TBM</t>
  </si>
  <si>
    <t>Americana Mixer #6 Body Replacement</t>
  </si>
  <si>
    <t>AME PCI (6) ROGERS 47" PRESSES</t>
  </si>
  <si>
    <t>Americana Mixer BB#07</t>
  </si>
  <si>
    <t>AME MATTEUZZI RRM45 SMART GRINDER (CONTOUR CORRECTION)</t>
  </si>
  <si>
    <t>AME Mill Drive #3 Upgrade</t>
  </si>
  <si>
    <t>AME FVM TGIS UPGRADE (CAMERAS PRETAS)</t>
  </si>
  <si>
    <t>AME Creel Room Transfer Gadsden</t>
  </si>
  <si>
    <t>AME PNC Pneumatic Core Construction</t>
  </si>
  <si>
    <t>AME - Vulcaweld Creel Room Press</t>
  </si>
  <si>
    <t>ICP - AME - (8) PCI Cavities</t>
  </si>
  <si>
    <t>AME - Pigment Room (AKRON)</t>
  </si>
  <si>
    <t>AME - MIXER#3 BODY REPLACEMENT (AKRON)</t>
  </si>
  <si>
    <t>(VMI) AMERICANA CONSUMER HMC TIRE BUILDING</t>
  </si>
  <si>
    <t>AME -  UPGRADE PLC MRT PRESSES</t>
  </si>
  <si>
    <t>AME - NR12 - TEXTIL CALENDER 3R</t>
  </si>
  <si>
    <t>MC - 2021 ANNUAL MISCELLANEOUS &lt;50K ALL PLANTS</t>
  </si>
  <si>
    <t>(07) PROTECTION SYSTEM RETROFITING - PRIMARY SUBSTATION</t>
  </si>
  <si>
    <t>AME - MICROPOISE AIT BALANCE MACHINES (Obsolesence)</t>
  </si>
  <si>
    <t>AME - FIRE PROTECTION ADEQUACY</t>
  </si>
  <si>
    <t>LAPG - NEW ELECTRICAL WIRE BOX SEPARATE WATER AND CABLES</t>
  </si>
  <si>
    <t>AME - RETROFIT SYSTEM OF THE CREEL ROOM</t>
  </si>
  <si>
    <t>AME - OVERHAUL CHILLER AND FANCOIL - MIXER BB03</t>
  </si>
  <si>
    <t>AME - CREEL ROOM E FANCOIL #11 UNISTEEL</t>
  </si>
  <si>
    <t>AME - Pigment Room</t>
  </si>
  <si>
    <t>AME - 2022 MISCELLANEOUS ANNUAL BUDGET</t>
  </si>
  <si>
    <t>Ajuste Reg</t>
  </si>
  <si>
    <t>AME - EQUIPMENT IN TRANSIT</t>
  </si>
  <si>
    <t>AME - UPGRADE PLC PRESSES MRT (12 PRESSES)</t>
  </si>
  <si>
    <t>Janeiro a Novembro</t>
  </si>
  <si>
    <t>NOV: Caiu valor do Eixo Spindle. Avisado Philipinas sobre o caso. Precisa ser feito o credito para zerar a linha</t>
  </si>
  <si>
    <t>Paineis INTERENG - Chega até dia 23/12</t>
  </si>
  <si>
    <t>Chega até dia 23
Todos os NTs (menos NT 22 e 20) - Total de 22 NTs
Em processo de abertura de SCs
Possivel instalação para este ano tambe'm
Pode existir um risco devido a entrega de materiais pela Intereng</t>
  </si>
  <si>
    <t>3 Painéis Intereng chegarão no dia 23/12
Instalação 2022</t>
  </si>
  <si>
    <t xml:space="preserve">Aguardando entrega de materiais - Paineis dos moinhos
Dez: Risco de 41K de Instalação - Possivel Carryover
</t>
  </si>
  <si>
    <t>Valor de Dezembro (parada de fabrica Natal e Ano novo) é referente a instalação do sistema de Nitrogenio, ar compimido e vapor.</t>
  </si>
  <si>
    <t>DEZ:Mat já chegou, falta faturar SERV
Banheiros:
TBM:
Final Finish:
Div. A</t>
  </si>
  <si>
    <t>22K -vMaterial e Projeto da Monovia
 Talha (empresa SOS maquinas)</t>
  </si>
  <si>
    <t xml:space="preserve">DEZ: Falta faturar Laudo Prefeitura
Projeto e Entrega de Materiais. </t>
  </si>
  <si>
    <t>Dez: Vai faturar Metade do Projeto Ele/Mec</t>
  </si>
  <si>
    <t xml:space="preserve"> - DEZ: Chegada do Chiller - OK
Restante é Mão Obra GTEL</t>
  </si>
  <si>
    <t>20k Vulcaweld vai para 2022</t>
  </si>
  <si>
    <t>Chegando restante materiais e instalação em andamento 2022
Provisionamento será realizado</t>
  </si>
  <si>
    <t>Aprovado em 10/11
Será entregue dia 17/12 - estações de recarga</t>
  </si>
  <si>
    <t>DEZ: Instalações Elet. E entrega de materiais</t>
  </si>
  <si>
    <t xml:space="preserve">PRONTIDÃO: 13/12 - Embalado e disponivel
Booking OK - BL será 27-12
4 PCI em Transito
2 PCI ano que vem
DEZEMBRO: Entrega dos PCIs 
FRETE: Marítimo
ICOTERM: FCA (Da pra pagar em transito)
Feito a provisão para os serviços referente ao mês de dezembro
</t>
  </si>
  <si>
    <t>Em processo de Fabricação (NACIONAL)
Prazo de Fabricação (informar a Região): 22 semanas (6 meses)
Qual o fornecedor?  Será então SEW</t>
  </si>
  <si>
    <r>
      <t xml:space="preserve">Julho: 20K Requisitado do Estoque - CAL4R1
ISO 5 - Requisitado
D#4 (17k) - Requisitado
8x3 (33k) - 2022
Mixer#1 - Dez
</t>
    </r>
    <r>
      <rPr>
        <b/>
        <sz val="10"/>
        <color rgb="FF000000"/>
        <rFont val="Calibri"/>
        <family val="2"/>
        <scheme val="minor"/>
      </rPr>
      <t>2022: Instalação
Alinhar Cashflow Alniezi</t>
    </r>
  </si>
  <si>
    <t>Dez: Medição PISO X
50% de chagada de materiais até dia 22</t>
  </si>
  <si>
    <t>DEZ: Chegada de luminárias até 17/12</t>
  </si>
  <si>
    <t>Nov: Falta Balanceadora em Gravatai e Material up Micropoise São Bernardo (Intereng)
Epiacaba + Material e M.O Upgrade Balanceadores São Bernardo
Dez: Material e M.O Upgrade Balanceadores São Bernardo + Balanceadora de Epiacaba
5,6K de Epiacaba em Risco</t>
  </si>
  <si>
    <t xml:space="preserve">20K Medição
11K Possivel faturamento de Material
</t>
  </si>
  <si>
    <t>CAMERAS PRETAS
DEZ: M.O do Antony que irá instalar remotamente (Goodyear de Akron)
ENG Akron (Antony)
Valores Locais -  Em processo de abertura de SCs: TRADUCAO, MO LOCAL, SOFTWARE,</t>
  </si>
  <si>
    <t>LCP-210237</t>
  </si>
  <si>
    <t>AME - New rolls for hotformer</t>
  </si>
  <si>
    <t>LCP-220006</t>
  </si>
  <si>
    <t>DEZ: 55K Anel Transferband
Peças irão chegar até dia 22/12</t>
  </si>
  <si>
    <t xml:space="preserve">Teste na FVM19 no dia 17. Se der certo, vai instalar nas demais maquinas
PROBLEMA NO COMPUTADOR  falha tela azul.
Aguardando posição da Região - Allen Edmonds
Material chegou no Brasil, mais só chegará na FAM em Novembro. </t>
  </si>
  <si>
    <t>10/12/2021
avaliação do sistema por intranet remota teve divergência de material necessário par das estabilidade e qualidade entre a comunicação do PLC com as remotas e o processamento e comando da Micro Poise</t>
  </si>
  <si>
    <t xml:space="preserve">DEZ: Sera Embalado até dia 17 (embarque aéreo)
Pagamento em Transito dos Tambores (carta na manga de mais 60) Total será de 330K.
AGUARDANDO BOOKING
Novos Tambores para PLT2
4 TAMBORES: 2 ARO 17" / 2 ARO 18"
Tem 1 Pedido para Peças
Tem 1 Pedido dos 4 tambores
Tambores:
AGO: 150K de Downpayment em 
Previsão de embarque: 23/12 </t>
  </si>
  <si>
    <r>
      <t xml:space="preserve">DEZ:
200 Pagamento em Transito do compressor (China)
</t>
    </r>
    <r>
      <rPr>
        <sz val="10"/>
        <color rgb="FFFF0000"/>
        <rFont val="Calibri"/>
        <family val="2"/>
        <scheme val="minor"/>
      </rPr>
      <t xml:space="preserve">AGUARDANDO BOOKING
</t>
    </r>
    <r>
      <rPr>
        <sz val="10"/>
        <color rgb="FF000000"/>
        <rFont val="Calibri"/>
        <family val="2"/>
        <scheme val="minor"/>
      </rPr>
      <t xml:space="preserve">
Instalação de Potencia na Parada de Fábrica para alimentação do compressor + Paineis + cabos + Painel da WEG
Perdemos 40K dos Filtros Quimicos
Compressor: Entrega apenas em Janeiro</t>
    </r>
  </si>
  <si>
    <t>DEZ: 75K Motor Chega dia 20/12
TRAFO JÁ CHEGOU</t>
  </si>
  <si>
    <t xml:space="preserve">Aguardando aprovação do downpayment </t>
  </si>
  <si>
    <t>Aprovado em 22/11
Previsão de entrega dos materiais: 23/12</t>
  </si>
  <si>
    <t xml:space="preserve">Em processo de compras de materiais
Proteção mecânica e M.O - Ok
Materiais irão chegar até o dia 23/12
</t>
  </si>
  <si>
    <t>Instalação irá aguardar definição da Manutenção.
Materiais irão chegar no dia 23/12</t>
  </si>
  <si>
    <r>
      <t xml:space="preserve">DEZ: 45K Carrosel - </t>
    </r>
    <r>
      <rPr>
        <b/>
        <sz val="10"/>
        <color rgb="FF000000"/>
        <rFont val="Calibri"/>
        <family val="2"/>
        <scheme val="minor"/>
      </rPr>
      <t>Chegou</t>
    </r>
    <r>
      <rPr>
        <sz val="10"/>
        <color rgb="FF000000"/>
        <rFont val="Calibri"/>
        <family val="2"/>
        <scheme val="minor"/>
      </rPr>
      <t xml:space="preserve">
7K Intereng - 23/12
PRIMEIRO ROBO LIBERADO PARA CAPITALIZAÇÃO EM ABRIL/21
PARA 2021: 
ROBO NÃO IRÁ CHEGAR, SERÁ MITIGADO RISCO COM CHEGADA DO CARROSEL. PEDIDO 8240657178
2022: CHEGADO DO ROBO E IMPLEMENTAÇÃO
Valor de 6k de novembro transferido para dezembro/21</t>
    </r>
  </si>
  <si>
    <t>Proteção de NR-12, 23/12</t>
  </si>
  <si>
    <t xml:space="preserve">DEZ: 111K Fundação
         128k Painel das Eseteiras (INTERENG) - 23/12
         100k Carro Flat
</t>
  </si>
  <si>
    <t>SET:ICP não cumpriu o objetivo de U$111,1, então foi passado a diferença de 72,8 para Novembro 
DEZ: 
Prensa #1 e #2: 379K
Prensa #3 e #4: 379K
Tooling TBM: 110K
Apexer: 872K (vai ficar pronta dia dia 17/12 para coleta). Precisa ter um armazem para guardar o material.
Pagamento parcial esteira vulca 43K
Horas de Engenharia 4k
Estimativa Inicial: $2,800MM
Colocado na Base $333k pela Região, referente a: (+3) 52” HMC Presses-in (VMI Projec) = Total ICP 3,133M
Em agosto/21 ficou definido um total de 2,402MM em ICP,
Em Outubro/21, reduziu a base para 1,965MM</t>
  </si>
  <si>
    <t>Dez: 283K Chegada dos Tanques prevista para o dia 23 de dezembro
2022: Instalação</t>
  </si>
  <si>
    <t xml:space="preserve">DEZ: 100K Chegada estrutura das esteiras metalicas
Entrega prevista para o dia 21/12
23K Provisão da Instalação no Natal
</t>
  </si>
  <si>
    <t>ICP-210070</t>
  </si>
  <si>
    <t>AME 2500HP MAIN MOTOR SPARE</t>
  </si>
  <si>
    <t>ICP-210051</t>
  </si>
  <si>
    <t>AME Upgrade Windup Extr 8x8 SW</t>
  </si>
  <si>
    <t>ICP-210069</t>
  </si>
  <si>
    <t>AME Micropoise AIT Balance</t>
  </si>
  <si>
    <t xml:space="preserve">Apenas 2 pedidos em aberto - Contatores da INTERENG - Chegarão até Fev/22
</t>
  </si>
  <si>
    <t>LCP-220012</t>
  </si>
  <si>
    <t>Ainda tem um PO em aberto 8240776240 SEW - Pericicias e Laudos Tecnicos</t>
  </si>
  <si>
    <t>Finalizado. NF 8240580919 será entregue em Janeiro/22</t>
  </si>
  <si>
    <t>Falta a entrada de 2 Notas Fiscais PO 8240733869</t>
  </si>
  <si>
    <t>Previsão de Término Fev/22</t>
  </si>
  <si>
    <t>DEZ: 3 Downpayments OK - Só falta 1 de 90K
Cope + Buffer + Trimmer + Cabeça
PRENSA - COPE (Nacional) Finalizando parte comercial
BUFFER - MANUTEC (Nacional) (Empresa na qual já trabalhou: BANDAC) = 600K contra 1,2M da MATEEUZI, incluindo taxas - Finalizando parte comercial
CABEÇA EXTRUSORA - BEARSTORF (Importado) - Revisando orçamento
Máquinas serão entregues em 2022.
Cabeça da Extrusora fica pronta só em Setembro (informação fabricante), depois será importada e pode ser que até Dez/22 não seja possivel dar o TECO.</t>
  </si>
  <si>
    <r>
      <rPr>
        <sz val="11"/>
        <color theme="3" tint="0.59999389629810485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Q1/22</t>
    </r>
  </si>
  <si>
    <r>
      <rPr>
        <sz val="11"/>
        <color theme="3" tint="0.59999389629810485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Q3/22</t>
    </r>
  </si>
  <si>
    <r>
      <rPr>
        <sz val="11"/>
        <color theme="3" tint="0.59999389629810485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Q4/22</t>
    </r>
  </si>
  <si>
    <r>
      <rPr>
        <sz val="11"/>
        <color theme="3" tint="0.59999389629810485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Q2/22</t>
    </r>
  </si>
  <si>
    <t>Projeto Local já finalizado. Verificar com John Bucey se vai carcelar este PO</t>
  </si>
  <si>
    <t>Pode ser fechado pelo Bob Horn. Verificar com Bob
Projeto Local já finalizado</t>
  </si>
  <si>
    <t>Projeto Local ainda em andamento</t>
  </si>
  <si>
    <t>Projeto Local já finalizado.</t>
  </si>
  <si>
    <t>Projeto finalizado. Pode ser encerrado (CLOSE).</t>
  </si>
  <si>
    <t>Janeiro: 4,8K Valvulas Importadas - SMC PNEUMATICOS -  Chega em 18/01</t>
  </si>
  <si>
    <t>Janeiro: 1,4K Módulo de Segurança - INTERENG - Chega até 31/01</t>
  </si>
  <si>
    <t xml:space="preserve">Zipper Previsão de chegada até 31/12
Janeiro: Disjuntor e Fonte - Intereng - Chega em 31/01 </t>
  </si>
  <si>
    <t>CANCELAR Pedido em aberto</t>
  </si>
  <si>
    <t>Material: 14,7K + 40% imposto = 20,6K
ICP: 210037</t>
  </si>
  <si>
    <t>AME - UPG EXTRUDER HEAD 8X3 EXTRUDER</t>
  </si>
  <si>
    <t>Nov
REAL</t>
  </si>
  <si>
    <t>Dez
REAL</t>
  </si>
  <si>
    <t>Jan
Obj</t>
  </si>
  <si>
    <t>Jan
Eng</t>
  </si>
  <si>
    <t>Janeiro: Cilindros FESTO - Chega em 13/01</t>
  </si>
  <si>
    <t>LCP-220013</t>
  </si>
  <si>
    <t>LCP-220020</t>
  </si>
  <si>
    <t>AME - MRT CURING PRESS PO1314 UPG</t>
  </si>
  <si>
    <t>AME - DC MOTOR 1500HP FROM NORTH AMERICA</t>
  </si>
  <si>
    <t>RET - EXTRUDER NEW SOAP APLICATION</t>
  </si>
  <si>
    <t>AME - (1) NEW BOILER FEED WATER PUMP (POWER HOUSE)</t>
  </si>
  <si>
    <t xml:space="preserve">AME - UPGRADE DRIVES GV3000 POR PF755 </t>
  </si>
  <si>
    <t>AER - 2022 MISCELLANEOUS ANNUAL BUDGET</t>
  </si>
  <si>
    <t>MC - 2022 ANNUAL MISCELLANEOUS &lt;50K ALL PLANTS</t>
  </si>
  <si>
    <t>AER - NEW BUILDING MACHINE (AZ/SOL) - VMI MACHINE</t>
  </si>
  <si>
    <t>RET - 2022 MISCELLANEOUS ANNUAL BUDGET</t>
  </si>
  <si>
    <t>RET - NR12 ADEQUANCY</t>
  </si>
  <si>
    <t>RET- REPLACEMENT OF EXTRUDER TCU</t>
  </si>
  <si>
    <t>LCP-220018</t>
  </si>
  <si>
    <t>LCP-220002</t>
  </si>
  <si>
    <t>LCP-220014</t>
  </si>
  <si>
    <t>LCP-220010</t>
  </si>
  <si>
    <t>LCP-220027</t>
  </si>
  <si>
    <t>LCP-220008</t>
  </si>
  <si>
    <t>FSB - CAMERA MONITORING SYSTEM</t>
  </si>
  <si>
    <t>LCP-220033</t>
  </si>
  <si>
    <t>LCP-220031</t>
  </si>
  <si>
    <t>LCP-220029</t>
  </si>
  <si>
    <t>LCP-220028</t>
  </si>
  <si>
    <t>LCP-220045</t>
  </si>
  <si>
    <t>LCP-220060</t>
  </si>
  <si>
    <t>Serviço com a empresa LGS</t>
  </si>
  <si>
    <t>LCP-220044</t>
  </si>
  <si>
    <t>LCP-220048</t>
  </si>
  <si>
    <t>LCP-220065</t>
  </si>
  <si>
    <t>MIXER 3 EXTRUDER GEARBOX REPLACEMENT</t>
  </si>
  <si>
    <t>POLO PROJECT VW TAUBATÉ</t>
  </si>
  <si>
    <t>LCP-220088</t>
  </si>
  <si>
    <t>LCP-220089</t>
  </si>
  <si>
    <t>LAPG - TEST AND QUALITY EQUIPMENTS</t>
  </si>
  <si>
    <t>LCP-220094</t>
  </si>
  <si>
    <t>LCP-220095</t>
  </si>
  <si>
    <t>LCP-220093</t>
  </si>
  <si>
    <t>LCP-220107</t>
  </si>
  <si>
    <t>REBOUND TESTING EQUIPMENT</t>
  </si>
  <si>
    <t>LCP-220117</t>
  </si>
  <si>
    <t>AME – EXTERN TOTEM GOODYEAR AMERICANA</t>
  </si>
  <si>
    <t>FSB - NEW MAIN FRAME FLAT PRESS</t>
  </si>
  <si>
    <t>LAPG - WORKSHOP CLIMATIZER</t>
  </si>
  <si>
    <t>AME - UPG BARCODE READERS FINAL FINISH B2</t>
  </si>
  <si>
    <t>TOTAL 2023</t>
  </si>
  <si>
    <t>AME - (1) BEAD WINDER#8</t>
  </si>
  <si>
    <t>LCP-230007-02</t>
  </si>
  <si>
    <t>LCP-230007-03</t>
  </si>
  <si>
    <t>LCP-230007-04</t>
  </si>
  <si>
    <t>LCP-230007-13</t>
  </si>
  <si>
    <t>LCP-230007-15</t>
  </si>
  <si>
    <t>UPGRADE MIXER#1 - INSTALAÇÃO DE CÉLULA DE CARGA NA ESTEIRA DE CARREGAMENTO</t>
  </si>
  <si>
    <t>Upgrade 02 Relés de Proteção - Subestação Primária</t>
  </si>
  <si>
    <t>Speed up Gate way (comunicação PLC prensas com supervisório nivel1)</t>
  </si>
  <si>
    <t>ADEQUAÇÃO ÁREA ARMAZENAMENTO DE INFLAMÁVEIS DEPTO 85</t>
  </si>
  <si>
    <t>GTU - Green tire Uniformity B1 (portable)</t>
  </si>
  <si>
    <t>Aplicador de rodagem NGTTS</t>
  </si>
  <si>
    <t>CECOM DIV.B2</t>
  </si>
  <si>
    <t>Calandra Z - Regen</t>
  </si>
  <si>
    <t>SISTEMA DE MONITORAMENTO UNIDADE HIDRÁULICA DOS BANBURYS</t>
  </si>
  <si>
    <t>LAPG - REPAVING PROVING GROUND AND CFTV</t>
  </si>
  <si>
    <t>LCP-230007-18</t>
  </si>
  <si>
    <t>LCP-230007-19</t>
  </si>
  <si>
    <t>LCP-230007-20</t>
  </si>
  <si>
    <t>LCP-230007-23</t>
  </si>
  <si>
    <t>LCP-230007-24</t>
  </si>
  <si>
    <t>LCP-230007-26</t>
  </si>
  <si>
    <t>TROCA DA ROSCA DE 6'' INFERIOR HEXAPLEX</t>
  </si>
  <si>
    <t>LCP-230007-27</t>
  </si>
  <si>
    <t>LCP-230152-02</t>
  </si>
  <si>
    <t>LCP-230152-03</t>
  </si>
  <si>
    <t>LCP-230152-04</t>
  </si>
  <si>
    <t>LCP-230152-05</t>
  </si>
  <si>
    <t>CARRO DE CORTE NRM</t>
  </si>
  <si>
    <t>ADEQUAÇÃO DE SEGURANÇA CALANDRA Z</t>
  </si>
  <si>
    <t>NOVO SISTEMA COMUNICAÇÃO BBYs 1,2,3,4</t>
  </si>
  <si>
    <t>CAMERA PARA MONITORAMENTO DOS BBYs</t>
  </si>
  <si>
    <t>LCP-230152-06</t>
  </si>
  <si>
    <t>CAÇAMBAS PARA COLETA SELETIVA FAM</t>
  </si>
  <si>
    <t>LCP-230152-08</t>
  </si>
  <si>
    <t>UPG. SISTEMA ACIONAMENTO PRENSA MC NIEL</t>
  </si>
  <si>
    <t>PROJECT NAME</t>
  </si>
  <si>
    <t>ICP-220054</t>
  </si>
  <si>
    <t>LCP-220207</t>
  </si>
  <si>
    <t>ICP-230001</t>
  </si>
  <si>
    <t>Facilities Maintaining</t>
  </si>
  <si>
    <t>ICP-230007</t>
  </si>
  <si>
    <t>LCP-220082</t>
  </si>
  <si>
    <t>LCP-220132</t>
  </si>
  <si>
    <t>100 PSI AIR COMPRESSOR OVERHAUL CENTAC18</t>
  </si>
  <si>
    <t>LCP-220133</t>
  </si>
  <si>
    <t xml:space="preserve"> AME - FACTORY PUMP WATER</t>
  </si>
  <si>
    <t>LCP-220134</t>
  </si>
  <si>
    <t>FF B1 - UPGRADE PCHP-ETMS FVM MACHINES (AAA)</t>
  </si>
  <si>
    <t>LCP-220139</t>
  </si>
  <si>
    <t>LCP-220162</t>
  </si>
  <si>
    <t>LCP-220171</t>
  </si>
  <si>
    <t>LCP-220172</t>
  </si>
  <si>
    <t>AME - 01 NEW RUBBER PROCESS ANALYZER RPA</t>
  </si>
  <si>
    <t>LCP-220173</t>
  </si>
  <si>
    <t>AME - IMPROVEMENT APPLIED APR FOR NGTTS</t>
  </si>
  <si>
    <t>LCP-220176</t>
  </si>
  <si>
    <t>LAPG - NOISE - KIT VBOX EQUIPMENT</t>
  </si>
  <si>
    <t>LCP-220184</t>
  </si>
  <si>
    <t>LCP-220201</t>
  </si>
  <si>
    <t>LCP-220202</t>
  </si>
  <si>
    <t>LCP-220215</t>
  </si>
  <si>
    <t>RET - FM GLOBAL ADEQUANCY</t>
  </si>
  <si>
    <t>LCP-220266</t>
  </si>
  <si>
    <t>LCP-220267</t>
  </si>
  <si>
    <t>LCP-230007</t>
  </si>
  <si>
    <t>AME - 2023 MISCELLANEOUS ANNUAL BUDGET</t>
  </si>
  <si>
    <t>LCP-230021</t>
  </si>
  <si>
    <t>LCP-230031</t>
  </si>
  <si>
    <t>LCP-230033</t>
  </si>
  <si>
    <t>LCP-230034</t>
  </si>
  <si>
    <t>LCP-230053</t>
  </si>
  <si>
    <t>LCP-230055</t>
  </si>
  <si>
    <t>LCP-230060</t>
  </si>
  <si>
    <t>LCP-230096</t>
  </si>
  <si>
    <t>AME - METAL DETECTOR HOTFORMER</t>
  </si>
  <si>
    <t>LCP-230098</t>
  </si>
  <si>
    <t>AME - TROCA DE ROSCAS DE EXTRUSORAS DIV. A (BB, HOT, EXT, CAL)</t>
  </si>
  <si>
    <t>LCP-230110</t>
  </si>
  <si>
    <t>LAPG - 2023 MISCELLANEOUS ANNUAL BUDGET</t>
  </si>
  <si>
    <t>LCP-230111</t>
  </si>
  <si>
    <t>LCP-230112</t>
  </si>
  <si>
    <t>LCP-230115</t>
  </si>
  <si>
    <t>FSB - 2023 MISCELLANEOUS ANNUAL BUDGET</t>
  </si>
  <si>
    <t>LCP-230116</t>
  </si>
  <si>
    <t xml:space="preserve">EQUIPMENT FOR VMI MACHINES TO BUILD 15”TIRES </t>
  </si>
  <si>
    <t>LCP-230120</t>
  </si>
  <si>
    <t>MC - POLO PROJECT PHASE 02</t>
  </si>
  <si>
    <t>LCP-230121</t>
  </si>
  <si>
    <t>LCP-230122</t>
  </si>
  <si>
    <t>LCP-230123</t>
  </si>
  <si>
    <t>MC - 2023 MISCELLANEOUS ANNUAL BUDGET</t>
  </si>
  <si>
    <t>LCP-230124</t>
  </si>
  <si>
    <t>LCP-230125</t>
  </si>
  <si>
    <t>LAPG - RETROFIT BUILDING PROVING GROUND</t>
  </si>
  <si>
    <t>LCP-230144</t>
  </si>
  <si>
    <t>LCP-230145</t>
  </si>
  <si>
    <t>AME - MIXER#6 TSR- 450C/20 ROLLER REPLACEMENT</t>
  </si>
  <si>
    <t>LCP-230151</t>
  </si>
  <si>
    <t>AME - UPG BARCODE READERS PHASE 2 FF B2</t>
  </si>
  <si>
    <t>LCP-230152</t>
  </si>
  <si>
    <t>AME - 2023 MISCELLANEOUS ANNUAL - PHASE2</t>
  </si>
  <si>
    <t>LCP-230154</t>
  </si>
  <si>
    <t>LAPG - RETROFIT OF THE CONTROL SPRAY PIPE</t>
  </si>
  <si>
    <t>LCP-230158</t>
  </si>
  <si>
    <t>LCP-230159</t>
  </si>
  <si>
    <t>LCP-230166</t>
  </si>
  <si>
    <t>LCP-230167</t>
  </si>
  <si>
    <t>LCP-230168</t>
  </si>
  <si>
    <t>LCP-230178</t>
  </si>
  <si>
    <t>AME - CAL4R#2 WIND-UP UPGRADE</t>
  </si>
  <si>
    <t>LCP-230179</t>
  </si>
  <si>
    <t>AME - CAL4R#1 WIND-UP UPGRADE</t>
  </si>
  <si>
    <t>LCP-230180</t>
  </si>
  <si>
    <t xml:space="preserve">AME-MIXER#7 TSRD ROLLER REPLACEMENT </t>
  </si>
  <si>
    <t>LCP-230181</t>
  </si>
  <si>
    <t>AME - CAL_EXTR_GEARBOX MIXER#1</t>
  </si>
  <si>
    <t>LCP-230185</t>
  </si>
  <si>
    <t>AME - EBP SYSTEM MAJOR OVERHAUL</t>
  </si>
  <si>
    <t>LCP-230186</t>
  </si>
  <si>
    <t>LCP-230191</t>
  </si>
  <si>
    <t>LCP-230196</t>
  </si>
  <si>
    <t>LCP-230205</t>
  </si>
  <si>
    <t>100 PSI AIR COMPRESSOR OVERHAUL CENTAC14</t>
  </si>
  <si>
    <t>LCP-230206</t>
  </si>
  <si>
    <t>AME - NEW AWS DRUMS RSX1</t>
  </si>
  <si>
    <t>LCP-230208</t>
  </si>
  <si>
    <t>LCP-230213</t>
  </si>
  <si>
    <t>LCP-230221</t>
  </si>
  <si>
    <t>LCP-230225</t>
  </si>
  <si>
    <t>AME - NEW TRUCK GATE</t>
  </si>
  <si>
    <t>ICP-220010</t>
  </si>
  <si>
    <t>ICP-230035</t>
  </si>
  <si>
    <t>ICP-230034</t>
  </si>
  <si>
    <t>ICP-220048</t>
  </si>
  <si>
    <t>ICP-220037</t>
  </si>
  <si>
    <t>ICP-220049</t>
  </si>
  <si>
    <t>ICP-220025</t>
  </si>
  <si>
    <t>LCP-230152-09</t>
  </si>
  <si>
    <t>RETROFIT DISJ. GERAIS SUBESTAÇÕES 03 1CF</t>
  </si>
  <si>
    <t>LCP-230152-10</t>
  </si>
  <si>
    <t>ANEL 4 AROS AKRODYNE</t>
  </si>
  <si>
    <t>Produtivity</t>
  </si>
  <si>
    <t>LCP-230253</t>
  </si>
  <si>
    <t>LCP-230255</t>
  </si>
  <si>
    <t>ADEQUAÇÃO SIST. DE ALIMENTAÇÃO ESTRUSORA</t>
  </si>
  <si>
    <t>SAFETY SYSTEMRIVER PUMP AREA</t>
  </si>
  <si>
    <t>REWIND STATIONS MRTBUILD MACHINES</t>
  </si>
  <si>
    <t>AME - UPGRADE GENERAL PANEL B2 CURING</t>
  </si>
  <si>
    <t>UPGRADE E+LCALENDER 3 ROLLS</t>
  </si>
  <si>
    <t>LCP-240001</t>
  </si>
  <si>
    <t>ICP-230054</t>
  </si>
  <si>
    <t>MAQ. MONTAGEM PNEUS P/ RESILIOMETRO</t>
  </si>
  <si>
    <t>ICP-230071</t>
  </si>
  <si>
    <t>AME - SAFETY REGULARIZATION ON WIND-UP (ACIDENTE 4R1)</t>
  </si>
  <si>
    <t>RET- NEW TRIMMER</t>
  </si>
  <si>
    <t>MC - MISCELLANEOUS ANNUAL BUDGET</t>
  </si>
  <si>
    <t>SUBSTITUIÇÃO DA BOMBA #2 DA TORRE RESFRIAMENTO CASA DE FORÇA</t>
  </si>
  <si>
    <t>LAPG - 2024 MISCELLANEOUS ANNUAL BUDGET</t>
  </si>
  <si>
    <t>LCP-240059</t>
  </si>
  <si>
    <t>Equipment in Transit</t>
  </si>
  <si>
    <t>Regional Adjustment</t>
  </si>
  <si>
    <t>AME - 2024 MISCELLANEOUS ANNUAL BUDGET</t>
  </si>
  <si>
    <t>RET - NEW MAIN FRAME FLAT PRESS</t>
  </si>
  <si>
    <t>AER - NEW SOAP APLICATION</t>
  </si>
  <si>
    <t>LCP-240087</t>
  </si>
  <si>
    <t>LAPG 2022 - GERAL MISCELLANEOUS QUARTELY</t>
  </si>
  <si>
    <t>Retrofit (01) TORRE DE RESFRIAMENTO - MIXER</t>
  </si>
  <si>
    <t>AME - OTR PRESS TRANSFER (P85)</t>
  </si>
  <si>
    <t>x3</t>
  </si>
  <si>
    <t>NEW CHILLER</t>
  </si>
  <si>
    <t>ICP-240001</t>
  </si>
  <si>
    <t>LCP-240093</t>
  </si>
  <si>
    <t>LCP-240097</t>
  </si>
  <si>
    <t>LCP-240098</t>
  </si>
  <si>
    <t>LCP-240096</t>
  </si>
  <si>
    <t>AME - UPG X-RAY COMPUTERS YXLON-MTIS</t>
  </si>
  <si>
    <t>LCP-240100</t>
  </si>
  <si>
    <t>LCP-240101</t>
  </si>
  <si>
    <t>LCP-240059-03</t>
  </si>
  <si>
    <t>LCP-240059-04</t>
  </si>
  <si>
    <t>LCP-240059-05</t>
  </si>
  <si>
    <t>LCP-240102</t>
  </si>
  <si>
    <t>LCP-240107</t>
  </si>
  <si>
    <t>ICP-240020</t>
  </si>
  <si>
    <t>LCP-240112</t>
  </si>
  <si>
    <t>LCP-240113</t>
  </si>
  <si>
    <t>LCP-240114</t>
  </si>
  <si>
    <t>AME - WINDOWS 10 FOR TGIS FVM AAA</t>
  </si>
  <si>
    <t>LCP-240110</t>
  </si>
  <si>
    <t>MC - GRAVATAI - NEW MICROPOISE BALANCER</t>
  </si>
  <si>
    <t>LCP-240103</t>
  </si>
  <si>
    <t>LCP-240115</t>
  </si>
  <si>
    <t>EQUIPMENT FOR VMI MACHINES TO BUILD 19" TIRES</t>
  </si>
  <si>
    <t>EQUIPMENT FOR VMI MACHINES TO BUILD 15" TIRES</t>
  </si>
  <si>
    <t>APLICADORA DE ENVOLTÓRIO EM TALÃO</t>
  </si>
  <si>
    <t>TOTAL 2024</t>
  </si>
  <si>
    <t>ICP-240024</t>
  </si>
  <si>
    <t>ICP-240025</t>
  </si>
  <si>
    <t>LCP-240059-06</t>
  </si>
  <si>
    <t>PRO-MIC EQUIPMENT TO MEASURE CALENDER CROWN</t>
  </si>
  <si>
    <t>LCP-240059-07</t>
  </si>
  <si>
    <t>MANIPULADOR DAS BANDAS DE CAMELBACK NA DUPLEX#1</t>
  </si>
  <si>
    <t>LCP-240124</t>
  </si>
  <si>
    <t>BRZ - VBOX KIT AND SENSORS</t>
  </si>
  <si>
    <t>LCP-240128</t>
  </si>
  <si>
    <t>AME - TBM01 - SERVO DRIVE AND CONTROL REPLACEMENT</t>
  </si>
  <si>
    <t>AME - NG08 - SERVO DRIVE AND CONTROL REPLACEMENT</t>
  </si>
  <si>
    <t>AME - EQUIPMENT FOR VMI MACHINES TO BUILD 19" TIRES</t>
  </si>
  <si>
    <t>AME - EQUIPMENT FOR VMI MACHINES TO BUILD 15" TIRES</t>
  </si>
  <si>
    <t>LCP-240140</t>
  </si>
  <si>
    <t>LAPG GERAL - MISCELANIUS QUARTELY</t>
  </si>
  <si>
    <t>AMERICANA REPLACEMENT OF WIRE CORD DETEC</t>
  </si>
  <si>
    <t>AMERICANA AVCB NEW WAREHOUSE-BLDG COMM</t>
  </si>
  <si>
    <t>AMERICANA (3) 52" HYDRAULIC CONS PRESSES</t>
  </si>
  <si>
    <t>BRAZIL GE MOUNTING PROJECT</t>
  </si>
  <si>
    <t>AMERICANA FVM GRINDER AUTOMATION</t>
  </si>
  <si>
    <t>BRS GEM PROJECT</t>
  </si>
  <si>
    <t>AMERICANA MIXER #2 BODY REPLACEMENT</t>
  </si>
  <si>
    <t>AMERICANA REPLACE PLC/CCM BO MIXER#3</t>
  </si>
  <si>
    <t>AMERICANA UPGRADE MRT XYLON X-RAY</t>
  </si>
  <si>
    <t>AMERICANA MIXER #6 BODY REPLACEMENT</t>
  </si>
  <si>
    <t>AMERICANA MIXER BB#07</t>
  </si>
  <si>
    <t>AME PNC PNEUMATIC CORE CONSTRUCTION</t>
  </si>
  <si>
    <t>AME - VULCAWELD CREEL ROOM PRESS</t>
  </si>
  <si>
    <t>AME UPGRADE WINDUP EXTR 8X8 SW</t>
  </si>
  <si>
    <t>ICP - AME - (8) PCI CAVITIES</t>
  </si>
  <si>
    <t>AME MICROPOISE AIT BALANCE</t>
  </si>
  <si>
    <t>AME OTR PRESS TRANSFER (AKRON)</t>
  </si>
  <si>
    <t>AME COGEN OVERHAUL</t>
  </si>
  <si>
    <t>MICROPOISE FVM/DBM EQUIPMENT AND TGIS UPGRADES (FVM#03 E FVM#10)</t>
  </si>
  <si>
    <t>AMERICANA WU/LO SAFETY UPGRADE</t>
  </si>
  <si>
    <t>AMERICANA 15" TOOLING FOR VMI MACHINES</t>
  </si>
  <si>
    <t>AME- CEMENT HOUSE COINTAIMENT AREA</t>
  </si>
  <si>
    <t>BRZ - FAM WH SECURITY CONTROL (CONTROL SYSTEM &amp; CAMERAS)</t>
  </si>
  <si>
    <t>2018 MISCELLANEOUS PROJECT TO MC PLANTS</t>
  </si>
  <si>
    <t>MC GERAL - MISCELANIUS QUARTELY</t>
  </si>
  <si>
    <t>AME - X-RAY B UPGRADE</t>
  </si>
  <si>
    <t>AME - BIJINIC TANK</t>
  </si>
  <si>
    <t>AME - UPG WIND-UP EXTRUDER 8X8 SW</t>
  </si>
  <si>
    <t>AME - 4 PCI (8) CAVITIES</t>
  </si>
  <si>
    <t>AME - MIXER#07 REPLACEMENT 2ND GEARBOX</t>
  </si>
  <si>
    <t>AME - MICROPOISE AIT BALANCE MACHINES (OBSOLESENCE)</t>
  </si>
  <si>
    <t>AME - NEW ROLLS FOR HOTFORMER</t>
  </si>
  <si>
    <t>BLUE RACK ADAPTATION TO NEW FIRE DEPARTMENT STANDARD (50% MINIMUM WATER FLOW IN THE FLOOR) - PHASE_2</t>
  </si>
  <si>
    <t>AME - WINDUP/LETOFF UPGRADE PROJECTS</t>
  </si>
  <si>
    <t>CTVM - CENTER MAX OFFICE RETROFIT</t>
  </si>
  <si>
    <t>AME - 1 NUMETRIX 1ST TIRE CHECK VISION SYSTEM</t>
  </si>
  <si>
    <t>AME PIGMENT WEIGHT SYSTEM</t>
  </si>
  <si>
    <t>REPLACEMENT CAR EXCHANGE MOLDS AND BLADDERS FOR CURING B1</t>
  </si>
  <si>
    <t>AME - Q5 EXTRUDER 8” GEAR BOX (EPT-200)</t>
  </si>
  <si>
    <t>AME - UPGRADE NO SISTEMA DE ROLL BENDING E COLETA DE DADOS PARA A CALANDRA 3 ROLOS</t>
  </si>
  <si>
    <t>AME - RETROFIT – BLUE RACKS FOR CONSUMER TIRES PHASE 3</t>
  </si>
  <si>
    <t>LAPG - WHEELS RACKS</t>
  </si>
  <si>
    <t>AME - MAZAK INTEGREX J300 MACHINING CENTER</t>
  </si>
  <si>
    <t>MC - ECRS PROJECT BY GM EPIACABA SEQUENCING</t>
  </si>
  <si>
    <t>BRZ - RETROFIT FOR CONSUMER RACKS PHASE 4</t>
  </si>
  <si>
    <t>AME - ADJUSMENT TO TARGET</t>
  </si>
  <si>
    <t>AMERICANA QUADRUPLEX EXTRUDER #7</t>
  </si>
  <si>
    <t>LCP-240059-09</t>
  </si>
  <si>
    <t>CILINDRO DA PLACA DO GRIPPER</t>
  </si>
  <si>
    <t>ICP-240027</t>
  </si>
  <si>
    <t>LCP-240059-10</t>
  </si>
  <si>
    <t>AME - INSTALLATION OF DIV.A RACKS</t>
  </si>
  <si>
    <t>CONTROLE DE ACESSO PORTARIA</t>
  </si>
  <si>
    <t>LCP-240149</t>
  </si>
  <si>
    <t>LCP-240152</t>
  </si>
  <si>
    <t>AME - HEXAPLEX RTS REPLACEMENT</t>
  </si>
  <si>
    <t>LCP-240177</t>
  </si>
  <si>
    <t>LCP-240178</t>
  </si>
  <si>
    <t>FSB - INSPECTION CAMERA BUFFER E TRIMMER</t>
  </si>
  <si>
    <t>AME - ARTICULATED DRUM TIRE 20,5" GREADERLRF AND OTRLAMINATOR</t>
  </si>
  <si>
    <t>AMERICANA WIND UPLET OFF PHASE III</t>
  </si>
  <si>
    <t>UPG MOUNTINGLINE FOR MQB - ANCHIETA</t>
  </si>
  <si>
    <t>FAM AVCB PHASE II EMERGENCYLIGHTINING AND ALARMS</t>
  </si>
  <si>
    <t>BRZ - FAM WHLOADING DOCKS ADEQUACY - 5 REMAINING EQUIPMENTS</t>
  </si>
  <si>
    <t>UPGRADE FACKTORLINK/ GML D#4</t>
  </si>
  <si>
    <t>REG -LAPG VDA FIRE PROTECTIONLINE</t>
  </si>
  <si>
    <t>EXHAUST SYSTEM -LINES A/B &amp; G/H CONSUMER PRESSES</t>
  </si>
  <si>
    <t>WIND UPLET OFF NGTTS#5 &amp; #8</t>
  </si>
  <si>
    <t>ANCHOR SYSTEM &amp; SAFETYLINE - PHASE II</t>
  </si>
  <si>
    <t>NEW OILLINE SYDININI</t>
  </si>
  <si>
    <t>MOBILE DOCKLEVELER FOR NEW WAREHOUSE</t>
  </si>
  <si>
    <t>ALPHA SHEARLETOFF TREATMENT</t>
  </si>
  <si>
    <t>HOTFORMER UPGRADELINNER AND SCREW</t>
  </si>
  <si>
    <t>HOTFORMER UPGLINNER AND SCREW STATIONS #04</t>
  </si>
  <si>
    <t>AUTOMATICLOADING WIND UP – GUM CALENDER #2</t>
  </si>
  <si>
    <t>COMFORTLANES REPAVING</t>
  </si>
  <si>
    <t>UPG AKROSCAN SYSTEM FORLINES FVM</t>
  </si>
  <si>
    <t>AME – INTERNALLIGHTING ADEQUACY</t>
  </si>
  <si>
    <t xml:space="preserve"> AME - 2 RHEOMETER PREMIER MDR FORLABORATORY</t>
  </si>
  <si>
    <t>BRA -CONVEYOR'S REPLACEMENT IN WH TOLOAD TIRES (3 UNITS)</t>
  </si>
  <si>
    <t>MC -LUBRIFICADOR DE CUBO DE RODA AUTOMATICO</t>
  </si>
  <si>
    <t>AME - OVERHAULLASER 4JET MACHINE</t>
  </si>
  <si>
    <t>FSB - PROFILE CONTROL ANDLENGTH EXTRUDER</t>
  </si>
  <si>
    <t>MC - SPARE TIRE DATA MATRIXLABEL IMPLEMENTATION</t>
  </si>
  <si>
    <t>RESFRIAMENTO DA CABINE DOLASER RAIO X 2A</t>
  </si>
  <si>
    <t>WBS</t>
  </si>
  <si>
    <t>FSB - 2024 MISCELLANEOUS ANNUAL BUDGET</t>
  </si>
  <si>
    <t>LCP-240185</t>
  </si>
  <si>
    <t xml:space="preserve">AME - PREMIER RPA AUTOMATIC EQUIPMENT </t>
  </si>
  <si>
    <t>AME - PREMIER MDR AUTOMATIC EQUIPMENT</t>
  </si>
  <si>
    <t>LCP-240186</t>
  </si>
  <si>
    <t>LCP-240179</t>
  </si>
  <si>
    <t>MC - CARBON PROJECT 17" - GRAVATAI</t>
  </si>
  <si>
    <t>AER - NEW ORBITREAD MACHINE</t>
  </si>
  <si>
    <t>AER - SHEROGRAPHY UPGRADE (OBSEOLESCENCE AND SOFTWARE)</t>
  </si>
  <si>
    <t>AER - CORSAIR PROJECT</t>
  </si>
  <si>
    <t>AER - ANNUAL MISCELLANEOUS&lt;50K ALL PLANTS</t>
  </si>
  <si>
    <t>AER - CURING EXHAUST SYSTEM - FSP</t>
  </si>
  <si>
    <t>AER - CORSAIR</t>
  </si>
  <si>
    <t>AME - UPG CALENDER EXTRUDER REPLACEMENT BB#2</t>
  </si>
  <si>
    <t>NEW AIR COMPRESSOR - 100 PSI - CENTAC 20</t>
  </si>
  <si>
    <t>AME -UPGRADE PLC MRT PRESSES (11 PRESSES)</t>
  </si>
  <si>
    <t>UPGRADE PRENSAS MRT SLC500/CONTROLLOGIX5000 UPGRADE</t>
  </si>
  <si>
    <t>LCP-240193</t>
  </si>
  <si>
    <t xml:space="preserve">REL </t>
  </si>
  <si>
    <t>LCP-240059-11</t>
  </si>
  <si>
    <t>AME - (03) TRANSFER ORING WYKO – NGTTS</t>
  </si>
  <si>
    <t>ICP-240032</t>
  </si>
  <si>
    <t>ICP-240033</t>
  </si>
  <si>
    <t>ICP-240029</t>
  </si>
  <si>
    <t>AME - CONTOUR CORRECTION MACHINE</t>
  </si>
  <si>
    <t>AME - NEW BALANCE AKRODYNE MP04</t>
  </si>
  <si>
    <t>LCP-240059-12</t>
  </si>
  <si>
    <t>AME - HIGH PRESSURE PUMP REPLACEMENT OTR</t>
  </si>
  <si>
    <t>LCP-240196</t>
  </si>
  <si>
    <t>LCP-240059-13</t>
  </si>
  <si>
    <t>FEEDBOX EXTRUSORA 6 INFERIOR  Q5</t>
  </si>
  <si>
    <t>AME - NR12 - SAFETY REGULARIZATION - PG0102</t>
  </si>
  <si>
    <t>AME - NR12 - SAFETY ADEQUACY AND OBSOLESCENCE PROJECT FOR FVM’S MACHINE</t>
  </si>
  <si>
    <t>AME - NR12 - WIRE CALENDER - BRZ MANDATORY</t>
  </si>
  <si>
    <t>AME - SAFETY TEXTIL CALENDER 3R</t>
  </si>
  <si>
    <t>AME - NR12 - SAFETY ADEQUACY IN WULO (WULO PHASE 1)</t>
  </si>
  <si>
    <t>AME - NR12 - SAFETY REGULARIZATION NT 19 MG R3</t>
  </si>
  <si>
    <t>AME - NR12 -  SAFETY REGULARIZATION BW#01</t>
  </si>
  <si>
    <t>AME - NR12 -  SAFETY REGULARIZATION BW#05</t>
  </si>
  <si>
    <t>AME - NR12 - SAFETY REGULARIZATION NT 18 MG R3</t>
  </si>
  <si>
    <t>AME - NR12 - WULO PHASE 2</t>
  </si>
  <si>
    <t>AME - SAFETY NT CONSUMMER BUILDING ENHANCEMENT</t>
  </si>
  <si>
    <t>MC - NR12 - ADEQUACY - ANCHIETA</t>
  </si>
  <si>
    <t>AME - NR12 - ADEQUATION OF NR12 COMPLIANCE PHASE III</t>
  </si>
  <si>
    <t>AME - NR12 - ADEQUACY OF NR12 COMPLIANCE - PHASE IV</t>
  </si>
  <si>
    <t>AER - NR12 - PROJECT</t>
  </si>
  <si>
    <t>RET - NR24 - BATHROOM ADEQUANCY</t>
  </si>
  <si>
    <t>AERO - NR12 - ADEQUANCY AERO RETREAD MACHINES</t>
  </si>
  <si>
    <t>TOTAL 2025</t>
  </si>
  <si>
    <t>TOTAL 2026</t>
  </si>
  <si>
    <t>PREVIOUS STATUS SAP</t>
  </si>
  <si>
    <t>STATUS COMPARISON</t>
  </si>
  <si>
    <t>SAP STATUS (MACRO)</t>
  </si>
  <si>
    <t>ICP-240038</t>
  </si>
  <si>
    <t>AMA - MIXER#1 LOADING CONVEYOR UPGRADE</t>
  </si>
  <si>
    <t>AME - CONSUMER EXPANSION PHASE 2</t>
  </si>
  <si>
    <t>AME - FLOOR AVAILABILITY TBM (LINER/PLY RACKS PURCHASE)</t>
  </si>
  <si>
    <t>AME - BEAD COMPRESSION WKM-B4</t>
  </si>
  <si>
    <t>ICP-240041</t>
  </si>
  <si>
    <t>AME - CREEL ROOM TRANSFER GADSDEN</t>
  </si>
  <si>
    <t>AOP
CURRENT YEAR</t>
  </si>
  <si>
    <t>TOTAL 2027</t>
  </si>
  <si>
    <t>AME - NEW AIR COMPRESSOR - 100 PSI - CENTAC 19</t>
  </si>
  <si>
    <t>AME - REPLACEMENT OF BOTTOM COOLING TANK D#4 - PHASE 2</t>
  </si>
  <si>
    <t>AME - UPGRADE OF THE BELT STEEL SYSTEM GUN CALENDER - CAL4R1</t>
  </si>
  <si>
    <t>AME - NEW CREEL TO REPLACE CREEL TRANSFERED FROM GADSDEN</t>
  </si>
  <si>
    <t>LAPG - SAFER BARRIER</t>
  </si>
  <si>
    <t>MC - 2025 MISCELLANEOUS ANNUAL BUDGET</t>
  </si>
  <si>
    <t>AER - BARCODE TRACEABILITY PROJECT + RTS UPGRADE</t>
  </si>
  <si>
    <t>LCP-240194</t>
  </si>
  <si>
    <t>LCP-240200</t>
  </si>
  <si>
    <t>MC - NEW AIR COMPRESSOR - EPIACABA</t>
  </si>
  <si>
    <t>MC – PROTECTIVE FENCE – WHEEL RACKS AREA</t>
  </si>
  <si>
    <t>LCP-240191</t>
  </si>
  <si>
    <t>FSB - UPGRADE AERO RETREAD SHEAROGRAPHY</t>
  </si>
  <si>
    <t>FSB - 2025 MISCELLANEOUS ANNUAL BUDGET</t>
  </si>
  <si>
    <t>RET - LIGHTING SYSTEM ADEQUATION</t>
  </si>
  <si>
    <t xml:space="preserve"> RET - UPGRADE DUST COLLECTOR BUFFER </t>
  </si>
  <si>
    <t>RET  - ADJUSTMENT TO TARGET</t>
  </si>
  <si>
    <t>AME - 2025 MISCELLANEOUS ANNUAL BUDGET</t>
  </si>
  <si>
    <t>LCP-250006</t>
  </si>
  <si>
    <t>AME - MIXER#5 BODY REPLACEMENT</t>
  </si>
  <si>
    <t>x4</t>
  </si>
  <si>
    <t>REASON FOR POSTPONATION</t>
  </si>
  <si>
    <t>LCP-250014</t>
  </si>
  <si>
    <t>FSB - RACKS PHASE 1</t>
  </si>
  <si>
    <t>LCP-250008</t>
  </si>
  <si>
    <t>LAPG - 2025 MISCELLANEOUS ANNUAL BUDGET</t>
  </si>
  <si>
    <t>LCP-250021</t>
  </si>
  <si>
    <t>LCP-240192</t>
  </si>
  <si>
    <t>AME - CALENDER ROLL GRINDING CAPABILITY</t>
  </si>
  <si>
    <t>POKA YOKE ISOLADORAS FASE 2
BEADWINDER DATA MANAGEMENT (NSNL)</t>
  </si>
  <si>
    <t>NO BUDGET</t>
  </si>
  <si>
    <t>LAPG - OPTICAL FIBER SYSTEM UPDATE</t>
  </si>
  <si>
    <t>LAPG - GPS RADIO TRACK MONITORING SYSTEM</t>
  </si>
  <si>
    <t>LCP-250026</t>
  </si>
  <si>
    <t>LCP-250025</t>
  </si>
  <si>
    <t>LCP-250027</t>
  </si>
  <si>
    <t>LCP-250030</t>
  </si>
  <si>
    <t>TOTAL 2028</t>
  </si>
  <si>
    <t>LCP-250006-02</t>
  </si>
  <si>
    <t>LCP-250006-03</t>
  </si>
  <si>
    <t>LCP-250006-04</t>
  </si>
  <si>
    <t>LCP-250006-05</t>
  </si>
  <si>
    <t>LCP-250006-06</t>
  </si>
  <si>
    <t>LCP-250006-07</t>
  </si>
  <si>
    <t>LCP-250006-08</t>
  </si>
  <si>
    <t>LCP-250006-10</t>
  </si>
  <si>
    <t>LCP-250006-11</t>
  </si>
  <si>
    <t>LCP-250029</t>
  </si>
  <si>
    <t>LCP-250031</t>
  </si>
  <si>
    <t>MC – MANUAL BALANCER MACHINES - ANCHIETA</t>
  </si>
  <si>
    <t>JATEADORA DE GELO SECO</t>
  </si>
  <si>
    <t>ADEQUACAO DE PAINEL MOTOBOMBA EDF.75</t>
  </si>
  <si>
    <t>LCP-250028</t>
  </si>
  <si>
    <t>TOTAL 2030</t>
  </si>
  <si>
    <t>TOTAL 2029</t>
  </si>
  <si>
    <t>AMERICANA QUARTELYS PROJECTS MANAGEMENT ($000)</t>
  </si>
  <si>
    <t>LCP-250033</t>
  </si>
  <si>
    <t>AME - REPLACEMENT OF THE METAL CONVEYOR HOTFORMER</t>
  </si>
  <si>
    <t>BUDGET APPROVED ON HOPPER</t>
  </si>
  <si>
    <t>LCP-250006-09</t>
  </si>
  <si>
    <t>AUTOCOMPOUND Q5 SLOW MOVING</t>
  </si>
  <si>
    <t>BALANÇA PARA PONTE ROLANTE</t>
  </si>
  <si>
    <t>Waiting1</t>
  </si>
  <si>
    <t>Waiting2</t>
  </si>
  <si>
    <t>Waiting3</t>
  </si>
  <si>
    <t>MELHORIA UNIDADE HIDRÁULICA NGTTS</t>
  </si>
  <si>
    <t>LCP-250040</t>
  </si>
  <si>
    <t>AME - NR12 - SAFETY REGULARIZATION BW#02</t>
  </si>
  <si>
    <t>LCP-250041</t>
  </si>
  <si>
    <t>NOVO DISPERGRADER PARA MEDIÇÃO DA DISPERSÃO EM COMPOSTOS</t>
  </si>
  <si>
    <t>LCP-250036</t>
  </si>
  <si>
    <t>AME - MILL ROLLERS 100 MIXER #4</t>
  </si>
  <si>
    <t>MIXER 05 - TROCA TCU CALANDRA E EXTRUSORA</t>
  </si>
  <si>
    <t>FSB - FACTORY ACCESS CONTROL</t>
  </si>
  <si>
    <t>LCP-250056</t>
  </si>
  <si>
    <t>Waiting4</t>
  </si>
  <si>
    <t>MC  - CLIMATIZER MBB MANUFACTURING CELL</t>
  </si>
  <si>
    <t>LCP-250043</t>
  </si>
  <si>
    <t>AME - PROTECTO WIRE SYS</t>
  </si>
  <si>
    <t>VALIDAÇÃO DE NR12 - NGs</t>
  </si>
  <si>
    <t>VALIDAÇÃO DE NR12 - TBMs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</si>
</sst>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R$ &quot;* #,##0.00_);_(&quot;R$ &quot;* \(#,##0.00\);_(&quot;R$ &quot;* &quot;-&quot;??_);_(@_)"/>
    <numFmt numFmtId="167" formatCode="_([$€-2]* #,##0.00_);_([$€-2]* \(#,##0.00\);_([$€-2]* &quot;-&quot;??_)"/>
    <numFmt numFmtId="168" formatCode="#,##0_ ;[Red]\-#,##0\ "/>
    <numFmt numFmtId="169" formatCode="[$$-409]#,##0"/>
    <numFmt numFmtId="170" formatCode="_(* #,##0.0_);_(* \(#,##0.0\);_(* &quot;-&quot;??_);_(@_)"/>
    <numFmt numFmtId="171" formatCode="#,##0.00_ ;[Red]\-#,##0.00\ "/>
    <numFmt numFmtId="172" formatCode="0.0%"/>
    <numFmt numFmtId="173" formatCode="_(* #,##0_);_(* \(#,##0\);_(* &quot;-&quot;??_);_(@_)"/>
    <numFmt numFmtId="174" formatCode="0.0"/>
    <numFmt numFmtId="175" formatCode="[$-416]mmm\-yy;@"/>
    <numFmt numFmtId="176" formatCode="#,##0.0_ ;[Red]\-#,##0.0\ "/>
    <numFmt numFmtId="177" formatCode="#,##0.0_);[Red]\(#,##0.0\)"/>
    <numFmt numFmtId="178" formatCode="#,##0.000000000000_);[Red]\(#,##0.000000000000\)"/>
    <numFmt numFmtId="179" formatCode="#,##0.000000_ ;[Red]\-#,##0.000000\ "/>
    <numFmt numFmtId="180" formatCode="_-* #,##0.0_-;\-* #,##0.0_-;_-* &quot;-&quot;?_-;_-@_-"/>
    <numFmt numFmtId="181" formatCode="_(* #,##0.000_);_(* \(#,##0.000\);_(* &quot;-&quot;??_);_(@_)"/>
    <numFmt numFmtId="182" formatCode="#,##0.00000_ ;[Red]\-#,##0.00000\ 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2"/>
      <name val="Tahoma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30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i/>
      <sz val="33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color theme="1"/>
      <name val="Wingdings"/>
      <charset val="2"/>
    </font>
    <font>
      <sz val="36"/>
      <color theme="1"/>
      <name val="Franklin Gothic Heavy"/>
      <family val="2"/>
    </font>
    <font>
      <b/>
      <sz val="14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1"/>
      <name val="Franklin Gothic Heavy"/>
      <family val="2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8"/>
      <color theme="1"/>
      <name val="Franklin Gothic Heavy"/>
      <family val="2"/>
    </font>
    <font>
      <sz val="24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sz val="26"/>
      <color theme="1"/>
      <name val="Franklin Gothic Heavy"/>
      <family val="2"/>
    </font>
    <font>
      <sz val="20"/>
      <color theme="1"/>
      <name val="Franklin Gothic Heavy"/>
      <family val="2"/>
    </font>
    <font>
      <b/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sz val="11"/>
      <color rgb="FF00CC66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22"/>
      <color rgb="FF0070C0"/>
      <name val="Wingfoot Sans"/>
      <family val="2"/>
    </font>
    <font>
      <b/>
      <sz val="40"/>
      <name val="Calibri"/>
      <family val="2"/>
      <scheme val="minor"/>
    </font>
    <font>
      <sz val="22"/>
      <name val="Wingfoot Sans"/>
      <family val="2"/>
    </font>
    <font>
      <sz val="11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4F8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5D9F"/>
        <bgColor indexed="64"/>
      </patternFill>
    </fill>
  </fills>
  <borders count="30">
    <border>
      <left/>
      <right/>
      <top/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0" tint="-0.499984740745262"/>
      </left>
      <right style="medium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/>
      <bottom style="hair">
        <color theme="0" tint="-0.499984740745262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 style="medium">
        <color theme="0" tint="-0.499984740745262"/>
      </left>
      <right style="medium">
        <color theme="0" tint="-0.499984740745262"/>
      </right>
      <top style="hair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</borders>
  <cellStyleXfs count="24">
    <xf numFmtId="0" fontId="0" fillId="0" borderId="0"/>
    <xf numFmtId="166" fontId="1" fillId="0" borderId="0" applyFont="0" applyFill="0" applyBorder="0" applyAlignment="0" applyProtection="0"/>
    <xf numFmtId="0" fontId="2" fillId="0" borderId="0"/>
    <xf numFmtId="167" fontId="3" fillId="0" borderId="0" applyFont="0" applyFill="0" applyBorder="0" applyAlignment="0" applyProtection="0"/>
    <xf numFmtId="0" fontId="4" fillId="0" borderId="0"/>
    <xf numFmtId="0" fontId="5" fillId="0" borderId="0"/>
    <xf numFmtId="0" fontId="4" fillId="0" borderId="0"/>
    <xf numFmtId="0" fontId="14" fillId="0" borderId="0"/>
    <xf numFmtId="165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51" fillId="0" borderId="0"/>
    <xf numFmtId="43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52" fillId="0" borderId="0"/>
  </cellStyleXfs>
  <cellXfs count="356">
    <xf numFmtId="0" fontId="0" fillId="0" borderId="0" xfId="0"/>
    <xf numFmtId="0" fontId="12" fillId="4" borderId="1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14" fontId="7" fillId="2" borderId="3" xfId="1" applyNumberFormat="1" applyFont="1" applyFill="1" applyBorder="1" applyAlignment="1">
      <alignment horizontal="center" vertical="center" wrapText="1"/>
    </xf>
    <xf numFmtId="14" fontId="7" fillId="2" borderId="3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vertical="center" wrapText="1"/>
    </xf>
    <xf numFmtId="14" fontId="7" fillId="2" borderId="5" xfId="0" applyNumberFormat="1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168" fontId="7" fillId="2" borderId="3" xfId="1" applyNumberFormat="1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14" fontId="21" fillId="3" borderId="0" xfId="0" applyNumberFormat="1" applyFont="1" applyFill="1" applyAlignment="1">
      <alignment horizontal="center" vertical="center"/>
    </xf>
    <xf numFmtId="168" fontId="20" fillId="3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vertical="center"/>
    </xf>
    <xf numFmtId="0" fontId="6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8" fillId="3" borderId="0" xfId="0" applyFont="1" applyFill="1" applyAlignment="1">
      <alignment horizontal="right" vertical="center"/>
    </xf>
    <xf numFmtId="14" fontId="17" fillId="3" borderId="0" xfId="0" applyNumberFormat="1" applyFont="1" applyFill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168" fontId="16" fillId="3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vertical="center"/>
    </xf>
    <xf numFmtId="169" fontId="15" fillId="3" borderId="0" xfId="0" applyNumberFormat="1" applyFont="1" applyFill="1" applyAlignment="1">
      <alignment horizontal="center" vertical="center"/>
    </xf>
    <xf numFmtId="168" fontId="15" fillId="3" borderId="0" xfId="0" applyNumberFormat="1" applyFont="1" applyFill="1" applyAlignment="1">
      <alignment horizontal="center" vertical="center"/>
    </xf>
    <xf numFmtId="0" fontId="22" fillId="3" borderId="7" xfId="0" applyFont="1" applyFill="1" applyBorder="1" applyAlignment="1">
      <alignment vertical="center"/>
    </xf>
    <xf numFmtId="0" fontId="22" fillId="3" borderId="0" xfId="0" applyFont="1" applyFill="1" applyAlignment="1">
      <alignment vertical="center"/>
    </xf>
    <xf numFmtId="0" fontId="23" fillId="3" borderId="6" xfId="0" applyFont="1" applyFill="1" applyBorder="1" applyAlignment="1">
      <alignment vertical="center"/>
    </xf>
    <xf numFmtId="170" fontId="8" fillId="2" borderId="3" xfId="15" applyNumberFormat="1" applyFont="1" applyFill="1" applyBorder="1" applyAlignment="1">
      <alignment horizontal="center" vertical="center" wrapText="1"/>
    </xf>
    <xf numFmtId="170" fontId="8" fillId="2" borderId="3" xfId="15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14" fontId="7" fillId="2" borderId="8" xfId="1" applyNumberFormat="1" applyFont="1" applyFill="1" applyBorder="1" applyAlignment="1">
      <alignment horizontal="center" vertical="center" wrapText="1"/>
    </xf>
    <xf numFmtId="14" fontId="7" fillId="2" borderId="8" xfId="0" applyNumberFormat="1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vertical="center" wrapText="1"/>
    </xf>
    <xf numFmtId="0" fontId="8" fillId="2" borderId="8" xfId="0" applyFont="1" applyFill="1" applyBorder="1" applyAlignment="1">
      <alignment horizontal="center" vertical="center" wrapText="1"/>
    </xf>
    <xf numFmtId="170" fontId="8" fillId="2" borderId="8" xfId="15" applyNumberFormat="1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168" fontId="20" fillId="3" borderId="2" xfId="0" applyNumberFormat="1" applyFont="1" applyFill="1" applyBorder="1" applyAlignment="1">
      <alignment horizontal="center" vertical="center"/>
    </xf>
    <xf numFmtId="168" fontId="6" fillId="3" borderId="0" xfId="0" applyNumberFormat="1" applyFont="1" applyFill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169" fontId="16" fillId="3" borderId="0" xfId="0" applyNumberFormat="1" applyFont="1" applyFill="1" applyAlignment="1">
      <alignment horizontal="center" vertical="center"/>
    </xf>
    <xf numFmtId="0" fontId="19" fillId="14" borderId="1" xfId="0" applyFont="1" applyFill="1" applyBorder="1" applyAlignment="1">
      <alignment horizontal="center" vertical="center" wrapText="1"/>
    </xf>
    <xf numFmtId="170" fontId="8" fillId="8" borderId="3" xfId="0" applyNumberFormat="1" applyFont="1" applyFill="1" applyBorder="1" applyAlignment="1">
      <alignment horizontal="center" vertical="center" wrapText="1"/>
    </xf>
    <xf numFmtId="170" fontId="8" fillId="8" borderId="8" xfId="0" applyNumberFormat="1" applyFont="1" applyFill="1" applyBorder="1" applyAlignment="1">
      <alignment horizontal="center" vertical="center" wrapText="1"/>
    </xf>
    <xf numFmtId="0" fontId="22" fillId="3" borderId="10" xfId="0" applyFont="1" applyFill="1" applyBorder="1" applyAlignment="1">
      <alignment vertical="center"/>
    </xf>
    <xf numFmtId="0" fontId="0" fillId="0" borderId="0" xfId="0" applyAlignment="1">
      <alignment horizontal="center"/>
    </xf>
    <xf numFmtId="174" fontId="20" fillId="3" borderId="0" xfId="0" applyNumberFormat="1" applyFont="1" applyFill="1" applyAlignment="1">
      <alignment horizontal="center" vertical="center"/>
    </xf>
    <xf numFmtId="173" fontId="12" fillId="7" borderId="3" xfId="1" applyNumberFormat="1" applyFont="1" applyFill="1" applyBorder="1" applyAlignment="1">
      <alignment horizontal="center" vertical="center" wrapText="1"/>
    </xf>
    <xf numFmtId="173" fontId="12" fillId="7" borderId="4" xfId="1" applyNumberFormat="1" applyFont="1" applyFill="1" applyBorder="1" applyAlignment="1">
      <alignment horizontal="center" vertical="center" wrapText="1"/>
    </xf>
    <xf numFmtId="0" fontId="19" fillId="18" borderId="1" xfId="0" applyFont="1" applyFill="1" applyBorder="1" applyAlignment="1">
      <alignment horizontal="center" vertical="center" wrapText="1"/>
    </xf>
    <xf numFmtId="173" fontId="12" fillId="11" borderId="3" xfId="1" applyNumberFormat="1" applyFont="1" applyFill="1" applyBorder="1" applyAlignment="1">
      <alignment horizontal="center" vertical="center" wrapText="1"/>
    </xf>
    <xf numFmtId="173" fontId="12" fillId="11" borderId="4" xfId="1" applyNumberFormat="1" applyFont="1" applyFill="1" applyBorder="1" applyAlignment="1">
      <alignment horizontal="center" vertical="center" wrapText="1"/>
    </xf>
    <xf numFmtId="0" fontId="0" fillId="5" borderId="0" xfId="0" applyFill="1"/>
    <xf numFmtId="173" fontId="12" fillId="5" borderId="3" xfId="1" applyNumberFormat="1" applyFont="1" applyFill="1" applyBorder="1" applyAlignment="1">
      <alignment horizontal="center" vertical="center" wrapText="1"/>
    </xf>
    <xf numFmtId="9" fontId="0" fillId="0" borderId="0" xfId="16" applyFont="1"/>
    <xf numFmtId="0" fontId="0" fillId="3" borderId="0" xfId="0" applyFill="1"/>
    <xf numFmtId="0" fontId="0" fillId="3" borderId="0" xfId="0" applyFill="1" applyAlignment="1">
      <alignment horizontal="center"/>
    </xf>
    <xf numFmtId="173" fontId="0" fillId="3" borderId="0" xfId="0" applyNumberFormat="1" applyFill="1" applyAlignment="1">
      <alignment horizontal="center"/>
    </xf>
    <xf numFmtId="173" fontId="12" fillId="15" borderId="3" xfId="1" applyNumberFormat="1" applyFont="1" applyFill="1" applyBorder="1" applyAlignment="1">
      <alignment horizontal="center" vertical="center" wrapText="1"/>
    </xf>
    <xf numFmtId="173" fontId="12" fillId="15" borderId="4" xfId="1" applyNumberFormat="1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left" vertical="center" wrapText="1"/>
    </xf>
    <xf numFmtId="173" fontId="12" fillId="12" borderId="3" xfId="1" applyNumberFormat="1" applyFont="1" applyFill="1" applyBorder="1" applyAlignment="1">
      <alignment horizontal="center" vertical="center" wrapText="1"/>
    </xf>
    <xf numFmtId="173" fontId="12" fillId="12" borderId="4" xfId="1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73" fontId="12" fillId="2" borderId="3" xfId="1" applyNumberFormat="1" applyFont="1" applyFill="1" applyBorder="1" applyAlignment="1">
      <alignment horizontal="center" vertical="center" wrapText="1"/>
    </xf>
    <xf numFmtId="173" fontId="12" fillId="2" borderId="4" xfId="1" applyNumberFormat="1" applyFont="1" applyFill="1" applyBorder="1" applyAlignment="1">
      <alignment horizontal="center" vertical="center" wrapText="1"/>
    </xf>
    <xf numFmtId="173" fontId="24" fillId="5" borderId="0" xfId="0" applyNumberFormat="1" applyFont="1" applyFill="1" applyAlignment="1">
      <alignment horizontal="center"/>
    </xf>
    <xf numFmtId="0" fontId="8" fillId="0" borderId="3" xfId="0" applyFont="1" applyBorder="1" applyAlignment="1">
      <alignment horizontal="center" vertical="center" wrapText="1"/>
    </xf>
    <xf numFmtId="14" fontId="7" fillId="0" borderId="3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  <xf numFmtId="170" fontId="19" fillId="19" borderId="3" xfId="0" applyNumberFormat="1" applyFont="1" applyFill="1" applyBorder="1" applyAlignment="1">
      <alignment horizontal="center" vertical="center" wrapText="1"/>
    </xf>
    <xf numFmtId="0" fontId="30" fillId="9" borderId="9" xfId="0" applyFont="1" applyFill="1" applyBorder="1" applyAlignment="1">
      <alignment horizontal="center" vertical="center" wrapText="1"/>
    </xf>
    <xf numFmtId="169" fontId="30" fillId="19" borderId="1" xfId="0" applyNumberFormat="1" applyFont="1" applyFill="1" applyBorder="1" applyAlignment="1">
      <alignment horizontal="center" vertical="center" wrapText="1"/>
    </xf>
    <xf numFmtId="0" fontId="30" fillId="19" borderId="1" xfId="0" applyFont="1" applyFill="1" applyBorder="1" applyAlignment="1">
      <alignment horizontal="center" vertical="center" wrapText="1"/>
    </xf>
    <xf numFmtId="169" fontId="29" fillId="5" borderId="1" xfId="0" applyNumberFormat="1" applyFont="1" applyFill="1" applyBorder="1" applyAlignment="1">
      <alignment horizontal="center" vertical="center" wrapText="1"/>
    </xf>
    <xf numFmtId="0" fontId="27" fillId="9" borderId="0" xfId="0" applyFont="1" applyFill="1" applyAlignment="1">
      <alignment horizontal="center"/>
    </xf>
    <xf numFmtId="168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0" fontId="35" fillId="0" borderId="0" xfId="0" applyFont="1" applyAlignment="1">
      <alignment horizontal="center"/>
    </xf>
    <xf numFmtId="170" fontId="8" fillId="5" borderId="3" xfId="15" applyNumberFormat="1" applyFon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/>
    </xf>
    <xf numFmtId="0" fontId="27" fillId="9" borderId="2" xfId="0" applyFont="1" applyFill="1" applyBorder="1" applyAlignment="1">
      <alignment horizontal="center"/>
    </xf>
    <xf numFmtId="168" fontId="27" fillId="9" borderId="2" xfId="0" applyNumberFormat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168" fontId="0" fillId="0" borderId="18" xfId="0" applyNumberFormat="1" applyBorder="1" applyAlignment="1">
      <alignment horizontal="center"/>
    </xf>
    <xf numFmtId="175" fontId="0" fillId="0" borderId="18" xfId="0" applyNumberFormat="1" applyBorder="1" applyAlignment="1">
      <alignment horizontal="center"/>
    </xf>
    <xf numFmtId="0" fontId="35" fillId="0" borderId="18" xfId="0" applyFont="1" applyBorder="1" applyAlignment="1">
      <alignment horizontal="center"/>
    </xf>
    <xf numFmtId="0" fontId="36" fillId="0" borderId="18" xfId="0" applyFont="1" applyBorder="1" applyAlignment="1">
      <alignment horizontal="center"/>
    </xf>
    <xf numFmtId="0" fontId="35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168" fontId="0" fillId="0" borderId="19" xfId="0" applyNumberFormat="1" applyBorder="1" applyAlignment="1">
      <alignment horizontal="center"/>
    </xf>
    <xf numFmtId="175" fontId="0" fillId="0" borderId="19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14" fontId="7" fillId="2" borderId="20" xfId="0" applyNumberFormat="1" applyFont="1" applyFill="1" applyBorder="1" applyAlignment="1">
      <alignment horizontal="center" vertical="center" wrapText="1"/>
    </xf>
    <xf numFmtId="168" fontId="0" fillId="0" borderId="0" xfId="0" applyNumberFormat="1"/>
    <xf numFmtId="0" fontId="37" fillId="0" borderId="0" xfId="0" applyFont="1"/>
    <xf numFmtId="0" fontId="37" fillId="5" borderId="0" xfId="0" applyFont="1" applyFill="1"/>
    <xf numFmtId="0" fontId="37" fillId="0" borderId="2" xfId="0" applyFont="1" applyBorder="1"/>
    <xf numFmtId="0" fontId="0" fillId="0" borderId="0" xfId="0" applyAlignment="1">
      <alignment horizontal="right"/>
    </xf>
    <xf numFmtId="176" fontId="0" fillId="0" borderId="0" xfId="0" applyNumberFormat="1"/>
    <xf numFmtId="0" fontId="6" fillId="3" borderId="0" xfId="0" applyFont="1" applyFill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14" fontId="7" fillId="0" borderId="8" xfId="0" applyNumberFormat="1" applyFont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8" fillId="24" borderId="0" xfId="0" applyFont="1" applyFill="1" applyAlignment="1">
      <alignment horizontal="center" vertical="center"/>
    </xf>
    <xf numFmtId="176" fontId="36" fillId="0" borderId="0" xfId="0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176" fontId="36" fillId="12" borderId="12" xfId="0" applyNumberFormat="1" applyFont="1" applyFill="1" applyBorder="1" applyAlignment="1">
      <alignment horizontal="center" vertical="center"/>
    </xf>
    <xf numFmtId="9" fontId="0" fillId="12" borderId="12" xfId="16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176" fontId="36" fillId="3" borderId="21" xfId="0" applyNumberFormat="1" applyFont="1" applyFill="1" applyBorder="1" applyAlignment="1">
      <alignment horizontal="center" vertical="center"/>
    </xf>
    <xf numFmtId="176" fontId="38" fillId="14" borderId="21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68" fontId="12" fillId="26" borderId="3" xfId="1" applyNumberFormat="1" applyFont="1" applyFill="1" applyBorder="1" applyAlignment="1">
      <alignment horizontal="center" vertical="center" wrapText="1"/>
    </xf>
    <xf numFmtId="176" fontId="36" fillId="12" borderId="22" xfId="0" applyNumberFormat="1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177" fontId="0" fillId="0" borderId="0" xfId="0" applyNumberFormat="1"/>
    <xf numFmtId="178" fontId="0" fillId="0" borderId="0" xfId="0" applyNumberFormat="1"/>
    <xf numFmtId="176" fontId="36" fillId="5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176" fontId="36" fillId="20" borderId="0" xfId="0" quotePrefix="1" applyNumberFormat="1" applyFont="1" applyFill="1" applyAlignment="1">
      <alignment horizontal="center" vertical="center"/>
    </xf>
    <xf numFmtId="0" fontId="0" fillId="31" borderId="0" xfId="0" applyFill="1" applyAlignment="1">
      <alignment horizontal="left" vertical="center"/>
    </xf>
    <xf numFmtId="0" fontId="7" fillId="0" borderId="3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170" fontId="15" fillId="4" borderId="5" xfId="1" applyNumberFormat="1" applyFont="1" applyFill="1" applyBorder="1" applyAlignment="1">
      <alignment horizontal="center" vertical="center" wrapText="1"/>
    </xf>
    <xf numFmtId="168" fontId="12" fillId="32" borderId="3" xfId="1" applyNumberFormat="1" applyFont="1" applyFill="1" applyBorder="1" applyAlignment="1">
      <alignment horizontal="center" vertical="center" wrapText="1"/>
    </xf>
    <xf numFmtId="0" fontId="12" fillId="23" borderId="1" xfId="0" applyFont="1" applyFill="1" applyBorder="1" applyAlignment="1">
      <alignment horizontal="center" vertical="center" wrapText="1"/>
    </xf>
    <xf numFmtId="0" fontId="15" fillId="0" borderId="3" xfId="0" quotePrefix="1" applyFont="1" applyBorder="1" applyAlignment="1">
      <alignment horizontal="left" vertical="center" wrapText="1"/>
    </xf>
    <xf numFmtId="0" fontId="7" fillId="0" borderId="3" xfId="0" quotePrefix="1" applyFont="1" applyBorder="1" applyAlignment="1">
      <alignment horizontal="left" vertical="center" wrapText="1"/>
    </xf>
    <xf numFmtId="0" fontId="41" fillId="0" borderId="3" xfId="0" applyFont="1" applyBorder="1" applyAlignment="1">
      <alignment horizontal="left" vertical="center" wrapText="1"/>
    </xf>
    <xf numFmtId="0" fontId="7" fillId="0" borderId="8" xfId="0" quotePrefix="1" applyFont="1" applyBorder="1" applyAlignment="1">
      <alignment horizontal="left" vertical="center" wrapText="1"/>
    </xf>
    <xf numFmtId="0" fontId="42" fillId="3" borderId="6" xfId="0" applyFont="1" applyFill="1" applyBorder="1" applyAlignment="1">
      <alignment vertical="center"/>
    </xf>
    <xf numFmtId="0" fontId="15" fillId="2" borderId="8" xfId="0" applyFont="1" applyFill="1" applyBorder="1" applyAlignment="1">
      <alignment horizontal="center" vertical="center" wrapText="1"/>
    </xf>
    <xf numFmtId="0" fontId="15" fillId="2" borderId="3" xfId="0" quotePrefix="1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/>
    </xf>
    <xf numFmtId="0" fontId="30" fillId="29" borderId="1" xfId="0" applyFont="1" applyFill="1" applyBorder="1" applyAlignment="1">
      <alignment horizontal="center" vertical="center" wrapText="1"/>
    </xf>
    <xf numFmtId="170" fontId="19" fillId="29" borderId="3" xfId="0" applyNumberFormat="1" applyFont="1" applyFill="1" applyBorder="1" applyAlignment="1">
      <alignment horizontal="center" vertical="center" wrapText="1"/>
    </xf>
    <xf numFmtId="170" fontId="15" fillId="17" borderId="3" xfId="1" applyNumberFormat="1" applyFont="1" applyFill="1" applyBorder="1" applyAlignment="1">
      <alignment horizontal="center" vertical="center" wrapText="1"/>
    </xf>
    <xf numFmtId="170" fontId="15" fillId="17" borderId="8" xfId="1" applyNumberFormat="1" applyFont="1" applyFill="1" applyBorder="1" applyAlignment="1">
      <alignment horizontal="center" vertical="center" wrapText="1"/>
    </xf>
    <xf numFmtId="169" fontId="40" fillId="29" borderId="1" xfId="0" applyNumberFormat="1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left" vertical="center" wrapText="1"/>
    </xf>
    <xf numFmtId="0" fontId="15" fillId="2" borderId="8" xfId="0" applyFont="1" applyFill="1" applyBorder="1" applyAlignment="1">
      <alignment horizontal="left" vertical="center" wrapText="1"/>
    </xf>
    <xf numFmtId="0" fontId="12" fillId="17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/>
    </xf>
    <xf numFmtId="168" fontId="12" fillId="10" borderId="3" xfId="1" applyNumberFormat="1" applyFont="1" applyFill="1" applyBorder="1" applyAlignment="1">
      <alignment horizontal="center" vertical="center" wrapText="1"/>
    </xf>
    <xf numFmtId="0" fontId="15" fillId="2" borderId="8" xfId="0" quotePrefix="1" applyFont="1" applyFill="1" applyBorder="1" applyAlignment="1">
      <alignment horizontal="center" vertical="center" wrapText="1"/>
    </xf>
    <xf numFmtId="168" fontId="19" fillId="19" borderId="3" xfId="1" applyNumberFormat="1" applyFont="1" applyFill="1" applyBorder="1" applyAlignment="1">
      <alignment horizontal="center" vertical="center" wrapText="1"/>
    </xf>
    <xf numFmtId="0" fontId="12" fillId="6" borderId="23" xfId="0" applyFont="1" applyFill="1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179" fontId="20" fillId="3" borderId="0" xfId="0" applyNumberFormat="1" applyFont="1" applyFill="1" applyAlignment="1">
      <alignment horizontal="center" vertical="center"/>
    </xf>
    <xf numFmtId="170" fontId="8" fillId="3" borderId="3" xfId="0" applyNumberFormat="1" applyFont="1" applyFill="1" applyBorder="1" applyAlignment="1">
      <alignment horizontal="center" vertical="center" wrapText="1"/>
    </xf>
    <xf numFmtId="0" fontId="43" fillId="3" borderId="0" xfId="0" applyFont="1" applyFill="1" applyAlignment="1">
      <alignment vertical="center"/>
    </xf>
    <xf numFmtId="14" fontId="7" fillId="0" borderId="3" xfId="1" applyNumberFormat="1" applyFont="1" applyFill="1" applyBorder="1" applyAlignment="1">
      <alignment horizontal="center" vertical="center" wrapText="1"/>
    </xf>
    <xf numFmtId="14" fontId="7" fillId="16" borderId="3" xfId="0" applyNumberFormat="1" applyFont="1" applyFill="1" applyBorder="1" applyAlignment="1">
      <alignment horizontal="center" vertical="center" wrapText="1"/>
    </xf>
    <xf numFmtId="0" fontId="33" fillId="3" borderId="6" xfId="0" applyFont="1" applyFill="1" applyBorder="1" applyAlignment="1">
      <alignment vertical="center"/>
    </xf>
    <xf numFmtId="171" fontId="21" fillId="3" borderId="0" xfId="0" applyNumberFormat="1" applyFont="1" applyFill="1" applyAlignment="1">
      <alignment vertical="center"/>
    </xf>
    <xf numFmtId="14" fontId="7" fillId="0" borderId="8" xfId="1" applyNumberFormat="1" applyFont="1" applyFill="1" applyBorder="1" applyAlignment="1">
      <alignment horizontal="center" vertical="center" wrapText="1"/>
    </xf>
    <xf numFmtId="0" fontId="18" fillId="3" borderId="6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center" vertical="center"/>
    </xf>
    <xf numFmtId="0" fontId="7" fillId="28" borderId="3" xfId="0" applyFont="1" applyFill="1" applyBorder="1" applyAlignment="1">
      <alignment horizontal="center" vertical="center" wrapText="1"/>
    </xf>
    <xf numFmtId="170" fontId="15" fillId="15" borderId="3" xfId="1" applyNumberFormat="1" applyFont="1" applyFill="1" applyBorder="1" applyAlignment="1">
      <alignment horizontal="center" vertical="center" wrapText="1"/>
    </xf>
    <xf numFmtId="170" fontId="15" fillId="15" borderId="8" xfId="1" applyNumberFormat="1" applyFont="1" applyFill="1" applyBorder="1" applyAlignment="1">
      <alignment horizontal="center" vertical="center" wrapText="1"/>
    </xf>
    <xf numFmtId="14" fontId="0" fillId="2" borderId="3" xfId="0" applyNumberFormat="1" applyFill="1" applyBorder="1" applyAlignment="1">
      <alignment horizontal="center" vertical="center"/>
    </xf>
    <xf numFmtId="0" fontId="19" fillId="29" borderId="1" xfId="0" applyFont="1" applyFill="1" applyBorder="1" applyAlignment="1">
      <alignment horizontal="center" vertical="center" wrapText="1"/>
    </xf>
    <xf numFmtId="2" fontId="44" fillId="3" borderId="0" xfId="0" applyNumberFormat="1" applyFont="1" applyFill="1" applyAlignment="1">
      <alignment horizontal="center" vertical="center"/>
    </xf>
    <xf numFmtId="0" fontId="8" fillId="0" borderId="8" xfId="0" applyFont="1" applyBorder="1" applyAlignment="1">
      <alignment horizontal="left" vertical="center" wrapText="1"/>
    </xf>
    <xf numFmtId="168" fontId="20" fillId="3" borderId="0" xfId="0" applyNumberFormat="1" applyFont="1" applyFill="1" applyAlignment="1">
      <alignment horizontal="left" vertical="center"/>
    </xf>
    <xf numFmtId="0" fontId="29" fillId="8" borderId="1" xfId="0" applyFont="1" applyFill="1" applyBorder="1" applyAlignment="1">
      <alignment horizontal="center" vertical="center" wrapText="1"/>
    </xf>
    <xf numFmtId="168" fontId="12" fillId="3" borderId="3" xfId="1" applyNumberFormat="1" applyFont="1" applyFill="1" applyBorder="1" applyAlignment="1">
      <alignment horizontal="center" vertical="center" wrapText="1"/>
    </xf>
    <xf numFmtId="14" fontId="37" fillId="0" borderId="3" xfId="0" applyNumberFormat="1" applyFont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 wrapText="1"/>
    </xf>
    <xf numFmtId="0" fontId="45" fillId="37" borderId="1" xfId="0" applyFont="1" applyFill="1" applyBorder="1" applyAlignment="1">
      <alignment horizontal="center" vertical="center" wrapText="1"/>
    </xf>
    <xf numFmtId="0" fontId="30" fillId="37" borderId="1" xfId="0" applyFont="1" applyFill="1" applyBorder="1" applyAlignment="1">
      <alignment horizontal="center" vertical="center" wrapText="1"/>
    </xf>
    <xf numFmtId="170" fontId="19" fillId="37" borderId="3" xfId="0" applyNumberFormat="1" applyFont="1" applyFill="1" applyBorder="1" applyAlignment="1">
      <alignment horizontal="center" vertical="center" wrapText="1"/>
    </xf>
    <xf numFmtId="170" fontId="15" fillId="38" borderId="3" xfId="1" applyNumberFormat="1" applyFont="1" applyFill="1" applyBorder="1" applyAlignment="1">
      <alignment horizontal="center" vertical="center" wrapText="1"/>
    </xf>
    <xf numFmtId="170" fontId="15" fillId="38" borderId="8" xfId="1" applyNumberFormat="1" applyFont="1" applyFill="1" applyBorder="1" applyAlignment="1">
      <alignment horizontal="center" vertical="center" wrapText="1"/>
    </xf>
    <xf numFmtId="170" fontId="15" fillId="32" borderId="3" xfId="1" applyNumberFormat="1" applyFont="1" applyFill="1" applyBorder="1" applyAlignment="1">
      <alignment horizontal="center" vertical="center" wrapText="1"/>
    </xf>
    <xf numFmtId="170" fontId="15" fillId="32" borderId="8" xfId="1" applyNumberFormat="1" applyFont="1" applyFill="1" applyBorder="1" applyAlignment="1">
      <alignment horizontal="center" vertical="center" wrapText="1"/>
    </xf>
    <xf numFmtId="170" fontId="8" fillId="15" borderId="3" xfId="0" applyNumberFormat="1" applyFont="1" applyFill="1" applyBorder="1" applyAlignment="1">
      <alignment horizontal="center" vertical="center" wrapText="1"/>
    </xf>
    <xf numFmtId="170" fontId="8" fillId="32" borderId="3" xfId="0" applyNumberFormat="1" applyFont="1" applyFill="1" applyBorder="1" applyAlignment="1">
      <alignment horizontal="center" vertical="center" wrapText="1"/>
    </xf>
    <xf numFmtId="169" fontId="29" fillId="13" borderId="1" xfId="0" applyNumberFormat="1" applyFont="1" applyFill="1" applyBorder="1" applyAlignment="1">
      <alignment horizontal="center" vertical="center" wrapText="1"/>
    </xf>
    <xf numFmtId="0" fontId="8" fillId="21" borderId="3" xfId="0" applyFont="1" applyFill="1" applyBorder="1" applyAlignment="1">
      <alignment horizontal="center" vertical="center" wrapText="1"/>
    </xf>
    <xf numFmtId="0" fontId="9" fillId="30" borderId="1" xfId="0" applyFont="1" applyFill="1" applyBorder="1" applyAlignment="1">
      <alignment horizontal="center" vertical="center"/>
    </xf>
    <xf numFmtId="170" fontId="8" fillId="39" borderId="3" xfId="0" applyNumberFormat="1" applyFont="1" applyFill="1" applyBorder="1" applyAlignment="1">
      <alignment horizontal="center" vertical="center" wrapText="1"/>
    </xf>
    <xf numFmtId="14" fontId="0" fillId="6" borderId="3" xfId="0" applyNumberFormat="1" applyFill="1" applyBorder="1" applyAlignment="1">
      <alignment horizontal="center" vertical="center"/>
    </xf>
    <xf numFmtId="170" fontId="8" fillId="3" borderId="5" xfId="0" applyNumberFormat="1" applyFont="1" applyFill="1" applyBorder="1" applyAlignment="1">
      <alignment horizontal="center" vertical="center" wrapText="1"/>
    </xf>
    <xf numFmtId="168" fontId="12" fillId="0" borderId="3" xfId="1" applyNumberFormat="1" applyFont="1" applyFill="1" applyBorder="1" applyAlignment="1">
      <alignment horizontal="center" vertical="center" wrapText="1"/>
    </xf>
    <xf numFmtId="0" fontId="12" fillId="40" borderId="1" xfId="0" applyFont="1" applyFill="1" applyBorder="1" applyAlignment="1">
      <alignment horizontal="center" vertical="center" wrapText="1"/>
    </xf>
    <xf numFmtId="9" fontId="7" fillId="2" borderId="3" xfId="16" applyFont="1" applyFill="1" applyBorder="1" applyAlignment="1">
      <alignment horizontal="center" vertical="center" wrapText="1"/>
    </xf>
    <xf numFmtId="9" fontId="7" fillId="2" borderId="8" xfId="16" applyFont="1" applyFill="1" applyBorder="1" applyAlignment="1">
      <alignment horizontal="center" vertical="center" wrapText="1"/>
    </xf>
    <xf numFmtId="10" fontId="7" fillId="2" borderId="8" xfId="16" applyNumberFormat="1" applyFont="1" applyFill="1" applyBorder="1" applyAlignment="1">
      <alignment horizontal="center" vertical="center" wrapText="1"/>
    </xf>
    <xf numFmtId="10" fontId="20" fillId="3" borderId="0" xfId="0" applyNumberFormat="1" applyFont="1" applyFill="1" applyAlignment="1">
      <alignment horizontal="center" vertical="center"/>
    </xf>
    <xf numFmtId="0" fontId="37" fillId="3" borderId="0" xfId="0" applyFont="1" applyFill="1" applyAlignment="1">
      <alignment horizontal="center" vertical="center"/>
    </xf>
    <xf numFmtId="0" fontId="29" fillId="35" borderId="1" xfId="0" applyFont="1" applyFill="1" applyBorder="1" applyAlignment="1">
      <alignment horizontal="center" vertical="center" wrapText="1"/>
    </xf>
    <xf numFmtId="0" fontId="7" fillId="21" borderId="8" xfId="0" applyFont="1" applyFill="1" applyBorder="1" applyAlignment="1">
      <alignment horizontal="left" vertical="center" wrapText="1"/>
    </xf>
    <xf numFmtId="0" fontId="7" fillId="28" borderId="3" xfId="0" applyFont="1" applyFill="1" applyBorder="1" applyAlignment="1">
      <alignment horizontal="left" vertical="center" wrapText="1"/>
    </xf>
    <xf numFmtId="170" fontId="15" fillId="36" borderId="3" xfId="1" applyNumberFormat="1" applyFont="1" applyFill="1" applyBorder="1" applyAlignment="1">
      <alignment horizontal="center" vertical="center" wrapText="1"/>
    </xf>
    <xf numFmtId="180" fontId="6" fillId="3" borderId="0" xfId="0" applyNumberFormat="1" applyFont="1" applyFill="1" applyAlignment="1">
      <alignment horizontal="center" vertical="center"/>
    </xf>
    <xf numFmtId="0" fontId="7" fillId="11" borderId="3" xfId="0" applyFont="1" applyFill="1" applyBorder="1" applyAlignment="1">
      <alignment horizontal="center" vertical="center" wrapText="1"/>
    </xf>
    <xf numFmtId="170" fontId="15" fillId="2" borderId="3" xfId="0" applyNumberFormat="1" applyFont="1" applyFill="1" applyBorder="1" applyAlignment="1">
      <alignment horizontal="left" vertical="center" wrapText="1"/>
    </xf>
    <xf numFmtId="170" fontId="9" fillId="2" borderId="3" xfId="0" applyNumberFormat="1" applyFont="1" applyFill="1" applyBorder="1" applyAlignment="1">
      <alignment horizontal="center" vertical="center"/>
    </xf>
    <xf numFmtId="0" fontId="12" fillId="41" borderId="1" xfId="0" applyFont="1" applyFill="1" applyBorder="1" applyAlignment="1">
      <alignment horizontal="center" vertical="center" wrapText="1"/>
    </xf>
    <xf numFmtId="169" fontId="29" fillId="2" borderId="1" xfId="0" applyNumberFormat="1" applyFont="1" applyFill="1" applyBorder="1" applyAlignment="1">
      <alignment horizontal="center" vertical="center" wrapText="1"/>
    </xf>
    <xf numFmtId="170" fontId="8" fillId="2" borderId="5" xfId="0" applyNumberFormat="1" applyFont="1" applyFill="1" applyBorder="1" applyAlignment="1">
      <alignment horizontal="center" vertical="center" wrapText="1"/>
    </xf>
    <xf numFmtId="0" fontId="7" fillId="33" borderId="8" xfId="0" applyFont="1" applyFill="1" applyBorder="1" applyAlignment="1">
      <alignment horizontal="center" vertical="center" wrapText="1"/>
    </xf>
    <xf numFmtId="14" fontId="0" fillId="10" borderId="3" xfId="0" applyNumberFormat="1" applyFill="1" applyBorder="1" applyAlignment="1">
      <alignment horizontal="center" vertical="center"/>
    </xf>
    <xf numFmtId="170" fontId="8" fillId="10" borderId="5" xfId="0" applyNumberFormat="1" applyFont="1" applyFill="1" applyBorder="1" applyAlignment="1">
      <alignment horizontal="center" vertical="center" wrapText="1"/>
    </xf>
    <xf numFmtId="168" fontId="12" fillId="36" borderId="3" xfId="1" applyNumberFormat="1" applyFont="1" applyFill="1" applyBorder="1" applyAlignment="1">
      <alignment horizontal="center" vertical="center" wrapText="1"/>
    </xf>
    <xf numFmtId="0" fontId="7" fillId="33" borderId="3" xfId="0" applyFont="1" applyFill="1" applyBorder="1" applyAlignment="1">
      <alignment horizontal="left" vertical="center" wrapText="1"/>
    </xf>
    <xf numFmtId="170" fontId="8" fillId="34" borderId="5" xfId="0" applyNumberFormat="1" applyFont="1" applyFill="1" applyBorder="1" applyAlignment="1">
      <alignment horizontal="center" vertical="center" wrapText="1"/>
    </xf>
    <xf numFmtId="14" fontId="0" fillId="11" borderId="3" xfId="0" applyNumberFormat="1" applyFill="1" applyBorder="1" applyAlignment="1">
      <alignment horizontal="center" vertical="center"/>
    </xf>
    <xf numFmtId="14" fontId="0" fillId="13" borderId="3" xfId="0" applyNumberFormat="1" applyFill="1" applyBorder="1" applyAlignment="1">
      <alignment horizontal="center" vertical="center"/>
    </xf>
    <xf numFmtId="170" fontId="15" fillId="7" borderId="3" xfId="1" applyNumberFormat="1" applyFont="1" applyFill="1" applyBorder="1" applyAlignment="1">
      <alignment horizontal="center" vertical="center" wrapText="1"/>
    </xf>
    <xf numFmtId="168" fontId="32" fillId="3" borderId="0" xfId="0" applyNumberFormat="1" applyFont="1" applyFill="1" applyAlignment="1">
      <alignment horizontal="center" vertical="center"/>
    </xf>
    <xf numFmtId="0" fontId="44" fillId="5" borderId="1" xfId="0" applyFont="1" applyFill="1" applyBorder="1" applyAlignment="1">
      <alignment horizontal="center" vertical="center" wrapText="1"/>
    </xf>
    <xf numFmtId="170" fontId="15" fillId="3" borderId="3" xfId="1" applyNumberFormat="1" applyFont="1" applyFill="1" applyBorder="1" applyAlignment="1">
      <alignment horizontal="center" vertical="center" wrapText="1"/>
    </xf>
    <xf numFmtId="169" fontId="29" fillId="40" borderId="1" xfId="0" applyNumberFormat="1" applyFont="1" applyFill="1" applyBorder="1" applyAlignment="1">
      <alignment horizontal="center" vertical="center" wrapText="1"/>
    </xf>
    <xf numFmtId="170" fontId="8" fillId="38" borderId="3" xfId="0" applyNumberFormat="1" applyFont="1" applyFill="1" applyBorder="1" applyAlignment="1">
      <alignment horizontal="center" vertical="center" wrapText="1"/>
    </xf>
    <xf numFmtId="0" fontId="7" fillId="21" borderId="8" xfId="0" quotePrefix="1" applyFont="1" applyFill="1" applyBorder="1" applyAlignment="1">
      <alignment horizontal="left" vertical="center" wrapText="1"/>
    </xf>
    <xf numFmtId="170" fontId="15" fillId="41" borderId="3" xfId="1" applyNumberFormat="1" applyFont="1" applyFill="1" applyBorder="1" applyAlignment="1">
      <alignment horizontal="center" vertical="center" wrapText="1"/>
    </xf>
    <xf numFmtId="170" fontId="15" fillId="41" borderId="8" xfId="1" applyNumberFormat="1" applyFont="1" applyFill="1" applyBorder="1" applyAlignment="1">
      <alignment horizontal="center" vertical="center" wrapText="1"/>
    </xf>
    <xf numFmtId="181" fontId="15" fillId="17" borderId="3" xfId="1" applyNumberFormat="1" applyFont="1" applyFill="1" applyBorder="1" applyAlignment="1">
      <alignment horizontal="center" vertical="center" wrapText="1"/>
    </xf>
    <xf numFmtId="0" fontId="7" fillId="28" borderId="8" xfId="0" applyFont="1" applyFill="1" applyBorder="1" applyAlignment="1">
      <alignment horizontal="left" vertical="center" wrapText="1"/>
    </xf>
    <xf numFmtId="14" fontId="7" fillId="28" borderId="3" xfId="0" applyNumberFormat="1" applyFont="1" applyFill="1" applyBorder="1" applyAlignment="1">
      <alignment horizontal="center" vertical="center" wrapText="1"/>
    </xf>
    <xf numFmtId="168" fontId="7" fillId="28" borderId="3" xfId="1" applyNumberFormat="1" applyFont="1" applyFill="1" applyBorder="1" applyAlignment="1">
      <alignment horizontal="center" vertical="center" wrapText="1"/>
    </xf>
    <xf numFmtId="14" fontId="7" fillId="28" borderId="5" xfId="0" applyNumberFormat="1" applyFont="1" applyFill="1" applyBorder="1" applyAlignment="1">
      <alignment horizontal="center" vertical="center" wrapText="1"/>
    </xf>
    <xf numFmtId="0" fontId="8" fillId="28" borderId="3" xfId="0" applyFont="1" applyFill="1" applyBorder="1" applyAlignment="1">
      <alignment horizontal="center" vertical="center" wrapText="1"/>
    </xf>
    <xf numFmtId="168" fontId="12" fillId="28" borderId="3" xfId="1" applyNumberFormat="1" applyFont="1" applyFill="1" applyBorder="1" applyAlignment="1">
      <alignment horizontal="center" vertical="center" wrapText="1"/>
    </xf>
    <xf numFmtId="170" fontId="15" fillId="5" borderId="3" xfId="1" applyNumberFormat="1" applyFont="1" applyFill="1" applyBorder="1" applyAlignment="1">
      <alignment horizontal="center" vertical="center" wrapText="1"/>
    </xf>
    <xf numFmtId="1" fontId="7" fillId="2" borderId="3" xfId="0" applyNumberFormat="1" applyFont="1" applyFill="1" applyBorder="1" applyAlignment="1">
      <alignment horizontal="center" vertical="center" wrapText="1"/>
    </xf>
    <xf numFmtId="16" fontId="15" fillId="2" borderId="3" xfId="0" quotePrefix="1" applyNumberFormat="1" applyFont="1" applyFill="1" applyBorder="1" applyAlignment="1">
      <alignment horizontal="center" vertical="center" wrapText="1"/>
    </xf>
    <xf numFmtId="168" fontId="48" fillId="33" borderId="0" xfId="0" applyNumberFormat="1" applyFont="1" applyFill="1" applyAlignment="1">
      <alignment horizontal="center" vertical="center"/>
    </xf>
    <xf numFmtId="169" fontId="30" fillId="25" borderId="1" xfId="0" applyNumberFormat="1" applyFont="1" applyFill="1" applyBorder="1" applyAlignment="1">
      <alignment horizontal="center" vertical="center" wrapText="1"/>
    </xf>
    <xf numFmtId="168" fontId="12" fillId="4" borderId="15" xfId="1" applyNumberFormat="1" applyFont="1" applyFill="1" applyBorder="1" applyAlignment="1">
      <alignment horizontal="center" vertical="center" wrapText="1"/>
    </xf>
    <xf numFmtId="168" fontId="19" fillId="29" borderId="15" xfId="1" applyNumberFormat="1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14" fontId="0" fillId="13" borderId="8" xfId="0" applyNumberFormat="1" applyFill="1" applyBorder="1" applyAlignment="1">
      <alignment horizontal="center" vertical="center"/>
    </xf>
    <xf numFmtId="14" fontId="0" fillId="6" borderId="8" xfId="0" applyNumberFormat="1" applyFill="1" applyBorder="1" applyAlignment="1">
      <alignment horizontal="center" vertical="center"/>
    </xf>
    <xf numFmtId="14" fontId="0" fillId="10" borderId="8" xfId="0" applyNumberFormat="1" applyFill="1" applyBorder="1" applyAlignment="1">
      <alignment horizontal="center" vertical="center"/>
    </xf>
    <xf numFmtId="17" fontId="15" fillId="2" borderId="8" xfId="0" applyNumberFormat="1" applyFont="1" applyFill="1" applyBorder="1" applyAlignment="1">
      <alignment horizontal="center" vertical="center" wrapText="1"/>
    </xf>
    <xf numFmtId="14" fontId="0" fillId="41" borderId="8" xfId="0" applyNumberFormat="1" applyFill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 wrapText="1"/>
    </xf>
    <xf numFmtId="0" fontId="7" fillId="16" borderId="8" xfId="0" applyFont="1" applyFill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14" fontId="7" fillId="28" borderId="3" xfId="1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left" vertical="center" wrapText="1"/>
    </xf>
    <xf numFmtId="0" fontId="7" fillId="33" borderId="3" xfId="0" applyFont="1" applyFill="1" applyBorder="1" applyAlignment="1">
      <alignment horizontal="center" vertical="center" wrapText="1"/>
    </xf>
    <xf numFmtId="14" fontId="7" fillId="2" borderId="8" xfId="1" quotePrefix="1" applyNumberFormat="1" applyFont="1" applyFill="1" applyBorder="1" applyAlignment="1">
      <alignment horizontal="center" vertical="center" wrapText="1"/>
    </xf>
    <xf numFmtId="0" fontId="41" fillId="0" borderId="8" xfId="0" applyFont="1" applyBorder="1" applyAlignment="1">
      <alignment horizontal="left" vertical="center" wrapText="1"/>
    </xf>
    <xf numFmtId="0" fontId="15" fillId="7" borderId="3" xfId="0" applyFont="1" applyFill="1" applyBorder="1" applyAlignment="1">
      <alignment horizontal="left" vertical="center" wrapText="1"/>
    </xf>
    <xf numFmtId="168" fontId="20" fillId="3" borderId="11" xfId="0" applyNumberFormat="1" applyFont="1" applyFill="1" applyBorder="1" applyAlignment="1">
      <alignment horizontal="center" vertical="center"/>
    </xf>
    <xf numFmtId="0" fontId="25" fillId="29" borderId="17" xfId="0" applyFont="1" applyFill="1" applyBorder="1" applyAlignment="1">
      <alignment horizontal="center" vertical="center"/>
    </xf>
    <xf numFmtId="14" fontId="49" fillId="42" borderId="3" xfId="0" applyNumberFormat="1" applyFont="1" applyFill="1" applyBorder="1" applyAlignment="1">
      <alignment horizontal="center" vertical="center"/>
    </xf>
    <xf numFmtId="0" fontId="7" fillId="21" borderId="3" xfId="0" applyFont="1" applyFill="1" applyBorder="1" applyAlignment="1">
      <alignment horizontal="left" vertical="center" wrapText="1"/>
    </xf>
    <xf numFmtId="0" fontId="41" fillId="0" borderId="8" xfId="0" quotePrefix="1" applyFont="1" applyBorder="1" applyAlignment="1">
      <alignment horizontal="left" vertical="center" wrapText="1"/>
    </xf>
    <xf numFmtId="0" fontId="7" fillId="16" borderId="3" xfId="0" applyFont="1" applyFill="1" applyBorder="1" applyAlignment="1">
      <alignment horizontal="left" vertical="center" wrapText="1"/>
    </xf>
    <xf numFmtId="0" fontId="15" fillId="0" borderId="8" xfId="0" quotePrefix="1" applyFont="1" applyBorder="1" applyAlignment="1">
      <alignment horizontal="left" vertical="center" wrapText="1"/>
    </xf>
    <xf numFmtId="10" fontId="7" fillId="2" borderId="3" xfId="16" applyNumberFormat="1" applyFont="1" applyFill="1" applyBorder="1" applyAlignment="1">
      <alignment horizontal="center" vertical="center" wrapText="1"/>
    </xf>
    <xf numFmtId="170" fontId="15" fillId="5" borderId="8" xfId="1" applyNumberFormat="1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left" vertical="center" wrapText="1"/>
    </xf>
    <xf numFmtId="182" fontId="16" fillId="3" borderId="0" xfId="0" applyNumberFormat="1" applyFont="1" applyFill="1" applyAlignment="1">
      <alignment horizontal="center" vertical="center"/>
    </xf>
    <xf numFmtId="0" fontId="50" fillId="5" borderId="1" xfId="0" applyFont="1" applyFill="1" applyBorder="1" applyAlignment="1">
      <alignment horizontal="center" vertical="center" wrapText="1"/>
    </xf>
    <xf numFmtId="0" fontId="50" fillId="22" borderId="1" xfId="0" applyFont="1" applyFill="1" applyBorder="1" applyAlignment="1">
      <alignment horizontal="center" vertical="center" wrapText="1"/>
    </xf>
    <xf numFmtId="168" fontId="12" fillId="3" borderId="15" xfId="1" applyNumberFormat="1" applyFont="1" applyFill="1" applyBorder="1" applyAlignment="1">
      <alignment horizontal="center" vertical="center" wrapText="1"/>
    </xf>
    <xf numFmtId="168" fontId="12" fillId="15" borderId="15" xfId="1" applyNumberFormat="1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14" fontId="7" fillId="0" borderId="3" xfId="0" applyNumberFormat="1" applyFont="1" applyFill="1" applyBorder="1" applyAlignment="1">
      <alignment horizontal="center" vertical="center" wrapText="1"/>
    </xf>
    <xf numFmtId="170" fontId="20" fillId="3" borderId="0" xfId="0" applyNumberFormat="1" applyFont="1" applyFill="1" applyAlignment="1">
      <alignment horizontal="center" vertical="center"/>
    </xf>
    <xf numFmtId="0" fontId="16" fillId="3" borderId="0" xfId="0" quotePrefix="1" applyFont="1" applyFill="1" applyAlignment="1">
      <alignment horizontal="center" vertical="center"/>
    </xf>
    <xf numFmtId="170" fontId="8" fillId="8" borderId="5" xfId="0" applyNumberFormat="1" applyFont="1" applyFill="1" applyBorder="1" applyAlignment="1">
      <alignment horizontal="center" vertical="center" wrapText="1"/>
    </xf>
    <xf numFmtId="0" fontId="7" fillId="43" borderId="3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168" fontId="20" fillId="3" borderId="0" xfId="0" applyNumberFormat="1" applyFont="1" applyFill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7" fillId="44" borderId="3" xfId="0" applyFont="1" applyFill="1" applyBorder="1" applyAlignment="1">
      <alignment horizontal="center" vertical="center" wrapText="1"/>
    </xf>
    <xf numFmtId="0" fontId="42" fillId="3" borderId="0" xfId="0" applyFont="1" applyFill="1" applyBorder="1" applyAlignment="1">
      <alignment vertical="center"/>
    </xf>
    <xf numFmtId="0" fontId="19" fillId="24" borderId="1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7" fillId="41" borderId="3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45" borderId="3" xfId="0" applyFont="1" applyFill="1" applyBorder="1" applyAlignment="1">
      <alignment horizontal="center" vertical="center" wrapText="1"/>
    </xf>
    <xf numFmtId="0" fontId="53" fillId="3" borderId="0" xfId="0" applyFont="1" applyFill="1" applyBorder="1" applyAlignment="1">
      <alignment vertical="center"/>
    </xf>
    <xf numFmtId="0" fontId="15" fillId="26" borderId="0" xfId="0" applyFont="1" applyFill="1" applyAlignment="1">
      <alignment horizontal="center" vertical="center"/>
    </xf>
    <xf numFmtId="168" fontId="15" fillId="26" borderId="0" xfId="0" applyNumberFormat="1" applyFont="1" applyFill="1" applyAlignment="1">
      <alignment horizontal="center" vertical="center"/>
    </xf>
    <xf numFmtId="170" fontId="8" fillId="0" borderId="5" xfId="0" applyNumberFormat="1" applyFont="1" applyBorder="1" applyAlignment="1">
      <alignment horizontal="center" vertical="center" wrapText="1"/>
    </xf>
    <xf numFmtId="0" fontId="54" fillId="26" borderId="0" xfId="0" applyFont="1" applyFill="1" applyAlignment="1">
      <alignment horizontal="center" vertical="center"/>
    </xf>
    <xf numFmtId="0" fontId="16" fillId="26" borderId="0" xfId="0" applyFont="1" applyFill="1" applyAlignment="1">
      <alignment horizontal="center" vertical="center"/>
    </xf>
    <xf numFmtId="0" fontId="20" fillId="26" borderId="0" xfId="0" applyFont="1" applyFill="1" applyAlignment="1">
      <alignment horizontal="center" vertical="center"/>
    </xf>
    <xf numFmtId="168" fontId="16" fillId="26" borderId="0" xfId="0" applyNumberFormat="1" applyFont="1" applyFill="1" applyAlignment="1">
      <alignment horizontal="center" vertical="center"/>
    </xf>
    <xf numFmtId="0" fontId="55" fillId="26" borderId="0" xfId="0" applyFont="1" applyFill="1" applyAlignment="1">
      <alignment vertical="center"/>
    </xf>
    <xf numFmtId="168" fontId="20" fillId="26" borderId="0" xfId="0" applyNumberFormat="1" applyFont="1" applyFill="1" applyAlignment="1">
      <alignment horizontal="center" vertical="center"/>
    </xf>
    <xf numFmtId="14" fontId="7" fillId="46" borderId="3" xfId="0" applyNumberFormat="1" applyFont="1" applyFill="1" applyBorder="1" applyAlignment="1">
      <alignment horizontal="center" vertical="center" wrapText="1"/>
    </xf>
    <xf numFmtId="0" fontId="7" fillId="46" borderId="3" xfId="0" applyFont="1" applyFill="1" applyBorder="1" applyAlignment="1">
      <alignment horizontal="center" vertical="center" wrapText="1"/>
    </xf>
    <xf numFmtId="14" fontId="7" fillId="47" borderId="3" xfId="0" applyNumberFormat="1" applyFont="1" applyFill="1" applyBorder="1" applyAlignment="1">
      <alignment horizontal="center" vertical="center" wrapText="1"/>
    </xf>
    <xf numFmtId="0" fontId="56" fillId="3" borderId="0" xfId="0" applyFont="1" applyFill="1" applyBorder="1" applyAlignment="1">
      <alignment vertical="center"/>
    </xf>
    <xf numFmtId="0" fontId="7" fillId="12" borderId="8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14" fontId="7" fillId="21" borderId="3" xfId="0" applyNumberFormat="1" applyFont="1" applyFill="1" applyBorder="1" applyAlignment="1">
      <alignment horizontal="center" vertical="center" wrapText="1"/>
    </xf>
    <xf numFmtId="0" fontId="34" fillId="9" borderId="0" xfId="0" applyFont="1" applyFill="1" applyAlignment="1">
      <alignment horizontal="center" vertical="center"/>
    </xf>
    <xf numFmtId="0" fontId="30" fillId="9" borderId="20" xfId="0" applyFont="1" applyFill="1" applyBorder="1" applyAlignment="1">
      <alignment horizontal="center" vertical="center" wrapText="1"/>
    </xf>
    <xf numFmtId="0" fontId="30" fillId="9" borderId="9" xfId="0" applyFont="1" applyFill="1" applyBorder="1" applyAlignment="1">
      <alignment horizontal="center" vertical="center" wrapText="1"/>
    </xf>
    <xf numFmtId="0" fontId="27" fillId="21" borderId="12" xfId="0" applyFont="1" applyFill="1" applyBorder="1" applyAlignment="1">
      <alignment horizontal="center" vertical="center"/>
    </xf>
    <xf numFmtId="168" fontId="31" fillId="5" borderId="17" xfId="0" applyNumberFormat="1" applyFont="1" applyFill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/>
    </xf>
    <xf numFmtId="0" fontId="31" fillId="5" borderId="17" xfId="0" applyFont="1" applyFill="1" applyBorder="1" applyAlignment="1">
      <alignment horizontal="center" vertical="center"/>
    </xf>
    <xf numFmtId="168" fontId="31" fillId="5" borderId="1" xfId="0" applyNumberFormat="1" applyFont="1" applyFill="1" applyBorder="1" applyAlignment="1">
      <alignment horizontal="center" vertical="center"/>
    </xf>
    <xf numFmtId="168" fontId="32" fillId="5" borderId="1" xfId="0" applyNumberFormat="1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horizontal="center" vertical="center"/>
    </xf>
    <xf numFmtId="0" fontId="30" fillId="9" borderId="13" xfId="0" applyFont="1" applyFill="1" applyBorder="1" applyAlignment="1">
      <alignment horizontal="center" vertical="center" wrapText="1"/>
    </xf>
    <xf numFmtId="0" fontId="30" fillId="9" borderId="11" xfId="0" applyFont="1" applyFill="1" applyBorder="1" applyAlignment="1">
      <alignment horizontal="center" vertical="center" wrapText="1"/>
    </xf>
    <xf numFmtId="0" fontId="30" fillId="9" borderId="14" xfId="0" applyFont="1" applyFill="1" applyBorder="1" applyAlignment="1">
      <alignment horizontal="center" vertical="center" wrapText="1"/>
    </xf>
    <xf numFmtId="168" fontId="31" fillId="12" borderId="1" xfId="0" applyNumberFormat="1" applyFont="1" applyFill="1" applyBorder="1" applyAlignment="1">
      <alignment horizontal="center" vertical="center"/>
    </xf>
    <xf numFmtId="0" fontId="31" fillId="12" borderId="1" xfId="0" applyFont="1" applyFill="1" applyBorder="1" applyAlignment="1">
      <alignment horizontal="center" vertical="center"/>
    </xf>
    <xf numFmtId="0" fontId="39" fillId="21" borderId="0" xfId="0" applyFont="1" applyFill="1" applyAlignment="1">
      <alignment horizontal="center" vertical="center"/>
    </xf>
    <xf numFmtId="168" fontId="20" fillId="3" borderId="0" xfId="0" applyNumberFormat="1" applyFont="1" applyFill="1" applyAlignment="1">
      <alignment horizontal="center" vertical="center"/>
    </xf>
    <xf numFmtId="168" fontId="20" fillId="3" borderId="11" xfId="0" applyNumberFormat="1" applyFont="1" applyFill="1" applyBorder="1" applyAlignment="1">
      <alignment horizontal="center" vertical="center"/>
    </xf>
    <xf numFmtId="0" fontId="25" fillId="29" borderId="16" xfId="0" applyFont="1" applyFill="1" applyBorder="1" applyAlignment="1">
      <alignment horizontal="center" vertical="center"/>
    </xf>
    <xf numFmtId="0" fontId="25" fillId="29" borderId="29" xfId="0" applyFont="1" applyFill="1" applyBorder="1" applyAlignment="1">
      <alignment horizontal="center" vertical="center"/>
    </xf>
    <xf numFmtId="0" fontId="25" fillId="29" borderId="17" xfId="0" applyFont="1" applyFill="1" applyBorder="1" applyAlignment="1">
      <alignment horizontal="center" vertical="center"/>
    </xf>
    <xf numFmtId="0" fontId="25" fillId="19" borderId="1" xfId="0" applyFont="1" applyFill="1" applyBorder="1" applyAlignment="1">
      <alignment horizontal="center" vertical="center"/>
    </xf>
    <xf numFmtId="0" fontId="25" fillId="37" borderId="1" xfId="0" applyFont="1" applyFill="1" applyBorder="1" applyAlignment="1">
      <alignment horizontal="center" vertical="center"/>
    </xf>
    <xf numFmtId="168" fontId="31" fillId="5" borderId="24" xfId="0" applyNumberFormat="1" applyFont="1" applyFill="1" applyBorder="1" applyAlignment="1">
      <alignment horizontal="center" vertical="center"/>
    </xf>
    <xf numFmtId="168" fontId="31" fillId="5" borderId="25" xfId="0" applyNumberFormat="1" applyFont="1" applyFill="1" applyBorder="1" applyAlignment="1">
      <alignment horizontal="center" vertical="center"/>
    </xf>
    <xf numFmtId="168" fontId="31" fillId="5" borderId="26" xfId="0" applyNumberFormat="1" applyFont="1" applyFill="1" applyBorder="1" applyAlignment="1">
      <alignment horizontal="center" vertical="center"/>
    </xf>
    <xf numFmtId="168" fontId="31" fillId="5" borderId="13" xfId="0" applyNumberFormat="1" applyFont="1" applyFill="1" applyBorder="1" applyAlignment="1">
      <alignment horizontal="center" vertical="center"/>
    </xf>
    <xf numFmtId="168" fontId="31" fillId="5" borderId="11" xfId="0" applyNumberFormat="1" applyFont="1" applyFill="1" applyBorder="1" applyAlignment="1">
      <alignment horizontal="center" vertical="center"/>
    </xf>
    <xf numFmtId="168" fontId="31" fillId="5" borderId="14" xfId="0" applyNumberFormat="1" applyFont="1" applyFill="1" applyBorder="1" applyAlignment="1">
      <alignment horizontal="center" vertical="center"/>
    </xf>
    <xf numFmtId="168" fontId="48" fillId="33" borderId="27" xfId="0" applyNumberFormat="1" applyFont="1" applyFill="1" applyBorder="1" applyAlignment="1">
      <alignment horizontal="center" vertical="center"/>
    </xf>
    <xf numFmtId="168" fontId="48" fillId="33" borderId="2" xfId="0" applyNumberFormat="1" applyFont="1" applyFill="1" applyBorder="1" applyAlignment="1">
      <alignment horizontal="center" vertical="center"/>
    </xf>
    <xf numFmtId="168" fontId="48" fillId="33" borderId="28" xfId="0" applyNumberFormat="1" applyFont="1" applyFill="1" applyBorder="1" applyAlignment="1">
      <alignment horizontal="center" vertical="center"/>
    </xf>
    <xf numFmtId="0" fontId="40" fillId="21" borderId="0" xfId="0" applyFont="1" applyFill="1" applyAlignment="1">
      <alignment horizontal="center" vertical="center"/>
    </xf>
    <xf numFmtId="0" fontId="27" fillId="25" borderId="0" xfId="0" applyFont="1" applyFill="1" applyAlignment="1">
      <alignment horizontal="center" vertical="center"/>
    </xf>
    <xf numFmtId="0" fontId="38" fillId="27" borderId="0" xfId="0" applyFont="1" applyFill="1" applyAlignment="1">
      <alignment horizontal="center" vertical="center"/>
    </xf>
  </cellXfs>
  <cellStyles count="24">
    <cellStyle name="Comma 2" xfId="13" xr:uid="{818C195D-F921-4FE9-8592-49F0582889C2}"/>
    <cellStyle name="Currency 2" xfId="14" xr:uid="{DE68A760-9049-45E3-97B1-E5D708D123EE}"/>
    <cellStyle name="Currency 2 2" xfId="18" xr:uid="{4E00D4F4-2C8D-4CC7-B612-2361F6748136}"/>
    <cellStyle name="Euro" xfId="3" xr:uid="{00000000-0005-0000-0000-000000000000}"/>
    <cellStyle name="Moeda" xfId="1" builtinId="4"/>
    <cellStyle name="Moeda 2" xfId="9" xr:uid="{37D2BB19-82B2-4F33-8358-8512ED0A7C56}"/>
    <cellStyle name="Moeda 2 2" xfId="19" xr:uid="{3EB1418A-C8FB-42AF-8504-B6DA90A01943}"/>
    <cellStyle name="Moeda 3" xfId="17" xr:uid="{9CCE05A9-3611-4863-BC81-DF77DFCEFA77}"/>
    <cellStyle name="Normal" xfId="0" builtinId="0"/>
    <cellStyle name="Normal 2" xfId="2" xr:uid="{00000000-0005-0000-0000-000003000000}"/>
    <cellStyle name="Normal 2 2" xfId="6" xr:uid="{00000000-0005-0000-0000-000004000000}"/>
    <cellStyle name="Normal 3" xfId="4" xr:uid="{00000000-0005-0000-0000-000005000000}"/>
    <cellStyle name="Normal 4" xfId="7" xr:uid="{00000000-0005-0000-0000-000006000000}"/>
    <cellStyle name="Normal 5" xfId="20" xr:uid="{9FCC27E9-18B9-4C41-9A38-74B37B5FC02E}"/>
    <cellStyle name="Normal 6" xfId="23" xr:uid="{2986473D-079E-4AE3-A80E-E2643BAA5B8C}"/>
    <cellStyle name="Normale_Action Plan" xfId="5" xr:uid="{00000000-0005-0000-0000-000007000000}"/>
    <cellStyle name="Porcentagem" xfId="16" builtinId="5"/>
    <cellStyle name="Porcentagem 2" xfId="11" xr:uid="{52FC47BF-3F94-46C9-A59B-7B2CF00C5E14}"/>
    <cellStyle name="Porcentagem 3" xfId="10" xr:uid="{EA932527-E6B7-46DF-A9AF-20D3274A7A02}"/>
    <cellStyle name="Porcentagem 4" xfId="22" xr:uid="{4264F7C9-7A78-462A-90E7-21921FD680CE}"/>
    <cellStyle name="Vírgula" xfId="15" builtinId="3"/>
    <cellStyle name="Vírgula 2" xfId="8" xr:uid="{00000000-0005-0000-0000-00000A000000}"/>
    <cellStyle name="Vírgula 3" xfId="12" xr:uid="{3E54445D-6209-4B7A-AA24-56CDF0EF8063}"/>
    <cellStyle name="Vírgula 4" xfId="21" xr:uid="{AF3FA8DD-6562-45EC-A502-C56FA0FF882A}"/>
  </cellStyles>
  <dxfs count="417">
    <dxf>
      <font>
        <b/>
        <i val="0"/>
      </font>
      <fill>
        <patternFill>
          <bgColor rgb="FF00CC66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00CC66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00CC66"/>
        </patternFill>
      </fill>
    </dxf>
    <dxf>
      <fill>
        <patternFill>
          <bgColor theme="4"/>
        </patternFill>
      </fill>
    </dxf>
    <dxf>
      <font>
        <b val="0"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/>
        </patternFill>
      </fill>
    </dxf>
    <dxf>
      <fill>
        <patternFill>
          <bgColor rgb="FF00CC66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ont>
        <b val="0"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b val="0"/>
        <i val="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/>
        </patternFill>
      </fill>
    </dxf>
    <dxf>
      <fill>
        <patternFill>
          <bgColor rgb="FF00CC66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b/>
        <i val="0"/>
      </font>
      <fill>
        <patternFill>
          <bgColor rgb="FF00CC66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206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206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 val="0"/>
        <i val="0"/>
      </font>
      <fill>
        <patternFill>
          <bgColor theme="0" tint="-0.14996795556505021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00CC66"/>
        </patternFill>
      </fill>
    </dxf>
    <dxf>
      <fill>
        <patternFill>
          <bgColor theme="4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00CC66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00CC66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00CC66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00CC66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CC66"/>
        </patternFill>
      </fill>
    </dxf>
    <dxf>
      <fill>
        <patternFill>
          <bgColor rgb="FF0070C0"/>
        </patternFill>
      </fill>
    </dxf>
    <dxf>
      <fill>
        <patternFill>
          <bgColor theme="9"/>
        </patternFill>
      </fill>
    </dxf>
    <dxf>
      <fill>
        <patternFill>
          <bgColor theme="6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00CC66"/>
        </patternFill>
      </fill>
    </dxf>
    <dxf>
      <fill>
        <patternFill>
          <bgColor rgb="FF0070C0"/>
        </patternFill>
      </fill>
    </dxf>
    <dxf>
      <fill>
        <patternFill>
          <bgColor theme="9"/>
        </patternFill>
      </fill>
    </dxf>
    <dxf>
      <fill>
        <patternFill>
          <bgColor theme="6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2" tint="-0.499984740745262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00CC66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00CC66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00CC66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00CC66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00CC66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00CC66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00CC66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00CC66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00CC66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00CC66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00CC66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00CC66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00CC66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00CC66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00CC66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00CC66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4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C0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ill>
        <patternFill>
          <bgColor rgb="FF00CC66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CC66"/>
        </patternFill>
      </fill>
    </dxf>
    <dxf>
      <fill>
        <patternFill>
          <bgColor rgb="FF00CC66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CC66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CC66"/>
        </patternFill>
      </fill>
    </dxf>
    <dxf>
      <fill>
        <patternFill>
          <bgColor rgb="FF00CC66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CC66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CC66"/>
        </patternFill>
      </fill>
    </dxf>
    <dxf>
      <fill>
        <patternFill>
          <bgColor rgb="FF00CC66"/>
        </patternFill>
      </fill>
    </dxf>
    <dxf>
      <fill>
        <patternFill>
          <bgColor rgb="FF00CC66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CC66"/>
        </patternFill>
      </fill>
    </dxf>
    <dxf>
      <fill>
        <patternFill>
          <bgColor rgb="FF00CC66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CC66"/>
        </patternFill>
      </fill>
    </dxf>
    <dxf>
      <fill>
        <patternFill>
          <bgColor rgb="FF00CC66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CC66"/>
        </patternFill>
      </fill>
    </dxf>
    <dxf>
      <fill>
        <patternFill>
          <bgColor rgb="FF00CC66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CC66"/>
        </patternFill>
      </fill>
    </dxf>
    <dxf>
      <fill>
        <patternFill>
          <bgColor rgb="FF00CC66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CC66"/>
        </patternFill>
      </fill>
    </dxf>
    <dxf>
      <fill>
        <patternFill>
          <bgColor rgb="FF00CC66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CC66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CC66"/>
        </patternFill>
      </fill>
    </dxf>
    <dxf>
      <fill>
        <patternFill>
          <bgColor rgb="FF00CC66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CC66"/>
        </patternFill>
      </fill>
    </dxf>
    <dxf>
      <fill>
        <patternFill>
          <bgColor rgb="FF00CC66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CC66"/>
        </patternFill>
      </fill>
    </dxf>
    <dxf>
      <fill>
        <patternFill>
          <bgColor rgb="FF00CC66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00CC66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CC66"/>
        </patternFill>
      </fill>
    </dxf>
    <dxf>
      <fill>
        <patternFill>
          <bgColor theme="9"/>
        </patternFill>
      </fill>
    </dxf>
    <dxf>
      <fill>
        <patternFill>
          <bgColor rgb="FF00CC66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CC66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00CC66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CC66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CC66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CC66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  <color rgb="FF48F711"/>
      <color rgb="FFFFFFCC"/>
      <color rgb="FFFF5D9F"/>
      <color rgb="FF00CC66"/>
      <color rgb="FFFF0066"/>
      <color rgb="FF00CC00"/>
      <color rgb="FFA9FB8F"/>
      <color rgb="FFFFFF00"/>
      <color rgb="FFA4F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622300</xdr:colOff>
      <xdr:row>5</xdr:row>
      <xdr:rowOff>12700</xdr:rowOff>
    </xdr:from>
    <xdr:to>
      <xdr:col>1</xdr:col>
      <xdr:colOff>635000</xdr:colOff>
      <xdr:row>19</xdr:row>
      <xdr:rowOff>82177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5A218B3A-F340-4402-8DC0-68435763E008}"/>
            </a:ext>
          </a:extLst>
        </xdr:cNvPr>
        <xdr:cNvCxnSpPr/>
      </xdr:nvCxnSpPr>
      <xdr:spPr>
        <a:xfrm>
          <a:off x="1234888" y="1110876"/>
          <a:ext cx="12700" cy="279624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619125</xdr:colOff>
      <xdr:row>7</xdr:row>
      <xdr:rowOff>85725</xdr:rowOff>
    </xdr:from>
    <xdr:to>
      <xdr:col>3</xdr:col>
      <xdr:colOff>0</xdr:colOff>
      <xdr:row>7</xdr:row>
      <xdr:rowOff>85725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F01B1D1C-A73C-48F9-BAF3-0B2EF90E222A}"/>
            </a:ext>
          </a:extLst>
        </xdr:cNvPr>
        <xdr:cNvCxnSpPr/>
      </xdr:nvCxnSpPr>
      <xdr:spPr>
        <a:xfrm>
          <a:off x="1228725" y="1619250"/>
          <a:ext cx="1485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10</xdr:row>
      <xdr:rowOff>104775</xdr:rowOff>
    </xdr:from>
    <xdr:to>
      <xdr:col>2</xdr:col>
      <xdr:colOff>819150</xdr:colOff>
      <xdr:row>10</xdr:row>
      <xdr:rowOff>104775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8714C9C0-929B-44D0-9634-B4F87190C58B}"/>
            </a:ext>
          </a:extLst>
        </xdr:cNvPr>
        <xdr:cNvCxnSpPr/>
      </xdr:nvCxnSpPr>
      <xdr:spPr>
        <a:xfrm>
          <a:off x="1219200" y="2209800"/>
          <a:ext cx="1485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619125</xdr:colOff>
      <xdr:row>13</xdr:row>
      <xdr:rowOff>95250</xdr:rowOff>
    </xdr:from>
    <xdr:to>
      <xdr:col>3</xdr:col>
      <xdr:colOff>0</xdr:colOff>
      <xdr:row>13</xdr:row>
      <xdr:rowOff>95250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9E5DD854-B445-4DF7-A691-CBE92B9AF655}"/>
            </a:ext>
          </a:extLst>
        </xdr:cNvPr>
        <xdr:cNvCxnSpPr/>
      </xdr:nvCxnSpPr>
      <xdr:spPr>
        <a:xfrm>
          <a:off x="1228725" y="2771775"/>
          <a:ext cx="1485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619125</xdr:colOff>
      <xdr:row>16</xdr:row>
      <xdr:rowOff>95250</xdr:rowOff>
    </xdr:from>
    <xdr:to>
      <xdr:col>3</xdr:col>
      <xdr:colOff>0</xdr:colOff>
      <xdr:row>16</xdr:row>
      <xdr:rowOff>95250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567322DF-DCF5-4D71-9DB1-78465B70399A}"/>
            </a:ext>
          </a:extLst>
        </xdr:cNvPr>
        <xdr:cNvCxnSpPr/>
      </xdr:nvCxnSpPr>
      <xdr:spPr>
        <a:xfrm>
          <a:off x="1228725" y="3343275"/>
          <a:ext cx="1485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628650</xdr:colOff>
      <xdr:row>19</xdr:row>
      <xdr:rowOff>95250</xdr:rowOff>
    </xdr:from>
    <xdr:to>
      <xdr:col>3</xdr:col>
      <xdr:colOff>9525</xdr:colOff>
      <xdr:row>19</xdr:row>
      <xdr:rowOff>95250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67452EC4-D313-4DCA-AA5A-F26923D4655C}"/>
            </a:ext>
          </a:extLst>
        </xdr:cNvPr>
        <xdr:cNvCxnSpPr/>
      </xdr:nvCxnSpPr>
      <xdr:spPr>
        <a:xfrm>
          <a:off x="1238250" y="3914775"/>
          <a:ext cx="1485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7</xdr:row>
      <xdr:rowOff>91108</xdr:rowOff>
    </xdr:from>
    <xdr:to>
      <xdr:col>5</xdr:col>
      <xdr:colOff>0</xdr:colOff>
      <xdr:row>7</xdr:row>
      <xdr:rowOff>91109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1B4BF479-96D8-4C13-BC83-A5D313ECFFAC}"/>
            </a:ext>
          </a:extLst>
        </xdr:cNvPr>
        <xdr:cNvCxnSpPr/>
      </xdr:nvCxnSpPr>
      <xdr:spPr>
        <a:xfrm flipV="1">
          <a:off x="3660914" y="1623391"/>
          <a:ext cx="74543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978647</xdr:colOff>
      <xdr:row>10</xdr:row>
      <xdr:rowOff>115958</xdr:rowOff>
    </xdr:from>
    <xdr:to>
      <xdr:col>4</xdr:col>
      <xdr:colOff>737151</xdr:colOff>
      <xdr:row>10</xdr:row>
      <xdr:rowOff>119529</xdr:rowOff>
    </xdr:to>
    <xdr:cxnSp macro="">
      <xdr:nvCxnSpPr>
        <xdr:cNvPr id="16" name="Conector de Seta Reta 15">
          <a:extLst>
            <a:ext uri="{FF2B5EF4-FFF2-40B4-BE49-F238E27FC236}">
              <a16:creationId xmlns:a16="http://schemas.microsoft.com/office/drawing/2014/main" id="{F4788254-220B-4284-B2C0-C0ACC8900280}"/>
            </a:ext>
          </a:extLst>
        </xdr:cNvPr>
        <xdr:cNvCxnSpPr/>
      </xdr:nvCxnSpPr>
      <xdr:spPr>
        <a:xfrm flipV="1">
          <a:off x="3795059" y="2118076"/>
          <a:ext cx="752092" cy="35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8283</xdr:colOff>
      <xdr:row>13</xdr:row>
      <xdr:rowOff>107674</xdr:rowOff>
    </xdr:from>
    <xdr:to>
      <xdr:col>5</xdr:col>
      <xdr:colOff>8282</xdr:colOff>
      <xdr:row>13</xdr:row>
      <xdr:rowOff>107675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75F0D8EC-B85A-4C1C-B18C-3DB6EA140018}"/>
            </a:ext>
          </a:extLst>
        </xdr:cNvPr>
        <xdr:cNvCxnSpPr/>
      </xdr:nvCxnSpPr>
      <xdr:spPr>
        <a:xfrm flipV="1">
          <a:off x="3669196" y="2782957"/>
          <a:ext cx="74543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</xdr:row>
      <xdr:rowOff>107674</xdr:rowOff>
    </xdr:from>
    <xdr:to>
      <xdr:col>4</xdr:col>
      <xdr:colOff>745434</xdr:colOff>
      <xdr:row>16</xdr:row>
      <xdr:rowOff>107675</xdr:rowOff>
    </xdr:to>
    <xdr:cxnSp macro="">
      <xdr:nvCxnSpPr>
        <xdr:cNvPr id="18" name="Conector de Seta Reta 17">
          <a:extLst>
            <a:ext uri="{FF2B5EF4-FFF2-40B4-BE49-F238E27FC236}">
              <a16:creationId xmlns:a16="http://schemas.microsoft.com/office/drawing/2014/main" id="{49C2C165-3EF5-4026-9CA4-86A40BF79209}"/>
            </a:ext>
          </a:extLst>
        </xdr:cNvPr>
        <xdr:cNvCxnSpPr/>
      </xdr:nvCxnSpPr>
      <xdr:spPr>
        <a:xfrm flipV="1">
          <a:off x="3660913" y="3354457"/>
          <a:ext cx="74543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8283</xdr:colOff>
      <xdr:row>19</xdr:row>
      <xdr:rowOff>107674</xdr:rowOff>
    </xdr:from>
    <xdr:to>
      <xdr:col>5</xdr:col>
      <xdr:colOff>8282</xdr:colOff>
      <xdr:row>19</xdr:row>
      <xdr:rowOff>107675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66077EFD-3902-4012-A045-C3CC140B464B}"/>
            </a:ext>
          </a:extLst>
        </xdr:cNvPr>
        <xdr:cNvCxnSpPr/>
      </xdr:nvCxnSpPr>
      <xdr:spPr>
        <a:xfrm flipV="1">
          <a:off x="3669196" y="3925957"/>
          <a:ext cx="74543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oodyearcorp-my.sharepoint.com/DOCUME~1/a397778/LOCALS~1/Temp/notes6030C8/2011%20Fayetteville%20Safety%20Ergo%20Fi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oodyearcorp-my.sharepoint.com/DOCUME~1/a397778/LOCALS~1/Temp/notes6030C8/2011%20Consumer%20Environmental%20capital%20-%20Fayetteville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https://goodyearcorp-my.sharepoint.com/ETECH/G_ETECH/Eng.New%20Tec/01)_Gest&#227;o_Projetos/05)_Budget%20Management/8)_Dashboard/CAPEX%20AOP%202020/2020/Vers&#227;o%20Fev_20/Capital%20Planning%20Summary%20-%20LA%20-%202020-2024_V5_Official_Brazil.xlsm?1BC1B954" TargetMode="External"/><Relationship Id="rId1" Type="http://schemas.openxmlformats.org/officeDocument/2006/relationships/externalLinkPath" Target="file:///\\1BC1B954\Capital%20Planning%20Summary%20-%20LA%20-%202020-2024_V5_Official_Brazil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oodyearcorp-my.sharepoint.com/LAT/01%20-%20Capital/Capex/2020-2024/V5/Capital%20Planning%20Summary%20-%20LA%20-%202020-2024_V5_Official_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oodyearcorp-my.sharepoint.com/ETECH/G_ETECH/Eng.New%20Tec/01)_Gest&#227;o_Projetos/05)_Budget%20Management/1)_Capital/03)_2021/Fechamentos/9+3/LA%20Consolidated%20CAPEX%209+3%20BRA%20-%20PREVIA%20-%20Rev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oodyearcorp-my.sharepoint.com/ETECH/G_ETECH/Eng.New%20Tec/01)_Gest&#227;o_Projetos/05)_Budget%20Management/1)_Capital/03)_2021/Fechamentos/9+3/LA%20Consolidated%20CAPEX%209+3%20BRA%20-%20CLO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"/>
    </sheetNames>
    <sheetDataSet>
      <sheetData sheetId="0">
        <row r="4">
          <cell r="B4" t="str">
            <v>Allied</v>
          </cell>
          <cell r="C4" t="str">
            <v>Asheboro</v>
          </cell>
          <cell r="D4" t="str">
            <v>Curing</v>
          </cell>
          <cell r="E4" t="str">
            <v>CTI/MSR</v>
          </cell>
        </row>
        <row r="5">
          <cell r="B5" t="str">
            <v>Commercial</v>
          </cell>
          <cell r="C5" t="str">
            <v>Buffalo</v>
          </cell>
          <cell r="D5" t="str">
            <v>Finishing</v>
          </cell>
          <cell r="E5" t="str">
            <v>Ergonomics</v>
          </cell>
        </row>
        <row r="6">
          <cell r="B6" t="str">
            <v>Consumer</v>
          </cell>
          <cell r="C6" t="str">
            <v>Danville</v>
          </cell>
          <cell r="D6" t="str">
            <v>Mixing</v>
          </cell>
          <cell r="E6" t="str">
            <v>FM Global</v>
          </cell>
        </row>
        <row r="7">
          <cell r="B7" t="str">
            <v>GDTNA</v>
          </cell>
          <cell r="C7" t="str">
            <v>Fayetteville</v>
          </cell>
          <cell r="D7" t="str">
            <v>Other</v>
          </cell>
          <cell r="E7" t="str">
            <v>Government</v>
          </cell>
        </row>
        <row r="8">
          <cell r="C8" t="str">
            <v>Gadsden</v>
          </cell>
          <cell r="D8" t="str">
            <v>Preparation</v>
          </cell>
          <cell r="E8" t="str">
            <v>Injury Reduction</v>
          </cell>
        </row>
        <row r="9">
          <cell r="C9" t="str">
            <v>Kingman</v>
          </cell>
          <cell r="D9" t="str">
            <v>Tire Building</v>
          </cell>
          <cell r="E9" t="str">
            <v>MER</v>
          </cell>
        </row>
        <row r="10">
          <cell r="C10" t="str">
            <v>Lawton</v>
          </cell>
          <cell r="E10" t="str">
            <v>Solvent Reduction</v>
          </cell>
        </row>
        <row r="11">
          <cell r="C11" t="str">
            <v>Medicine Hat</v>
          </cell>
          <cell r="E11" t="str">
            <v>Waste Disposal</v>
          </cell>
        </row>
        <row r="12">
          <cell r="C12" t="str">
            <v>Napanee</v>
          </cell>
        </row>
        <row r="13">
          <cell r="C13" t="str">
            <v>Radford</v>
          </cell>
        </row>
        <row r="14">
          <cell r="C14" t="str">
            <v>Social Circle</v>
          </cell>
        </row>
        <row r="15">
          <cell r="C15" t="str">
            <v>Spartanburg</v>
          </cell>
        </row>
        <row r="16">
          <cell r="C16" t="str">
            <v>Statesville</v>
          </cell>
        </row>
        <row r="17">
          <cell r="C17" t="str">
            <v>Stockbridge</v>
          </cell>
        </row>
        <row r="18">
          <cell r="C18" t="str">
            <v>Tech Center</v>
          </cell>
        </row>
        <row r="19">
          <cell r="C19" t="str">
            <v>Topeka</v>
          </cell>
        </row>
        <row r="20">
          <cell r="C20" t="str">
            <v>Tyler</v>
          </cell>
        </row>
        <row r="21">
          <cell r="C21" t="str">
            <v>Union City</v>
          </cell>
        </row>
        <row r="22">
          <cell r="C22" t="str">
            <v>Valleyfield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VIRONMENTAL"/>
      <sheetName val="LIST"/>
    </sheetNames>
    <sheetDataSet>
      <sheetData sheetId="0" refreshError="1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ital Project Plan"/>
      <sheetName val="Categories"/>
      <sheetName val="By Plant"/>
      <sheetName val="By Month"/>
      <sheetName val="By PBU"/>
      <sheetName val="Category Definitions"/>
      <sheetName val="IM Program for AP0"/>
      <sheetName val="MenuDat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ital Project Plan"/>
      <sheetName val="Categories"/>
      <sheetName val="By Plant"/>
      <sheetName val="By Month"/>
      <sheetName val="By PBU"/>
      <sheetName val="Category Definitions"/>
      <sheetName val="IM Program for AP0"/>
      <sheetName val="Menu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s"/>
      <sheetName val="Cap Int Est"/>
      <sheetName val="Planilha3"/>
      <sheetName val="Database"/>
      <sheetName val="Reports"/>
      <sheetName val="Comparison"/>
      <sheetName val="Comparison (2)"/>
      <sheetName val="Dinamics"/>
      <sheetName val="LA 8+4'21"/>
      <sheetName val="Graph "/>
      <sheetName val="Sheet1"/>
    </sheetNames>
    <sheetDataSet>
      <sheetData sheetId="0" refreshError="1"/>
      <sheetData sheetId="1" refreshError="1"/>
      <sheetData sheetId="2" refreshError="1"/>
      <sheetData sheetId="3">
        <row r="126">
          <cell r="B126" t="str">
            <v>ICP-200043</v>
          </cell>
          <cell r="C126" t="str">
            <v>AMERICANA (2) VMI MAXX</v>
          </cell>
          <cell r="D126" t="str">
            <v>Capability</v>
          </cell>
          <cell r="E126" t="str">
            <v>N</v>
          </cell>
          <cell r="F126" t="str">
            <v>LA</v>
          </cell>
          <cell r="H126" t="str">
            <v>Consumer Radial</v>
          </cell>
          <cell r="I126" t="str">
            <v>Tire Assembly</v>
          </cell>
          <cell r="J126" t="str">
            <v>AME</v>
          </cell>
          <cell r="S126">
            <v>104.54456</v>
          </cell>
          <cell r="T126">
            <v>181.03426000000002</v>
          </cell>
          <cell r="U126">
            <v>2102.7985000000003</v>
          </cell>
          <cell r="V126">
            <v>6.3028500000000012</v>
          </cell>
          <cell r="W126">
            <v>6.3028500000000012</v>
          </cell>
          <cell r="X126">
            <v>39.369999999999997</v>
          </cell>
          <cell r="Y126">
            <v>8539.2071599999999</v>
          </cell>
          <cell r="AD126">
            <v>-4587</v>
          </cell>
        </row>
        <row r="127">
          <cell r="B127" t="str">
            <v>ICP-200046</v>
          </cell>
          <cell r="C127" t="str">
            <v>COLOMBIA CURING PRESSES/FINAL FINISH</v>
          </cell>
          <cell r="D127" t="str">
            <v>Quality - Improvement</v>
          </cell>
          <cell r="E127" t="str">
            <v>N</v>
          </cell>
          <cell r="F127" t="str">
            <v>LA</v>
          </cell>
          <cell r="H127" t="str">
            <v>Commercial Radial</v>
          </cell>
          <cell r="I127" t="str">
            <v>Final Finish</v>
          </cell>
          <cell r="J127" t="str">
            <v>COL</v>
          </cell>
          <cell r="S127">
            <v>29.470839999999995</v>
          </cell>
          <cell r="T127">
            <v>83.965550000000007</v>
          </cell>
          <cell r="U127">
            <v>3.7468499999999949</v>
          </cell>
          <cell r="V127">
            <v>1.7841600000000002</v>
          </cell>
          <cell r="W127">
            <v>1.7841600000000002</v>
          </cell>
          <cell r="X127">
            <v>206.41920000000002</v>
          </cell>
          <cell r="Y127">
            <v>1401.21633</v>
          </cell>
        </row>
        <row r="128">
          <cell r="B128" t="str">
            <v>ICP-210002</v>
          </cell>
          <cell r="C128" t="str">
            <v>Americana Mixer BB#07</v>
          </cell>
          <cell r="D128" t="str">
            <v>Facilities Sustaining</v>
          </cell>
          <cell r="E128" t="str">
            <v>N</v>
          </cell>
          <cell r="F128" t="str">
            <v>LA</v>
          </cell>
          <cell r="H128" t="str">
            <v>MIXED</v>
          </cell>
          <cell r="I128" t="str">
            <v>MIXING</v>
          </cell>
          <cell r="J128" t="str">
            <v>AME</v>
          </cell>
          <cell r="T128">
            <v>771.17036000000007</v>
          </cell>
          <cell r="U128">
            <v>0</v>
          </cell>
          <cell r="AD128">
            <v>0</v>
          </cell>
        </row>
        <row r="129">
          <cell r="B129" t="str">
            <v>ICP-210003</v>
          </cell>
          <cell r="C129" t="str">
            <v>PER GENERATOR PORTABLE NITROGEN PLANT</v>
          </cell>
          <cell r="D129" t="str">
            <v>Quality - Improvement</v>
          </cell>
          <cell r="E129" t="str">
            <v>N</v>
          </cell>
          <cell r="F129" t="str">
            <v>LA</v>
          </cell>
          <cell r="H129" t="str">
            <v>Mixed</v>
          </cell>
          <cell r="I129" t="str">
            <v>ENGINEERING</v>
          </cell>
          <cell r="J129" t="str">
            <v>PER</v>
          </cell>
          <cell r="T129">
            <v>0</v>
          </cell>
          <cell r="U129">
            <v>0</v>
          </cell>
        </row>
        <row r="130">
          <cell r="B130" t="str">
            <v>ICP-XXXXX</v>
          </cell>
          <cell r="C130" t="str">
            <v>AME - Pigment Room</v>
          </cell>
          <cell r="D130" t="str">
            <v>Capability</v>
          </cell>
          <cell r="E130" t="str">
            <v>N</v>
          </cell>
          <cell r="F130" t="str">
            <v>LA</v>
          </cell>
          <cell r="H130" t="str">
            <v>MIXED</v>
          </cell>
          <cell r="I130" t="str">
            <v>COMPONENT PREP OTHER</v>
          </cell>
          <cell r="J130" t="str">
            <v>AME</v>
          </cell>
          <cell r="T130">
            <v>0</v>
          </cell>
          <cell r="U130">
            <v>2000</v>
          </cell>
          <cell r="AD130">
            <v>-2000</v>
          </cell>
        </row>
        <row r="131">
          <cell r="B131" t="str">
            <v>ICP-210008</v>
          </cell>
          <cell r="C131" t="str">
            <v>PER FVM #4 (EX GADSDEN)</v>
          </cell>
          <cell r="D131" t="str">
            <v>Facilities Sustaining</v>
          </cell>
          <cell r="E131" t="str">
            <v>N</v>
          </cell>
          <cell r="F131" t="str">
            <v>LA</v>
          </cell>
          <cell r="H131" t="str">
            <v>MIXED</v>
          </cell>
          <cell r="I131" t="str">
            <v>Final Finish</v>
          </cell>
          <cell r="J131" t="str">
            <v>PER</v>
          </cell>
          <cell r="T131">
            <v>82.162080000000003</v>
          </cell>
          <cell r="U131">
            <v>0</v>
          </cell>
          <cell r="X131">
            <v>0</v>
          </cell>
          <cell r="Y131">
            <v>16.91</v>
          </cell>
        </row>
        <row r="132">
          <cell r="B132" t="str">
            <v>ICP-210011</v>
          </cell>
          <cell r="C132" t="str">
            <v>AME Mill Drive #3 Upgrade</v>
          </cell>
          <cell r="D132" t="str">
            <v>Facilities Sustaining</v>
          </cell>
          <cell r="E132" t="str">
            <v>N</v>
          </cell>
          <cell r="F132" t="str">
            <v>LA</v>
          </cell>
          <cell r="H132" t="str">
            <v>MIXED</v>
          </cell>
          <cell r="I132" t="str">
            <v>COMPONENT PREP OTHER</v>
          </cell>
          <cell r="J132" t="str">
            <v>AME</v>
          </cell>
          <cell r="T132">
            <v>1.45035</v>
          </cell>
          <cell r="U132">
            <v>-1.5</v>
          </cell>
          <cell r="AD132">
            <v>0</v>
          </cell>
        </row>
        <row r="133">
          <cell r="B133" t="str">
            <v>ICP-210016</v>
          </cell>
          <cell r="C133" t="str">
            <v>AME FVM TGIS Upgrade</v>
          </cell>
          <cell r="D133" t="str">
            <v>Facilities Sustaining</v>
          </cell>
          <cell r="E133" t="str">
            <v>N</v>
          </cell>
          <cell r="F133" t="str">
            <v>LA</v>
          </cell>
          <cell r="H133" t="str">
            <v>CONSUMER RADIAL</v>
          </cell>
          <cell r="I133" t="str">
            <v>FINAL FINISH</v>
          </cell>
          <cell r="J133" t="str">
            <v>AME</v>
          </cell>
          <cell r="T133">
            <v>43.52225</v>
          </cell>
          <cell r="U133">
            <v>-43.4925</v>
          </cell>
          <cell r="X133">
            <v>0</v>
          </cell>
          <cell r="Y133">
            <v>22.807500000000001</v>
          </cell>
          <cell r="AD133">
            <v>0</v>
          </cell>
        </row>
        <row r="134">
          <cell r="B134" t="str">
            <v>ICP-210019</v>
          </cell>
          <cell r="C134" t="str">
            <v>COL New TCU Wire Calender</v>
          </cell>
          <cell r="D134" t="str">
            <v>Facilities Sustaining</v>
          </cell>
          <cell r="E134" t="str">
            <v>N</v>
          </cell>
          <cell r="F134" t="str">
            <v>LA</v>
          </cell>
          <cell r="H134" t="str">
            <v>Commercial Radial</v>
          </cell>
          <cell r="I134" t="str">
            <v>Component Prep Other</v>
          </cell>
          <cell r="J134" t="str">
            <v>COL</v>
          </cell>
          <cell r="T134">
            <v>0.92894999999999994</v>
          </cell>
          <cell r="U134">
            <v>0</v>
          </cell>
          <cell r="X134">
            <v>0</v>
          </cell>
          <cell r="Y134">
            <v>230</v>
          </cell>
        </row>
        <row r="135">
          <cell r="B135" t="str">
            <v>ICP-210031</v>
          </cell>
          <cell r="C135" t="str">
            <v>AME Creel Room Transfer Gadsden</v>
          </cell>
          <cell r="D135" t="str">
            <v>Productivity</v>
          </cell>
          <cell r="E135" t="str">
            <v>N</v>
          </cell>
          <cell r="F135" t="str">
            <v>LA</v>
          </cell>
          <cell r="H135" t="str">
            <v>CONSUMER RADIAL</v>
          </cell>
          <cell r="I135" t="str">
            <v>COMPONENT PREP OTHER</v>
          </cell>
          <cell r="J135" t="str">
            <v>AME</v>
          </cell>
          <cell r="T135">
            <v>0</v>
          </cell>
          <cell r="U135">
            <v>0</v>
          </cell>
          <cell r="AD135">
            <v>0</v>
          </cell>
        </row>
        <row r="136">
          <cell r="B136" t="str">
            <v>ICP-210036</v>
          </cell>
          <cell r="C136" t="str">
            <v>AME - NEW MRT KOKUSAI MACHINE</v>
          </cell>
          <cell r="D136" t="str">
            <v>Quality - Improvement</v>
          </cell>
          <cell r="E136" t="str">
            <v>N</v>
          </cell>
          <cell r="F136" t="str">
            <v>LA</v>
          </cell>
          <cell r="H136" t="str">
            <v>OTR</v>
          </cell>
          <cell r="I136" t="str">
            <v>OTHER</v>
          </cell>
          <cell r="J136" t="str">
            <v>AME</v>
          </cell>
          <cell r="T136">
            <v>0</v>
          </cell>
          <cell r="U136">
            <v>360</v>
          </cell>
          <cell r="X136">
            <v>1231.75</v>
          </cell>
          <cell r="Y136">
            <v>0</v>
          </cell>
          <cell r="AD136">
            <v>-360</v>
          </cell>
        </row>
        <row r="137">
          <cell r="B137" t="str">
            <v>ICP-XXXXX3</v>
          </cell>
          <cell r="C137" t="str">
            <v>AME - MIXER#3 BODY REPLACEMENT (AKRON)</v>
          </cell>
          <cell r="D137" t="str">
            <v>Facilities Sustaining</v>
          </cell>
          <cell r="E137" t="str">
            <v>N</v>
          </cell>
          <cell r="F137" t="str">
            <v>LA</v>
          </cell>
          <cell r="J137" t="str">
            <v>AME</v>
          </cell>
          <cell r="T137">
            <v>0</v>
          </cell>
          <cell r="U137">
            <v>280</v>
          </cell>
          <cell r="AD137">
            <v>-280</v>
          </cell>
        </row>
        <row r="138">
          <cell r="B138" t="str">
            <v>ICP-210037</v>
          </cell>
          <cell r="C138" t="str">
            <v>AME - Vulcaweld Creel Room Press</v>
          </cell>
          <cell r="D138" t="str">
            <v>Facilities Sustaining</v>
          </cell>
          <cell r="E138" t="str">
            <v>N</v>
          </cell>
          <cell r="F138" t="str">
            <v>LA</v>
          </cell>
          <cell r="H138" t="str">
            <v>MIXED</v>
          </cell>
          <cell r="J138" t="str">
            <v>AME</v>
          </cell>
          <cell r="T138">
            <v>0</v>
          </cell>
          <cell r="U138">
            <v>0</v>
          </cell>
          <cell r="W138">
            <v>20</v>
          </cell>
          <cell r="X138">
            <v>0</v>
          </cell>
          <cell r="Y138">
            <v>14.7</v>
          </cell>
          <cell r="AD138">
            <v>0</v>
          </cell>
        </row>
        <row r="139">
          <cell r="B139" t="str">
            <v>ICP-210038</v>
          </cell>
          <cell r="C139" t="str">
            <v>AME IT Plant Network Devices</v>
          </cell>
          <cell r="D139" t="str">
            <v>IT</v>
          </cell>
          <cell r="E139" t="str">
            <v>N</v>
          </cell>
          <cell r="F139" t="str">
            <v>LA</v>
          </cell>
          <cell r="H139" t="str">
            <v>Other</v>
          </cell>
          <cell r="I139" t="str">
            <v>SAG - IT</v>
          </cell>
          <cell r="J139" t="str">
            <v>AME</v>
          </cell>
          <cell r="T139">
            <v>9.4469999999999998E-2</v>
          </cell>
          <cell r="U139">
            <v>0</v>
          </cell>
          <cell r="X139">
            <v>0</v>
          </cell>
          <cell r="Y139">
            <v>172</v>
          </cell>
        </row>
        <row r="140">
          <cell r="B140" t="str">
            <v>ICP-210032</v>
          </cell>
          <cell r="C140" t="str">
            <v>AME PNC Pneumatic Core Construct</v>
          </cell>
          <cell r="D140" t="str">
            <v>Capability</v>
          </cell>
          <cell r="E140" t="str">
            <v>N</v>
          </cell>
          <cell r="F140" t="str">
            <v>LA</v>
          </cell>
          <cell r="H140" t="str">
            <v>LA Win in OE</v>
          </cell>
          <cell r="I140" t="str">
            <v>N/A</v>
          </cell>
          <cell r="J140" t="str">
            <v>AME</v>
          </cell>
          <cell r="T140">
            <v>243.59408000000002</v>
          </cell>
          <cell r="U140">
            <v>0</v>
          </cell>
          <cell r="X140">
            <v>0</v>
          </cell>
          <cell r="Y140">
            <v>568.48421999999994</v>
          </cell>
          <cell r="AD140">
            <v>-243.00000000000011</v>
          </cell>
        </row>
        <row r="141">
          <cell r="B141" t="str">
            <v>ICP-210004</v>
          </cell>
          <cell r="C141" t="str">
            <v>AME MATTEUZZI RRM45 SMART GRINDER</v>
          </cell>
          <cell r="D141" t="str">
            <v>Quality - Improvement</v>
          </cell>
          <cell r="E141" t="str">
            <v>N</v>
          </cell>
          <cell r="F141" t="str">
            <v>LA</v>
          </cell>
          <cell r="H141" t="str">
            <v>CONSUMER RADIAL</v>
          </cell>
          <cell r="I141" t="str">
            <v>OTHER</v>
          </cell>
          <cell r="J141" t="str">
            <v>AME</v>
          </cell>
          <cell r="T141">
            <v>6.2932500000000022</v>
          </cell>
          <cell r="U141">
            <v>0</v>
          </cell>
          <cell r="X141">
            <v>0</v>
          </cell>
          <cell r="Y141">
            <v>593.12354999999991</v>
          </cell>
          <cell r="AD141">
            <v>-186.3</v>
          </cell>
        </row>
        <row r="142">
          <cell r="B142" t="str">
            <v>ICP-XXXXX2</v>
          </cell>
          <cell r="C142" t="str">
            <v>AME - (8) PCI Cavities</v>
          </cell>
          <cell r="D142" t="str">
            <v>Capability</v>
          </cell>
          <cell r="E142" t="str">
            <v>N</v>
          </cell>
          <cell r="F142" t="str">
            <v>LA</v>
          </cell>
          <cell r="H142" t="str">
            <v>CONSUMER RADIAL</v>
          </cell>
          <cell r="I142" t="str">
            <v>Curing</v>
          </cell>
          <cell r="J142" t="str">
            <v>AME</v>
          </cell>
          <cell r="T142">
            <v>0</v>
          </cell>
          <cell r="U142">
            <v>100</v>
          </cell>
          <cell r="AD142">
            <v>-100</v>
          </cell>
        </row>
        <row r="143">
          <cell r="B143" t="str">
            <v>LCP-170154</v>
          </cell>
          <cell r="C143" t="str">
            <v>BRZ - AVCB NEW WAREHOUSE-BUILDING COMMERCIAL</v>
          </cell>
          <cell r="D143" t="str">
            <v>SAG</v>
          </cell>
          <cell r="E143" t="str">
            <v>C</v>
          </cell>
          <cell r="F143" t="str">
            <v>LA</v>
          </cell>
          <cell r="G143">
            <v>0</v>
          </cell>
          <cell r="H143" t="str">
            <v>Mixed</v>
          </cell>
          <cell r="I143" t="str">
            <v>SAG - Supply Chain</v>
          </cell>
          <cell r="J143" t="str">
            <v>BRZ</v>
          </cell>
          <cell r="O143">
            <v>2866.6</v>
          </cell>
          <cell r="Q143">
            <v>2866.6</v>
          </cell>
          <cell r="R143">
            <v>2646.8693699999963</v>
          </cell>
          <cell r="S143">
            <v>2646.8693699999963</v>
          </cell>
          <cell r="T143">
            <v>0</v>
          </cell>
          <cell r="U143">
            <v>0</v>
          </cell>
          <cell r="V143">
            <v>0.7</v>
          </cell>
          <cell r="W143">
            <v>0.7</v>
          </cell>
          <cell r="Z143">
            <v>219.73063000000366</v>
          </cell>
          <cell r="AA143">
            <v>-219.73063000000366</v>
          </cell>
          <cell r="AB143">
            <v>2646.8693699999963</v>
          </cell>
          <cell r="AC143">
            <v>-219.73063000000366</v>
          </cell>
          <cell r="AD143">
            <v>0</v>
          </cell>
        </row>
        <row r="144">
          <cell r="B144" t="str">
            <v>LCP-180002</v>
          </cell>
          <cell r="C144" t="str">
            <v>FAM AVCB PHASE II EMERGENCY LIGHTINING AND ALARMS</v>
          </cell>
          <cell r="D144" t="str">
            <v>EHS</v>
          </cell>
          <cell r="E144" t="str">
            <v>C</v>
          </cell>
          <cell r="F144" t="str">
            <v>LA</v>
          </cell>
          <cell r="G144" t="str">
            <v>COMP</v>
          </cell>
          <cell r="H144" t="str">
            <v>Mixed</v>
          </cell>
          <cell r="I144" t="str">
            <v>N/A</v>
          </cell>
          <cell r="J144" t="str">
            <v>AME</v>
          </cell>
          <cell r="O144">
            <v>3243</v>
          </cell>
          <cell r="P144">
            <v>249</v>
          </cell>
          <cell r="Q144">
            <v>3492</v>
          </cell>
          <cell r="R144">
            <v>3292.9036800000044</v>
          </cell>
          <cell r="S144">
            <v>3302.6670500000046</v>
          </cell>
          <cell r="T144">
            <v>9.7633699999999983</v>
          </cell>
          <cell r="U144">
            <v>0</v>
          </cell>
          <cell r="V144">
            <v>75</v>
          </cell>
          <cell r="W144">
            <v>75</v>
          </cell>
          <cell r="Z144">
            <v>189.33294999999544</v>
          </cell>
          <cell r="AA144">
            <v>-189.33294999999544</v>
          </cell>
          <cell r="AB144">
            <v>3302.6670500000046</v>
          </cell>
          <cell r="AC144">
            <v>-189.33294999999544</v>
          </cell>
          <cell r="AD144">
            <v>0</v>
          </cell>
        </row>
        <row r="145">
          <cell r="B145" t="str">
            <v>LCP-180003</v>
          </cell>
          <cell r="C145" t="str">
            <v>GEM PROJECT EMC GRAVATAÍ</v>
          </cell>
          <cell r="D145" t="str">
            <v>SAG</v>
          </cell>
          <cell r="E145" t="str">
            <v>C</v>
          </cell>
          <cell r="F145" t="str">
            <v>LA</v>
          </cell>
          <cell r="G145">
            <v>0</v>
          </cell>
          <cell r="H145" t="str">
            <v>N/A</v>
          </cell>
          <cell r="I145" t="str">
            <v>FACILITIES/INFRASTRUCTURE</v>
          </cell>
          <cell r="J145" t="str">
            <v>MC</v>
          </cell>
          <cell r="O145">
            <v>2880</v>
          </cell>
          <cell r="P145">
            <v>887.5</v>
          </cell>
          <cell r="Q145">
            <v>3767.5</v>
          </cell>
          <cell r="R145">
            <v>3449.8341700000001</v>
          </cell>
          <cell r="S145">
            <v>3456.2623200000003</v>
          </cell>
          <cell r="T145">
            <v>6.4281499999999996</v>
          </cell>
          <cell r="U145">
            <v>0</v>
          </cell>
          <cell r="V145">
            <v>10.029610000000002</v>
          </cell>
          <cell r="W145">
            <v>10.029610000000002</v>
          </cell>
          <cell r="Z145">
            <v>311.23767999999973</v>
          </cell>
          <cell r="AA145">
            <v>-311.23767999999973</v>
          </cell>
          <cell r="AB145">
            <v>3456.2623200000003</v>
          </cell>
          <cell r="AC145">
            <v>-311.23767999999973</v>
          </cell>
          <cell r="AD145">
            <v>0</v>
          </cell>
        </row>
        <row r="146">
          <cell r="B146" t="str">
            <v>LCP-180010</v>
          </cell>
          <cell r="C146" t="str">
            <v>(3) NEW 52 HYDRAULIC CONSUMER PRESSES</v>
          </cell>
          <cell r="D146" t="str">
            <v>Capability</v>
          </cell>
          <cell r="E146" t="str">
            <v>C</v>
          </cell>
          <cell r="F146" t="str">
            <v>LA</v>
          </cell>
          <cell r="G146">
            <v>0</v>
          </cell>
          <cell r="H146" t="str">
            <v>Commercial Radial</v>
          </cell>
          <cell r="I146" t="str">
            <v>Curing</v>
          </cell>
          <cell r="J146" t="str">
            <v>AME</v>
          </cell>
          <cell r="O146">
            <v>2961.5</v>
          </cell>
          <cell r="Q146">
            <v>2961.5</v>
          </cell>
          <cell r="R146">
            <v>2419.5096100000001</v>
          </cell>
          <cell r="S146">
            <v>2474.2202499999999</v>
          </cell>
          <cell r="T146">
            <v>54.710640000000005</v>
          </cell>
          <cell r="U146">
            <v>0</v>
          </cell>
          <cell r="V146">
            <v>63.749110000000002</v>
          </cell>
          <cell r="W146">
            <v>63.749110000000002</v>
          </cell>
          <cell r="Z146">
            <v>487.27975000000015</v>
          </cell>
          <cell r="AD146">
            <v>0</v>
          </cell>
        </row>
        <row r="147">
          <cell r="B147" t="str">
            <v>LCP-180080</v>
          </cell>
          <cell r="C147" t="str">
            <v>COMMERCIAL TIRE BUILDING MACHINE</v>
          </cell>
          <cell r="D147" t="str">
            <v>Capability</v>
          </cell>
          <cell r="E147" t="str">
            <v>C</v>
          </cell>
          <cell r="F147" t="str">
            <v>LA</v>
          </cell>
          <cell r="H147" t="str">
            <v>Commercial Radial</v>
          </cell>
          <cell r="I147" t="str">
            <v>Tire Assembly</v>
          </cell>
          <cell r="J147" t="str">
            <v>AME</v>
          </cell>
          <cell r="O147">
            <v>10188.982</v>
          </cell>
          <cell r="Q147">
            <v>10188.982</v>
          </cell>
          <cell r="R147">
            <v>6223.9736700000003</v>
          </cell>
          <cell r="S147">
            <v>6255.96137</v>
          </cell>
          <cell r="T147">
            <v>31.9877</v>
          </cell>
          <cell r="U147">
            <v>0</v>
          </cell>
          <cell r="V147">
            <v>5.3449499999999999</v>
          </cell>
          <cell r="W147">
            <v>5.3449499999999999</v>
          </cell>
          <cell r="Z147">
            <v>3933.02063</v>
          </cell>
          <cell r="AD147">
            <v>0</v>
          </cell>
        </row>
        <row r="148">
          <cell r="B148" t="str">
            <v>LCP-180081</v>
          </cell>
          <cell r="C148" t="str">
            <v>GEM PROJECT SÃO CAETANO DO SUL</v>
          </cell>
          <cell r="D148" t="str">
            <v>SAG</v>
          </cell>
          <cell r="E148" t="str">
            <v>C</v>
          </cell>
          <cell r="F148" t="str">
            <v>LA</v>
          </cell>
          <cell r="H148" t="str">
            <v>N/A</v>
          </cell>
          <cell r="I148" t="str">
            <v>N/A</v>
          </cell>
          <cell r="J148" t="str">
            <v>MC</v>
          </cell>
          <cell r="O148">
            <v>5863</v>
          </cell>
          <cell r="Q148">
            <v>5863</v>
          </cell>
          <cell r="R148">
            <v>4989.9439300000004</v>
          </cell>
          <cell r="S148">
            <v>4989.1904800000002</v>
          </cell>
          <cell r="T148">
            <v>-0.75344999999999995</v>
          </cell>
          <cell r="U148">
            <v>0</v>
          </cell>
          <cell r="V148">
            <v>-0.35293000000000063</v>
          </cell>
          <cell r="W148">
            <v>-0.35293000000000063</v>
          </cell>
          <cell r="Z148">
            <v>873.80951999999979</v>
          </cell>
          <cell r="AA148">
            <v>-873.80951999999979</v>
          </cell>
          <cell r="AB148">
            <v>4989.1904800000002</v>
          </cell>
          <cell r="AC148">
            <v>-873.80951999999979</v>
          </cell>
          <cell r="AD148">
            <v>0</v>
          </cell>
        </row>
        <row r="149">
          <cell r="B149" t="str">
            <v>LCP-180095</v>
          </cell>
          <cell r="C149" t="str">
            <v>AME - METAL DETECTOR IN CALANDERS (FORD PROJECT)</v>
          </cell>
          <cell r="D149" t="str">
            <v>Quality - Improvement</v>
          </cell>
          <cell r="E149" t="str">
            <v>C</v>
          </cell>
          <cell r="F149" t="str">
            <v>LA</v>
          </cell>
          <cell r="H149" t="str">
            <v>Mixed</v>
          </cell>
          <cell r="I149" t="str">
            <v xml:space="preserve">Extruding </v>
          </cell>
          <cell r="J149" t="str">
            <v>AME</v>
          </cell>
          <cell r="O149">
            <v>247</v>
          </cell>
          <cell r="Q149">
            <v>247</v>
          </cell>
          <cell r="R149">
            <v>225.48117999999999</v>
          </cell>
          <cell r="S149">
            <v>250.0986</v>
          </cell>
          <cell r="T149">
            <v>24.617420000000006</v>
          </cell>
          <cell r="U149">
            <v>0</v>
          </cell>
          <cell r="V149">
            <v>50</v>
          </cell>
          <cell r="W149">
            <v>50</v>
          </cell>
          <cell r="Z149">
            <v>-3.0986000000000047</v>
          </cell>
          <cell r="AA149">
            <v>3.0986000000000047</v>
          </cell>
          <cell r="AB149">
            <v>250.0986</v>
          </cell>
          <cell r="AC149">
            <v>3.0986000000000047</v>
          </cell>
          <cell r="AD149">
            <v>0</v>
          </cell>
        </row>
        <row r="150">
          <cell r="B150" t="str">
            <v>LCP-180114</v>
          </cell>
          <cell r="C150" t="str">
            <v>LAMINATOR PROFILE AUTOMATION</v>
          </cell>
          <cell r="D150" t="str">
            <v>Facilities Sustaining</v>
          </cell>
          <cell r="E150" t="str">
            <v>C</v>
          </cell>
          <cell r="F150" t="str">
            <v>LA</v>
          </cell>
          <cell r="H150" t="str">
            <v>OTR</v>
          </cell>
          <cell r="I150" t="str">
            <v>N/A</v>
          </cell>
          <cell r="J150" t="str">
            <v>AME</v>
          </cell>
          <cell r="O150">
            <v>267.8</v>
          </cell>
          <cell r="Q150">
            <v>267.8</v>
          </cell>
          <cell r="R150">
            <v>110.45480000000001</v>
          </cell>
          <cell r="S150">
            <v>149.01047</v>
          </cell>
          <cell r="T150">
            <v>38.555669999999999</v>
          </cell>
          <cell r="U150">
            <v>0</v>
          </cell>
          <cell r="V150">
            <v>94.293819999999997</v>
          </cell>
          <cell r="W150">
            <v>94.293819999999997</v>
          </cell>
          <cell r="Z150">
            <v>118.78953000000001</v>
          </cell>
          <cell r="AA150">
            <v>-118.78953000000001</v>
          </cell>
          <cell r="AB150">
            <v>149.01047</v>
          </cell>
          <cell r="AC150">
            <v>-118.78953000000001</v>
          </cell>
          <cell r="AD150">
            <v>0</v>
          </cell>
        </row>
        <row r="151">
          <cell r="B151" t="str">
            <v>LCP-180117</v>
          </cell>
          <cell r="C151" t="str">
            <v>SAO - NEW ORBITREAD MACHINE</v>
          </cell>
          <cell r="D151" t="str">
            <v>SAG</v>
          </cell>
          <cell r="E151" t="str">
            <v>C</v>
          </cell>
          <cell r="F151" t="str">
            <v>LA</v>
          </cell>
          <cell r="H151" t="str">
            <v>Aviation</v>
          </cell>
          <cell r="I151" t="str">
            <v>Tire Assembly</v>
          </cell>
          <cell r="J151" t="str">
            <v>SAO</v>
          </cell>
          <cell r="O151">
            <v>387.67</v>
          </cell>
          <cell r="Q151">
            <v>387.67</v>
          </cell>
          <cell r="R151">
            <v>8.9772400000000001</v>
          </cell>
          <cell r="S151">
            <v>316.72945000000004</v>
          </cell>
          <cell r="T151">
            <v>312.45180000000005</v>
          </cell>
          <cell r="U151">
            <v>0</v>
          </cell>
          <cell r="V151">
            <v>376.7</v>
          </cell>
          <cell r="W151">
            <v>376.7</v>
          </cell>
          <cell r="Z151">
            <v>70.940549999999973</v>
          </cell>
          <cell r="AA151">
            <v>-70.940549999999973</v>
          </cell>
          <cell r="AB151">
            <v>316.72945000000004</v>
          </cell>
          <cell r="AC151">
            <v>-70.940549999999973</v>
          </cell>
          <cell r="AD151">
            <v>0</v>
          </cell>
        </row>
        <row r="152">
          <cell r="B152" t="str">
            <v>LCP-180137</v>
          </cell>
          <cell r="C152" t="str">
            <v>(10) VDF PANEL INSTALLATION</v>
          </cell>
          <cell r="D152" t="str">
            <v>Energy Conservation</v>
          </cell>
          <cell r="E152" t="str">
            <v>C</v>
          </cell>
          <cell r="F152" t="str">
            <v>LA</v>
          </cell>
          <cell r="H152" t="str">
            <v>Mixed</v>
          </cell>
          <cell r="I152" t="str">
            <v>N/A</v>
          </cell>
          <cell r="J152" t="str">
            <v>AME</v>
          </cell>
          <cell r="O152">
            <v>213</v>
          </cell>
          <cell r="Q152">
            <v>213</v>
          </cell>
          <cell r="R152">
            <v>160.65058000000002</v>
          </cell>
          <cell r="S152">
            <v>160.98027000000002</v>
          </cell>
          <cell r="T152">
            <v>0.32969000000000004</v>
          </cell>
          <cell r="U152">
            <v>0</v>
          </cell>
          <cell r="V152">
            <v>0.36386000000000007</v>
          </cell>
          <cell r="W152">
            <v>0.36386000000000007</v>
          </cell>
          <cell r="Z152">
            <v>52.019729999999981</v>
          </cell>
          <cell r="AA152">
            <v>-52.019729999999981</v>
          </cell>
          <cell r="AB152">
            <v>160.98027000000002</v>
          </cell>
          <cell r="AC152">
            <v>-52.019729999999981</v>
          </cell>
          <cell r="AD152">
            <v>0</v>
          </cell>
        </row>
        <row r="153">
          <cell r="B153" t="str">
            <v>LCP-180139</v>
          </cell>
          <cell r="C153" t="str">
            <v>POWER HOUSE STEAM TURBINE</v>
          </cell>
          <cell r="D153" t="str">
            <v>Energy Conservation</v>
          </cell>
          <cell r="E153" t="str">
            <v>C</v>
          </cell>
          <cell r="F153" t="str">
            <v>LA</v>
          </cell>
          <cell r="H153" t="str">
            <v>Mixed</v>
          </cell>
          <cell r="I153" t="str">
            <v>N/A</v>
          </cell>
          <cell r="J153" t="str">
            <v>AME</v>
          </cell>
          <cell r="O153">
            <v>1264.865</v>
          </cell>
          <cell r="P153">
            <v>62</v>
          </cell>
          <cell r="Q153">
            <v>1326.865</v>
          </cell>
          <cell r="R153">
            <v>1255.4557199999999</v>
          </cell>
          <cell r="S153">
            <v>1256.7585099999999</v>
          </cell>
          <cell r="T153">
            <v>1.3027899999999999</v>
          </cell>
          <cell r="U153">
            <v>0</v>
          </cell>
          <cell r="V153">
            <v>8.8639599999999987</v>
          </cell>
          <cell r="W153">
            <v>8.8639599999999987</v>
          </cell>
          <cell r="Z153">
            <v>70.106490000000122</v>
          </cell>
          <cell r="AA153">
            <v>-70.106490000000122</v>
          </cell>
          <cell r="AB153">
            <v>1256.7585099999999</v>
          </cell>
          <cell r="AC153">
            <v>-70.106490000000122</v>
          </cell>
          <cell r="AD153">
            <v>0</v>
          </cell>
        </row>
        <row r="154">
          <cell r="B154" t="str">
            <v>LCP-180149</v>
          </cell>
          <cell r="C154" t="str">
            <v>EXHAUST SYSTEM - LINES A/B &amp; G/H CONSUMER PRESSES</v>
          </cell>
          <cell r="D154" t="str">
            <v>EHS</v>
          </cell>
          <cell r="E154" t="str">
            <v>C</v>
          </cell>
          <cell r="F154" t="str">
            <v>LA</v>
          </cell>
          <cell r="G154" t="str">
            <v>HYG</v>
          </cell>
          <cell r="H154" t="str">
            <v>CONSUMER RADIAL</v>
          </cell>
          <cell r="I154" t="str">
            <v>N/A</v>
          </cell>
          <cell r="J154" t="str">
            <v>AME</v>
          </cell>
          <cell r="O154">
            <v>438.67599999999999</v>
          </cell>
          <cell r="Q154">
            <v>438.67599999999999</v>
          </cell>
          <cell r="R154">
            <v>226.38204999999999</v>
          </cell>
          <cell r="S154">
            <v>267.15053</v>
          </cell>
          <cell r="T154">
            <v>40.768479999999997</v>
          </cell>
          <cell r="U154">
            <v>0</v>
          </cell>
          <cell r="V154">
            <v>54.182309999999994</v>
          </cell>
          <cell r="W154">
            <v>54.182309999999994</v>
          </cell>
          <cell r="Z154">
            <v>171.52546999999998</v>
          </cell>
          <cell r="AA154">
            <v>-171.52546999999998</v>
          </cell>
          <cell r="AB154">
            <v>267.15053</v>
          </cell>
          <cell r="AC154">
            <v>-171.52546999999998</v>
          </cell>
          <cell r="AD154">
            <v>0</v>
          </cell>
        </row>
        <row r="155">
          <cell r="B155" t="str">
            <v>LCP-180150</v>
          </cell>
          <cell r="C155" t="str">
            <v>SAO - SHEROGRAPHY UPGRADE (OBSEOLESCENCE AND SOFTWARE)</v>
          </cell>
          <cell r="D155" t="str">
            <v>SAG</v>
          </cell>
          <cell r="E155" t="str">
            <v>C</v>
          </cell>
          <cell r="F155" t="str">
            <v>LA</v>
          </cell>
          <cell r="H155" t="str">
            <v>Aviation</v>
          </cell>
          <cell r="I155" t="str">
            <v>Other</v>
          </cell>
          <cell r="J155" t="str">
            <v>SAO</v>
          </cell>
          <cell r="O155">
            <v>77.8</v>
          </cell>
          <cell r="Q155">
            <v>77.8</v>
          </cell>
          <cell r="R155">
            <v>41.670199999999994</v>
          </cell>
          <cell r="S155">
            <v>41.670199999999994</v>
          </cell>
          <cell r="T155">
            <v>0</v>
          </cell>
          <cell r="U155">
            <v>0</v>
          </cell>
          <cell r="V155">
            <v>9.9</v>
          </cell>
          <cell r="W155">
            <v>9.9</v>
          </cell>
          <cell r="Z155">
            <v>36.129800000000003</v>
          </cell>
          <cell r="AA155">
            <v>-36.129800000000003</v>
          </cell>
          <cell r="AB155">
            <v>41.670199999999994</v>
          </cell>
          <cell r="AC155">
            <v>-36.129800000000003</v>
          </cell>
          <cell r="AD155">
            <v>0</v>
          </cell>
        </row>
        <row r="156">
          <cell r="B156" t="str">
            <v>LCP-180174</v>
          </cell>
          <cell r="C156" t="str">
            <v>METAL DETECTOR IN EXTRUDERS</v>
          </cell>
          <cell r="D156" t="str">
            <v>Quality - Improvement</v>
          </cell>
          <cell r="E156" t="str">
            <v>C</v>
          </cell>
          <cell r="F156" t="str">
            <v>LA</v>
          </cell>
          <cell r="H156" t="str">
            <v>MIXED</v>
          </cell>
          <cell r="I156" t="str">
            <v>COMPONENT PREP OTHER</v>
          </cell>
          <cell r="J156" t="str">
            <v>AME</v>
          </cell>
          <cell r="O156">
            <v>284.57</v>
          </cell>
          <cell r="P156">
            <v>105.654</v>
          </cell>
          <cell r="Q156">
            <v>390.22399999999999</v>
          </cell>
          <cell r="R156">
            <v>68.774510000000006</v>
          </cell>
          <cell r="S156">
            <v>116.18638000000001</v>
          </cell>
          <cell r="T156">
            <v>47.41187</v>
          </cell>
          <cell r="U156">
            <v>0</v>
          </cell>
          <cell r="V156">
            <v>26.905099999999997</v>
          </cell>
          <cell r="W156">
            <v>26.905099999999997</v>
          </cell>
          <cell r="Z156">
            <v>274.03761999999995</v>
          </cell>
          <cell r="AA156">
            <v>-274.03761999999995</v>
          </cell>
          <cell r="AB156">
            <v>116.18638000000001</v>
          </cell>
          <cell r="AC156">
            <v>-274.03761999999995</v>
          </cell>
          <cell r="AD156">
            <v>0</v>
          </cell>
        </row>
        <row r="157">
          <cell r="B157" t="str">
            <v>LCP-180178</v>
          </cell>
          <cell r="C157" t="str">
            <v>WIND UP LET OFF NGTTS#5 &amp; #8</v>
          </cell>
          <cell r="D157" t="str">
            <v>EHS</v>
          </cell>
          <cell r="E157" t="str">
            <v>C</v>
          </cell>
          <cell r="F157" t="str">
            <v>LA</v>
          </cell>
          <cell r="G157" t="str">
            <v>MSR</v>
          </cell>
          <cell r="H157" t="str">
            <v>COMMERCIAL RADIAL</v>
          </cell>
          <cell r="I157" t="str">
            <v>Tire Assembly</v>
          </cell>
          <cell r="J157" t="str">
            <v>AME</v>
          </cell>
          <cell r="O157">
            <v>242.75</v>
          </cell>
          <cell r="Q157">
            <v>242.75</v>
          </cell>
          <cell r="R157">
            <v>195.34764000000001</v>
          </cell>
          <cell r="S157">
            <v>198.16334000000001</v>
          </cell>
          <cell r="T157">
            <v>2.815700000000001</v>
          </cell>
          <cell r="U157">
            <v>0</v>
          </cell>
          <cell r="V157">
            <v>3.4014400000000009</v>
          </cell>
          <cell r="W157">
            <v>3.4014400000000009</v>
          </cell>
          <cell r="Z157">
            <v>44.586659999999995</v>
          </cell>
          <cell r="AA157">
            <v>-44.586659999999995</v>
          </cell>
          <cell r="AB157">
            <v>198.16334000000001</v>
          </cell>
          <cell r="AC157">
            <v>-44.586659999999995</v>
          </cell>
          <cell r="AD157">
            <v>0</v>
          </cell>
        </row>
        <row r="158">
          <cell r="B158" t="str">
            <v>LCP-180179</v>
          </cell>
          <cell r="C158" t="str">
            <v>UPG DRIVES &amp; CONTROLS – CAL3R</v>
          </cell>
          <cell r="D158" t="str">
            <v>Facilities Sustaining</v>
          </cell>
          <cell r="E158" t="str">
            <v>C</v>
          </cell>
          <cell r="F158" t="str">
            <v>LA</v>
          </cell>
          <cell r="H158" t="str">
            <v>CONSUMER RADIAL</v>
          </cell>
          <cell r="I158" t="str">
            <v>COMPONENT PREP OTHER</v>
          </cell>
          <cell r="J158" t="str">
            <v>AME</v>
          </cell>
          <cell r="O158">
            <v>783.3</v>
          </cell>
          <cell r="Q158">
            <v>783.3</v>
          </cell>
          <cell r="R158">
            <v>633.40698999999995</v>
          </cell>
          <cell r="S158">
            <v>646.43928999999991</v>
          </cell>
          <cell r="T158">
            <v>13.032300000000003</v>
          </cell>
          <cell r="U158">
            <v>0</v>
          </cell>
          <cell r="V158">
            <v>13.82259</v>
          </cell>
          <cell r="W158">
            <v>13.82259</v>
          </cell>
          <cell r="Z158">
            <v>136.86071000000004</v>
          </cell>
          <cell r="AA158">
            <v>-136.86071000000004</v>
          </cell>
          <cell r="AB158">
            <v>646.43928999999991</v>
          </cell>
          <cell r="AC158">
            <v>-136.86071000000004</v>
          </cell>
          <cell r="AD158">
            <v>0</v>
          </cell>
        </row>
        <row r="159">
          <cell r="B159" t="str">
            <v>LCP-210137</v>
          </cell>
          <cell r="C159" t="str">
            <v>AME -SIDEWALK BUILDING IN FRONT OF PLANT</v>
          </cell>
          <cell r="D159" t="str">
            <v>EHS</v>
          </cell>
          <cell r="E159" t="str">
            <v>N</v>
          </cell>
          <cell r="F159" t="str">
            <v>LA</v>
          </cell>
          <cell r="G159" t="str">
            <v>ERG</v>
          </cell>
          <cell r="H159" t="str">
            <v>Other</v>
          </cell>
          <cell r="I159" t="str">
            <v>FACILITIES/INFRASTRUCTURE</v>
          </cell>
          <cell r="J159" t="str">
            <v>AME</v>
          </cell>
          <cell r="T159">
            <v>0</v>
          </cell>
          <cell r="U159">
            <v>34.6</v>
          </cell>
          <cell r="X159">
            <v>0</v>
          </cell>
          <cell r="Y159">
            <v>121.75294</v>
          </cell>
          <cell r="AD159">
            <v>23</v>
          </cell>
        </row>
        <row r="160">
          <cell r="B160" t="str">
            <v>LCP-190022</v>
          </cell>
          <cell r="C160" t="str">
            <v>PER - ANNUAL MISCELLANEOUS 2019</v>
          </cell>
          <cell r="D160" t="str">
            <v>Facilities Sustaining</v>
          </cell>
          <cell r="E160" t="str">
            <v>C</v>
          </cell>
          <cell r="F160" t="str">
            <v>LA</v>
          </cell>
          <cell r="G160">
            <v>0</v>
          </cell>
          <cell r="H160" t="str">
            <v>N/A</v>
          </cell>
          <cell r="I160" t="str">
            <v>FACILITIES/INFRASTRUCTURE</v>
          </cell>
          <cell r="J160" t="str">
            <v>PER</v>
          </cell>
          <cell r="O160">
            <v>500</v>
          </cell>
          <cell r="P160">
            <v>31</v>
          </cell>
          <cell r="Q160">
            <v>531</v>
          </cell>
          <cell r="R160">
            <v>531.07341000000008</v>
          </cell>
          <cell r="S160">
            <v>531.07341000000008</v>
          </cell>
          <cell r="T160">
            <v>0</v>
          </cell>
          <cell r="U160">
            <v>0</v>
          </cell>
          <cell r="Z160">
            <v>-7.34100000000808E-2</v>
          </cell>
          <cell r="AA160">
            <v>7.34100000000808E-2</v>
          </cell>
          <cell r="AB160">
            <v>531.07341000000008</v>
          </cell>
          <cell r="AC160">
            <v>7.34100000000808E-2</v>
          </cell>
        </row>
        <row r="161">
          <cell r="B161" t="str">
            <v>LCP-190057</v>
          </cell>
          <cell r="C161" t="str">
            <v>AME - UP GRADE EXTRUSORA Q5 ( AUTOMAX ) PHASE 2</v>
          </cell>
          <cell r="D161" t="str">
            <v>Facilities Sustaining</v>
          </cell>
          <cell r="E161" t="str">
            <v>N</v>
          </cell>
          <cell r="F161" t="str">
            <v>LA</v>
          </cell>
          <cell r="H161" t="str">
            <v>MIXED</v>
          </cell>
          <cell r="I161" t="str">
            <v>FACILITIES/INFRASTRUCTURE</v>
          </cell>
          <cell r="J161" t="str">
            <v>AME</v>
          </cell>
          <cell r="O161">
            <v>375.71899999999999</v>
          </cell>
          <cell r="Q161">
            <v>375.71899999999999</v>
          </cell>
          <cell r="R161">
            <v>125.52296000000001</v>
          </cell>
          <cell r="S161">
            <v>174.21512000000001</v>
          </cell>
          <cell r="T161">
            <v>48.692159999999994</v>
          </cell>
          <cell r="U161">
            <v>0</v>
          </cell>
          <cell r="V161">
            <v>34.883949999999999</v>
          </cell>
          <cell r="W161">
            <v>34.883949999999999</v>
          </cell>
          <cell r="Z161">
            <v>201.50387999999998</v>
          </cell>
          <cell r="AA161">
            <v>-201.50387999999998</v>
          </cell>
          <cell r="AB161">
            <v>174.21512000000001</v>
          </cell>
          <cell r="AC161">
            <v>-201.50387999999998</v>
          </cell>
          <cell r="AD161">
            <v>0</v>
          </cell>
        </row>
        <row r="162">
          <cell r="B162" t="str">
            <v>LCP-190061</v>
          </cell>
          <cell r="C162" t="str">
            <v>SECURITY IMPROVEMENT IN (8) APEX APPLIER - NGTTS</v>
          </cell>
          <cell r="D162" t="str">
            <v>EHS</v>
          </cell>
          <cell r="E162" t="str">
            <v>N</v>
          </cell>
          <cell r="F162" t="str">
            <v>LA</v>
          </cell>
          <cell r="G162" t="str">
            <v>COMP</v>
          </cell>
          <cell r="H162" t="str">
            <v>COMMERCIAL RADIAL</v>
          </cell>
          <cell r="I162" t="str">
            <v>Tire Assembly</v>
          </cell>
          <cell r="J162" t="str">
            <v>AME</v>
          </cell>
          <cell r="O162">
            <v>372.80046999999996</v>
          </cell>
          <cell r="Q162">
            <v>372.80046999999996</v>
          </cell>
          <cell r="S162">
            <v>62.600300000000004</v>
          </cell>
          <cell r="T162">
            <v>135.34699000000001</v>
          </cell>
          <cell r="U162">
            <v>9.4369999999997844E-2</v>
          </cell>
          <cell r="V162">
            <v>110.00046999999995</v>
          </cell>
          <cell r="W162">
            <v>110.00046999999995</v>
          </cell>
          <cell r="X162">
            <v>16.36965</v>
          </cell>
          <cell r="Y162">
            <v>95.184880000000007</v>
          </cell>
          <cell r="Z162">
            <v>310.20016999999996</v>
          </cell>
          <cell r="AA162">
            <v>-310.20016999999996</v>
          </cell>
          <cell r="AB162">
            <v>62.694670000000002</v>
          </cell>
          <cell r="AC162">
            <v>-310.10579999999993</v>
          </cell>
          <cell r="AD162">
            <v>0</v>
          </cell>
        </row>
        <row r="163">
          <cell r="B163" t="str">
            <v>LCP-190064</v>
          </cell>
          <cell r="C163" t="str">
            <v>COL - Payroll application replacement (SAP)</v>
          </cell>
          <cell r="D163" t="str">
            <v>SAG</v>
          </cell>
          <cell r="E163" t="str">
            <v>N</v>
          </cell>
          <cell r="F163" t="str">
            <v>LA</v>
          </cell>
          <cell r="H163" t="str">
            <v>COMMERCIAL RADIAL</v>
          </cell>
          <cell r="I163" t="str">
            <v>SAG - Other</v>
          </cell>
          <cell r="J163" t="str">
            <v>COL</v>
          </cell>
          <cell r="O163">
            <v>160.221</v>
          </cell>
          <cell r="Q163">
            <v>160.221</v>
          </cell>
          <cell r="R163">
            <v>87.411829999999995</v>
          </cell>
          <cell r="S163">
            <v>92.85472</v>
          </cell>
          <cell r="T163">
            <v>5.4428900000000002</v>
          </cell>
          <cell r="U163">
            <v>0</v>
          </cell>
          <cell r="Z163">
            <v>67.366280000000003</v>
          </cell>
          <cell r="AA163">
            <v>-67.366280000000003</v>
          </cell>
          <cell r="AB163">
            <v>92.85472</v>
          </cell>
          <cell r="AC163">
            <v>-67.366280000000003</v>
          </cell>
        </row>
        <row r="164">
          <cell r="B164" t="str">
            <v>LCP-190076</v>
          </cell>
          <cell r="C164" t="str">
            <v>AME - ASSURANCE SUCCESSOR</v>
          </cell>
          <cell r="D164" t="str">
            <v>Molds</v>
          </cell>
          <cell r="E164" t="str">
            <v>N</v>
          </cell>
          <cell r="F164" t="str">
            <v>LA</v>
          </cell>
          <cell r="H164" t="str">
            <v>Consumer Radial</v>
          </cell>
          <cell r="I164" t="str">
            <v>Curing</v>
          </cell>
          <cell r="J164" t="str">
            <v>AME</v>
          </cell>
          <cell r="O164">
            <v>2800</v>
          </cell>
          <cell r="Q164">
            <v>2800</v>
          </cell>
          <cell r="R164">
            <v>884.52637000000004</v>
          </cell>
          <cell r="S164">
            <v>884.54640000000006</v>
          </cell>
          <cell r="T164">
            <v>2.0030000000000003E-2</v>
          </cell>
          <cell r="U164">
            <v>0</v>
          </cell>
          <cell r="Z164">
            <v>1915.4535999999998</v>
          </cell>
          <cell r="AA164">
            <v>-1915.4535999999998</v>
          </cell>
          <cell r="AB164">
            <v>884.54640000000006</v>
          </cell>
          <cell r="AC164">
            <v>-1915.4535999999998</v>
          </cell>
        </row>
        <row r="165">
          <cell r="B165" t="str">
            <v>LCP-190078</v>
          </cell>
          <cell r="C165" t="str">
            <v>REPLACEMENT OF ROLLS CAL3R</v>
          </cell>
          <cell r="D165" t="str">
            <v>Facilities Sustaining</v>
          </cell>
          <cell r="E165" t="str">
            <v>N</v>
          </cell>
          <cell r="F165" t="str">
            <v>LA</v>
          </cell>
          <cell r="H165" t="str">
            <v>CONSUMER RADIAL</v>
          </cell>
          <cell r="I165" t="str">
            <v>COMPONENT PREP OTHER</v>
          </cell>
          <cell r="J165" t="str">
            <v>AME</v>
          </cell>
          <cell r="O165">
            <v>1478.5</v>
          </cell>
          <cell r="P165">
            <v>197.13</v>
          </cell>
          <cell r="Q165">
            <v>1675.63</v>
          </cell>
          <cell r="R165">
            <v>382.68155000000002</v>
          </cell>
          <cell r="S165">
            <v>382.68155000000002</v>
          </cell>
          <cell r="T165">
            <v>-1.7347234759768071E-18</v>
          </cell>
          <cell r="U165">
            <v>0</v>
          </cell>
          <cell r="Z165">
            <v>1292.9484500000001</v>
          </cell>
          <cell r="AA165">
            <v>-1292.9484500000001</v>
          </cell>
          <cell r="AB165">
            <v>382.68155000000002</v>
          </cell>
          <cell r="AC165">
            <v>-1292.9484500000001</v>
          </cell>
          <cell r="AD165">
            <v>0</v>
          </cell>
        </row>
        <row r="166">
          <cell r="B166" t="str">
            <v>LCP-190089</v>
          </cell>
          <cell r="C166" t="str">
            <v>AME - X-ray B upgrade</v>
          </cell>
          <cell r="D166" t="str">
            <v>Facilities Sustaining</v>
          </cell>
          <cell r="E166" t="str">
            <v>N</v>
          </cell>
          <cell r="F166" t="str">
            <v>LA</v>
          </cell>
          <cell r="H166" t="str">
            <v>COMMERCIAL RADIAL</v>
          </cell>
          <cell r="I166" t="str">
            <v>FACILITIES/INFRASTRUCTURE</v>
          </cell>
          <cell r="J166" t="str">
            <v>AME</v>
          </cell>
          <cell r="O166">
            <v>385.7</v>
          </cell>
          <cell r="Q166">
            <v>385.7</v>
          </cell>
          <cell r="R166">
            <v>0</v>
          </cell>
          <cell r="S166">
            <v>-26.880879999999994</v>
          </cell>
          <cell r="T166">
            <v>-26.880879999999994</v>
          </cell>
          <cell r="U166">
            <v>0</v>
          </cell>
          <cell r="V166">
            <v>-28.070629999999998</v>
          </cell>
          <cell r="W166">
            <v>-28.070629999999998</v>
          </cell>
          <cell r="Z166">
            <v>412.58087999999998</v>
          </cell>
          <cell r="AA166">
            <v>-412.58087999999998</v>
          </cell>
          <cell r="AB166">
            <v>-26.880879999999994</v>
          </cell>
          <cell r="AC166">
            <v>-412.58087999999998</v>
          </cell>
          <cell r="AD166">
            <v>0</v>
          </cell>
        </row>
        <row r="167">
          <cell r="B167" t="str">
            <v>LCP-190095</v>
          </cell>
          <cell r="C167" t="str">
            <v>PER - PAY ROLL UPGRADE</v>
          </cell>
          <cell r="D167" t="str">
            <v>Facilities Sustaining</v>
          </cell>
          <cell r="E167" t="str">
            <v>N</v>
          </cell>
          <cell r="F167" t="str">
            <v>LA</v>
          </cell>
          <cell r="H167" t="str">
            <v>N/A</v>
          </cell>
          <cell r="I167" t="str">
            <v>N/A</v>
          </cell>
          <cell r="J167" t="str">
            <v>PER</v>
          </cell>
          <cell r="O167">
            <v>99.3</v>
          </cell>
          <cell r="Q167">
            <v>99.3</v>
          </cell>
          <cell r="S167">
            <v>0</v>
          </cell>
          <cell r="T167">
            <v>0</v>
          </cell>
          <cell r="U167">
            <v>4.4000000000000004</v>
          </cell>
          <cell r="V167">
            <v>80</v>
          </cell>
          <cell r="W167">
            <v>80</v>
          </cell>
          <cell r="X167">
            <v>0</v>
          </cell>
          <cell r="Y167">
            <v>33.136600000000001</v>
          </cell>
          <cell r="Z167">
            <v>99.3</v>
          </cell>
          <cell r="AA167">
            <v>-99.3</v>
          </cell>
          <cell r="AB167">
            <v>4.4000000000000004</v>
          </cell>
          <cell r="AC167">
            <v>-94.899999999999991</v>
          </cell>
          <cell r="AD167">
            <v>80</v>
          </cell>
        </row>
        <row r="168">
          <cell r="B168" t="str">
            <v>LCP-190107</v>
          </cell>
          <cell r="C168" t="str">
            <v>CAP-(44) COMPLETE NEW MOLDS FOR WRANGLER</v>
          </cell>
          <cell r="D168" t="str">
            <v>Molds</v>
          </cell>
          <cell r="E168" t="str">
            <v>N</v>
          </cell>
          <cell r="F168" t="str">
            <v>LA</v>
          </cell>
          <cell r="H168" t="str">
            <v>CONSUMER RADIAL</v>
          </cell>
          <cell r="I168" t="str">
            <v>CURING</v>
          </cell>
          <cell r="J168" t="str">
            <v>AME</v>
          </cell>
          <cell r="O168">
            <v>2700</v>
          </cell>
          <cell r="Q168">
            <v>2700</v>
          </cell>
          <cell r="S168">
            <v>349.44198999999998</v>
          </cell>
          <cell r="T168">
            <v>349.44198999999998</v>
          </cell>
          <cell r="U168">
            <v>0</v>
          </cell>
          <cell r="V168">
            <v>583.28226999999993</v>
          </cell>
          <cell r="W168">
            <v>583.28226999999993</v>
          </cell>
          <cell r="Z168">
            <v>2350.5580100000002</v>
          </cell>
          <cell r="AA168">
            <v>-2350.5580100000002</v>
          </cell>
          <cell r="AB168">
            <v>349.44198999999998</v>
          </cell>
          <cell r="AC168">
            <v>-2350.5580100000002</v>
          </cell>
          <cell r="AD168">
            <v>292.5</v>
          </cell>
        </row>
        <row r="169">
          <cell r="B169" t="str">
            <v>LCP-190110</v>
          </cell>
          <cell r="C169" t="str">
            <v>COL - Shipment dock replacement</v>
          </cell>
          <cell r="D169" t="str">
            <v>SAG</v>
          </cell>
          <cell r="E169" t="str">
            <v>N</v>
          </cell>
          <cell r="F169" t="str">
            <v>LA</v>
          </cell>
          <cell r="H169" t="str">
            <v>N/A</v>
          </cell>
          <cell r="I169" t="str">
            <v>SAG - Supply Chain</v>
          </cell>
          <cell r="J169" t="str">
            <v>COL</v>
          </cell>
          <cell r="O169">
            <v>236.625</v>
          </cell>
          <cell r="Q169">
            <v>236.625</v>
          </cell>
          <cell r="R169">
            <v>191.71001999999999</v>
          </cell>
          <cell r="S169">
            <v>234.46592999999999</v>
          </cell>
          <cell r="T169">
            <v>42.755909999999993</v>
          </cell>
          <cell r="U169">
            <v>0</v>
          </cell>
          <cell r="V169">
            <v>41.155979999999992</v>
          </cell>
          <cell r="W169">
            <v>41.155979999999992</v>
          </cell>
          <cell r="Z169">
            <v>2.159070000000014</v>
          </cell>
          <cell r="AA169">
            <v>-2.159070000000014</v>
          </cell>
          <cell r="AB169">
            <v>234.46592999999999</v>
          </cell>
          <cell r="AC169">
            <v>-2.159070000000014</v>
          </cell>
        </row>
        <row r="170">
          <cell r="B170" t="str">
            <v>LCP-190117</v>
          </cell>
          <cell r="C170" t="str">
            <v>CAP-X-RAY GREEN POINT MARKER</v>
          </cell>
          <cell r="D170" t="str">
            <v>Quality - Improvement</v>
          </cell>
          <cell r="E170" t="str">
            <v>N</v>
          </cell>
          <cell r="F170" t="str">
            <v>LA</v>
          </cell>
          <cell r="H170" t="str">
            <v>COMMERCIAL RADIAL</v>
          </cell>
          <cell r="I170" t="str">
            <v>FINAL FINISH</v>
          </cell>
          <cell r="J170" t="str">
            <v>AME</v>
          </cell>
          <cell r="O170">
            <v>67.5</v>
          </cell>
          <cell r="Q170">
            <v>67.5</v>
          </cell>
          <cell r="R170">
            <v>23.122389999999999</v>
          </cell>
          <cell r="S170">
            <v>27.78295</v>
          </cell>
          <cell r="T170">
            <v>4.6605600000000003</v>
          </cell>
          <cell r="U170">
            <v>0</v>
          </cell>
          <cell r="V170">
            <v>9.7674900000000004</v>
          </cell>
          <cell r="W170">
            <v>9.7674900000000004</v>
          </cell>
          <cell r="Z170">
            <v>39.71705</v>
          </cell>
          <cell r="AA170">
            <v>-39.71705</v>
          </cell>
          <cell r="AB170">
            <v>27.78295</v>
          </cell>
          <cell r="AC170">
            <v>-39.71705</v>
          </cell>
          <cell r="AD170">
            <v>0</v>
          </cell>
        </row>
        <row r="171">
          <cell r="B171" t="str">
            <v>LCP-190123</v>
          </cell>
          <cell r="C171" t="str">
            <v>CAP-G316 PRODUCTION MOLD TRANSFER - AMER</v>
          </cell>
          <cell r="D171" t="str">
            <v>Molds</v>
          </cell>
          <cell r="E171" t="str">
            <v>N</v>
          </cell>
          <cell r="F171" t="str">
            <v>LA</v>
          </cell>
          <cell r="H171" t="str">
            <v>COMMERCIAL RADIAL</v>
          </cell>
          <cell r="I171" t="str">
            <v>CURING</v>
          </cell>
          <cell r="J171" t="str">
            <v>AME</v>
          </cell>
          <cell r="O171">
            <v>112.7</v>
          </cell>
          <cell r="Q171">
            <v>112.7</v>
          </cell>
          <cell r="R171">
            <v>42.732599999999998</v>
          </cell>
          <cell r="S171">
            <v>42.732599999999998</v>
          </cell>
          <cell r="T171">
            <v>0</v>
          </cell>
          <cell r="U171">
            <v>0</v>
          </cell>
          <cell r="Z171">
            <v>69.967399999999998</v>
          </cell>
          <cell r="AA171">
            <v>-69.967399999999998</v>
          </cell>
          <cell r="AB171">
            <v>42.732599999999998</v>
          </cell>
          <cell r="AC171">
            <v>-69.967399999999998</v>
          </cell>
        </row>
        <row r="172">
          <cell r="B172" t="str">
            <v>LCP-190126</v>
          </cell>
          <cell r="C172" t="str">
            <v>PER - UPGRADE FOR OVERLAY CUTTER (Cameron replacement)</v>
          </cell>
          <cell r="D172" t="str">
            <v>Quality - Cost Savings</v>
          </cell>
          <cell r="E172" t="str">
            <v>N</v>
          </cell>
          <cell r="F172" t="str">
            <v>LA</v>
          </cell>
          <cell r="H172" t="str">
            <v>Consumer Radial</v>
          </cell>
          <cell r="I172" t="str">
            <v>Component Prep Other</v>
          </cell>
          <cell r="J172" t="str">
            <v>PER</v>
          </cell>
          <cell r="O172">
            <v>150</v>
          </cell>
          <cell r="Q172">
            <v>150</v>
          </cell>
          <cell r="R172">
            <v>81.72972</v>
          </cell>
          <cell r="S172">
            <v>96.049809999999994</v>
          </cell>
          <cell r="T172">
            <v>14.320089999999999</v>
          </cell>
          <cell r="U172">
            <v>4.2000000000000011</v>
          </cell>
          <cell r="V172">
            <v>18.399999999999999</v>
          </cell>
          <cell r="W172">
            <v>18.399999999999999</v>
          </cell>
          <cell r="X172">
            <v>0</v>
          </cell>
          <cell r="Y172">
            <v>3.9774400000000001</v>
          </cell>
          <cell r="Z172">
            <v>53.950190000000006</v>
          </cell>
          <cell r="AA172">
            <v>-53.950190000000006</v>
          </cell>
          <cell r="AB172">
            <v>100.24981</v>
          </cell>
          <cell r="AC172">
            <v>-49.750190000000003</v>
          </cell>
        </row>
        <row r="173">
          <cell r="B173" t="str">
            <v>LCP-190130</v>
          </cell>
          <cell r="C173" t="str">
            <v>PER - PHASE 4 INCREASE SUV</v>
          </cell>
          <cell r="D173" t="str">
            <v>Capability</v>
          </cell>
          <cell r="E173" t="str">
            <v>N</v>
          </cell>
          <cell r="F173" t="str">
            <v>LA</v>
          </cell>
          <cell r="G173">
            <v>0</v>
          </cell>
          <cell r="H173" t="str">
            <v>Consumer Radial</v>
          </cell>
          <cell r="I173" t="str">
            <v>Tire Assembly</v>
          </cell>
          <cell r="J173" t="str">
            <v>PER</v>
          </cell>
          <cell r="O173">
            <v>1365.4</v>
          </cell>
          <cell r="Q173">
            <v>1365.4</v>
          </cell>
          <cell r="R173">
            <v>194.92041999999998</v>
          </cell>
          <cell r="S173">
            <v>589.1243599999998</v>
          </cell>
          <cell r="T173">
            <v>503.21079999999984</v>
          </cell>
          <cell r="U173">
            <v>-9.0999999997620762E-4</v>
          </cell>
          <cell r="V173">
            <v>490.03255999999999</v>
          </cell>
          <cell r="W173">
            <v>490.03255999999999</v>
          </cell>
          <cell r="X173">
            <v>50</v>
          </cell>
          <cell r="Y173">
            <v>3.99</v>
          </cell>
          <cell r="Z173">
            <v>776.27564000000029</v>
          </cell>
          <cell r="AA173">
            <v>-776.27564000000029</v>
          </cell>
          <cell r="AB173">
            <v>589.12344999999982</v>
          </cell>
          <cell r="AC173">
            <v>-776.27655000000027</v>
          </cell>
          <cell r="AD173">
            <v>490</v>
          </cell>
        </row>
        <row r="174">
          <cell r="B174" t="str">
            <v>LCP-190132</v>
          </cell>
          <cell r="C174" t="str">
            <v>VEHICLE DYNAMICS AREA (VDA) REPAVING</v>
          </cell>
          <cell r="D174" t="str">
            <v>SAG</v>
          </cell>
          <cell r="E174" t="str">
            <v>N</v>
          </cell>
          <cell r="F174" t="str">
            <v>LA</v>
          </cell>
          <cell r="G174">
            <v>0</v>
          </cell>
          <cell r="H174" t="str">
            <v>N/A</v>
          </cell>
          <cell r="I174" t="str">
            <v>SAG - GPG*LA</v>
          </cell>
          <cell r="J174" t="str">
            <v>BRZ</v>
          </cell>
          <cell r="O174">
            <v>844.22315000000003</v>
          </cell>
          <cell r="Q174">
            <v>844.22315000000003</v>
          </cell>
          <cell r="R174">
            <v>23.084180000000003</v>
          </cell>
          <cell r="S174">
            <v>38.045050000000003</v>
          </cell>
          <cell r="T174">
            <v>18.663270000000001</v>
          </cell>
          <cell r="U174">
            <v>0</v>
          </cell>
          <cell r="V174">
            <v>14.6</v>
          </cell>
          <cell r="W174">
            <v>14.6</v>
          </cell>
          <cell r="Z174">
            <v>806.17810000000009</v>
          </cell>
          <cell r="AA174">
            <v>-806.17810000000009</v>
          </cell>
          <cell r="AB174">
            <v>38.045050000000003</v>
          </cell>
          <cell r="AC174">
            <v>-806.17810000000009</v>
          </cell>
          <cell r="AD174">
            <v>0</v>
          </cell>
        </row>
        <row r="175">
          <cell r="B175" t="str">
            <v>LCP-190135</v>
          </cell>
          <cell r="C175" t="str">
            <v>PER - MIXER #2 GEARBOX REPLACEMENT</v>
          </cell>
          <cell r="D175" t="str">
            <v>Facilities Sustaining</v>
          </cell>
          <cell r="E175" t="str">
            <v>N</v>
          </cell>
          <cell r="F175" t="str">
            <v>LA</v>
          </cell>
          <cell r="H175" t="str">
            <v>N/A</v>
          </cell>
          <cell r="I175" t="str">
            <v>Facilities/Infrastructure</v>
          </cell>
          <cell r="J175" t="str">
            <v>PER</v>
          </cell>
          <cell r="O175">
            <v>344</v>
          </cell>
          <cell r="Q175">
            <v>344</v>
          </cell>
          <cell r="R175">
            <v>235.01086000000001</v>
          </cell>
          <cell r="S175">
            <v>235.01086000000001</v>
          </cell>
          <cell r="T175">
            <v>8.5467999999999993</v>
          </cell>
          <cell r="U175">
            <v>24</v>
          </cell>
          <cell r="V175">
            <v>24</v>
          </cell>
          <cell r="W175">
            <v>24</v>
          </cell>
          <cell r="X175">
            <v>0</v>
          </cell>
          <cell r="Y175">
            <v>20.15624</v>
          </cell>
          <cell r="Z175">
            <v>108.98913999999999</v>
          </cell>
          <cell r="AA175">
            <v>-108.98913999999999</v>
          </cell>
          <cell r="AB175">
            <v>259.01085999999998</v>
          </cell>
          <cell r="AC175">
            <v>-84.98914000000002</v>
          </cell>
          <cell r="AD175">
            <v>48</v>
          </cell>
        </row>
        <row r="176">
          <cell r="B176" t="str">
            <v>LCP-190140</v>
          </cell>
          <cell r="C176" t="str">
            <v>UPGRADE RING 18" CUV IN MC ANCHIETA</v>
          </cell>
          <cell r="D176" t="str">
            <v>SAG</v>
          </cell>
          <cell r="E176" t="str">
            <v>N</v>
          </cell>
          <cell r="F176" t="str">
            <v>LA</v>
          </cell>
          <cell r="H176" t="str">
            <v>Mixed</v>
          </cell>
          <cell r="I176" t="str">
            <v>N/A</v>
          </cell>
          <cell r="J176" t="str">
            <v>MC</v>
          </cell>
          <cell r="O176">
            <v>427.82044000000002</v>
          </cell>
          <cell r="Q176">
            <v>427.82044000000002</v>
          </cell>
          <cell r="R176">
            <v>0</v>
          </cell>
          <cell r="S176">
            <v>2.9714299999999993</v>
          </cell>
          <cell r="T176">
            <v>2.9714299999999993</v>
          </cell>
          <cell r="U176">
            <v>0</v>
          </cell>
          <cell r="V176">
            <v>2.9873499999999993</v>
          </cell>
          <cell r="W176">
            <v>2.9873499999999993</v>
          </cell>
          <cell r="Z176">
            <v>424.84901000000002</v>
          </cell>
          <cell r="AA176">
            <v>-424.84901000000002</v>
          </cell>
          <cell r="AB176">
            <v>2.9714299999999993</v>
          </cell>
          <cell r="AC176">
            <v>-424.84901000000002</v>
          </cell>
          <cell r="AD176">
            <v>0</v>
          </cell>
        </row>
        <row r="177">
          <cell r="B177" t="str">
            <v>LCP-190142</v>
          </cell>
          <cell r="C177" t="str">
            <v>NEW OIL LINE SYDININI</v>
          </cell>
          <cell r="D177" t="str">
            <v>Quality - Improvement</v>
          </cell>
          <cell r="E177" t="str">
            <v>N</v>
          </cell>
          <cell r="F177" t="str">
            <v>LA</v>
          </cell>
          <cell r="H177" t="str">
            <v>MIXED</v>
          </cell>
          <cell r="I177" t="str">
            <v>MIXING</v>
          </cell>
          <cell r="J177" t="str">
            <v>AME</v>
          </cell>
          <cell r="O177">
            <v>616.40979000000004</v>
          </cell>
          <cell r="Q177">
            <v>616.40979000000004</v>
          </cell>
          <cell r="R177">
            <v>78.383870000000002</v>
          </cell>
          <cell r="S177">
            <v>187.85696000000002</v>
          </cell>
          <cell r="T177">
            <v>128.47309000000001</v>
          </cell>
          <cell r="U177">
            <v>0</v>
          </cell>
          <cell r="V177">
            <v>108.0915</v>
          </cell>
          <cell r="W177">
            <v>108.0915</v>
          </cell>
          <cell r="Z177">
            <v>428.55283000000003</v>
          </cell>
          <cell r="AA177">
            <v>-428.55283000000003</v>
          </cell>
          <cell r="AB177">
            <v>187.85696000000002</v>
          </cell>
          <cell r="AC177">
            <v>-428.55283000000003</v>
          </cell>
          <cell r="AD177">
            <v>0</v>
          </cell>
        </row>
        <row r="178">
          <cell r="B178" t="str">
            <v>LCP-190144</v>
          </cell>
          <cell r="C178" t="str">
            <v>WIRE CALENDER EDGE TRIMMING DEVICE</v>
          </cell>
          <cell r="D178" t="str">
            <v>Quality - Improvement</v>
          </cell>
          <cell r="E178" t="str">
            <v>N</v>
          </cell>
          <cell r="F178" t="str">
            <v>LA</v>
          </cell>
          <cell r="H178" t="str">
            <v>CONSUMER RADIAL</v>
          </cell>
          <cell r="I178" t="str">
            <v>COMPONENT PREP OTHER</v>
          </cell>
          <cell r="J178" t="str">
            <v>AME</v>
          </cell>
          <cell r="O178">
            <v>90.5</v>
          </cell>
          <cell r="Q178">
            <v>90.5</v>
          </cell>
          <cell r="R178">
            <v>1.56802</v>
          </cell>
          <cell r="S178">
            <v>0</v>
          </cell>
          <cell r="T178">
            <v>-1.56802</v>
          </cell>
          <cell r="U178">
            <v>0</v>
          </cell>
          <cell r="V178">
            <v>-1.56802</v>
          </cell>
          <cell r="W178">
            <v>-1.56802</v>
          </cell>
          <cell r="Z178">
            <v>90.5</v>
          </cell>
          <cell r="AA178">
            <v>-90.5</v>
          </cell>
          <cell r="AB178">
            <v>0</v>
          </cell>
          <cell r="AC178">
            <v>-90.5</v>
          </cell>
          <cell r="AD178">
            <v>0</v>
          </cell>
        </row>
        <row r="179">
          <cell r="B179" t="str">
            <v>LCP-190148</v>
          </cell>
          <cell r="C179" t="str">
            <v>Kelly Armorsteel Line extension</v>
          </cell>
          <cell r="D179" t="str">
            <v>Molds</v>
          </cell>
          <cell r="E179" t="str">
            <v>N</v>
          </cell>
          <cell r="F179" t="str">
            <v>LA</v>
          </cell>
          <cell r="H179" t="str">
            <v>Commercial Radial</v>
          </cell>
          <cell r="I179" t="str">
            <v>Curing</v>
          </cell>
          <cell r="J179" t="str">
            <v>AME</v>
          </cell>
          <cell r="O179">
            <v>760</v>
          </cell>
          <cell r="Q179">
            <v>760</v>
          </cell>
          <cell r="R179">
            <v>48.507850000000019</v>
          </cell>
          <cell r="S179">
            <v>49.529470000000018</v>
          </cell>
          <cell r="T179">
            <v>1.02162</v>
          </cell>
          <cell r="U179">
            <v>0</v>
          </cell>
          <cell r="Z179">
            <v>710.47052999999994</v>
          </cell>
          <cell r="AA179">
            <v>-710.47052999999994</v>
          </cell>
          <cell r="AB179">
            <v>49.529470000000018</v>
          </cell>
          <cell r="AC179">
            <v>-710.47052999999994</v>
          </cell>
        </row>
        <row r="180">
          <cell r="B180" t="str">
            <v>LCP-190150</v>
          </cell>
          <cell r="C180" t="str">
            <v>B1 - UPGRADE PC-ETMS BALANCE AND FVM MACHINE</v>
          </cell>
          <cell r="D180" t="str">
            <v>Facilities Sustaining</v>
          </cell>
          <cell r="E180" t="str">
            <v>N</v>
          </cell>
          <cell r="F180" t="str">
            <v>LA</v>
          </cell>
          <cell r="H180" t="str">
            <v>CONSUMER RADIAL</v>
          </cell>
          <cell r="I180" t="str">
            <v>Tire Assembly</v>
          </cell>
          <cell r="J180" t="str">
            <v>AME</v>
          </cell>
          <cell r="O180">
            <v>304</v>
          </cell>
          <cell r="Q180">
            <v>304</v>
          </cell>
          <cell r="R180">
            <v>200.25262000000001</v>
          </cell>
          <cell r="S180">
            <v>228.78542000000002</v>
          </cell>
          <cell r="T180">
            <v>34.42745</v>
          </cell>
          <cell r="U180">
            <v>10.413139999999999</v>
          </cell>
          <cell r="V180">
            <v>45</v>
          </cell>
          <cell r="W180">
            <v>45</v>
          </cell>
          <cell r="X180">
            <v>0</v>
          </cell>
          <cell r="Y180">
            <v>24.492239999999999</v>
          </cell>
          <cell r="Z180">
            <v>75.214579999999984</v>
          </cell>
          <cell r="AA180">
            <v>-75.214579999999984</v>
          </cell>
          <cell r="AB180">
            <v>239.19856000000001</v>
          </cell>
          <cell r="AC180">
            <v>-64.801439999999985</v>
          </cell>
          <cell r="AD180">
            <v>0</v>
          </cell>
        </row>
        <row r="181">
          <cell r="B181" t="str">
            <v>LCP-190153</v>
          </cell>
          <cell r="C181" t="str">
            <v>CHI - DOR NAZAR</v>
          </cell>
          <cell r="D181" t="str">
            <v>SAG</v>
          </cell>
          <cell r="E181" t="str">
            <v>N</v>
          </cell>
          <cell r="F181" t="str">
            <v>LA</v>
          </cell>
          <cell r="H181" t="str">
            <v>N/A</v>
          </cell>
          <cell r="I181" t="str">
            <v>SAG - Other</v>
          </cell>
          <cell r="J181" t="str">
            <v>CHI</v>
          </cell>
          <cell r="O181">
            <v>114.4</v>
          </cell>
          <cell r="Q181">
            <v>114.4</v>
          </cell>
          <cell r="S181">
            <v>0</v>
          </cell>
          <cell r="T181">
            <v>0</v>
          </cell>
          <cell r="U181">
            <v>0</v>
          </cell>
          <cell r="X181">
            <v>0</v>
          </cell>
          <cell r="Y181">
            <v>9.869959999999999</v>
          </cell>
          <cell r="Z181">
            <v>114.4</v>
          </cell>
          <cell r="AA181">
            <v>-114.4</v>
          </cell>
          <cell r="AB181">
            <v>0</v>
          </cell>
          <cell r="AC181">
            <v>-114.4</v>
          </cell>
        </row>
        <row r="182">
          <cell r="B182" t="str">
            <v>LCP-190159</v>
          </cell>
          <cell r="C182" t="str">
            <v>(02) TRANSFER ORING NGTTS &amp; MONO CUTTER IN ANGLE</v>
          </cell>
          <cell r="D182" t="str">
            <v>Quality - Improvement</v>
          </cell>
          <cell r="E182" t="str">
            <v>N</v>
          </cell>
          <cell r="F182" t="str">
            <v>LA</v>
          </cell>
          <cell r="H182" t="str">
            <v>COMMERCIAL RADIAL</v>
          </cell>
          <cell r="I182" t="str">
            <v>COMPONENT PREP OTHER</v>
          </cell>
          <cell r="J182" t="str">
            <v>AME</v>
          </cell>
          <cell r="O182">
            <v>298.96199999999999</v>
          </cell>
          <cell r="Q182">
            <v>298.96199999999999</v>
          </cell>
          <cell r="R182">
            <v>0</v>
          </cell>
          <cell r="S182">
            <v>-0.33455000000000007</v>
          </cell>
          <cell r="T182">
            <v>-0.33455000000000007</v>
          </cell>
          <cell r="U182">
            <v>0</v>
          </cell>
          <cell r="V182">
            <v>9.1654499999999999</v>
          </cell>
          <cell r="W182">
            <v>9.1654499999999999</v>
          </cell>
          <cell r="Z182">
            <v>299.29654999999997</v>
          </cell>
          <cell r="AA182">
            <v>-299.29654999999997</v>
          </cell>
          <cell r="AB182">
            <v>-0.33455000000000007</v>
          </cell>
          <cell r="AC182">
            <v>-299.29654999999997</v>
          </cell>
          <cell r="AD182">
            <v>0</v>
          </cell>
        </row>
        <row r="183">
          <cell r="B183" t="str">
            <v>LCP-190164</v>
          </cell>
          <cell r="C183" t="str">
            <v>PER - TBM R4 CONTROLS UPGRADE</v>
          </cell>
          <cell r="D183" t="str">
            <v>Facilities Sustaining</v>
          </cell>
          <cell r="E183" t="str">
            <v>N</v>
          </cell>
          <cell r="F183" t="str">
            <v>LA</v>
          </cell>
          <cell r="H183" t="str">
            <v>Consumer Radial</v>
          </cell>
          <cell r="I183" t="str">
            <v>Tire Assembly</v>
          </cell>
          <cell r="J183" t="str">
            <v>PER</v>
          </cell>
          <cell r="O183">
            <v>83.5</v>
          </cell>
          <cell r="Q183">
            <v>83.5</v>
          </cell>
          <cell r="R183">
            <v>82.945729999999998</v>
          </cell>
          <cell r="S183">
            <v>82.945729999999998</v>
          </cell>
          <cell r="T183">
            <v>0</v>
          </cell>
          <cell r="U183">
            <v>0</v>
          </cell>
          <cell r="Z183">
            <v>0.55427000000000248</v>
          </cell>
          <cell r="AA183">
            <v>-0.55427000000000248</v>
          </cell>
          <cell r="AB183">
            <v>82.945729999999998</v>
          </cell>
          <cell r="AC183">
            <v>-0.55427000000000248</v>
          </cell>
        </row>
        <row r="184">
          <cell r="B184" t="str">
            <v>LCP-190165</v>
          </cell>
          <cell r="C184" t="str">
            <v>PER - (4) HYDRAULIC TO ELECTROMECHANIC BEAD HOLDER SYSTEMS ON TBM's</v>
          </cell>
          <cell r="D184" t="str">
            <v>Facilities Sustaining</v>
          </cell>
          <cell r="E184" t="str">
            <v>N</v>
          </cell>
          <cell r="F184" t="str">
            <v>LA</v>
          </cell>
          <cell r="H184" t="str">
            <v>Consumer Radial</v>
          </cell>
          <cell r="I184" t="str">
            <v>Tire Assembly</v>
          </cell>
          <cell r="J184" t="str">
            <v>PER</v>
          </cell>
          <cell r="O184">
            <v>244</v>
          </cell>
          <cell r="Q184">
            <v>244</v>
          </cell>
          <cell r="R184">
            <v>176.29637</v>
          </cell>
          <cell r="S184">
            <v>176.39147</v>
          </cell>
          <cell r="T184">
            <v>9.5100000000000004E-2</v>
          </cell>
          <cell r="U184">
            <v>0.12615999999999999</v>
          </cell>
          <cell r="V184">
            <v>8.6</v>
          </cell>
          <cell r="W184">
            <v>8.6</v>
          </cell>
          <cell r="Z184">
            <v>67.608530000000002</v>
          </cell>
          <cell r="AA184">
            <v>-67.608530000000002</v>
          </cell>
          <cell r="AB184">
            <v>176.51763</v>
          </cell>
          <cell r="AC184">
            <v>-67.482370000000003</v>
          </cell>
          <cell r="AD184">
            <v>8.6</v>
          </cell>
        </row>
        <row r="185">
          <cell r="B185" t="str">
            <v>LCP-190185</v>
          </cell>
          <cell r="C185" t="str">
            <v>PER - VICOSIMETER</v>
          </cell>
          <cell r="D185" t="str">
            <v>Quality - Improvement</v>
          </cell>
          <cell r="E185" t="str">
            <v>N</v>
          </cell>
          <cell r="F185" t="str">
            <v>LA</v>
          </cell>
          <cell r="H185" t="str">
            <v>N/A</v>
          </cell>
          <cell r="I185" t="str">
            <v>COMPONENT PREP OTHER</v>
          </cell>
          <cell r="J185" t="str">
            <v>PER</v>
          </cell>
          <cell r="O185">
            <v>60</v>
          </cell>
          <cell r="Q185">
            <v>60</v>
          </cell>
          <cell r="R185">
            <v>59.931670000000004</v>
          </cell>
          <cell r="S185">
            <v>59.931670000000004</v>
          </cell>
          <cell r="T185">
            <v>0</v>
          </cell>
          <cell r="U185">
            <v>0</v>
          </cell>
          <cell r="X185">
            <v>0</v>
          </cell>
          <cell r="Y185">
            <v>0.26939999999999997</v>
          </cell>
          <cell r="Z185">
            <v>6.8329999999996005E-2</v>
          </cell>
          <cell r="AA185">
            <v>-6.8329999999996005E-2</v>
          </cell>
          <cell r="AB185">
            <v>59.931670000000004</v>
          </cell>
          <cell r="AC185">
            <v>-6.8329999999996005E-2</v>
          </cell>
        </row>
        <row r="186">
          <cell r="B186" t="str">
            <v>LCP-190186</v>
          </cell>
          <cell r="C186" t="str">
            <v>CORSAIR Project</v>
          </cell>
          <cell r="D186" t="str">
            <v>SAG</v>
          </cell>
          <cell r="E186" t="str">
            <v>N</v>
          </cell>
          <cell r="F186" t="str">
            <v>LA</v>
          </cell>
          <cell r="H186" t="str">
            <v>AVIATION</v>
          </cell>
          <cell r="I186" t="str">
            <v>SAG - Other</v>
          </cell>
          <cell r="J186" t="str">
            <v>SAO</v>
          </cell>
          <cell r="O186">
            <v>1490</v>
          </cell>
          <cell r="Q186">
            <v>1490</v>
          </cell>
          <cell r="R186">
            <v>50.368539999999996</v>
          </cell>
          <cell r="S186">
            <v>110.55856</v>
          </cell>
          <cell r="T186">
            <v>60.190020000000004</v>
          </cell>
          <cell r="U186">
            <v>0</v>
          </cell>
          <cell r="V186">
            <v>96.589320000000001</v>
          </cell>
          <cell r="W186">
            <v>96.589320000000001</v>
          </cell>
          <cell r="Z186">
            <v>1379.4414400000001</v>
          </cell>
          <cell r="AA186">
            <v>-1379.4414400000001</v>
          </cell>
          <cell r="AB186">
            <v>110.55856</v>
          </cell>
          <cell r="AC186">
            <v>-1379.4414400000001</v>
          </cell>
          <cell r="AD186">
            <v>0</v>
          </cell>
        </row>
        <row r="187">
          <cell r="B187" t="str">
            <v>LCP-190192</v>
          </cell>
          <cell r="C187" t="str">
            <v>PER - ASSURANCE SUCCESSOR</v>
          </cell>
          <cell r="D187" t="str">
            <v>Molds</v>
          </cell>
          <cell r="E187" t="str">
            <v>N</v>
          </cell>
          <cell r="F187" t="str">
            <v>LA</v>
          </cell>
          <cell r="H187" t="str">
            <v>CONSUMER RADIAL</v>
          </cell>
          <cell r="I187" t="str">
            <v>Curing</v>
          </cell>
          <cell r="J187" t="str">
            <v>PER</v>
          </cell>
          <cell r="O187">
            <v>1080</v>
          </cell>
          <cell r="Q187">
            <v>1080</v>
          </cell>
          <cell r="R187">
            <v>210.38191000000003</v>
          </cell>
          <cell r="S187">
            <v>235.08524000000003</v>
          </cell>
          <cell r="T187">
            <v>24.703330000000001</v>
          </cell>
          <cell r="U187">
            <v>0</v>
          </cell>
          <cell r="V187">
            <v>10.29425</v>
          </cell>
          <cell r="W187">
            <v>10.29425</v>
          </cell>
          <cell r="X187">
            <v>29.181999999999999</v>
          </cell>
          <cell r="Y187">
            <v>1.07</v>
          </cell>
          <cell r="Z187">
            <v>844.91476</v>
          </cell>
          <cell r="AA187">
            <v>-844.91476</v>
          </cell>
          <cell r="AB187">
            <v>235.08524000000003</v>
          </cell>
          <cell r="AC187">
            <v>-844.91476</v>
          </cell>
        </row>
        <row r="188">
          <cell r="B188" t="str">
            <v>LCP-190194</v>
          </cell>
          <cell r="C188" t="str">
            <v>AME - 3 molds 205/45R18 Eagle Touring</v>
          </cell>
          <cell r="D188" t="str">
            <v>Molds</v>
          </cell>
          <cell r="E188" t="str">
            <v>N</v>
          </cell>
          <cell r="F188" t="str">
            <v>LA</v>
          </cell>
          <cell r="H188" t="str">
            <v>CONSUMER RADIAL</v>
          </cell>
          <cell r="I188" t="str">
            <v>CURING</v>
          </cell>
          <cell r="J188" t="str">
            <v>AME</v>
          </cell>
          <cell r="O188">
            <v>135</v>
          </cell>
          <cell r="Q188">
            <v>135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Z188">
            <v>135</v>
          </cell>
          <cell r="AA188">
            <v>-135</v>
          </cell>
          <cell r="AB188">
            <v>0</v>
          </cell>
          <cell r="AC188">
            <v>-135</v>
          </cell>
        </row>
        <row r="189">
          <cell r="B189" t="str">
            <v>LCP-190195</v>
          </cell>
          <cell r="C189" t="str">
            <v>AME- 205/55R16 &amp;amp; 265/70R16 Kelly Edg</v>
          </cell>
          <cell r="D189" t="str">
            <v>Molds</v>
          </cell>
          <cell r="E189" t="str">
            <v>N</v>
          </cell>
          <cell r="F189" t="str">
            <v>LA</v>
          </cell>
          <cell r="H189" t="str">
            <v>CONSUMER RADIAL</v>
          </cell>
          <cell r="I189" t="str">
            <v>CURING</v>
          </cell>
          <cell r="J189" t="str">
            <v>AME</v>
          </cell>
          <cell r="O189">
            <v>164.45</v>
          </cell>
          <cell r="Q189">
            <v>164.45</v>
          </cell>
          <cell r="R189">
            <v>57.056089999999998</v>
          </cell>
          <cell r="S189">
            <v>57.056089999999998</v>
          </cell>
          <cell r="T189">
            <v>0</v>
          </cell>
          <cell r="U189">
            <v>0</v>
          </cell>
          <cell r="Z189">
            <v>107.39390999999999</v>
          </cell>
          <cell r="AA189">
            <v>-107.39390999999999</v>
          </cell>
          <cell r="AB189">
            <v>57.056089999999998</v>
          </cell>
          <cell r="AC189">
            <v>-107.39390999999999</v>
          </cell>
        </row>
        <row r="190">
          <cell r="B190" t="str">
            <v>LCP-190197</v>
          </cell>
          <cell r="C190" t="str">
            <v>PER - COMPOUNDS RACKS FOR PREP COMP AREA</v>
          </cell>
          <cell r="D190" t="str">
            <v>Facilities Sustaining</v>
          </cell>
          <cell r="E190" t="str">
            <v>N</v>
          </cell>
          <cell r="F190" t="str">
            <v>LA</v>
          </cell>
          <cell r="H190" t="str">
            <v>N/A</v>
          </cell>
          <cell r="I190" t="str">
            <v>COMPONENT PREP OTHER</v>
          </cell>
          <cell r="J190" t="str">
            <v>PER</v>
          </cell>
          <cell r="O190">
            <v>88</v>
          </cell>
          <cell r="Q190">
            <v>88</v>
          </cell>
          <cell r="R190">
            <v>87.779029999999992</v>
          </cell>
          <cell r="S190">
            <v>87.779029999999992</v>
          </cell>
          <cell r="T190">
            <v>0</v>
          </cell>
          <cell r="U190">
            <v>0</v>
          </cell>
          <cell r="Z190">
            <v>0.22097000000000833</v>
          </cell>
          <cell r="AA190">
            <v>-0.22097000000000833</v>
          </cell>
          <cell r="AB190">
            <v>87.779029999999992</v>
          </cell>
          <cell r="AC190">
            <v>-0.22097000000000833</v>
          </cell>
        </row>
        <row r="191">
          <cell r="B191" t="str">
            <v>LCP-190199</v>
          </cell>
          <cell r="C191" t="str">
            <v>MOBILE DOCK LEVELER FOR NEW WAREHOUSE</v>
          </cell>
          <cell r="D191" t="str">
            <v>SAG</v>
          </cell>
          <cell r="E191" t="str">
            <v>N</v>
          </cell>
          <cell r="F191" t="str">
            <v>LA</v>
          </cell>
          <cell r="H191" t="str">
            <v>COMMERCIAL RADIAL</v>
          </cell>
          <cell r="I191" t="str">
            <v>SAG - Supply Chain</v>
          </cell>
          <cell r="J191" t="str">
            <v>BRZ</v>
          </cell>
          <cell r="O191">
            <v>46.003</v>
          </cell>
          <cell r="Q191">
            <v>46.003</v>
          </cell>
          <cell r="R191">
            <v>26.297199999999997</v>
          </cell>
          <cell r="S191">
            <v>31.250259999999997</v>
          </cell>
          <cell r="T191">
            <v>4.9530600000000007</v>
          </cell>
          <cell r="U191">
            <v>0</v>
          </cell>
          <cell r="V191">
            <v>5.0495900000000002</v>
          </cell>
          <cell r="W191">
            <v>5.0495900000000002</v>
          </cell>
          <cell r="Z191">
            <v>14.752740000000003</v>
          </cell>
          <cell r="AA191">
            <v>-14.752740000000003</v>
          </cell>
          <cell r="AB191">
            <v>31.250259999999997</v>
          </cell>
          <cell r="AC191">
            <v>-14.752740000000003</v>
          </cell>
          <cell r="AD191">
            <v>0</v>
          </cell>
        </row>
        <row r="192">
          <cell r="B192" t="str">
            <v>LCP-190200</v>
          </cell>
          <cell r="C192" t="str">
            <v>PER - Blue Rack for Tire Warehouse</v>
          </cell>
          <cell r="D192" t="str">
            <v>SAG</v>
          </cell>
          <cell r="E192" t="str">
            <v>N</v>
          </cell>
          <cell r="F192" t="str">
            <v>LA</v>
          </cell>
          <cell r="H192" t="str">
            <v>N/A</v>
          </cell>
          <cell r="I192" t="str">
            <v>SAG - Supply Chain</v>
          </cell>
          <cell r="J192" t="str">
            <v>PER</v>
          </cell>
          <cell r="O192">
            <v>87</v>
          </cell>
          <cell r="Q192">
            <v>87</v>
          </cell>
          <cell r="R192">
            <v>28.070149999999998</v>
          </cell>
          <cell r="S192">
            <v>28.070149999999998</v>
          </cell>
          <cell r="T192">
            <v>0</v>
          </cell>
          <cell r="U192">
            <v>0</v>
          </cell>
          <cell r="Z192">
            <v>58.929850000000002</v>
          </cell>
          <cell r="AA192">
            <v>-58.929850000000002</v>
          </cell>
          <cell r="AB192">
            <v>28.070149999999998</v>
          </cell>
          <cell r="AC192">
            <v>-58.929850000000002</v>
          </cell>
        </row>
        <row r="193">
          <cell r="B193" t="str">
            <v>LCP-190202</v>
          </cell>
          <cell r="C193" t="str">
            <v>MIXER#6 BODY REPLACEMENT</v>
          </cell>
          <cell r="D193" t="str">
            <v>Facilities Sustaining</v>
          </cell>
          <cell r="E193" t="str">
            <v>N</v>
          </cell>
          <cell r="F193" t="str">
            <v>LA</v>
          </cell>
          <cell r="H193" t="str">
            <v>MIXED</v>
          </cell>
          <cell r="I193" t="str">
            <v>MIXING</v>
          </cell>
          <cell r="J193" t="str">
            <v>AME</v>
          </cell>
          <cell r="O193">
            <v>1431.34</v>
          </cell>
          <cell r="Q193">
            <v>1431.34</v>
          </cell>
          <cell r="S193">
            <v>343.79884999999979</v>
          </cell>
          <cell r="T193">
            <v>452.45187999999973</v>
          </cell>
          <cell r="U193">
            <v>1.521759999999972</v>
          </cell>
          <cell r="V193">
            <v>456.93375999999984</v>
          </cell>
          <cell r="W193">
            <v>456.93375999999984</v>
          </cell>
          <cell r="X193">
            <v>0</v>
          </cell>
          <cell r="Y193">
            <v>21.203589999999998</v>
          </cell>
          <cell r="Z193">
            <v>1087.54115</v>
          </cell>
          <cell r="AA193">
            <v>-1087.54115</v>
          </cell>
          <cell r="AB193">
            <v>345.32060999999976</v>
          </cell>
          <cell r="AC193">
            <v>-1086.0193900000002</v>
          </cell>
          <cell r="AD193">
            <v>0</v>
          </cell>
        </row>
        <row r="194">
          <cell r="B194" t="str">
            <v>LCP-190203</v>
          </cell>
          <cell r="C194" t="str">
            <v>SAFETY SYSTEM  RIVER PUMP AREA</v>
          </cell>
          <cell r="D194" t="str">
            <v>EHS</v>
          </cell>
          <cell r="E194" t="str">
            <v>N</v>
          </cell>
          <cell r="F194" t="str">
            <v>LA</v>
          </cell>
          <cell r="G194" t="str">
            <v>ENV</v>
          </cell>
          <cell r="H194" t="str">
            <v>Mixed</v>
          </cell>
          <cell r="I194" t="str">
            <v>ENGINEERING</v>
          </cell>
          <cell r="J194" t="str">
            <v>AME</v>
          </cell>
          <cell r="O194">
            <v>72.099999999999994</v>
          </cell>
          <cell r="Q194">
            <v>72.099999999999994</v>
          </cell>
          <cell r="R194">
            <v>29.671409999999995</v>
          </cell>
          <cell r="S194">
            <v>30.210879999999996</v>
          </cell>
          <cell r="T194">
            <v>0.53947000000000001</v>
          </cell>
          <cell r="U194">
            <v>0</v>
          </cell>
          <cell r="V194">
            <v>0.53947000000000001</v>
          </cell>
          <cell r="W194">
            <v>0.53947000000000001</v>
          </cell>
          <cell r="Z194">
            <v>41.889119999999998</v>
          </cell>
          <cell r="AA194">
            <v>-41.889119999999998</v>
          </cell>
          <cell r="AB194">
            <v>30.210879999999996</v>
          </cell>
          <cell r="AC194">
            <v>-41.889119999999998</v>
          </cell>
          <cell r="AD194">
            <v>0</v>
          </cell>
        </row>
        <row r="195">
          <cell r="B195" t="str">
            <v>LCP-190204</v>
          </cell>
          <cell r="C195" t="str">
            <v>INFLATION TESTING MACHINE</v>
          </cell>
          <cell r="D195" t="str">
            <v>Quality - Improvement</v>
          </cell>
          <cell r="E195" t="str">
            <v>N</v>
          </cell>
          <cell r="F195" t="str">
            <v>LA</v>
          </cell>
          <cell r="H195" t="str">
            <v>CONSUMER RADIAL</v>
          </cell>
          <cell r="I195" t="str">
            <v>TIRE ASSEMBLY</v>
          </cell>
          <cell r="J195" t="str">
            <v>AME</v>
          </cell>
          <cell r="O195">
            <v>131.6</v>
          </cell>
          <cell r="Q195">
            <v>131.6</v>
          </cell>
          <cell r="S195">
            <v>20.68638</v>
          </cell>
          <cell r="T195">
            <v>30.76388</v>
          </cell>
          <cell r="U195">
            <v>0</v>
          </cell>
          <cell r="V195">
            <v>24.49933</v>
          </cell>
          <cell r="W195">
            <v>24.49933</v>
          </cell>
          <cell r="X195">
            <v>0</v>
          </cell>
          <cell r="Y195">
            <v>0.18177000000000001</v>
          </cell>
          <cell r="Z195">
            <v>110.91361999999999</v>
          </cell>
          <cell r="AA195">
            <v>-110.91361999999999</v>
          </cell>
          <cell r="AB195">
            <v>20.68638</v>
          </cell>
          <cell r="AC195">
            <v>-110.91361999999999</v>
          </cell>
          <cell r="AD195">
            <v>0</v>
          </cell>
        </row>
        <row r="196">
          <cell r="B196" t="str">
            <v>LCP-190208</v>
          </cell>
          <cell r="C196" t="str">
            <v>AME- (1) BALANCE MACHINE MARKER (DOWN SIDE)</v>
          </cell>
          <cell r="D196" t="str">
            <v>Quality - Improvement</v>
          </cell>
          <cell r="E196" t="str">
            <v>N</v>
          </cell>
          <cell r="F196" t="str">
            <v>LA</v>
          </cell>
          <cell r="H196" t="str">
            <v>CONSUMER RADIAL</v>
          </cell>
          <cell r="I196" t="str">
            <v>FINAL FINISH</v>
          </cell>
          <cell r="J196" t="str">
            <v>AME</v>
          </cell>
          <cell r="O196">
            <v>560.5</v>
          </cell>
          <cell r="Q196">
            <v>560.5</v>
          </cell>
          <cell r="S196">
            <v>63.584839999999986</v>
          </cell>
          <cell r="T196">
            <v>70.152139999999989</v>
          </cell>
          <cell r="U196">
            <v>0</v>
          </cell>
          <cell r="V196">
            <v>29.232530000000001</v>
          </cell>
          <cell r="W196">
            <v>29.232530000000001</v>
          </cell>
          <cell r="X196">
            <v>0</v>
          </cell>
          <cell r="Y196">
            <v>0.21647999999999998</v>
          </cell>
          <cell r="Z196">
            <v>496.91516000000001</v>
          </cell>
          <cell r="AA196">
            <v>-496.91516000000001</v>
          </cell>
          <cell r="AB196">
            <v>63.584839999999986</v>
          </cell>
          <cell r="AC196">
            <v>-496.91516000000001</v>
          </cell>
          <cell r="AD196">
            <v>0</v>
          </cell>
        </row>
        <row r="197">
          <cell r="B197" t="str">
            <v>LCP-190209</v>
          </cell>
          <cell r="C197" t="str">
            <v>CAP-Racks Acquisition to Store Tire</v>
          </cell>
          <cell r="D197" t="str">
            <v>SAG</v>
          </cell>
          <cell r="E197" t="str">
            <v>N</v>
          </cell>
          <cell r="F197" t="str">
            <v>LA</v>
          </cell>
          <cell r="H197" t="str">
            <v>Consumer Radial</v>
          </cell>
          <cell r="I197" t="str">
            <v>SAG - Supply Chain</v>
          </cell>
          <cell r="J197" t="str">
            <v>CHI</v>
          </cell>
          <cell r="O197">
            <v>297</v>
          </cell>
          <cell r="Q197">
            <v>297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Z197">
            <v>297</v>
          </cell>
          <cell r="AA197">
            <v>-297</v>
          </cell>
          <cell r="AB197">
            <v>0</v>
          </cell>
          <cell r="AC197">
            <v>-297</v>
          </cell>
        </row>
        <row r="198">
          <cell r="B198" t="str">
            <v>LCP-190213</v>
          </cell>
          <cell r="C198" t="str">
            <v>ALPHA SHEAR LETOFF TREATMENT</v>
          </cell>
          <cell r="D198" t="str">
            <v>Productivity</v>
          </cell>
          <cell r="E198" t="str">
            <v>N</v>
          </cell>
          <cell r="F198" t="str">
            <v>LA</v>
          </cell>
          <cell r="H198" t="str">
            <v>COMMERCIAL RADIAL</v>
          </cell>
          <cell r="I198" t="str">
            <v>FACILITIES/INFRASTRUCTURE</v>
          </cell>
          <cell r="J198" t="str">
            <v>AME</v>
          </cell>
          <cell r="O198">
            <v>126.47499999999999</v>
          </cell>
          <cell r="Q198">
            <v>126.47499999999999</v>
          </cell>
          <cell r="R198">
            <v>0</v>
          </cell>
          <cell r="S198">
            <v>26.274090000000001</v>
          </cell>
          <cell r="T198">
            <v>26.912100000000002</v>
          </cell>
          <cell r="U198">
            <v>1</v>
          </cell>
          <cell r="V198">
            <v>32.894840000000002</v>
          </cell>
          <cell r="W198">
            <v>32.894840000000002</v>
          </cell>
          <cell r="X198">
            <v>0</v>
          </cell>
          <cell r="Y198">
            <v>8.8583700000000007</v>
          </cell>
          <cell r="Z198">
            <v>100.20090999999999</v>
          </cell>
          <cell r="AA198">
            <v>-100.20090999999999</v>
          </cell>
          <cell r="AB198">
            <v>27.274090000000001</v>
          </cell>
          <cell r="AC198">
            <v>-99.200909999999993</v>
          </cell>
          <cell r="AD198">
            <v>0</v>
          </cell>
        </row>
        <row r="199">
          <cell r="B199" t="str">
            <v>LCP-200009</v>
          </cell>
          <cell r="C199" t="str">
            <v>AME-REPL &amp; UPG OF ROLLS IN CAL4R2</v>
          </cell>
          <cell r="D199" t="str">
            <v>Facilities Sustaining</v>
          </cell>
          <cell r="E199" t="str">
            <v>N</v>
          </cell>
          <cell r="F199" t="str">
            <v>LA</v>
          </cell>
          <cell r="H199" t="str">
            <v>CONSUMER RADIAL</v>
          </cell>
          <cell r="I199" t="str">
            <v>COMPONENT PREP OTHER</v>
          </cell>
          <cell r="J199" t="str">
            <v>AME</v>
          </cell>
          <cell r="O199">
            <v>864.93799999999999</v>
          </cell>
          <cell r="Q199">
            <v>864.93799999999999</v>
          </cell>
          <cell r="R199">
            <v>53.241159999999994</v>
          </cell>
          <cell r="S199">
            <v>157.20918999999998</v>
          </cell>
          <cell r="T199">
            <v>126.88839999999999</v>
          </cell>
          <cell r="U199">
            <v>-5.5</v>
          </cell>
          <cell r="V199">
            <v>261</v>
          </cell>
          <cell r="W199">
            <v>261</v>
          </cell>
          <cell r="X199">
            <v>0</v>
          </cell>
          <cell r="Y199">
            <v>15.21477</v>
          </cell>
          <cell r="Z199">
            <v>707.72881000000007</v>
          </cell>
          <cell r="AA199">
            <v>-707.72881000000007</v>
          </cell>
          <cell r="AB199">
            <v>151.70918999999998</v>
          </cell>
          <cell r="AC199">
            <v>-713.22881000000007</v>
          </cell>
          <cell r="AD199">
            <v>35</v>
          </cell>
        </row>
        <row r="200">
          <cell r="B200" t="str">
            <v>LCP-190229</v>
          </cell>
          <cell r="C200" t="str">
            <v>UPGRADE TYLOR SYSTEM IN MRT CURING PRESSES</v>
          </cell>
          <cell r="D200" t="str">
            <v>Facilities Sustaining</v>
          </cell>
          <cell r="E200" t="str">
            <v>N</v>
          </cell>
          <cell r="F200" t="str">
            <v>LA</v>
          </cell>
          <cell r="H200" t="str">
            <v>COMMERCIAL RADIAL</v>
          </cell>
          <cell r="I200" t="str">
            <v>FACILITIES/INFRASTRUCTURE</v>
          </cell>
          <cell r="J200" t="str">
            <v>AME</v>
          </cell>
          <cell r="O200">
            <v>120</v>
          </cell>
          <cell r="Q200">
            <v>120</v>
          </cell>
          <cell r="S200">
            <v>3.8177699999999999</v>
          </cell>
          <cell r="T200">
            <v>3.8177699999999999</v>
          </cell>
          <cell r="U200">
            <v>0</v>
          </cell>
          <cell r="V200">
            <v>6</v>
          </cell>
          <cell r="W200">
            <v>6</v>
          </cell>
          <cell r="Z200">
            <v>116.18223</v>
          </cell>
          <cell r="AA200">
            <v>-116.18223</v>
          </cell>
          <cell r="AB200">
            <v>3.8177699999999999</v>
          </cell>
          <cell r="AC200">
            <v>-116.18223</v>
          </cell>
          <cell r="AD200">
            <v>0</v>
          </cell>
        </row>
        <row r="201">
          <cell r="B201" t="str">
            <v>LCP-190231</v>
          </cell>
          <cell r="C201" t="str">
            <v>HOTFORMER UPGRADE LINNER AND SCREW</v>
          </cell>
          <cell r="D201" t="str">
            <v>Facilities Sustaining</v>
          </cell>
          <cell r="E201" t="str">
            <v>N</v>
          </cell>
          <cell r="F201" t="str">
            <v>LA</v>
          </cell>
          <cell r="H201" t="str">
            <v>MIXED</v>
          </cell>
          <cell r="I201" t="str">
            <v>FACILITIES/INFRASTRUCTURE</v>
          </cell>
          <cell r="J201" t="str">
            <v>AME</v>
          </cell>
          <cell r="O201">
            <v>225</v>
          </cell>
          <cell r="Q201">
            <v>225</v>
          </cell>
          <cell r="R201">
            <v>150.19739999999999</v>
          </cell>
          <cell r="S201">
            <v>150.19739999999999</v>
          </cell>
          <cell r="T201">
            <v>0</v>
          </cell>
          <cell r="U201">
            <v>0</v>
          </cell>
          <cell r="V201">
            <v>18</v>
          </cell>
          <cell r="W201">
            <v>18</v>
          </cell>
          <cell r="Z201">
            <v>74.802600000000012</v>
          </cell>
          <cell r="AA201">
            <v>-74.802600000000012</v>
          </cell>
          <cell r="AB201">
            <v>150.19739999999999</v>
          </cell>
          <cell r="AC201">
            <v>-74.802600000000012</v>
          </cell>
          <cell r="AD201">
            <v>0</v>
          </cell>
        </row>
        <row r="202">
          <cell r="B202" t="str">
            <v>LCP-190252</v>
          </cell>
          <cell r="C202" t="str">
            <v xml:space="preserve">COL - GUM CALENDER (4) ROLLS REPLACEMENT </v>
          </cell>
          <cell r="D202" t="str">
            <v>Facilities Sustaining</v>
          </cell>
          <cell r="E202" t="str">
            <v>N</v>
          </cell>
          <cell r="F202" t="str">
            <v>LA</v>
          </cell>
          <cell r="H202" t="str">
            <v>Commercial Radial</v>
          </cell>
          <cell r="I202" t="str">
            <v>Component Prep Other</v>
          </cell>
          <cell r="J202" t="str">
            <v>COL</v>
          </cell>
          <cell r="O202">
            <v>140.596</v>
          </cell>
          <cell r="Q202">
            <v>140.596</v>
          </cell>
          <cell r="R202">
            <v>101.59381</v>
          </cell>
          <cell r="S202">
            <v>101.59381</v>
          </cell>
          <cell r="T202">
            <v>0</v>
          </cell>
          <cell r="U202">
            <v>0</v>
          </cell>
          <cell r="Z202">
            <v>39.002189999999999</v>
          </cell>
          <cell r="AA202">
            <v>-39.002189999999999</v>
          </cell>
          <cell r="AB202">
            <v>101.59381</v>
          </cell>
          <cell r="AC202">
            <v>-39.002189999999999</v>
          </cell>
        </row>
        <row r="203">
          <cell r="B203" t="str">
            <v>LCP-200001</v>
          </cell>
          <cell r="C203" t="str">
            <v>AME-REPL &amp; UPG OF ROLLS IN CAL3R</v>
          </cell>
          <cell r="D203" t="str">
            <v>Facilities Sustaining</v>
          </cell>
          <cell r="E203" t="str">
            <v>N</v>
          </cell>
          <cell r="F203" t="str">
            <v>LA</v>
          </cell>
          <cell r="H203" t="str">
            <v>CONSUMER RADIAL</v>
          </cell>
          <cell r="I203" t="str">
            <v>COMPONENT PREP OTHER</v>
          </cell>
          <cell r="J203" t="str">
            <v>AME</v>
          </cell>
          <cell r="O203">
            <v>1208.9570000000001</v>
          </cell>
          <cell r="Q203">
            <v>1208.9570000000001</v>
          </cell>
          <cell r="R203">
            <v>0</v>
          </cell>
          <cell r="S203">
            <v>787.40364000000022</v>
          </cell>
          <cell r="T203">
            <v>787.35342000000026</v>
          </cell>
          <cell r="U203">
            <v>20</v>
          </cell>
          <cell r="V203">
            <v>814.2</v>
          </cell>
          <cell r="W203">
            <v>814.2</v>
          </cell>
          <cell r="X203">
            <v>0</v>
          </cell>
          <cell r="Y203">
            <v>31.256220000000003</v>
          </cell>
          <cell r="Z203">
            <v>421.55335999999988</v>
          </cell>
          <cell r="AA203">
            <v>-421.55335999999988</v>
          </cell>
          <cell r="AB203">
            <v>807.40364000000022</v>
          </cell>
          <cell r="AC203">
            <v>-401.55335999999988</v>
          </cell>
          <cell r="AD203">
            <v>0</v>
          </cell>
        </row>
        <row r="204">
          <cell r="B204" t="str">
            <v>LCP-200007</v>
          </cell>
          <cell r="C204" t="str">
            <v>AME - Additional Direction&amp;apos;s Molds</v>
          </cell>
          <cell r="D204" t="str">
            <v>Molds</v>
          </cell>
          <cell r="E204" t="str">
            <v>N</v>
          </cell>
          <cell r="F204" t="str">
            <v>LA</v>
          </cell>
          <cell r="H204" t="str">
            <v>CONSUMER RADIAL</v>
          </cell>
          <cell r="I204" t="str">
            <v>CURING</v>
          </cell>
          <cell r="J204" t="str">
            <v>AME</v>
          </cell>
          <cell r="O204">
            <v>169.7</v>
          </cell>
          <cell r="Q204">
            <v>169.7</v>
          </cell>
          <cell r="R204">
            <v>10.023640000000015</v>
          </cell>
          <cell r="S204">
            <v>10.023640000000015</v>
          </cell>
          <cell r="T204">
            <v>0</v>
          </cell>
          <cell r="U204">
            <v>0</v>
          </cell>
          <cell r="Z204">
            <v>159.67635999999999</v>
          </cell>
          <cell r="AA204">
            <v>-159.67635999999999</v>
          </cell>
          <cell r="AB204">
            <v>10.023640000000015</v>
          </cell>
          <cell r="AC204">
            <v>-159.67635999999999</v>
          </cell>
        </row>
        <row r="205">
          <cell r="B205" t="str">
            <v>LCP-200008</v>
          </cell>
          <cell r="C205" t="str">
            <v>AME-REPL &amp; UPG OF ROLLS IN CAL4R1</v>
          </cell>
          <cell r="D205" t="str">
            <v>Facilities Sustaining</v>
          </cell>
          <cell r="E205" t="str">
            <v>N</v>
          </cell>
          <cell r="F205" t="str">
            <v>LA</v>
          </cell>
          <cell r="H205" t="str">
            <v>CONSUMER RADIAL</v>
          </cell>
          <cell r="I205" t="str">
            <v>COMPONENT PREP OTHER</v>
          </cell>
          <cell r="J205" t="str">
            <v>AME</v>
          </cell>
          <cell r="O205">
            <v>955.78200000000004</v>
          </cell>
          <cell r="Q205">
            <v>955.78200000000004</v>
          </cell>
          <cell r="R205">
            <v>2.1484299999999976</v>
          </cell>
          <cell r="S205">
            <v>32.605260000000001</v>
          </cell>
          <cell r="T205">
            <v>32.015540000000009</v>
          </cell>
          <cell r="U205">
            <v>35.000000000000007</v>
          </cell>
          <cell r="V205">
            <v>199.04179999999999</v>
          </cell>
          <cell r="W205">
            <v>199.04179999999999</v>
          </cell>
          <cell r="X205">
            <v>110.50160000000001</v>
          </cell>
          <cell r="Y205">
            <v>0</v>
          </cell>
          <cell r="Z205">
            <v>923.17674</v>
          </cell>
          <cell r="AA205">
            <v>-923.17674</v>
          </cell>
          <cell r="AB205">
            <v>67.605260000000015</v>
          </cell>
          <cell r="AC205">
            <v>-888.17674</v>
          </cell>
          <cell r="AD205">
            <v>0</v>
          </cell>
        </row>
        <row r="206">
          <cell r="B206" t="str">
            <v>LCP-210149</v>
          </cell>
          <cell r="C206" t="str">
            <v>AME - CURING VACUUM SYSTEM UPGRADE</v>
          </cell>
          <cell r="D206" t="str">
            <v>Facilities Sustaining</v>
          </cell>
          <cell r="E206" t="str">
            <v>N</v>
          </cell>
          <cell r="F206" t="str">
            <v>LA</v>
          </cell>
          <cell r="H206" t="str">
            <v>N/A</v>
          </cell>
          <cell r="I206" t="str">
            <v>OTHER</v>
          </cell>
          <cell r="J206" t="str">
            <v>AME</v>
          </cell>
          <cell r="T206">
            <v>2.1044699999999996</v>
          </cell>
          <cell r="U206">
            <v>60.729880000000001</v>
          </cell>
          <cell r="X206">
            <v>0</v>
          </cell>
          <cell r="Y206">
            <v>79.04222</v>
          </cell>
          <cell r="AD206">
            <v>40</v>
          </cell>
        </row>
        <row r="207">
          <cell r="B207" t="str">
            <v>LCP-210132</v>
          </cell>
          <cell r="C207" t="str">
            <v>AME - STEEL TRANSFERS BAND NGTTS</v>
          </cell>
          <cell r="D207" t="str">
            <v>Facilities Sustaining</v>
          </cell>
          <cell r="E207" t="str">
            <v>N</v>
          </cell>
          <cell r="F207" t="str">
            <v>LA</v>
          </cell>
          <cell r="H207" t="str">
            <v>N/A</v>
          </cell>
          <cell r="I207" t="str">
            <v>OTHER</v>
          </cell>
          <cell r="J207" t="str">
            <v>AME</v>
          </cell>
          <cell r="T207">
            <v>0</v>
          </cell>
          <cell r="U207">
            <v>115</v>
          </cell>
          <cell r="X207">
            <v>109.33982</v>
          </cell>
          <cell r="Y207">
            <v>1.1191199999999999</v>
          </cell>
          <cell r="AD207">
            <v>53</v>
          </cell>
        </row>
        <row r="208">
          <cell r="B208" t="str">
            <v>LCP-200012</v>
          </cell>
          <cell r="C208" t="str">
            <v>WRANGLER SUV SUCCESSOR</v>
          </cell>
          <cell r="D208" t="str">
            <v>Molds</v>
          </cell>
          <cell r="E208" t="str">
            <v>N</v>
          </cell>
          <cell r="F208" t="str">
            <v>LA</v>
          </cell>
          <cell r="H208" t="str">
            <v>Consumer Radial</v>
          </cell>
          <cell r="I208" t="str">
            <v>Curing</v>
          </cell>
          <cell r="J208" t="str">
            <v>PER</v>
          </cell>
          <cell r="O208">
            <v>720</v>
          </cell>
          <cell r="Q208">
            <v>720</v>
          </cell>
          <cell r="R208">
            <v>0</v>
          </cell>
          <cell r="S208">
            <v>26.204669999999858</v>
          </cell>
          <cell r="T208">
            <v>26.204669999999858</v>
          </cell>
          <cell r="U208">
            <v>0</v>
          </cell>
          <cell r="V208">
            <v>78.374759999999966</v>
          </cell>
          <cell r="W208">
            <v>78.374759999999966</v>
          </cell>
          <cell r="X208">
            <v>39.31</v>
          </cell>
          <cell r="Y208">
            <v>0</v>
          </cell>
          <cell r="Z208">
            <v>693.79533000000015</v>
          </cell>
          <cell r="AA208">
            <v>-693.79533000000015</v>
          </cell>
          <cell r="AB208">
            <v>26.204669999999858</v>
          </cell>
          <cell r="AC208">
            <v>-693.79533000000015</v>
          </cell>
          <cell r="AD208">
            <v>70.850999999999999</v>
          </cell>
        </row>
        <row r="209">
          <cell r="B209" t="str">
            <v>LCP-200014</v>
          </cell>
          <cell r="C209" t="str">
            <v>PER - CALENDER #1 TOP ROLL</v>
          </cell>
          <cell r="D209" t="str">
            <v>Facilities Sustaining</v>
          </cell>
          <cell r="E209" t="str">
            <v>N</v>
          </cell>
          <cell r="F209" t="str">
            <v>LA</v>
          </cell>
          <cell r="H209" t="str">
            <v>Consumer Radial</v>
          </cell>
          <cell r="I209" t="str">
            <v>Facilities/Infrastructure</v>
          </cell>
          <cell r="J209" t="str">
            <v>PER</v>
          </cell>
          <cell r="O209">
            <v>52.5</v>
          </cell>
          <cell r="Q209">
            <v>52.5</v>
          </cell>
          <cell r="S209">
            <v>53.30574</v>
          </cell>
          <cell r="T209">
            <v>53.30574</v>
          </cell>
          <cell r="U209">
            <v>0</v>
          </cell>
          <cell r="V209">
            <v>52.741599999999998</v>
          </cell>
          <cell r="W209">
            <v>52.741599999999998</v>
          </cell>
          <cell r="Z209">
            <v>-0.80574000000000012</v>
          </cell>
          <cell r="AA209">
            <v>0.80574000000000012</v>
          </cell>
          <cell r="AB209">
            <v>53.30574</v>
          </cell>
          <cell r="AC209">
            <v>0.80574000000000012</v>
          </cell>
        </row>
        <row r="210">
          <cell r="B210" t="str">
            <v>LCP-200016</v>
          </cell>
          <cell r="C210" t="str">
            <v>AME- LT275/65R18 Wr. Duratrac - Transfer</v>
          </cell>
          <cell r="D210" t="str">
            <v>Molds</v>
          </cell>
          <cell r="E210" t="str">
            <v>N</v>
          </cell>
          <cell r="F210" t="str">
            <v>LA</v>
          </cell>
          <cell r="H210" t="str">
            <v>Consumer Radial</v>
          </cell>
          <cell r="I210" t="str">
            <v>CURING</v>
          </cell>
          <cell r="J210" t="str">
            <v>AME</v>
          </cell>
          <cell r="O210">
            <v>4</v>
          </cell>
          <cell r="Q210">
            <v>4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Z210">
            <v>4</v>
          </cell>
          <cell r="AA210">
            <v>-4</v>
          </cell>
          <cell r="AB210">
            <v>0</v>
          </cell>
          <cell r="AC210">
            <v>-4</v>
          </cell>
        </row>
        <row r="211">
          <cell r="B211" t="str">
            <v>LCP-200017</v>
          </cell>
          <cell r="C211" t="str">
            <v>PER - CLEANING MOLDS OVEN</v>
          </cell>
          <cell r="D211" t="str">
            <v>Quality - Improvement</v>
          </cell>
          <cell r="E211" t="str">
            <v>N</v>
          </cell>
          <cell r="F211" t="str">
            <v>LA</v>
          </cell>
          <cell r="H211" t="str">
            <v>Consumer Radial</v>
          </cell>
          <cell r="I211" t="str">
            <v>Curing</v>
          </cell>
          <cell r="J211" t="str">
            <v>PER</v>
          </cell>
          <cell r="O211">
            <v>115</v>
          </cell>
          <cell r="Q211">
            <v>115</v>
          </cell>
          <cell r="S211">
            <v>1.3735899999999999</v>
          </cell>
          <cell r="T211">
            <v>1.3735899999999999</v>
          </cell>
          <cell r="U211">
            <v>0</v>
          </cell>
          <cell r="X211">
            <v>0</v>
          </cell>
          <cell r="Y211">
            <v>0.25739999999999996</v>
          </cell>
          <cell r="Z211">
            <v>113.62641000000001</v>
          </cell>
          <cell r="AA211">
            <v>-113.62641000000001</v>
          </cell>
          <cell r="AB211">
            <v>1.3735899999999999</v>
          </cell>
          <cell r="AC211">
            <v>-113.62641000000001</v>
          </cell>
        </row>
        <row r="212">
          <cell r="B212" t="str">
            <v>LCP-200018</v>
          </cell>
          <cell r="C212" t="str">
            <v>VW Tarek Argentina R18</v>
          </cell>
          <cell r="D212" t="str">
            <v>Molds</v>
          </cell>
          <cell r="E212" t="str">
            <v>N</v>
          </cell>
          <cell r="F212" t="str">
            <v>LA</v>
          </cell>
          <cell r="H212" t="str">
            <v>Consumer Radial</v>
          </cell>
          <cell r="I212" t="str">
            <v>Curing</v>
          </cell>
          <cell r="J212" t="str">
            <v>AME</v>
          </cell>
          <cell r="O212">
            <v>340</v>
          </cell>
          <cell r="Q212">
            <v>340</v>
          </cell>
          <cell r="S212">
            <v>204.23382999999995</v>
          </cell>
          <cell r="T212">
            <v>204.23382999999995</v>
          </cell>
          <cell r="U212">
            <v>0</v>
          </cell>
          <cell r="V212">
            <v>174.07524000000001</v>
          </cell>
          <cell r="W212">
            <v>174.07524000000001</v>
          </cell>
          <cell r="Z212">
            <v>135.76617000000005</v>
          </cell>
          <cell r="AA212">
            <v>-135.76617000000005</v>
          </cell>
          <cell r="AB212">
            <v>204.23382999999995</v>
          </cell>
          <cell r="AC212">
            <v>-135.76617000000005</v>
          </cell>
          <cell r="AD212">
            <v>108.82499999999999</v>
          </cell>
        </row>
        <row r="213">
          <cell r="B213" t="str">
            <v>LCP-200019</v>
          </cell>
          <cell r="C213" t="str">
            <v>VW Tarek Argentina R19</v>
          </cell>
          <cell r="D213" t="str">
            <v>Molds</v>
          </cell>
          <cell r="E213" t="str">
            <v>N</v>
          </cell>
          <cell r="F213" t="str">
            <v>LA</v>
          </cell>
          <cell r="H213" t="str">
            <v>Consumer Radial</v>
          </cell>
          <cell r="I213" t="str">
            <v>Curing</v>
          </cell>
          <cell r="J213" t="str">
            <v>AME</v>
          </cell>
          <cell r="O213">
            <v>68</v>
          </cell>
          <cell r="Q213">
            <v>68</v>
          </cell>
          <cell r="S213">
            <v>51.269149999999996</v>
          </cell>
          <cell r="T213">
            <v>51.269149999999996</v>
          </cell>
          <cell r="U213">
            <v>0</v>
          </cell>
          <cell r="V213">
            <v>38.030450000000002</v>
          </cell>
          <cell r="W213">
            <v>38.030450000000002</v>
          </cell>
          <cell r="Z213">
            <v>16.730850000000004</v>
          </cell>
          <cell r="AA213">
            <v>-16.730850000000004</v>
          </cell>
          <cell r="AB213">
            <v>51.269149999999996</v>
          </cell>
          <cell r="AC213">
            <v>-16.730850000000004</v>
          </cell>
          <cell r="AD213">
            <v>37.700000000000003</v>
          </cell>
        </row>
        <row r="214">
          <cell r="B214" t="str">
            <v>LCP-200020</v>
          </cell>
          <cell r="C214" t="str">
            <v>KMAX D - Lwer UT , mold replacement</v>
          </cell>
          <cell r="D214" t="str">
            <v>Molds</v>
          </cell>
          <cell r="E214" t="str">
            <v>N</v>
          </cell>
          <cell r="F214" t="str">
            <v>LA</v>
          </cell>
          <cell r="H214" t="str">
            <v>Retread</v>
          </cell>
          <cell r="I214" t="str">
            <v>Curing</v>
          </cell>
          <cell r="J214" t="str">
            <v>RET</v>
          </cell>
          <cell r="O214">
            <v>105</v>
          </cell>
          <cell r="Q214">
            <v>105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Z214">
            <v>105</v>
          </cell>
          <cell r="AA214">
            <v>-105</v>
          </cell>
          <cell r="AB214">
            <v>0</v>
          </cell>
          <cell r="AC214">
            <v>-105</v>
          </cell>
        </row>
        <row r="215">
          <cell r="B215" t="str">
            <v>LCP-200021</v>
          </cell>
          <cell r="C215" t="str">
            <v>Direction Transfer to Peru</v>
          </cell>
          <cell r="D215" t="str">
            <v>Molds</v>
          </cell>
          <cell r="E215" t="str">
            <v>N</v>
          </cell>
          <cell r="F215" t="str">
            <v>LA</v>
          </cell>
          <cell r="H215" t="str">
            <v>Consumer Radial</v>
          </cell>
          <cell r="I215" t="str">
            <v>Curing</v>
          </cell>
          <cell r="J215" t="str">
            <v>PER</v>
          </cell>
          <cell r="O215">
            <v>140</v>
          </cell>
          <cell r="Q215">
            <v>140</v>
          </cell>
          <cell r="R215">
            <v>0</v>
          </cell>
          <cell r="S215">
            <v>4.4838299999999993</v>
          </cell>
          <cell r="T215">
            <v>4.4838299999999993</v>
          </cell>
          <cell r="U215">
            <v>0</v>
          </cell>
          <cell r="V215">
            <v>2.7883100000000001</v>
          </cell>
          <cell r="W215">
            <v>2.7883100000000001</v>
          </cell>
          <cell r="X215">
            <v>1.54</v>
          </cell>
          <cell r="Y215">
            <v>0</v>
          </cell>
          <cell r="Z215">
            <v>135.51616999999999</v>
          </cell>
          <cell r="AA215">
            <v>-135.51616999999999</v>
          </cell>
          <cell r="AB215">
            <v>4.4838299999999993</v>
          </cell>
          <cell r="AC215">
            <v>-135.51616999999999</v>
          </cell>
        </row>
        <row r="216">
          <cell r="B216" t="str">
            <v>LCP-200023</v>
          </cell>
          <cell r="C216" t="str">
            <v>UPGRADE KOKUSAI #01</v>
          </cell>
          <cell r="D216" t="str">
            <v>Facilities Sustaining</v>
          </cell>
          <cell r="E216" t="str">
            <v>N</v>
          </cell>
          <cell r="F216" t="str">
            <v>LA</v>
          </cell>
          <cell r="H216" t="str">
            <v>Commercial Radial</v>
          </cell>
          <cell r="I216" t="str">
            <v>Final Finish</v>
          </cell>
          <cell r="J216" t="str">
            <v>AME</v>
          </cell>
          <cell r="O216">
            <v>386.005</v>
          </cell>
          <cell r="Q216">
            <v>386.005</v>
          </cell>
          <cell r="S216">
            <v>68.737850000000009</v>
          </cell>
          <cell r="T216">
            <v>116.46867</v>
          </cell>
          <cell r="U216">
            <v>80.115949999999998</v>
          </cell>
          <cell r="V216">
            <v>86</v>
          </cell>
          <cell r="W216">
            <v>86</v>
          </cell>
          <cell r="X216">
            <v>0</v>
          </cell>
          <cell r="Y216">
            <v>54.426600000000001</v>
          </cell>
          <cell r="Z216">
            <v>317.26715000000002</v>
          </cell>
          <cell r="AA216">
            <v>-317.26715000000002</v>
          </cell>
          <cell r="AB216">
            <v>148.85380000000001</v>
          </cell>
          <cell r="AC216">
            <v>-237.15119999999999</v>
          </cell>
          <cell r="AD216">
            <v>0</v>
          </cell>
        </row>
        <row r="217">
          <cell r="B217" t="str">
            <v>LCP-200026</v>
          </cell>
          <cell r="C217" t="str">
            <v>AME-MISCELANEOUS QUARTELY 2020</v>
          </cell>
          <cell r="D217" t="str">
            <v>Facilities Sustaining</v>
          </cell>
          <cell r="E217" t="str">
            <v>N</v>
          </cell>
          <cell r="F217" t="str">
            <v>LA</v>
          </cell>
          <cell r="H217" t="str">
            <v>Mixed</v>
          </cell>
          <cell r="I217" t="str">
            <v>Other</v>
          </cell>
          <cell r="J217" t="str">
            <v>AME</v>
          </cell>
          <cell r="O217">
            <v>1000</v>
          </cell>
          <cell r="Q217">
            <v>1000</v>
          </cell>
          <cell r="R217">
            <v>0</v>
          </cell>
          <cell r="S217">
            <v>29.465679999999999</v>
          </cell>
          <cell r="T217">
            <v>29.465679999999999</v>
          </cell>
          <cell r="U217">
            <v>0</v>
          </cell>
          <cell r="V217">
            <v>37.937039999999996</v>
          </cell>
          <cell r="W217">
            <v>37.937039999999996</v>
          </cell>
          <cell r="Z217">
            <v>970.53431999999998</v>
          </cell>
          <cell r="AA217">
            <v>-970.53431999999998</v>
          </cell>
          <cell r="AB217">
            <v>29.465679999999999</v>
          </cell>
          <cell r="AC217">
            <v>-970.53431999999998</v>
          </cell>
          <cell r="AD217">
            <v>0</v>
          </cell>
        </row>
        <row r="218">
          <cell r="B218" t="str">
            <v>LCP-200028</v>
          </cell>
          <cell r="C218" t="str">
            <v>REPLACEMENT OF RING IN KOKUSAI</v>
          </cell>
          <cell r="D218" t="str">
            <v>Facilities Sustaining</v>
          </cell>
          <cell r="E218" t="str">
            <v>N</v>
          </cell>
          <cell r="F218" t="str">
            <v>LA</v>
          </cell>
          <cell r="H218" t="str">
            <v>Commercial Radial</v>
          </cell>
          <cell r="I218" t="str">
            <v>Final Finish</v>
          </cell>
          <cell r="J218" t="str">
            <v>AME</v>
          </cell>
          <cell r="O218">
            <v>299.66759999999999</v>
          </cell>
          <cell r="Q218">
            <v>299.66759999999999</v>
          </cell>
          <cell r="S218">
            <v>-0.55757000000000001</v>
          </cell>
          <cell r="T218">
            <v>-0.55757000000000001</v>
          </cell>
          <cell r="U218">
            <v>0</v>
          </cell>
          <cell r="V218">
            <v>-0.55757000000000001</v>
          </cell>
          <cell r="W218">
            <v>-0.55757000000000001</v>
          </cell>
          <cell r="Z218">
            <v>300.22516999999999</v>
          </cell>
          <cell r="AA218">
            <v>-300.22516999999999</v>
          </cell>
          <cell r="AB218">
            <v>-0.55757000000000001</v>
          </cell>
          <cell r="AC218">
            <v>-300.22516999999999</v>
          </cell>
          <cell r="AD218">
            <v>0</v>
          </cell>
        </row>
        <row r="219">
          <cell r="B219" t="str">
            <v>LCP-200031</v>
          </cell>
          <cell r="C219" t="str">
            <v>MEX- Converyors</v>
          </cell>
          <cell r="D219" t="str">
            <v>SAG</v>
          </cell>
          <cell r="E219" t="str">
            <v>N</v>
          </cell>
          <cell r="F219" t="str">
            <v>LA</v>
          </cell>
          <cell r="H219" t="str">
            <v>N/A</v>
          </cell>
          <cell r="I219" t="str">
            <v>SAG - Supply Chain</v>
          </cell>
          <cell r="J219" t="str">
            <v>MEX</v>
          </cell>
          <cell r="O219">
            <v>112</v>
          </cell>
          <cell r="Q219">
            <v>112</v>
          </cell>
          <cell r="S219">
            <v>9.1301799999999744</v>
          </cell>
          <cell r="T219">
            <v>10.768629999999975</v>
          </cell>
          <cell r="U219">
            <v>1.6151099999999996</v>
          </cell>
          <cell r="V219">
            <v>-4.85806</v>
          </cell>
          <cell r="W219">
            <v>-4.85806</v>
          </cell>
          <cell r="Z219">
            <v>102.86982000000003</v>
          </cell>
          <cell r="AA219">
            <v>-102.86982000000003</v>
          </cell>
          <cell r="AB219">
            <v>10.745289999999974</v>
          </cell>
          <cell r="AC219">
            <v>-101.25471000000003</v>
          </cell>
        </row>
        <row r="220">
          <cell r="B220" t="str">
            <v>LCP-200032</v>
          </cell>
          <cell r="C220" t="str">
            <v>AME - 4 molds 175/70R13 Edge Touring</v>
          </cell>
          <cell r="D220" t="str">
            <v>Molds</v>
          </cell>
          <cell r="E220" t="str">
            <v>N</v>
          </cell>
          <cell r="F220" t="str">
            <v>LA</v>
          </cell>
          <cell r="H220" t="str">
            <v>Consumer Radial</v>
          </cell>
          <cell r="I220" t="str">
            <v>Curing</v>
          </cell>
          <cell r="J220" t="str">
            <v>AME</v>
          </cell>
          <cell r="O220">
            <v>81.75</v>
          </cell>
          <cell r="Q220">
            <v>81.75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Z220">
            <v>81.75</v>
          </cell>
          <cell r="AA220">
            <v>-81.75</v>
          </cell>
          <cell r="AB220">
            <v>0</v>
          </cell>
          <cell r="AC220">
            <v>-81.75</v>
          </cell>
        </row>
        <row r="221">
          <cell r="B221" t="str">
            <v>LCP-200033</v>
          </cell>
          <cell r="C221" t="str">
            <v>CHI - Look &amp; Feel POS Identification Ecuador 2020</v>
          </cell>
          <cell r="D221" t="str">
            <v>SAG</v>
          </cell>
          <cell r="E221" t="str">
            <v>N</v>
          </cell>
          <cell r="F221" t="str">
            <v>LA</v>
          </cell>
          <cell r="H221" t="str">
            <v>N/A</v>
          </cell>
          <cell r="I221" t="str">
            <v>SAG - Sales &amp; Marketing</v>
          </cell>
          <cell r="J221" t="str">
            <v>CHI</v>
          </cell>
          <cell r="O221">
            <v>84</v>
          </cell>
          <cell r="Q221">
            <v>84</v>
          </cell>
          <cell r="S221">
            <v>0</v>
          </cell>
          <cell r="T221">
            <v>0</v>
          </cell>
          <cell r="U221">
            <v>0</v>
          </cell>
          <cell r="Z221">
            <v>84</v>
          </cell>
          <cell r="AA221">
            <v>-84</v>
          </cell>
          <cell r="AB221">
            <v>0</v>
          </cell>
          <cell r="AC221">
            <v>-84</v>
          </cell>
        </row>
        <row r="222">
          <cell r="B222" t="str">
            <v>LCP-200036</v>
          </cell>
          <cell r="C222" t="str">
            <v>PER - Look &amp; Feel POS Identification Peru</v>
          </cell>
          <cell r="D222" t="str">
            <v>SAG</v>
          </cell>
          <cell r="E222" t="str">
            <v>N</v>
          </cell>
          <cell r="F222" t="str">
            <v>LA</v>
          </cell>
          <cell r="H222" t="str">
            <v>Mixed</v>
          </cell>
          <cell r="I222" t="str">
            <v>SAG - Sales &amp; Marketing</v>
          </cell>
          <cell r="J222" t="str">
            <v>PER</v>
          </cell>
          <cell r="O222">
            <v>250</v>
          </cell>
          <cell r="Q222">
            <v>250</v>
          </cell>
          <cell r="S222">
            <v>0</v>
          </cell>
          <cell r="T222">
            <v>0</v>
          </cell>
          <cell r="U222">
            <v>0</v>
          </cell>
          <cell r="Z222">
            <v>250</v>
          </cell>
          <cell r="AA222">
            <v>-250</v>
          </cell>
          <cell r="AB222">
            <v>0</v>
          </cell>
          <cell r="AC222">
            <v>-250</v>
          </cell>
        </row>
        <row r="223">
          <cell r="B223" t="str">
            <v>LCP-200042</v>
          </cell>
          <cell r="C223" t="str">
            <v>AME- EQUIPMENTS TO CONSUMER TIRES</v>
          </cell>
          <cell r="D223" t="str">
            <v>Molds</v>
          </cell>
          <cell r="E223" t="str">
            <v>N</v>
          </cell>
          <cell r="F223" t="str">
            <v>LA</v>
          </cell>
          <cell r="H223" t="str">
            <v>CONSUMER RADIAL</v>
          </cell>
          <cell r="I223" t="str">
            <v>Curing</v>
          </cell>
          <cell r="J223" t="str">
            <v>AME</v>
          </cell>
          <cell r="O223">
            <v>102</v>
          </cell>
          <cell r="Q223">
            <v>102</v>
          </cell>
          <cell r="S223">
            <v>64.294229999999999</v>
          </cell>
          <cell r="T223">
            <v>84.42179999999999</v>
          </cell>
          <cell r="U223">
            <v>0</v>
          </cell>
          <cell r="V223">
            <v>83.293139999999994</v>
          </cell>
          <cell r="W223">
            <v>83.293139999999994</v>
          </cell>
          <cell r="Z223">
            <v>37.705770000000001</v>
          </cell>
          <cell r="AA223">
            <v>-37.705770000000001</v>
          </cell>
          <cell r="AB223">
            <v>64.294229999999999</v>
          </cell>
          <cell r="AC223">
            <v>-37.705770000000001</v>
          </cell>
          <cell r="AD223">
            <v>102</v>
          </cell>
        </row>
        <row r="224">
          <cell r="B224" t="str">
            <v>LCP-200046</v>
          </cell>
          <cell r="C224" t="str">
            <v>CHI - Look &amp; Feel POS Identification Chile 2020</v>
          </cell>
          <cell r="D224" t="str">
            <v>SAG</v>
          </cell>
          <cell r="E224" t="str">
            <v>N</v>
          </cell>
          <cell r="F224" t="str">
            <v>LA</v>
          </cell>
          <cell r="H224" t="str">
            <v>N/A</v>
          </cell>
          <cell r="I224" t="str">
            <v>SAG - Sales &amp; Marketing</v>
          </cell>
          <cell r="J224" t="str">
            <v>CHI</v>
          </cell>
          <cell r="O224">
            <v>101</v>
          </cell>
          <cell r="P224">
            <v>122</v>
          </cell>
          <cell r="Q224">
            <v>223</v>
          </cell>
          <cell r="S224">
            <v>0.8591899999999999</v>
          </cell>
          <cell r="T224">
            <v>0.8591899999999999</v>
          </cell>
          <cell r="U224">
            <v>0</v>
          </cell>
          <cell r="X224">
            <v>0</v>
          </cell>
          <cell r="Y224">
            <v>30.478009999999998</v>
          </cell>
        </row>
        <row r="225">
          <cell r="B225" t="str">
            <v>LCP-210010</v>
          </cell>
          <cell r="C225" t="str">
            <v>REPLACEMENT OF THE PRIMARY GEARBOX MIXER#06</v>
          </cell>
          <cell r="D225" t="str">
            <v>Facilities Sustaining</v>
          </cell>
          <cell r="E225" t="str">
            <v>N</v>
          </cell>
          <cell r="F225" t="str">
            <v>LA</v>
          </cell>
          <cell r="H225" t="str">
            <v>Mixed</v>
          </cell>
          <cell r="I225" t="str">
            <v>MIXING</v>
          </cell>
          <cell r="J225" t="str">
            <v>AME</v>
          </cell>
          <cell r="T225">
            <v>2.2459699999999998</v>
          </cell>
          <cell r="U225">
            <v>100</v>
          </cell>
          <cell r="X225">
            <v>0</v>
          </cell>
          <cell r="Y225">
            <v>125.67686</v>
          </cell>
          <cell r="AD225">
            <v>56.638200000000005</v>
          </cell>
        </row>
        <row r="226">
          <cell r="B226" t="str">
            <v>LCP-200058</v>
          </cell>
          <cell r="C226" t="str">
            <v>29.5-29 SMO</v>
          </cell>
          <cell r="D226" t="str">
            <v>Molds</v>
          </cell>
          <cell r="E226" t="str">
            <v>N</v>
          </cell>
          <cell r="F226" t="str">
            <v>LA</v>
          </cell>
          <cell r="H226" t="str">
            <v>OTR</v>
          </cell>
          <cell r="I226" t="str">
            <v>Curing</v>
          </cell>
          <cell r="J226" t="str">
            <v>AME</v>
          </cell>
          <cell r="O226">
            <v>300</v>
          </cell>
          <cell r="Q226">
            <v>300</v>
          </cell>
          <cell r="S226">
            <v>39.921510000000005</v>
          </cell>
          <cell r="T226">
            <v>39.921510000000005</v>
          </cell>
          <cell r="U226">
            <v>0</v>
          </cell>
          <cell r="V226">
            <v>21.448710000000005</v>
          </cell>
          <cell r="W226">
            <v>21.448710000000005</v>
          </cell>
          <cell r="Z226">
            <v>260.07848999999999</v>
          </cell>
          <cell r="AA226">
            <v>-260.07848999999999</v>
          </cell>
          <cell r="AB226">
            <v>39.921510000000005</v>
          </cell>
          <cell r="AC226">
            <v>-260.07848999999999</v>
          </cell>
          <cell r="AD226">
            <v>24.324999999999999</v>
          </cell>
        </row>
        <row r="227">
          <cell r="B227" t="str">
            <v>LCP-200061</v>
          </cell>
          <cell r="C227" t="str">
            <v>COL - MISCELLAEOUS SUSTAINING</v>
          </cell>
          <cell r="D227" t="str">
            <v>Facilities Sustaining</v>
          </cell>
          <cell r="E227" t="str">
            <v>N</v>
          </cell>
          <cell r="F227" t="str">
            <v>LA</v>
          </cell>
          <cell r="H227" t="str">
            <v>Commercial Radial</v>
          </cell>
          <cell r="I227" t="str">
            <v>Facilities/Infrastructure</v>
          </cell>
          <cell r="J227" t="str">
            <v>COL</v>
          </cell>
          <cell r="O227">
            <v>400</v>
          </cell>
          <cell r="Q227">
            <v>400</v>
          </cell>
          <cell r="R227">
            <v>0</v>
          </cell>
          <cell r="S227">
            <v>29.429079999999999</v>
          </cell>
          <cell r="T227">
            <v>29.429079999999999</v>
          </cell>
          <cell r="U227">
            <v>0</v>
          </cell>
          <cell r="V227">
            <v>14.396669999999999</v>
          </cell>
          <cell r="W227">
            <v>14.396669999999999</v>
          </cell>
          <cell r="Z227">
            <v>370.57092</v>
          </cell>
          <cell r="AA227">
            <v>-370.57092</v>
          </cell>
          <cell r="AB227">
            <v>29.429079999999999</v>
          </cell>
          <cell r="AC227">
            <v>-370.57092</v>
          </cell>
        </row>
        <row r="228">
          <cell r="B228" t="str">
            <v>LCP-200062</v>
          </cell>
          <cell r="C228" t="str">
            <v xml:space="preserve">COL- Quad Extruder screw 150 mm  replacement  </v>
          </cell>
          <cell r="D228" t="str">
            <v>Facilities Sustaining</v>
          </cell>
          <cell r="E228" t="str">
            <v>N</v>
          </cell>
          <cell r="F228" t="str">
            <v>LA</v>
          </cell>
          <cell r="H228" t="str">
            <v>Commercial Radial</v>
          </cell>
          <cell r="I228" t="str">
            <v>COMPONENT PREP OTHER</v>
          </cell>
          <cell r="J228" t="str">
            <v>COL</v>
          </cell>
          <cell r="S228">
            <v>0</v>
          </cell>
          <cell r="T228">
            <v>0</v>
          </cell>
          <cell r="U228">
            <v>0</v>
          </cell>
        </row>
        <row r="229">
          <cell r="B229" t="str">
            <v>LCP-200064</v>
          </cell>
          <cell r="C229" t="str">
            <v>VEHICLE GIC CAM - GUATEMALA</v>
          </cell>
          <cell r="D229" t="str">
            <v>SAG</v>
          </cell>
          <cell r="E229" t="str">
            <v>N</v>
          </cell>
          <cell r="F229" t="str">
            <v>LA</v>
          </cell>
          <cell r="H229" t="str">
            <v>N/A</v>
          </cell>
          <cell r="I229" t="str">
            <v>SAG - Other</v>
          </cell>
          <cell r="J229" t="str">
            <v>GIC</v>
          </cell>
          <cell r="O229">
            <v>6</v>
          </cell>
          <cell r="Q229">
            <v>6</v>
          </cell>
          <cell r="S229">
            <v>0</v>
          </cell>
          <cell r="T229">
            <v>0</v>
          </cell>
          <cell r="U229">
            <v>0</v>
          </cell>
          <cell r="Z229">
            <v>6</v>
          </cell>
          <cell r="AA229">
            <v>-6</v>
          </cell>
          <cell r="AB229">
            <v>0</v>
          </cell>
          <cell r="AC229">
            <v>-6</v>
          </cell>
        </row>
        <row r="230">
          <cell r="B230" t="str">
            <v>LCP-200070</v>
          </cell>
          <cell r="C230" t="str">
            <v>COL-AUTOMATIC DEFECT RECOGNITION SOFTWAR</v>
          </cell>
          <cell r="D230" t="str">
            <v>Quality - Improvement</v>
          </cell>
          <cell r="E230" t="str">
            <v>N</v>
          </cell>
          <cell r="F230" t="str">
            <v>LA</v>
          </cell>
          <cell r="H230" t="str">
            <v>Commercial Radial</v>
          </cell>
          <cell r="I230" t="str">
            <v>TIRE ASSEMBLY</v>
          </cell>
          <cell r="J230" t="str">
            <v>COL</v>
          </cell>
          <cell r="O230">
            <v>148.03700000000001</v>
          </cell>
          <cell r="Q230">
            <v>148.03700000000001</v>
          </cell>
          <cell r="S230">
            <v>98.827049999999986</v>
          </cell>
          <cell r="T230">
            <v>104.26880999999999</v>
          </cell>
          <cell r="U230">
            <v>0</v>
          </cell>
          <cell r="V230">
            <v>158.37970999999999</v>
          </cell>
          <cell r="W230">
            <v>158.37970999999999</v>
          </cell>
          <cell r="X230">
            <v>0</v>
          </cell>
          <cell r="Y230">
            <v>4.1999999999999996E-4</v>
          </cell>
          <cell r="Z230">
            <v>49.209950000000021</v>
          </cell>
          <cell r="AA230">
            <v>-49.209950000000021</v>
          </cell>
          <cell r="AB230">
            <v>98.827049999999986</v>
          </cell>
          <cell r="AC230">
            <v>-49.209950000000021</v>
          </cell>
        </row>
        <row r="231">
          <cell r="B231" t="str">
            <v>LCP-200076</v>
          </cell>
          <cell r="C231" t="str">
            <v>HOTFORMER UPG LINNER AND SCREW STATIONS #04</v>
          </cell>
          <cell r="D231" t="str">
            <v>Facilities Sustaining</v>
          </cell>
          <cell r="E231" t="str">
            <v>N</v>
          </cell>
          <cell r="F231" t="str">
            <v>LA</v>
          </cell>
          <cell r="H231" t="str">
            <v>N/A</v>
          </cell>
          <cell r="I231" t="str">
            <v>COMPONENT PREP OTHER</v>
          </cell>
          <cell r="J231" t="str">
            <v>AME</v>
          </cell>
          <cell r="Q231">
            <v>144.029</v>
          </cell>
          <cell r="S231">
            <v>0</v>
          </cell>
          <cell r="T231">
            <v>0</v>
          </cell>
          <cell r="U231">
            <v>0</v>
          </cell>
          <cell r="V231">
            <v>64.375</v>
          </cell>
          <cell r="W231">
            <v>64.375</v>
          </cell>
          <cell r="AD231">
            <v>0</v>
          </cell>
        </row>
        <row r="232">
          <cell r="B232" t="str">
            <v>LCP-200077</v>
          </cell>
          <cell r="C232" t="str">
            <v>AME - Bijinic Tank</v>
          </cell>
          <cell r="D232" t="str">
            <v>Quality - Improvement</v>
          </cell>
          <cell r="E232" t="str">
            <v>N</v>
          </cell>
          <cell r="F232" t="str">
            <v>LA</v>
          </cell>
          <cell r="H232" t="str">
            <v>CONSUMER RADIAL</v>
          </cell>
          <cell r="I232" t="str">
            <v>Mixing</v>
          </cell>
          <cell r="J232" t="str">
            <v>AME</v>
          </cell>
          <cell r="Q232">
            <v>213.85</v>
          </cell>
          <cell r="S232">
            <v>67.475760000000008</v>
          </cell>
          <cell r="T232">
            <v>67.311960000000013</v>
          </cell>
          <cell r="U232">
            <v>0</v>
          </cell>
          <cell r="V232">
            <v>63.783950000000004</v>
          </cell>
          <cell r="W232">
            <v>63.783950000000004</v>
          </cell>
          <cell r="X232">
            <v>0</v>
          </cell>
          <cell r="Y232">
            <v>4.8676599999999999</v>
          </cell>
          <cell r="AD232">
            <v>0</v>
          </cell>
        </row>
        <row r="233">
          <cell r="B233" t="str">
            <v>LCP-200087</v>
          </cell>
          <cell r="C233" t="str">
            <v>PER-New VSAN environment and BackUp Sol</v>
          </cell>
          <cell r="D233" t="str">
            <v>IT</v>
          </cell>
          <cell r="E233" t="str">
            <v>N</v>
          </cell>
          <cell r="F233" t="str">
            <v>LA</v>
          </cell>
          <cell r="H233" t="str">
            <v>N/A</v>
          </cell>
          <cell r="I233" t="str">
            <v>SAG - IT</v>
          </cell>
          <cell r="J233" t="str">
            <v>PER</v>
          </cell>
          <cell r="O233">
            <v>145</v>
          </cell>
          <cell r="Q233">
            <v>145</v>
          </cell>
          <cell r="S233">
            <v>0</v>
          </cell>
          <cell r="T233">
            <v>0</v>
          </cell>
          <cell r="U233">
            <v>0</v>
          </cell>
          <cell r="Z233">
            <v>145</v>
          </cell>
          <cell r="AA233">
            <v>-145</v>
          </cell>
          <cell r="AB233">
            <v>0</v>
          </cell>
          <cell r="AC233">
            <v>-145</v>
          </cell>
        </row>
        <row r="234">
          <cell r="B234" t="str">
            <v>LCP-200090</v>
          </cell>
          <cell r="C234" t="str">
            <v>PER - CAPA EXTRUDER GEARBOX REPLACEMENT</v>
          </cell>
          <cell r="D234" t="str">
            <v>Facilities Sustaining</v>
          </cell>
          <cell r="E234" t="str">
            <v>N</v>
          </cell>
          <cell r="F234" t="str">
            <v>LA</v>
          </cell>
          <cell r="H234" t="str">
            <v>Consumer Radial</v>
          </cell>
          <cell r="I234" t="str">
            <v>Mixing</v>
          </cell>
          <cell r="J234" t="str">
            <v>PER</v>
          </cell>
          <cell r="Q234">
            <v>225</v>
          </cell>
          <cell r="S234">
            <v>18.706880000000002</v>
          </cell>
          <cell r="T234">
            <v>140.72446000000002</v>
          </cell>
          <cell r="U234">
            <v>135.0675</v>
          </cell>
          <cell r="V234">
            <v>158.9</v>
          </cell>
          <cell r="W234">
            <v>158.9</v>
          </cell>
          <cell r="X234">
            <v>13.5</v>
          </cell>
          <cell r="Y234">
            <v>0</v>
          </cell>
        </row>
        <row r="235">
          <cell r="B235" t="str">
            <v>LCP-200092</v>
          </cell>
          <cell r="C235" t="str">
            <v>AME-METAL DETECTOR IN CAL 4R2</v>
          </cell>
          <cell r="D235" t="str">
            <v>Quality - Improvement</v>
          </cell>
          <cell r="E235" t="str">
            <v>N</v>
          </cell>
          <cell r="F235" t="str">
            <v>LA</v>
          </cell>
          <cell r="H235" t="str">
            <v>CONSUMER RADIAL</v>
          </cell>
          <cell r="I235" t="str">
            <v>Component Prep</v>
          </cell>
          <cell r="J235" t="str">
            <v>AME</v>
          </cell>
          <cell r="Q235">
            <v>245</v>
          </cell>
          <cell r="S235">
            <v>41.832540000000002</v>
          </cell>
          <cell r="T235">
            <v>41.832540000000002</v>
          </cell>
          <cell r="U235">
            <v>2.3999999999999986</v>
          </cell>
          <cell r="V235">
            <v>170.14825000000002</v>
          </cell>
          <cell r="W235">
            <v>170.14825000000002</v>
          </cell>
          <cell r="X235">
            <v>7.7003999999999992</v>
          </cell>
          <cell r="Y235">
            <v>14.644170000000001</v>
          </cell>
          <cell r="AD235">
            <v>0</v>
          </cell>
        </row>
        <row r="236">
          <cell r="B236" t="str">
            <v>LCP-200093</v>
          </cell>
          <cell r="C236" t="str">
            <v>PER - 2020 MISCELLANEOUS ANNUAL BUDGET PHASE 2</v>
          </cell>
          <cell r="D236" t="str">
            <v>Facilities Sustaining</v>
          </cell>
          <cell r="E236" t="str">
            <v>N</v>
          </cell>
          <cell r="F236" t="str">
            <v>LA</v>
          </cell>
          <cell r="H236" t="str">
            <v>N/A</v>
          </cell>
          <cell r="I236" t="str">
            <v>Other</v>
          </cell>
          <cell r="J236" t="str">
            <v>PER</v>
          </cell>
          <cell r="Q236">
            <v>225</v>
          </cell>
          <cell r="S236">
            <v>29.40459000000001</v>
          </cell>
          <cell r="T236">
            <v>30.500170000000008</v>
          </cell>
          <cell r="U236">
            <v>42.5</v>
          </cell>
          <cell r="V236">
            <v>27.098480000000002</v>
          </cell>
          <cell r="W236">
            <v>27.098480000000002</v>
          </cell>
        </row>
        <row r="237">
          <cell r="B237" t="str">
            <v>LCP-200097</v>
          </cell>
          <cell r="C237" t="str">
            <v>4 Molds - 295/80R22.5 KMAX-D (TR+SW)</v>
          </cell>
          <cell r="D237" t="str">
            <v>Molds</v>
          </cell>
          <cell r="E237" t="str">
            <v>N</v>
          </cell>
          <cell r="F237" t="str">
            <v>LA</v>
          </cell>
          <cell r="H237" t="str">
            <v>COMMERCIAL RADIAL</v>
          </cell>
          <cell r="I237" t="str">
            <v>Curing</v>
          </cell>
          <cell r="J237" t="str">
            <v>AME</v>
          </cell>
          <cell r="Q237">
            <v>59.5</v>
          </cell>
          <cell r="S237">
            <v>0.73930999999999991</v>
          </cell>
          <cell r="T237">
            <v>0.73930999999999991</v>
          </cell>
          <cell r="U237">
            <v>0</v>
          </cell>
          <cell r="V237">
            <v>-9.572E-2</v>
          </cell>
          <cell r="W237">
            <v>-9.572E-2</v>
          </cell>
        </row>
        <row r="238">
          <cell r="B238" t="str">
            <v>LCP-200100</v>
          </cell>
          <cell r="C238" t="str">
            <v>BRA-AMERICANA IT NETWORK DEVICES REFRESH BY LIFECYCLE (PHASE 2/4)</v>
          </cell>
          <cell r="D238" t="str">
            <v>IT</v>
          </cell>
          <cell r="E238" t="str">
            <v>N</v>
          </cell>
          <cell r="F238" t="str">
            <v>LA</v>
          </cell>
          <cell r="H238" t="str">
            <v>N/A</v>
          </cell>
          <cell r="I238" t="str">
            <v>SAG - IT</v>
          </cell>
          <cell r="J238" t="str">
            <v>BRZ</v>
          </cell>
          <cell r="Q238">
            <v>147</v>
          </cell>
          <cell r="S238">
            <v>0</v>
          </cell>
          <cell r="T238">
            <v>0</v>
          </cell>
          <cell r="U238">
            <v>0</v>
          </cell>
        </row>
        <row r="239">
          <cell r="B239" t="str">
            <v>LCP-200101</v>
          </cell>
          <cell r="C239" t="str">
            <v>BRA-BRIGADEIRO OFFICE IT NETWORK  AND APPLICATION SERVERS LIFECYCLE  (PHASE 1/3)</v>
          </cell>
          <cell r="D239" t="str">
            <v>IT</v>
          </cell>
          <cell r="E239" t="str">
            <v>N</v>
          </cell>
          <cell r="F239" t="str">
            <v>LA</v>
          </cell>
          <cell r="H239" t="str">
            <v>Mixed</v>
          </cell>
          <cell r="I239" t="str">
            <v>SAG - IT</v>
          </cell>
          <cell r="J239" t="str">
            <v>BRZ</v>
          </cell>
          <cell r="Q239">
            <v>100.05</v>
          </cell>
          <cell r="S239">
            <v>0</v>
          </cell>
          <cell r="T239">
            <v>0</v>
          </cell>
          <cell r="U239">
            <v>0</v>
          </cell>
        </row>
        <row r="240">
          <cell r="B240" t="str">
            <v>LCP-200102</v>
          </cell>
          <cell r="C240" t="str">
            <v>BRA-LOGISTICS CENTER NETWORK REFRESH (PHASE 1/2)</v>
          </cell>
          <cell r="D240" t="str">
            <v>IT</v>
          </cell>
          <cell r="E240" t="str">
            <v>N</v>
          </cell>
          <cell r="F240" t="str">
            <v>LA</v>
          </cell>
          <cell r="H240" t="str">
            <v>Mixed</v>
          </cell>
          <cell r="I240" t="str">
            <v>SAG - IT</v>
          </cell>
          <cell r="J240" t="str">
            <v>BRZ</v>
          </cell>
          <cell r="Q240">
            <v>26.6</v>
          </cell>
          <cell r="S240">
            <v>0</v>
          </cell>
          <cell r="T240">
            <v>0</v>
          </cell>
          <cell r="U240">
            <v>0</v>
          </cell>
        </row>
        <row r="241">
          <cell r="B241" t="str">
            <v>LCP-200103</v>
          </cell>
          <cell r="C241" t="str">
            <v xml:space="preserve">BRA-STA BARBARA COMPUTER ROOM REFRESH BY LIFECYCLE </v>
          </cell>
          <cell r="D241" t="str">
            <v>IT</v>
          </cell>
          <cell r="E241" t="str">
            <v>N</v>
          </cell>
          <cell r="F241" t="str">
            <v>LA</v>
          </cell>
          <cell r="H241" t="str">
            <v>RETREAD</v>
          </cell>
          <cell r="I241" t="str">
            <v>SAG - IT</v>
          </cell>
          <cell r="J241" t="str">
            <v>BRZ</v>
          </cell>
          <cell r="Q241">
            <v>25</v>
          </cell>
          <cell r="S241">
            <v>0</v>
          </cell>
          <cell r="T241">
            <v>0</v>
          </cell>
          <cell r="U241">
            <v>0</v>
          </cell>
        </row>
        <row r="242">
          <cell r="B242" t="str">
            <v>LCP-200104</v>
          </cell>
          <cell r="C242" t="str">
            <v>BRA-STA BARBARA MANUFACTURINT IT NETWORK  AND APPLICATION SERVERS LIFECYCLE (PHASE 2/2)</v>
          </cell>
          <cell r="D242" t="str">
            <v>IT</v>
          </cell>
          <cell r="E242" t="str">
            <v>N</v>
          </cell>
          <cell r="F242" t="str">
            <v>LA</v>
          </cell>
          <cell r="H242" t="str">
            <v>RETREAD</v>
          </cell>
          <cell r="I242" t="str">
            <v>SAG - IT</v>
          </cell>
          <cell r="J242" t="str">
            <v>BRZ</v>
          </cell>
          <cell r="Q242">
            <v>60.05</v>
          </cell>
          <cell r="S242">
            <v>0</v>
          </cell>
          <cell r="T242">
            <v>0</v>
          </cell>
          <cell r="U242">
            <v>0</v>
          </cell>
        </row>
        <row r="243">
          <cell r="B243" t="str">
            <v>LCP-200108</v>
          </cell>
          <cell r="C243" t="str">
            <v>ARG - TRUCK TIRE BEAD CUTTER</v>
          </cell>
          <cell r="D243" t="str">
            <v>SAG</v>
          </cell>
          <cell r="E243" t="str">
            <v>N</v>
          </cell>
          <cell r="F243" t="str">
            <v>LA</v>
          </cell>
          <cell r="H243" t="str">
            <v>Commercial Radial</v>
          </cell>
          <cell r="I243" t="str">
            <v>SAG - Other</v>
          </cell>
          <cell r="J243" t="str">
            <v>ARG</v>
          </cell>
          <cell r="Q243">
            <v>22.2</v>
          </cell>
          <cell r="S243">
            <v>12.027470000000001</v>
          </cell>
          <cell r="T243">
            <v>12.027470000000001</v>
          </cell>
          <cell r="U243">
            <v>0</v>
          </cell>
          <cell r="V243">
            <v>11</v>
          </cell>
          <cell r="W243">
            <v>11</v>
          </cell>
        </row>
        <row r="244">
          <cell r="B244" t="str">
            <v>LCP-200109</v>
          </cell>
          <cell r="C244" t="str">
            <v>COL -  Lighting Electric cable replacement</v>
          </cell>
          <cell r="D244" t="str">
            <v>Facilities Sustaining</v>
          </cell>
          <cell r="E244" t="str">
            <v>N</v>
          </cell>
          <cell r="F244" t="str">
            <v>LA</v>
          </cell>
          <cell r="H244" t="str">
            <v>Commercial Radial</v>
          </cell>
          <cell r="I244" t="str">
            <v>Facilities/Infrastructure</v>
          </cell>
          <cell r="J244" t="str">
            <v>COL</v>
          </cell>
          <cell r="Q244">
            <v>89.593999999999994</v>
          </cell>
          <cell r="S244">
            <v>12.85102</v>
          </cell>
          <cell r="T244">
            <v>12.85102</v>
          </cell>
          <cell r="U244">
            <v>0</v>
          </cell>
          <cell r="V244">
            <v>16.04946</v>
          </cell>
          <cell r="W244">
            <v>16.04946</v>
          </cell>
        </row>
        <row r="245">
          <cell r="B245" t="str">
            <v>LCP-200111</v>
          </cell>
          <cell r="C245" t="str">
            <v>COL - Mixer #2 CMS Upgrade</v>
          </cell>
          <cell r="D245" t="str">
            <v>Facilities Sustaining</v>
          </cell>
          <cell r="E245" t="str">
            <v>N</v>
          </cell>
          <cell r="F245" t="str">
            <v>LA</v>
          </cell>
          <cell r="H245" t="str">
            <v>Commercial Radial</v>
          </cell>
          <cell r="I245" t="str">
            <v>Mixing</v>
          </cell>
          <cell r="J245" t="str">
            <v>COL</v>
          </cell>
          <cell r="Q245">
            <v>749.01900000000001</v>
          </cell>
          <cell r="S245">
            <v>667.14533999999969</v>
          </cell>
          <cell r="T245">
            <v>697.68502999999976</v>
          </cell>
          <cell r="U245">
            <v>0</v>
          </cell>
          <cell r="V245">
            <v>708.72530000000006</v>
          </cell>
          <cell r="W245">
            <v>708.72530000000006</v>
          </cell>
          <cell r="X245">
            <v>0</v>
          </cell>
          <cell r="Y245">
            <v>6.1815600000000002</v>
          </cell>
        </row>
        <row r="246">
          <cell r="B246" t="str">
            <v>LCP-200112</v>
          </cell>
          <cell r="C246" t="str">
            <v>COL - Mixer #1 new TCU</v>
          </cell>
          <cell r="D246" t="str">
            <v>Facilities Sustaining</v>
          </cell>
          <cell r="E246" t="str">
            <v>N</v>
          </cell>
          <cell r="F246" t="str">
            <v>LA</v>
          </cell>
          <cell r="H246" t="str">
            <v>Commercial Radial</v>
          </cell>
          <cell r="I246" t="str">
            <v>Mixing</v>
          </cell>
          <cell r="J246" t="str">
            <v>COL</v>
          </cell>
          <cell r="Q246">
            <v>111.209</v>
          </cell>
          <cell r="S246">
            <v>61.616529999999997</v>
          </cell>
          <cell r="T246">
            <v>61.616529999999997</v>
          </cell>
          <cell r="U246">
            <v>0</v>
          </cell>
          <cell r="V246">
            <v>100.80595</v>
          </cell>
          <cell r="W246">
            <v>100.80595</v>
          </cell>
        </row>
        <row r="247">
          <cell r="B247" t="str">
            <v>LCP-200113</v>
          </cell>
          <cell r="C247" t="str">
            <v>COL - Look &amp; Feel POS Identification Colombia</v>
          </cell>
          <cell r="D247" t="str">
            <v>SAG</v>
          </cell>
          <cell r="E247" t="str">
            <v>N</v>
          </cell>
          <cell r="F247" t="str">
            <v>LA</v>
          </cell>
          <cell r="H247" t="str">
            <v>Mixed</v>
          </cell>
          <cell r="I247" t="str">
            <v>SAG - Sales &amp; Marketing</v>
          </cell>
          <cell r="J247" t="str">
            <v>COL</v>
          </cell>
          <cell r="Q247">
            <v>150</v>
          </cell>
          <cell r="S247">
            <v>7.1989499999999991</v>
          </cell>
          <cell r="T247">
            <v>7.1989499999999991</v>
          </cell>
          <cell r="U247">
            <v>0</v>
          </cell>
          <cell r="V247">
            <v>33.488239999999998</v>
          </cell>
          <cell r="W247">
            <v>33.488239999999998</v>
          </cell>
        </row>
        <row r="248">
          <cell r="B248" t="str">
            <v>LCP-200114</v>
          </cell>
          <cell r="C248" t="str">
            <v>COL - ERGO GREEN TIRE LOADER SYSTEMS IN PRESSES</v>
          </cell>
          <cell r="D248" t="str">
            <v>EHS</v>
          </cell>
          <cell r="E248" t="str">
            <v>N</v>
          </cell>
          <cell r="F248" t="str">
            <v>LA</v>
          </cell>
          <cell r="G248" t="str">
            <v>ERG</v>
          </cell>
          <cell r="H248" t="str">
            <v>Commercial Radial</v>
          </cell>
          <cell r="I248" t="str">
            <v>Curing</v>
          </cell>
          <cell r="J248" t="str">
            <v>COL</v>
          </cell>
          <cell r="Q248">
            <v>110.303</v>
          </cell>
          <cell r="S248">
            <v>16.356960000000001</v>
          </cell>
          <cell r="T248">
            <v>21.879049999999999</v>
          </cell>
          <cell r="U248">
            <v>0</v>
          </cell>
          <cell r="V248">
            <v>25</v>
          </cell>
          <cell r="W248">
            <v>25</v>
          </cell>
        </row>
        <row r="249">
          <cell r="B249" t="str">
            <v>LCP-200115</v>
          </cell>
          <cell r="C249" t="str">
            <v>AME - BT DRUM WYKO UPGRADE</v>
          </cell>
          <cell r="D249" t="str">
            <v>Facilities Sustaining</v>
          </cell>
          <cell r="E249" t="str">
            <v>N</v>
          </cell>
          <cell r="F249" t="str">
            <v>LA</v>
          </cell>
          <cell r="H249" t="str">
            <v>Commercial Radial</v>
          </cell>
          <cell r="I249" t="str">
            <v>TIRE ASSEMBLY</v>
          </cell>
          <cell r="J249" t="str">
            <v>AME</v>
          </cell>
          <cell r="Q249">
            <v>99.994</v>
          </cell>
          <cell r="S249">
            <v>1.0724</v>
          </cell>
          <cell r="T249">
            <v>1.0724</v>
          </cell>
          <cell r="U249">
            <v>0</v>
          </cell>
          <cell r="V249">
            <v>1.0629599999999999</v>
          </cell>
          <cell r="W249">
            <v>1.0629599999999999</v>
          </cell>
          <cell r="AD249">
            <v>0</v>
          </cell>
        </row>
        <row r="250">
          <cell r="B250" t="str">
            <v>LCP-200116</v>
          </cell>
          <cell r="C250" t="str">
            <v>SBO - UPGRADE PLC AUTOMAX EXTRUDER</v>
          </cell>
          <cell r="D250" t="str">
            <v>Facilities Sustaining</v>
          </cell>
          <cell r="E250" t="str">
            <v>N</v>
          </cell>
          <cell r="F250" t="str">
            <v>LA</v>
          </cell>
          <cell r="H250" t="str">
            <v>Other</v>
          </cell>
          <cell r="I250" t="str">
            <v>COMPONENT PREP OTHER</v>
          </cell>
          <cell r="J250" t="str">
            <v>RET</v>
          </cell>
          <cell r="Q250">
            <v>4</v>
          </cell>
          <cell r="S250">
            <v>330.18847</v>
          </cell>
          <cell r="T250">
            <v>384.08826000000005</v>
          </cell>
          <cell r="U250">
            <v>10.381889999999999</v>
          </cell>
          <cell r="V250">
            <v>473.62520999999998</v>
          </cell>
          <cell r="W250">
            <v>473.62520999999998</v>
          </cell>
          <cell r="X250">
            <v>0</v>
          </cell>
          <cell r="Y250">
            <v>28.590269999999997</v>
          </cell>
          <cell r="AD250">
            <v>0</v>
          </cell>
        </row>
        <row r="251">
          <cell r="B251" t="str">
            <v>LCP-200117</v>
          </cell>
          <cell r="C251" t="str">
            <v>REWIND STATIONS MRT  BUILD MACHINES</v>
          </cell>
          <cell r="D251" t="str">
            <v>Facilities Sustaining</v>
          </cell>
          <cell r="E251" t="str">
            <v>N</v>
          </cell>
          <cell r="F251" t="str">
            <v>LA</v>
          </cell>
          <cell r="H251" t="str">
            <v>Commercial Radial</v>
          </cell>
          <cell r="I251" t="str">
            <v>TIRE ASSEMBLY</v>
          </cell>
          <cell r="J251" t="str">
            <v>AME</v>
          </cell>
          <cell r="Q251">
            <v>99.512</v>
          </cell>
          <cell r="S251">
            <v>0.25570999999999999</v>
          </cell>
          <cell r="T251">
            <v>1.25346</v>
          </cell>
          <cell r="U251">
            <v>105.97427</v>
          </cell>
          <cell r="V251">
            <v>99.512</v>
          </cell>
          <cell r="W251">
            <v>99.512</v>
          </cell>
          <cell r="X251">
            <v>3.8664000000000001</v>
          </cell>
          <cell r="Y251">
            <v>7.0000000000000007E-5</v>
          </cell>
          <cell r="AD251">
            <v>0</v>
          </cell>
        </row>
        <row r="252">
          <cell r="B252" t="str">
            <v>LCP-200119</v>
          </cell>
          <cell r="C252" t="str">
            <v>REPL MAIN GEARBOX 6” &amp; 10” MRT EXTRUDER</v>
          </cell>
          <cell r="D252" t="str">
            <v>Facilities Sustaining</v>
          </cell>
          <cell r="E252" t="str">
            <v>N</v>
          </cell>
          <cell r="F252" t="str">
            <v>LA</v>
          </cell>
          <cell r="H252" t="str">
            <v>Other</v>
          </cell>
          <cell r="I252" t="str">
            <v>COMPONENT PREP OTHER</v>
          </cell>
          <cell r="J252" t="str">
            <v>AME</v>
          </cell>
          <cell r="Q252">
            <v>309.29599999999999</v>
          </cell>
          <cell r="S252">
            <v>34.550109999999997</v>
          </cell>
          <cell r="T252">
            <v>34.550109999999997</v>
          </cell>
          <cell r="U252">
            <v>7.0388200000000012</v>
          </cell>
          <cell r="V252">
            <v>45.178789999999999</v>
          </cell>
          <cell r="W252">
            <v>45.178789999999999</v>
          </cell>
          <cell r="X252">
            <v>3.8318000000000003</v>
          </cell>
          <cell r="Y252">
            <v>3.3566100000000003</v>
          </cell>
          <cell r="AD252">
            <v>0</v>
          </cell>
        </row>
        <row r="253">
          <cell r="B253" t="str">
            <v>LCP-200121</v>
          </cell>
          <cell r="C253" t="str">
            <v xml:space="preserve">AME - PRODUCTIVITY MRT </v>
          </cell>
          <cell r="D253" t="str">
            <v>Productivity</v>
          </cell>
          <cell r="E253" t="str">
            <v>N</v>
          </cell>
          <cell r="F253" t="str">
            <v>LA</v>
          </cell>
          <cell r="H253" t="str">
            <v>Commercial Radial</v>
          </cell>
          <cell r="I253" t="str">
            <v>TIRE ASSEMBLY</v>
          </cell>
          <cell r="J253" t="str">
            <v>AME</v>
          </cell>
          <cell r="Q253">
            <v>98.66037</v>
          </cell>
          <cell r="S253">
            <v>0.42429999999999995</v>
          </cell>
          <cell r="T253">
            <v>0.42429999999999995</v>
          </cell>
          <cell r="U253">
            <v>0</v>
          </cell>
          <cell r="V253">
            <v>0.42429999999999995</v>
          </cell>
          <cell r="W253">
            <v>0.42429999999999995</v>
          </cell>
          <cell r="AD253">
            <v>0</v>
          </cell>
        </row>
        <row r="254">
          <cell r="B254" t="str">
            <v>LCP-200122</v>
          </cell>
          <cell r="C254" t="str">
            <v>PER-New UPS System and electric power transformer</v>
          </cell>
          <cell r="D254" t="str">
            <v>IT</v>
          </cell>
          <cell r="E254" t="str">
            <v>N</v>
          </cell>
          <cell r="F254" t="str">
            <v>LA</v>
          </cell>
          <cell r="H254" t="str">
            <v>N/A</v>
          </cell>
          <cell r="I254" t="str">
            <v>SAG - IT</v>
          </cell>
          <cell r="J254" t="str">
            <v>PER</v>
          </cell>
          <cell r="Q254">
            <v>42</v>
          </cell>
          <cell r="S254">
            <v>4.2497299999999996</v>
          </cell>
          <cell r="T254">
            <v>5.6488899999999997</v>
          </cell>
          <cell r="U254">
            <v>0</v>
          </cell>
          <cell r="V254">
            <v>3.82213</v>
          </cell>
          <cell r="W254">
            <v>3.82213</v>
          </cell>
          <cell r="X254">
            <v>0</v>
          </cell>
          <cell r="Y254">
            <v>0.85250000000000004</v>
          </cell>
        </row>
        <row r="255">
          <cell r="B255" t="str">
            <v>LCP-200123</v>
          </cell>
          <cell r="C255" t="str">
            <v>PER - UPGRADE PERU FVMs PC&amp;laptops</v>
          </cell>
          <cell r="D255" t="str">
            <v>Facilities Sustaining</v>
          </cell>
          <cell r="E255" t="str">
            <v>N</v>
          </cell>
          <cell r="F255" t="str">
            <v>LA</v>
          </cell>
          <cell r="H255" t="str">
            <v>Consumer Radial</v>
          </cell>
          <cell r="I255" t="str">
            <v>Final Finish</v>
          </cell>
          <cell r="J255" t="str">
            <v>PER</v>
          </cell>
          <cell r="Q255">
            <v>86</v>
          </cell>
          <cell r="S255">
            <v>55.37012</v>
          </cell>
          <cell r="T255">
            <v>56.411609999999996</v>
          </cell>
          <cell r="U255">
            <v>24.900000000000006</v>
          </cell>
          <cell r="V255">
            <v>52.506590000000003</v>
          </cell>
          <cell r="W255">
            <v>52.506590000000003</v>
          </cell>
          <cell r="X255">
            <v>0</v>
          </cell>
          <cell r="Y255">
            <v>0.75567999999999991</v>
          </cell>
          <cell r="AD255">
            <v>8</v>
          </cell>
        </row>
        <row r="256">
          <cell r="B256" t="str">
            <v>LCP-200124</v>
          </cell>
          <cell r="C256" t="str">
            <v>AME - BAMBURIES BATCH-OFF CRANES</v>
          </cell>
          <cell r="D256" t="str">
            <v>EHS</v>
          </cell>
          <cell r="E256" t="str">
            <v>N</v>
          </cell>
          <cell r="F256" t="str">
            <v>LA</v>
          </cell>
          <cell r="G256" t="str">
            <v>COMP</v>
          </cell>
          <cell r="H256" t="str">
            <v>MIXED</v>
          </cell>
          <cell r="I256" t="str">
            <v>COMPONENT PREP OTHER</v>
          </cell>
          <cell r="J256" t="str">
            <v>AME</v>
          </cell>
          <cell r="Q256">
            <v>63.145000000000003</v>
          </cell>
          <cell r="S256">
            <v>9.2854599999999987</v>
          </cell>
          <cell r="T256">
            <v>9.2854599999999987</v>
          </cell>
          <cell r="U256">
            <v>0</v>
          </cell>
          <cell r="V256">
            <v>7.8740199999999998</v>
          </cell>
          <cell r="W256">
            <v>7.8740199999999998</v>
          </cell>
          <cell r="AD256">
            <v>0</v>
          </cell>
        </row>
        <row r="257">
          <cell r="B257" t="str">
            <v>LCP-200125</v>
          </cell>
          <cell r="C257" t="str">
            <v>UPGRADE MICROPOISE BALANCE MACHINE ANCHIETA</v>
          </cell>
          <cell r="D257" t="str">
            <v>SAG</v>
          </cell>
          <cell r="E257" t="str">
            <v>N</v>
          </cell>
          <cell r="F257" t="str">
            <v>LA</v>
          </cell>
          <cell r="H257" t="str">
            <v>Other</v>
          </cell>
          <cell r="I257" t="str">
            <v>Other</v>
          </cell>
          <cell r="J257" t="str">
            <v>MC</v>
          </cell>
          <cell r="Q257">
            <v>234.983</v>
          </cell>
          <cell r="S257">
            <v>154.53612000000001</v>
          </cell>
          <cell r="T257">
            <v>155.51115000000001</v>
          </cell>
          <cell r="U257">
            <v>0</v>
          </cell>
          <cell r="V257">
            <v>89.973389999999995</v>
          </cell>
          <cell r="W257">
            <v>89.973389999999995</v>
          </cell>
          <cell r="AD257">
            <v>0</v>
          </cell>
        </row>
        <row r="258">
          <cell r="B258" t="str">
            <v>LCP-200126</v>
          </cell>
          <cell r="C258" t="str">
            <v xml:space="preserve">UPGRADE DRIVE VTW MICRIPOISE BALANCE MACHINE - GRAVATAI </v>
          </cell>
          <cell r="D258" t="str">
            <v>SAG</v>
          </cell>
          <cell r="E258" t="str">
            <v>N</v>
          </cell>
          <cell r="F258" t="str">
            <v>LA</v>
          </cell>
          <cell r="H258" t="str">
            <v>Other</v>
          </cell>
          <cell r="I258" t="str">
            <v>Other</v>
          </cell>
          <cell r="J258" t="str">
            <v>MC</v>
          </cell>
          <cell r="Q258">
            <v>361.22300000000001</v>
          </cell>
          <cell r="S258">
            <v>286.86747000000003</v>
          </cell>
          <cell r="T258">
            <v>287.84170999999998</v>
          </cell>
          <cell r="U258">
            <v>0</v>
          </cell>
          <cell r="V258">
            <v>160</v>
          </cell>
          <cell r="W258">
            <v>160</v>
          </cell>
          <cell r="X258">
            <v>0</v>
          </cell>
          <cell r="Y258">
            <v>8.0744399999999992</v>
          </cell>
          <cell r="AD258">
            <v>0</v>
          </cell>
        </row>
        <row r="259">
          <cell r="B259" t="str">
            <v>LCP-200129</v>
          </cell>
          <cell r="C259" t="str">
            <v>AME - SAFETY UPGRADE BEADWINDER #03</v>
          </cell>
          <cell r="D259" t="str">
            <v>EHS</v>
          </cell>
          <cell r="E259" t="str">
            <v>N</v>
          </cell>
          <cell r="F259" t="str">
            <v>LA</v>
          </cell>
          <cell r="G259" t="str">
            <v>COMP</v>
          </cell>
          <cell r="H259" t="str">
            <v>Other</v>
          </cell>
          <cell r="I259" t="str">
            <v>COMPONENT PREP OTHER</v>
          </cell>
          <cell r="J259" t="str">
            <v>AME</v>
          </cell>
          <cell r="Q259">
            <v>53.960999999999999</v>
          </cell>
          <cell r="S259">
            <v>5.492700000000001</v>
          </cell>
          <cell r="T259">
            <v>5.492700000000001</v>
          </cell>
          <cell r="U259">
            <v>0</v>
          </cell>
          <cell r="V259">
            <v>2.2372400000000003</v>
          </cell>
          <cell r="W259">
            <v>2.2372400000000003</v>
          </cell>
          <cell r="AD259">
            <v>0</v>
          </cell>
        </row>
        <row r="260">
          <cell r="B260" t="str">
            <v>LCP-210204</v>
          </cell>
          <cell r="C260" t="str">
            <v>AME - NEW MIXER SLURRY - PLITVIC</v>
          </cell>
          <cell r="D260" t="str">
            <v>Quality - Improvement</v>
          </cell>
          <cell r="E260" t="str">
            <v>N</v>
          </cell>
          <cell r="F260" t="str">
            <v>LA</v>
          </cell>
          <cell r="J260" t="str">
            <v>AME</v>
          </cell>
          <cell r="T260">
            <v>0</v>
          </cell>
          <cell r="U260">
            <v>0</v>
          </cell>
          <cell r="AD260">
            <v>73.534999999999997</v>
          </cell>
        </row>
        <row r="261">
          <cell r="B261" t="str">
            <v>LCP-200131</v>
          </cell>
          <cell r="C261" t="str">
            <v>AME - UPGRADE GENERAL PANEL CURING PRESSES MRT</v>
          </cell>
          <cell r="D261" t="str">
            <v>Productivity</v>
          </cell>
          <cell r="E261" t="str">
            <v>N</v>
          </cell>
          <cell r="F261" t="str">
            <v>LA</v>
          </cell>
          <cell r="H261" t="str">
            <v>Commercial Radial</v>
          </cell>
          <cell r="I261" t="str">
            <v>Curing</v>
          </cell>
          <cell r="J261" t="str">
            <v>AME</v>
          </cell>
          <cell r="Q261">
            <v>420.88981999999999</v>
          </cell>
          <cell r="S261">
            <v>95.412089999999964</v>
          </cell>
          <cell r="T261">
            <v>100.80012999999997</v>
          </cell>
          <cell r="U261">
            <v>70.912559999999985</v>
          </cell>
          <cell r="V261">
            <v>274.27812</v>
          </cell>
          <cell r="W261">
            <v>274.27812</v>
          </cell>
          <cell r="X261">
            <v>0</v>
          </cell>
          <cell r="Y261">
            <v>96.112669999999994</v>
          </cell>
          <cell r="AD261">
            <v>0</v>
          </cell>
        </row>
        <row r="262">
          <cell r="B262" t="str">
            <v>LCP-200133</v>
          </cell>
          <cell r="C262" t="str">
            <v>PER - FVM 4 (EX GADSDEN)</v>
          </cell>
          <cell r="D262" t="str">
            <v>Facilities Sustaining</v>
          </cell>
          <cell r="E262" t="str">
            <v>N</v>
          </cell>
          <cell r="F262" t="str">
            <v>LA</v>
          </cell>
          <cell r="H262" t="str">
            <v>Consumer Radial</v>
          </cell>
          <cell r="I262" t="str">
            <v>Final Finish</v>
          </cell>
          <cell r="J262" t="str">
            <v>PER</v>
          </cell>
          <cell r="Q262">
            <v>234.02500000000001</v>
          </cell>
          <cell r="S262">
            <v>55.622230000000002</v>
          </cell>
          <cell r="T262">
            <v>78.873290000000011</v>
          </cell>
          <cell r="U262">
            <v>14.071200000000005</v>
          </cell>
          <cell r="V262">
            <v>144.02420999999998</v>
          </cell>
          <cell r="W262">
            <v>144.02420999999998</v>
          </cell>
          <cell r="X262">
            <v>52.561500000000002</v>
          </cell>
          <cell r="Y262">
            <v>23.616309999999999</v>
          </cell>
          <cell r="AD262">
            <v>144</v>
          </cell>
        </row>
        <row r="263">
          <cell r="B263" t="str">
            <v>LCP-200136</v>
          </cell>
          <cell r="C263" t="str">
            <v>Colombia Plant Storm Recovery</v>
          </cell>
          <cell r="D263" t="str">
            <v>Facilities Sustaining</v>
          </cell>
          <cell r="E263" t="str">
            <v>N</v>
          </cell>
          <cell r="F263" t="str">
            <v>LA</v>
          </cell>
          <cell r="H263" t="str">
            <v>COMMERCIAL RADIAL</v>
          </cell>
          <cell r="I263" t="str">
            <v>FACILITIES/INFRASTRUCTURE</v>
          </cell>
          <cell r="J263" t="str">
            <v>COL</v>
          </cell>
          <cell r="Q263">
            <v>1000</v>
          </cell>
          <cell r="S263">
            <v>0</v>
          </cell>
          <cell r="T263">
            <v>0</v>
          </cell>
          <cell r="U263">
            <v>0</v>
          </cell>
        </row>
        <row r="264">
          <cell r="B264" t="str">
            <v>LCP-200137</v>
          </cell>
          <cell r="C264" t="str">
            <v>UPGRADE XLE#7 AIR COMPRESSOR</v>
          </cell>
          <cell r="D264" t="str">
            <v>Facilities Sustaining</v>
          </cell>
          <cell r="E264" t="str">
            <v>N</v>
          </cell>
          <cell r="F264" t="str">
            <v>LA</v>
          </cell>
          <cell r="H264" t="str">
            <v>Other</v>
          </cell>
          <cell r="I264" t="str">
            <v>Other</v>
          </cell>
          <cell r="J264" t="str">
            <v>AME</v>
          </cell>
          <cell r="Q264">
            <v>59.8</v>
          </cell>
          <cell r="S264">
            <v>10.406239999999997</v>
          </cell>
          <cell r="T264">
            <v>10.406239999999997</v>
          </cell>
          <cell r="U264">
            <v>0</v>
          </cell>
          <cell r="V264">
            <v>10.9</v>
          </cell>
          <cell r="W264">
            <v>10.9</v>
          </cell>
          <cell r="AD264">
            <v>0</v>
          </cell>
        </row>
        <row r="265">
          <cell r="B265" t="str">
            <v>LCP-200138</v>
          </cell>
          <cell r="C265" t="str">
            <v>PER - PEMS (ENERGY METERS SYSTEM)</v>
          </cell>
          <cell r="D265" t="str">
            <v>Energy Conservation</v>
          </cell>
          <cell r="E265" t="str">
            <v>N</v>
          </cell>
          <cell r="F265" t="str">
            <v>LA</v>
          </cell>
          <cell r="H265" t="str">
            <v>Consumer Radial</v>
          </cell>
          <cell r="I265" t="str">
            <v>Facilities/Infrastructure</v>
          </cell>
          <cell r="J265" t="str">
            <v>PER</v>
          </cell>
          <cell r="Q265">
            <v>76.325000000000003</v>
          </cell>
          <cell r="S265">
            <v>28.742610000000003</v>
          </cell>
          <cell r="T265">
            <v>28.742610000000003</v>
          </cell>
          <cell r="U265">
            <v>0</v>
          </cell>
          <cell r="V265">
            <v>28.491760000000003</v>
          </cell>
          <cell r="W265">
            <v>28.491760000000003</v>
          </cell>
        </row>
        <row r="266">
          <cell r="B266" t="str">
            <v>LCP-200139</v>
          </cell>
          <cell r="C266" t="str">
            <v>PER - ADDITIONAL RTS AT DIE SHOP</v>
          </cell>
          <cell r="D266" t="str">
            <v>Quality - Improvement</v>
          </cell>
          <cell r="E266" t="str">
            <v>N</v>
          </cell>
          <cell r="F266" t="str">
            <v>LA</v>
          </cell>
          <cell r="H266" t="str">
            <v>Consumer Radial</v>
          </cell>
          <cell r="I266" t="str">
            <v xml:space="preserve">Extruding </v>
          </cell>
          <cell r="J266" t="str">
            <v>PER</v>
          </cell>
          <cell r="Q266">
            <v>104.5</v>
          </cell>
          <cell r="S266">
            <v>3.0941499999999782</v>
          </cell>
          <cell r="T266">
            <v>3.0941499999999782</v>
          </cell>
          <cell r="U266">
            <v>0</v>
          </cell>
          <cell r="V266">
            <v>1.3798299999999784</v>
          </cell>
          <cell r="W266">
            <v>1.3798299999999784</v>
          </cell>
        </row>
        <row r="267">
          <cell r="B267" t="str">
            <v>LCP-200140</v>
          </cell>
          <cell r="C267" t="str">
            <v>PER - COOLING SYSTEM FOR BATCHOFF CHAIN</v>
          </cell>
          <cell r="D267" t="str">
            <v>Quality - Improvement</v>
          </cell>
          <cell r="E267" t="str">
            <v>N</v>
          </cell>
          <cell r="F267" t="str">
            <v>LA</v>
          </cell>
          <cell r="H267" t="str">
            <v>Consumer Radial</v>
          </cell>
          <cell r="I267" t="str">
            <v>Mixing</v>
          </cell>
          <cell r="J267" t="str">
            <v>PER</v>
          </cell>
          <cell r="Q267">
            <v>75</v>
          </cell>
          <cell r="S267">
            <v>36.439010000000003</v>
          </cell>
          <cell r="T267">
            <v>53.762560000000008</v>
          </cell>
          <cell r="U267">
            <v>10.987870000000001</v>
          </cell>
          <cell r="V267">
            <v>67.348089999999999</v>
          </cell>
          <cell r="W267">
            <v>67.348089999999999</v>
          </cell>
          <cell r="X267">
            <v>0</v>
          </cell>
          <cell r="Y267">
            <v>12.808</v>
          </cell>
        </row>
        <row r="268">
          <cell r="B268" t="str">
            <v>LCP-200141</v>
          </cell>
          <cell r="C268" t="str">
            <v>AME- 72 molds transf. from Fayt. to Amer</v>
          </cell>
          <cell r="D268" t="str">
            <v>Molds NA</v>
          </cell>
          <cell r="E268" t="str">
            <v>N</v>
          </cell>
          <cell r="F268" t="str">
            <v>LA</v>
          </cell>
          <cell r="H268" t="str">
            <v>Consumer Radial</v>
          </cell>
          <cell r="I268" t="str">
            <v>CURING</v>
          </cell>
          <cell r="J268" t="str">
            <v>AME Molds NA</v>
          </cell>
          <cell r="Q268">
            <v>590.79999999999995</v>
          </cell>
          <cell r="S268">
            <v>252.27194</v>
          </cell>
          <cell r="T268">
            <v>254.38611</v>
          </cell>
          <cell r="U268">
            <v>0</v>
          </cell>
          <cell r="V268">
            <v>216.42839000000001</v>
          </cell>
          <cell r="W268">
            <v>216.42839000000001</v>
          </cell>
          <cell r="AD268">
            <v>400</v>
          </cell>
        </row>
        <row r="269">
          <cell r="B269" t="str">
            <v>LCP-200142</v>
          </cell>
          <cell r="C269" t="str">
            <v>BARCODE SYSTEM IN SEQUENCING AREA ANCHIETA</v>
          </cell>
          <cell r="D269" t="str">
            <v>SAG</v>
          </cell>
          <cell r="E269" t="str">
            <v>N</v>
          </cell>
          <cell r="F269" t="str">
            <v>LA</v>
          </cell>
          <cell r="H269" t="str">
            <v>Other</v>
          </cell>
          <cell r="I269" t="str">
            <v>Other</v>
          </cell>
          <cell r="J269" t="str">
            <v>MC</v>
          </cell>
          <cell r="Q269">
            <v>44.95</v>
          </cell>
          <cell r="S269">
            <v>1.9303300000000003</v>
          </cell>
          <cell r="T269">
            <v>1.9303300000000003</v>
          </cell>
          <cell r="U269">
            <v>0</v>
          </cell>
          <cell r="V269">
            <v>1.0839000000000001</v>
          </cell>
          <cell r="W269">
            <v>1.0839000000000001</v>
          </cell>
          <cell r="X269">
            <v>0</v>
          </cell>
          <cell r="Y269">
            <v>2.351E-2</v>
          </cell>
          <cell r="AD269">
            <v>0</v>
          </cell>
        </row>
        <row r="270">
          <cell r="B270" t="str">
            <v>LCP-200145</v>
          </cell>
          <cell r="C270" t="str">
            <v>AUTOMATIC LOADING WIND UP – GUM CALENDER #2</v>
          </cell>
          <cell r="D270" t="str">
            <v>Productivity</v>
          </cell>
          <cell r="E270" t="str">
            <v>N</v>
          </cell>
          <cell r="F270" t="str">
            <v>LA</v>
          </cell>
          <cell r="H270" t="str">
            <v>Other</v>
          </cell>
          <cell r="I270" t="str">
            <v>Other</v>
          </cell>
          <cell r="J270" t="str">
            <v>AME</v>
          </cell>
          <cell r="Q270">
            <v>71.727000000000004</v>
          </cell>
          <cell r="S270">
            <v>27.988940000000007</v>
          </cell>
          <cell r="T270">
            <v>27.988940000000007</v>
          </cell>
          <cell r="U270">
            <v>0</v>
          </cell>
          <cell r="V270">
            <v>20.26003</v>
          </cell>
          <cell r="W270">
            <v>20.26003</v>
          </cell>
          <cell r="AD270">
            <v>0</v>
          </cell>
        </row>
        <row r="271">
          <cell r="B271" t="str">
            <v>LCP-200146</v>
          </cell>
          <cell r="C271" t="str">
            <v>Molds for Transit V363 (OE)</v>
          </cell>
          <cell r="D271" t="str">
            <v>Molds</v>
          </cell>
          <cell r="E271" t="str">
            <v>N</v>
          </cell>
          <cell r="F271" t="str">
            <v>LA</v>
          </cell>
          <cell r="H271" t="str">
            <v>Consumer Radial</v>
          </cell>
          <cell r="I271" t="str">
            <v>CURING</v>
          </cell>
          <cell r="J271" t="str">
            <v>AME</v>
          </cell>
          <cell r="Q271">
            <v>240</v>
          </cell>
          <cell r="S271">
            <v>138.94022000000004</v>
          </cell>
          <cell r="T271">
            <v>138.47726000000003</v>
          </cell>
          <cell r="U271">
            <v>50</v>
          </cell>
          <cell r="V271">
            <v>136</v>
          </cell>
          <cell r="W271">
            <v>136</v>
          </cell>
          <cell r="X271">
            <v>0</v>
          </cell>
          <cell r="Y271">
            <v>51.977699999999999</v>
          </cell>
        </row>
        <row r="272">
          <cell r="B272" t="str">
            <v>LCP-200148</v>
          </cell>
          <cell r="C272" t="str">
            <v>STB- G159/G159HS and G167 Export to NA</v>
          </cell>
          <cell r="D272" t="str">
            <v>Molds</v>
          </cell>
          <cell r="E272" t="str">
            <v>N</v>
          </cell>
          <cell r="F272" t="str">
            <v>LA</v>
          </cell>
          <cell r="H272" t="str">
            <v>Commercial Radial</v>
          </cell>
          <cell r="I272" t="str">
            <v>CURING</v>
          </cell>
          <cell r="J272" t="str">
            <v>RET</v>
          </cell>
          <cell r="Q272">
            <v>81.5</v>
          </cell>
          <cell r="S272">
            <v>41.393450000000001</v>
          </cell>
          <cell r="T272">
            <v>55.806300000000007</v>
          </cell>
          <cell r="U272">
            <v>0</v>
          </cell>
          <cell r="V272">
            <v>42.507829629629626</v>
          </cell>
          <cell r="W272">
            <v>42.507829629629626</v>
          </cell>
          <cell r="X272">
            <v>0</v>
          </cell>
          <cell r="Y272">
            <v>2.78193</v>
          </cell>
          <cell r="AD272">
            <v>55</v>
          </cell>
        </row>
        <row r="273">
          <cell r="B273" t="str">
            <v>LCP-200149</v>
          </cell>
          <cell r="C273" t="str">
            <v xml:space="preserve">MASTER PLAN SECURITY AMERICANA PLANT </v>
          </cell>
          <cell r="D273" t="str">
            <v>EHS</v>
          </cell>
          <cell r="E273" t="str">
            <v>N</v>
          </cell>
          <cell r="F273" t="str">
            <v>LA</v>
          </cell>
          <cell r="G273" t="str">
            <v>COMP</v>
          </cell>
          <cell r="H273" t="str">
            <v>MIXED</v>
          </cell>
          <cell r="I273" t="str">
            <v>OTHER</v>
          </cell>
          <cell r="J273" t="str">
            <v>AME</v>
          </cell>
          <cell r="Q273">
            <v>356.63299999999998</v>
          </cell>
          <cell r="S273">
            <v>70.752269999999996</v>
          </cell>
          <cell r="T273">
            <v>79.23429999999999</v>
          </cell>
          <cell r="U273">
            <v>10.700000000000003</v>
          </cell>
          <cell r="V273">
            <v>96.782550000000001</v>
          </cell>
          <cell r="W273">
            <v>96.782550000000001</v>
          </cell>
          <cell r="X273">
            <v>15.617419999999997</v>
          </cell>
          <cell r="Y273">
            <v>4.7271100000000006</v>
          </cell>
          <cell r="AD273">
            <v>0</v>
          </cell>
        </row>
        <row r="274">
          <cell r="B274" t="str">
            <v>LCP-200150</v>
          </cell>
          <cell r="C274" t="str">
            <v>PER - Legal Requirements Compliance</v>
          </cell>
          <cell r="D274" t="str">
            <v>EHS</v>
          </cell>
          <cell r="E274" t="str">
            <v>N</v>
          </cell>
          <cell r="F274" t="str">
            <v>LA</v>
          </cell>
          <cell r="G274" t="str">
            <v>COMP</v>
          </cell>
          <cell r="H274" t="str">
            <v>Consumer Radial</v>
          </cell>
          <cell r="I274" t="str">
            <v>OTHER</v>
          </cell>
          <cell r="J274" t="str">
            <v>PER</v>
          </cell>
          <cell r="Q274">
            <v>65</v>
          </cell>
          <cell r="S274">
            <v>-0.25907000000000124</v>
          </cell>
          <cell r="T274">
            <v>-0.25907000000000124</v>
          </cell>
          <cell r="U274">
            <v>0</v>
          </cell>
          <cell r="V274">
            <v>9.5479999999998455E-2</v>
          </cell>
          <cell r="W274">
            <v>9.5479999999998455E-2</v>
          </cell>
        </row>
        <row r="275">
          <cell r="B275" t="str">
            <v>LCP-200155</v>
          </cell>
          <cell r="C275" t="str">
            <v>AME- FCA 363 (195/60R16 Eagle Touring)</v>
          </cell>
          <cell r="D275" t="str">
            <v>Molds</v>
          </cell>
          <cell r="E275" t="str">
            <v>N</v>
          </cell>
          <cell r="F275" t="str">
            <v>LA</v>
          </cell>
          <cell r="H275" t="str">
            <v>Consumer Radial</v>
          </cell>
          <cell r="I275" t="str">
            <v>CURING</v>
          </cell>
          <cell r="J275" t="str">
            <v>AME</v>
          </cell>
          <cell r="Q275">
            <v>200</v>
          </cell>
          <cell r="S275">
            <v>4.8192099999999991</v>
          </cell>
          <cell r="T275">
            <v>179.49074000000002</v>
          </cell>
          <cell r="U275">
            <v>0.17319000000000528</v>
          </cell>
          <cell r="V275">
            <v>136</v>
          </cell>
          <cell r="W275">
            <v>136</v>
          </cell>
        </row>
        <row r="276">
          <cell r="B276" t="str">
            <v>LCP-200156</v>
          </cell>
          <cell r="C276" t="str">
            <v>AME- 295/80R22.5 KMAX RSA</v>
          </cell>
          <cell r="D276" t="str">
            <v>Molds</v>
          </cell>
          <cell r="E276" t="str">
            <v>N</v>
          </cell>
          <cell r="F276" t="str">
            <v>LA</v>
          </cell>
          <cell r="H276" t="str">
            <v>Commercial Radial</v>
          </cell>
          <cell r="I276" t="str">
            <v>CURING</v>
          </cell>
          <cell r="J276" t="str">
            <v>AME</v>
          </cell>
          <cell r="Q276">
            <v>174.5</v>
          </cell>
          <cell r="S276">
            <v>40.02366</v>
          </cell>
          <cell r="T276">
            <v>142.68323000000001</v>
          </cell>
          <cell r="U276">
            <v>1.7868599999999901</v>
          </cell>
          <cell r="V276">
            <v>140.25</v>
          </cell>
          <cell r="W276">
            <v>140.25</v>
          </cell>
          <cell r="X276">
            <v>0</v>
          </cell>
          <cell r="Y276">
            <v>9.5440000000000005</v>
          </cell>
          <cell r="AD276">
            <v>155</v>
          </cell>
        </row>
        <row r="277">
          <cell r="B277" t="str">
            <v>LCP-200157</v>
          </cell>
          <cell r="C277" t="str">
            <v>Two additional molds 295/75R22.5 Maratho</v>
          </cell>
          <cell r="D277" t="str">
            <v>Molds</v>
          </cell>
          <cell r="E277" t="str">
            <v>N</v>
          </cell>
          <cell r="F277" t="str">
            <v>LA</v>
          </cell>
          <cell r="H277" t="str">
            <v>Commercial Radial</v>
          </cell>
          <cell r="I277" t="str">
            <v>Curing</v>
          </cell>
          <cell r="J277" t="str">
            <v>COL</v>
          </cell>
          <cell r="Q277">
            <v>133.03800000000001</v>
          </cell>
          <cell r="S277">
            <v>85.554939999999988</v>
          </cell>
          <cell r="T277">
            <v>85.554939999999988</v>
          </cell>
          <cell r="U277">
            <v>0</v>
          </cell>
          <cell r="V277">
            <v>20</v>
          </cell>
          <cell r="W277">
            <v>20</v>
          </cell>
        </row>
        <row r="278">
          <cell r="B278" t="str">
            <v>LCP-200159</v>
          </cell>
          <cell r="C278" t="str">
            <v>COMFORT LANES REPAVING</v>
          </cell>
          <cell r="D278" t="str">
            <v>SAG</v>
          </cell>
          <cell r="E278" t="str">
            <v>N</v>
          </cell>
          <cell r="F278" t="str">
            <v>LA</v>
          </cell>
          <cell r="H278" t="str">
            <v>N/A</v>
          </cell>
          <cell r="I278" t="str">
            <v>SAG - GPG*LA</v>
          </cell>
          <cell r="J278" t="str">
            <v>BRZ</v>
          </cell>
          <cell r="S278">
            <v>97.741419999999977</v>
          </cell>
          <cell r="T278">
            <v>97.741419999999977</v>
          </cell>
          <cell r="U278">
            <v>0</v>
          </cell>
          <cell r="V278">
            <v>94.835999999999999</v>
          </cell>
          <cell r="W278">
            <v>94.835999999999999</v>
          </cell>
          <cell r="AD278">
            <v>0</v>
          </cell>
        </row>
        <row r="279">
          <cell r="B279" t="str">
            <v>LCP-200161</v>
          </cell>
          <cell r="C279" t="str">
            <v xml:space="preserve">PER - Water softner </v>
          </cell>
          <cell r="D279" t="str">
            <v>Facilities Sustaining</v>
          </cell>
          <cell r="E279" t="str">
            <v>N</v>
          </cell>
          <cell r="F279" t="str">
            <v>LA</v>
          </cell>
          <cell r="H279" t="str">
            <v>Mixed</v>
          </cell>
          <cell r="I279" t="str">
            <v>ENGINEERING</v>
          </cell>
          <cell r="J279" t="str">
            <v>PER</v>
          </cell>
          <cell r="Q279">
            <v>52.5</v>
          </cell>
          <cell r="S279">
            <v>0</v>
          </cell>
          <cell r="T279">
            <v>0</v>
          </cell>
          <cell r="U279">
            <v>0</v>
          </cell>
        </row>
        <row r="280">
          <cell r="B280" t="str">
            <v>LCP-200162</v>
          </cell>
          <cell r="C280" t="str">
            <v>PER - Eletric Drying oven</v>
          </cell>
          <cell r="D280" t="str">
            <v>Facilities Sustaining</v>
          </cell>
          <cell r="E280" t="str">
            <v>N</v>
          </cell>
          <cell r="F280" t="str">
            <v>LA</v>
          </cell>
          <cell r="H280" t="str">
            <v>Mixed</v>
          </cell>
          <cell r="I280" t="str">
            <v>ENGINEERING</v>
          </cell>
          <cell r="J280" t="str">
            <v>PER</v>
          </cell>
          <cell r="Q280">
            <v>70.5</v>
          </cell>
          <cell r="S280">
            <v>34.467569999999995</v>
          </cell>
          <cell r="T280">
            <v>34.467569999999995</v>
          </cell>
          <cell r="U280">
            <v>0</v>
          </cell>
          <cell r="V280">
            <v>34.325209999999998</v>
          </cell>
          <cell r="W280">
            <v>34.325209999999998</v>
          </cell>
          <cell r="X280">
            <v>0</v>
          </cell>
          <cell r="Y280">
            <v>0.37983000000000006</v>
          </cell>
        </row>
        <row r="281">
          <cell r="B281" t="str">
            <v>LCP-200163</v>
          </cell>
          <cell r="C281" t="str">
            <v>PER - New tooling for PDM inspections</v>
          </cell>
          <cell r="D281" t="str">
            <v>Facilities Sustaining</v>
          </cell>
          <cell r="E281" t="str">
            <v>N</v>
          </cell>
          <cell r="F281" t="str">
            <v>LA</v>
          </cell>
          <cell r="H281" t="str">
            <v>Mixed</v>
          </cell>
          <cell r="I281" t="str">
            <v>ENGINEERING</v>
          </cell>
          <cell r="J281" t="str">
            <v>PER</v>
          </cell>
          <cell r="Q281">
            <v>57.7</v>
          </cell>
          <cell r="S281">
            <v>29.955860000000008</v>
          </cell>
          <cell r="T281">
            <v>29.955860000000008</v>
          </cell>
          <cell r="U281">
            <v>0</v>
          </cell>
          <cell r="V281">
            <v>29.935360000000006</v>
          </cell>
          <cell r="W281">
            <v>29.935360000000006</v>
          </cell>
        </row>
        <row r="282">
          <cell r="B282" t="str">
            <v>LCP-200165</v>
          </cell>
          <cell r="C282" t="str">
            <v>Molds for Hyundai SU2B (OE)</v>
          </cell>
          <cell r="D282" t="str">
            <v>Molds</v>
          </cell>
          <cell r="E282" t="str">
            <v>N</v>
          </cell>
          <cell r="F282" t="str">
            <v>LA</v>
          </cell>
          <cell r="H282" t="str">
            <v>Consumer Radial</v>
          </cell>
          <cell r="I282" t="str">
            <v>Curing</v>
          </cell>
          <cell r="J282" t="str">
            <v>AME</v>
          </cell>
          <cell r="Q282">
            <v>630</v>
          </cell>
          <cell r="S282">
            <v>16.106320000000004</v>
          </cell>
          <cell r="T282">
            <v>605.54128000000014</v>
          </cell>
          <cell r="U282">
            <v>0</v>
          </cell>
          <cell r="V282">
            <v>798</v>
          </cell>
          <cell r="W282">
            <v>798</v>
          </cell>
        </row>
        <row r="283">
          <cell r="B283" t="str">
            <v>LCP-200166</v>
          </cell>
          <cell r="C283" t="str">
            <v>Automatic Buffing Machine</v>
          </cell>
          <cell r="D283" t="str">
            <v>SAG</v>
          </cell>
          <cell r="E283" t="str">
            <v>N</v>
          </cell>
          <cell r="F283" t="str">
            <v>LA</v>
          </cell>
          <cell r="H283" t="str">
            <v>N/A</v>
          </cell>
          <cell r="I283" t="str">
            <v>SAG - Other</v>
          </cell>
          <cell r="J283" t="str">
            <v>ARG</v>
          </cell>
          <cell r="Q283">
            <v>125</v>
          </cell>
          <cell r="S283">
            <v>59.438830000000003</v>
          </cell>
          <cell r="T283">
            <v>59.438830000000003</v>
          </cell>
          <cell r="U283">
            <v>0</v>
          </cell>
          <cell r="V283">
            <v>62.066780000000001</v>
          </cell>
          <cell r="W283">
            <v>62.066780000000001</v>
          </cell>
        </row>
        <row r="284">
          <cell r="B284" t="str">
            <v>LCP-200168</v>
          </cell>
          <cell r="C284" t="str">
            <v>COL - MRT Tire building machines obsolete control elimination (Phase 2)</v>
          </cell>
          <cell r="D284" t="str">
            <v>Facilities Sustaining</v>
          </cell>
          <cell r="E284" t="str">
            <v>C</v>
          </cell>
          <cell r="F284" t="str">
            <v>LA</v>
          </cell>
          <cell r="H284" t="str">
            <v>COMMERCIAL RADIAL</v>
          </cell>
          <cell r="I284" t="str">
            <v>COMPONENT PREP OTHER</v>
          </cell>
          <cell r="J284" t="str">
            <v>COL</v>
          </cell>
          <cell r="Q284">
            <v>390.86500000000001</v>
          </cell>
          <cell r="S284">
            <v>124.31667999999999</v>
          </cell>
          <cell r="T284">
            <v>168.00009</v>
          </cell>
          <cell r="U284">
            <v>57.510980000000018</v>
          </cell>
          <cell r="V284">
            <v>300</v>
          </cell>
          <cell r="W284">
            <v>300</v>
          </cell>
          <cell r="X284">
            <v>7.0679999999999996</v>
          </cell>
          <cell r="Y284">
            <v>41.344580000000001</v>
          </cell>
        </row>
        <row r="285">
          <cell r="B285" t="str">
            <v>LCP-200169</v>
          </cell>
          <cell r="C285" t="str">
            <v>ENGINEERING CONTRACTOR’S SHOP STANDARDIZATION</v>
          </cell>
          <cell r="D285" t="str">
            <v>EHS</v>
          </cell>
          <cell r="E285" t="str">
            <v>N</v>
          </cell>
          <cell r="F285" t="str">
            <v>LA</v>
          </cell>
          <cell r="G285" t="str">
            <v>COMP</v>
          </cell>
          <cell r="H285" t="str">
            <v>N/A</v>
          </cell>
          <cell r="I285" t="str">
            <v>Other</v>
          </cell>
          <cell r="J285" t="str">
            <v>AME</v>
          </cell>
          <cell r="S285">
            <v>7.4173099999999996</v>
          </cell>
          <cell r="T285">
            <v>45.815610000000007</v>
          </cell>
          <cell r="U285">
            <v>106.7</v>
          </cell>
          <cell r="V285">
            <v>172.2</v>
          </cell>
          <cell r="W285">
            <v>172.2</v>
          </cell>
          <cell r="X285">
            <v>10.6326</v>
          </cell>
          <cell r="Y285">
            <v>122.60767</v>
          </cell>
          <cell r="AD285">
            <v>0</v>
          </cell>
        </row>
        <row r="286">
          <cell r="B286" t="str">
            <v>LCP-200170</v>
          </cell>
          <cell r="C286" t="str">
            <v>AME - UPGRADE DRIVE + MOTOR AC MILL MIXER#3</v>
          </cell>
          <cell r="D286" t="str">
            <v>Facilities Sustaining</v>
          </cell>
          <cell r="E286" t="str">
            <v>N</v>
          </cell>
          <cell r="F286" t="str">
            <v>LA</v>
          </cell>
          <cell r="H286" t="str">
            <v>MIXED</v>
          </cell>
          <cell r="I286" t="str">
            <v>Mixing</v>
          </cell>
          <cell r="J286" t="str">
            <v>AME</v>
          </cell>
          <cell r="S286">
            <v>21.10305</v>
          </cell>
          <cell r="T286">
            <v>54.715620000000001</v>
          </cell>
          <cell r="U286">
            <v>232.90000000000003</v>
          </cell>
          <cell r="V286">
            <v>300</v>
          </cell>
          <cell r="W286">
            <v>300</v>
          </cell>
          <cell r="X286">
            <v>0</v>
          </cell>
          <cell r="Y286">
            <v>209.46408000000002</v>
          </cell>
          <cell r="AD286">
            <v>0</v>
          </cell>
        </row>
        <row r="287">
          <cell r="B287" t="str">
            <v>LCP-200171</v>
          </cell>
          <cell r="C287" t="str">
            <v>EAGLE SPORT 2</v>
          </cell>
          <cell r="D287" t="str">
            <v>Molds</v>
          </cell>
          <cell r="E287" t="str">
            <v>N</v>
          </cell>
          <cell r="F287" t="str">
            <v>LA</v>
          </cell>
          <cell r="H287" t="str">
            <v>Consumer Radial</v>
          </cell>
          <cell r="I287" t="str">
            <v>Curing</v>
          </cell>
          <cell r="J287" t="str">
            <v>AME</v>
          </cell>
          <cell r="S287">
            <v>119.32167999999999</v>
          </cell>
          <cell r="T287">
            <v>618.03512000000023</v>
          </cell>
          <cell r="U287">
            <v>190.60894999999994</v>
          </cell>
          <cell r="V287">
            <v>1068</v>
          </cell>
          <cell r="W287">
            <v>1068</v>
          </cell>
          <cell r="X287">
            <v>0</v>
          </cell>
          <cell r="Y287">
            <v>261.39128999999997</v>
          </cell>
        </row>
        <row r="288">
          <cell r="B288" t="str">
            <v>LCP-200172</v>
          </cell>
          <cell r="C288" t="str">
            <v>PER - BARCODE STAGE 01 AT FINAL FINISH</v>
          </cell>
          <cell r="D288" t="str">
            <v>Quality - Improvement</v>
          </cell>
          <cell r="E288" t="str">
            <v>N</v>
          </cell>
          <cell r="F288" t="str">
            <v>LA</v>
          </cell>
          <cell r="H288" t="str">
            <v>Consumer Radial</v>
          </cell>
          <cell r="I288" t="str">
            <v>Final Finish</v>
          </cell>
          <cell r="J288" t="str">
            <v>PER</v>
          </cell>
          <cell r="Q288">
            <v>318</v>
          </cell>
          <cell r="S288">
            <v>26.813890000000001</v>
          </cell>
          <cell r="T288">
            <v>49.181229999999999</v>
          </cell>
          <cell r="U288">
            <v>57.599999999999994</v>
          </cell>
          <cell r="V288">
            <v>125.93503999999999</v>
          </cell>
          <cell r="W288">
            <v>125.93503999999999</v>
          </cell>
          <cell r="X288">
            <v>26.027999999999999</v>
          </cell>
          <cell r="Y288">
            <v>0.44964999999999999</v>
          </cell>
          <cell r="AD288">
            <v>180</v>
          </cell>
        </row>
        <row r="289">
          <cell r="B289" t="str">
            <v>LCP-200173</v>
          </cell>
          <cell r="C289" t="str">
            <v>PER - Barcode scanner</v>
          </cell>
          <cell r="D289" t="str">
            <v>SAG</v>
          </cell>
          <cell r="E289" t="str">
            <v>N</v>
          </cell>
          <cell r="F289" t="str">
            <v>LA</v>
          </cell>
          <cell r="H289" t="str">
            <v>N/A</v>
          </cell>
          <cell r="I289" t="str">
            <v>SAG - Supply Chain</v>
          </cell>
          <cell r="J289" t="str">
            <v>PER</v>
          </cell>
          <cell r="Q289">
            <v>115</v>
          </cell>
          <cell r="S289">
            <v>36.526899999999998</v>
          </cell>
          <cell r="T289">
            <v>38.829509999999999</v>
          </cell>
          <cell r="U289">
            <v>64.5</v>
          </cell>
          <cell r="V289">
            <v>50</v>
          </cell>
          <cell r="W289">
            <v>50</v>
          </cell>
          <cell r="X289">
            <v>0</v>
          </cell>
          <cell r="Y289">
            <v>23.349599999999999</v>
          </cell>
          <cell r="AD289">
            <v>89</v>
          </cell>
        </row>
        <row r="290">
          <cell r="B290" t="str">
            <v>LCP-200174</v>
          </cell>
          <cell r="C290" t="str">
            <v>Molds for PSA Smart Car 195/65R15 (OE)</v>
          </cell>
          <cell r="D290" t="str">
            <v>Molds</v>
          </cell>
          <cell r="E290" t="str">
            <v>N</v>
          </cell>
          <cell r="F290" t="str">
            <v>LA</v>
          </cell>
          <cell r="H290" t="str">
            <v>CONSUMER RADIAL</v>
          </cell>
          <cell r="I290" t="str">
            <v>CURING</v>
          </cell>
          <cell r="J290" t="str">
            <v>AME</v>
          </cell>
          <cell r="Q290">
            <v>68</v>
          </cell>
          <cell r="S290">
            <v>0</v>
          </cell>
          <cell r="T290">
            <v>0</v>
          </cell>
          <cell r="U290">
            <v>0</v>
          </cell>
          <cell r="V290">
            <v>68</v>
          </cell>
          <cell r="W290">
            <v>68</v>
          </cell>
        </row>
        <row r="291">
          <cell r="B291" t="str">
            <v>LCP-200175</v>
          </cell>
          <cell r="C291" t="str">
            <v>RETROFIT–BLUE RACKS FOR CONSUMER TIRES</v>
          </cell>
          <cell r="D291" t="str">
            <v>SAG</v>
          </cell>
          <cell r="E291" t="str">
            <v>N</v>
          </cell>
          <cell r="F291" t="str">
            <v>LA</v>
          </cell>
          <cell r="H291" t="str">
            <v>CONSUMER RADIAL</v>
          </cell>
          <cell r="I291" t="str">
            <v>SAG - Supply Chain</v>
          </cell>
          <cell r="J291" t="str">
            <v>BRZ</v>
          </cell>
          <cell r="S291">
            <v>185.78165999999987</v>
          </cell>
          <cell r="T291">
            <v>571.69055000000003</v>
          </cell>
          <cell r="U291">
            <v>0</v>
          </cell>
          <cell r="V291">
            <v>266.52999999999997</v>
          </cell>
          <cell r="W291">
            <v>266.52999999999997</v>
          </cell>
          <cell r="AD291">
            <v>0</v>
          </cell>
        </row>
        <row r="292">
          <cell r="B292" t="str">
            <v>LCP-200177</v>
          </cell>
          <cell r="C292" t="str">
            <v>NEW POWER GENERATOR</v>
          </cell>
          <cell r="D292" t="str">
            <v>SAG</v>
          </cell>
          <cell r="E292" t="str">
            <v>N</v>
          </cell>
          <cell r="F292" t="str">
            <v>LA</v>
          </cell>
          <cell r="H292" t="str">
            <v>MIXED</v>
          </cell>
          <cell r="I292" t="str">
            <v>Other</v>
          </cell>
          <cell r="J292" t="str">
            <v>MC</v>
          </cell>
          <cell r="Q292">
            <v>107.81399999999999</v>
          </cell>
          <cell r="S292">
            <v>49.774949999999997</v>
          </cell>
          <cell r="T292">
            <v>49.774949999999997</v>
          </cell>
          <cell r="U292">
            <v>0</v>
          </cell>
          <cell r="V292">
            <v>70</v>
          </cell>
          <cell r="W292">
            <v>70</v>
          </cell>
          <cell r="AD292">
            <v>0</v>
          </cell>
        </row>
        <row r="293">
          <cell r="B293" t="str">
            <v>LCP-200178</v>
          </cell>
          <cell r="C293" t="str">
            <v>AME- 26 Molds Workhorse RT for Americana</v>
          </cell>
          <cell r="D293" t="str">
            <v>Molds NA</v>
          </cell>
          <cell r="E293" t="str">
            <v>N</v>
          </cell>
          <cell r="F293" t="str">
            <v>LA</v>
          </cell>
          <cell r="H293" t="str">
            <v>Consumer Radial</v>
          </cell>
          <cell r="I293" t="str">
            <v>CURING</v>
          </cell>
          <cell r="J293" t="str">
            <v>AME Molds NA</v>
          </cell>
          <cell r="T293">
            <v>806.10360999999943</v>
          </cell>
          <cell r="U293">
            <v>332.42499999999995</v>
          </cell>
          <cell r="X293">
            <v>0</v>
          </cell>
          <cell r="Y293">
            <v>411.08111000000002</v>
          </cell>
        </row>
        <row r="294">
          <cell r="B294" t="str">
            <v>LCP-200179</v>
          </cell>
          <cell r="C294" t="str">
            <v>PER - SOL &amp; RIM 17 (EX Americana Nesting)</v>
          </cell>
          <cell r="D294" t="str">
            <v>Facilities Sustaining</v>
          </cell>
          <cell r="E294" t="str">
            <v>N</v>
          </cell>
          <cell r="F294" t="str">
            <v>LA</v>
          </cell>
          <cell r="H294" t="str">
            <v>Consumer Radial</v>
          </cell>
          <cell r="I294" t="str">
            <v>TIRE ASSEMBLY</v>
          </cell>
          <cell r="J294" t="str">
            <v>PER</v>
          </cell>
          <cell r="Q294">
            <v>972.1</v>
          </cell>
          <cell r="S294">
            <v>372.5967500000001</v>
          </cell>
          <cell r="T294">
            <v>395.20038000000005</v>
          </cell>
          <cell r="U294">
            <v>144.65239000000003</v>
          </cell>
          <cell r="V294">
            <v>894.96447000000012</v>
          </cell>
          <cell r="W294">
            <v>894.96447000000012</v>
          </cell>
          <cell r="X294">
            <v>9.2134499999999999</v>
          </cell>
          <cell r="Y294">
            <v>55.628399999999992</v>
          </cell>
          <cell r="AD294">
            <v>895</v>
          </cell>
        </row>
        <row r="295">
          <cell r="B295" t="str">
            <v>LCP-200180</v>
          </cell>
          <cell r="C295" t="str">
            <v>PER - VIRTUAL DMS FOR RADIAL CURING</v>
          </cell>
          <cell r="D295" t="str">
            <v>Facilities Sustaining</v>
          </cell>
          <cell r="E295" t="str">
            <v>N</v>
          </cell>
          <cell r="F295" t="str">
            <v>LA</v>
          </cell>
          <cell r="H295" t="str">
            <v>Consumer Radial</v>
          </cell>
          <cell r="I295" t="str">
            <v>Curing</v>
          </cell>
          <cell r="J295" t="str">
            <v>PER</v>
          </cell>
          <cell r="Q295">
            <v>70</v>
          </cell>
          <cell r="S295">
            <v>1.2880000000000001E-2</v>
          </cell>
          <cell r="T295">
            <v>1.2880000000000001E-2</v>
          </cell>
          <cell r="U295">
            <v>1.324E-2</v>
          </cell>
        </row>
        <row r="296">
          <cell r="B296" t="str">
            <v>LCP-200182</v>
          </cell>
          <cell r="C296" t="str">
            <v>COL- Curing presses/final finish improve</v>
          </cell>
          <cell r="D296" t="str">
            <v>Quality - Improvement</v>
          </cell>
          <cell r="E296" t="str">
            <v>N</v>
          </cell>
          <cell r="F296" t="str">
            <v>LA</v>
          </cell>
          <cell r="H296" t="str">
            <v>Commercial Radial</v>
          </cell>
          <cell r="I296" t="str">
            <v>Final Finish</v>
          </cell>
          <cell r="J296" t="str">
            <v>COL</v>
          </cell>
          <cell r="Q296">
            <v>7039.7960000000003</v>
          </cell>
          <cell r="S296">
            <v>490.36205000000007</v>
          </cell>
          <cell r="T296">
            <v>705.59483999999998</v>
          </cell>
          <cell r="U296">
            <v>1710.1279499999998</v>
          </cell>
          <cell r="V296">
            <v>2638.5359899999999</v>
          </cell>
          <cell r="W296">
            <v>2638.5359899999999</v>
          </cell>
          <cell r="X296">
            <v>12.65279</v>
          </cell>
          <cell r="Y296">
            <v>103.19059999999996</v>
          </cell>
          <cell r="AD296">
            <v>1100</v>
          </cell>
        </row>
        <row r="297">
          <cell r="B297" t="str">
            <v>LCP-200183</v>
          </cell>
          <cell r="C297" t="str">
            <v>ARG - Office Remodelation</v>
          </cell>
          <cell r="D297" t="str">
            <v>SAG</v>
          </cell>
          <cell r="E297" t="str">
            <v>N</v>
          </cell>
          <cell r="F297" t="str">
            <v>LA</v>
          </cell>
          <cell r="H297" t="str">
            <v>N/A</v>
          </cell>
          <cell r="I297" t="str">
            <v>SAG - Other</v>
          </cell>
          <cell r="J297" t="str">
            <v>ARG</v>
          </cell>
          <cell r="Q297">
            <v>33.917000000000002</v>
          </cell>
          <cell r="S297">
            <v>25.218160000000005</v>
          </cell>
          <cell r="T297">
            <v>25.218160000000005</v>
          </cell>
          <cell r="U297">
            <v>0</v>
          </cell>
          <cell r="V297">
            <v>34.492940000000004</v>
          </cell>
          <cell r="W297">
            <v>34.492940000000004</v>
          </cell>
          <cell r="X297">
            <v>0</v>
          </cell>
          <cell r="Y297">
            <v>2.97424</v>
          </cell>
        </row>
        <row r="298">
          <cell r="B298" t="str">
            <v>LCP-210121</v>
          </cell>
          <cell r="C298" t="str">
            <v>AME – WULO – CONSUMMER BUILDING - STEP 2 - NT22</v>
          </cell>
          <cell r="D298" t="str">
            <v>EHS</v>
          </cell>
          <cell r="E298" t="str">
            <v>N</v>
          </cell>
          <cell r="F298" t="str">
            <v>LA</v>
          </cell>
          <cell r="G298" t="str">
            <v>MSR</v>
          </cell>
          <cell r="H298" t="str">
            <v>N/A</v>
          </cell>
          <cell r="I298" t="str">
            <v>OTHER</v>
          </cell>
          <cell r="J298" t="str">
            <v>AME</v>
          </cell>
          <cell r="T298">
            <v>14.741239999999999</v>
          </cell>
          <cell r="U298">
            <v>7.6165399999999988</v>
          </cell>
          <cell r="X298">
            <v>0</v>
          </cell>
          <cell r="Y298">
            <v>51.295790000000011</v>
          </cell>
          <cell r="AD298">
            <v>80</v>
          </cell>
        </row>
        <row r="299">
          <cell r="B299" t="str">
            <v>LCP-210000</v>
          </cell>
          <cell r="C299" t="str">
            <v xml:space="preserve">WRANGLER WORKHORSE AT </v>
          </cell>
          <cell r="D299" t="str">
            <v>Molds</v>
          </cell>
          <cell r="E299" t="str">
            <v>N</v>
          </cell>
          <cell r="F299" t="str">
            <v>LA</v>
          </cell>
          <cell r="H299" t="str">
            <v>Consumer Radial</v>
          </cell>
          <cell r="I299" t="str">
            <v>Curing</v>
          </cell>
          <cell r="J299" t="str">
            <v>PER</v>
          </cell>
          <cell r="Q299">
            <v>259</v>
          </cell>
          <cell r="S299">
            <v>0.23358000000000001</v>
          </cell>
          <cell r="T299">
            <v>40.565570000000001</v>
          </cell>
          <cell r="U299">
            <v>279.87051000000008</v>
          </cell>
          <cell r="V299">
            <v>259</v>
          </cell>
          <cell r="W299">
            <v>259</v>
          </cell>
          <cell r="X299">
            <v>6.3120000000000003</v>
          </cell>
          <cell r="Y299">
            <v>301.15402</v>
          </cell>
          <cell r="AD299">
            <v>18.600000000000001</v>
          </cell>
        </row>
        <row r="300">
          <cell r="B300" t="str">
            <v>LCP-210001</v>
          </cell>
          <cell r="C300" t="str">
            <v>UrbanMax 235/75R17.5 Line extension</v>
          </cell>
          <cell r="D300" t="str">
            <v>Molds</v>
          </cell>
          <cell r="E300" t="str">
            <v>N</v>
          </cell>
          <cell r="F300" t="str">
            <v>LA</v>
          </cell>
          <cell r="H300" t="str">
            <v>Commercial Radial</v>
          </cell>
          <cell r="I300" t="str">
            <v>Curing</v>
          </cell>
          <cell r="J300" t="str">
            <v>AME</v>
          </cell>
          <cell r="Q300">
            <v>157.5</v>
          </cell>
          <cell r="S300">
            <v>19.812570000000004</v>
          </cell>
          <cell r="T300">
            <v>104.32294000000002</v>
          </cell>
          <cell r="U300">
            <v>43.366849999999999</v>
          </cell>
          <cell r="V300">
            <v>136.55000000000001</v>
          </cell>
          <cell r="W300">
            <v>136.55000000000001</v>
          </cell>
          <cell r="X300">
            <v>0</v>
          </cell>
          <cell r="Y300">
            <v>79.677630000000008</v>
          </cell>
        </row>
        <row r="301">
          <cell r="B301" t="str">
            <v>LCP-210002</v>
          </cell>
          <cell r="C301" t="str">
            <v xml:space="preserve">WRANGLER WORKHORSE AT </v>
          </cell>
          <cell r="D301" t="str">
            <v>Molds</v>
          </cell>
          <cell r="E301" t="str">
            <v>N</v>
          </cell>
          <cell r="F301" t="str">
            <v>LA</v>
          </cell>
          <cell r="H301" t="str">
            <v>Consumer Radial</v>
          </cell>
          <cell r="I301" t="str">
            <v>Curing</v>
          </cell>
          <cell r="J301" t="str">
            <v>AME</v>
          </cell>
          <cell r="Q301">
            <v>1144</v>
          </cell>
          <cell r="S301">
            <v>9.0367600000000028</v>
          </cell>
          <cell r="T301">
            <v>133.25166000000002</v>
          </cell>
          <cell r="U301">
            <v>984.43841999999984</v>
          </cell>
          <cell r="V301">
            <v>1144</v>
          </cell>
          <cell r="W301">
            <v>1144</v>
          </cell>
          <cell r="X301">
            <v>0</v>
          </cell>
          <cell r="Y301">
            <v>1209.6335799999995</v>
          </cell>
          <cell r="AD301">
            <v>189.6</v>
          </cell>
        </row>
        <row r="302">
          <cell r="B302" t="str">
            <v>LCP-210003</v>
          </cell>
          <cell r="C302" t="str">
            <v>215/75R17.5 Endurance RSA</v>
          </cell>
          <cell r="D302" t="str">
            <v>Molds</v>
          </cell>
          <cell r="E302" t="str">
            <v>N</v>
          </cell>
          <cell r="F302" t="str">
            <v>LA</v>
          </cell>
          <cell r="H302" t="str">
            <v>Commercial Radial</v>
          </cell>
          <cell r="I302" t="str">
            <v>Curing</v>
          </cell>
          <cell r="J302" t="str">
            <v>COL</v>
          </cell>
          <cell r="Q302">
            <v>112</v>
          </cell>
          <cell r="S302">
            <v>0</v>
          </cell>
          <cell r="T302">
            <v>47.015610000000009</v>
          </cell>
          <cell r="U302">
            <v>0.73789999999999623</v>
          </cell>
          <cell r="V302">
            <v>112</v>
          </cell>
          <cell r="W302">
            <v>112</v>
          </cell>
          <cell r="X302">
            <v>0</v>
          </cell>
          <cell r="Y302">
            <v>32.714570000000002</v>
          </cell>
        </row>
        <row r="303">
          <cell r="B303" t="str">
            <v>LCP-210004</v>
          </cell>
          <cell r="C303" t="str">
            <v>PER - Look &amp; Feel POS Identification Peru</v>
          </cell>
          <cell r="D303" t="str">
            <v>SAG</v>
          </cell>
          <cell r="E303" t="str">
            <v>N</v>
          </cell>
          <cell r="F303" t="str">
            <v>LA</v>
          </cell>
          <cell r="H303" t="str">
            <v>Mixed</v>
          </cell>
          <cell r="I303" t="str">
            <v>SAG - Sales &amp; Marketing</v>
          </cell>
          <cell r="J303" t="str">
            <v>PER</v>
          </cell>
          <cell r="Q303">
            <v>250</v>
          </cell>
          <cell r="S303">
            <v>107.26773999999999</v>
          </cell>
          <cell r="T303">
            <v>168.88118</v>
          </cell>
          <cell r="U303">
            <v>53.217000000000013</v>
          </cell>
          <cell r="V303">
            <v>250</v>
          </cell>
          <cell r="W303">
            <v>250</v>
          </cell>
          <cell r="X303">
            <v>0</v>
          </cell>
          <cell r="Y303">
            <v>80.749649999999988</v>
          </cell>
        </row>
        <row r="304">
          <cell r="B304" t="str">
            <v>LCP-210006</v>
          </cell>
          <cell r="C304" t="str">
            <v>COL - 2021 MISCELLANEOUS ANNUAL BUDGET</v>
          </cell>
          <cell r="D304" t="str">
            <v>Facilities Sustaining</v>
          </cell>
          <cell r="E304" t="str">
            <v>N</v>
          </cell>
          <cell r="F304" t="str">
            <v>LA</v>
          </cell>
          <cell r="H304" t="str">
            <v>COMMERCIAL RADIAL</v>
          </cell>
          <cell r="I304" t="str">
            <v>FACILITIES/INFRASTRUCTURE</v>
          </cell>
          <cell r="J304" t="str">
            <v>COL</v>
          </cell>
          <cell r="S304">
            <v>58.396729999999991</v>
          </cell>
          <cell r="T304">
            <v>156.20658000000003</v>
          </cell>
          <cell r="U304">
            <v>266.50586999999996</v>
          </cell>
          <cell r="V304">
            <v>450</v>
          </cell>
          <cell r="W304">
            <v>450</v>
          </cell>
          <cell r="X304">
            <v>4.1136999999999997</v>
          </cell>
          <cell r="Y304">
            <v>226.59253000000007</v>
          </cell>
        </row>
        <row r="305">
          <cell r="B305" t="str">
            <v>LCP-210007</v>
          </cell>
          <cell r="C305" t="str">
            <v>AME - 2021 MISCELLANEOUS ANNUAL BUDGET</v>
          </cell>
          <cell r="D305" t="str">
            <v>Facilities Sustaining</v>
          </cell>
          <cell r="E305" t="str">
            <v>N</v>
          </cell>
          <cell r="F305" t="str">
            <v>LA</v>
          </cell>
          <cell r="H305" t="str">
            <v>MIXED</v>
          </cell>
          <cell r="I305" t="str">
            <v>Other</v>
          </cell>
          <cell r="J305" t="str">
            <v>AME</v>
          </cell>
          <cell r="S305">
            <v>127.85485000000006</v>
          </cell>
          <cell r="T305">
            <v>232.11990000000006</v>
          </cell>
          <cell r="U305">
            <v>516.28018083333336</v>
          </cell>
          <cell r="V305">
            <v>800.0454545454545</v>
          </cell>
          <cell r="W305">
            <v>800.0454545454545</v>
          </cell>
          <cell r="X305">
            <v>73.874780000000001</v>
          </cell>
          <cell r="Y305">
            <v>410.55628000000007</v>
          </cell>
          <cell r="AD305">
            <v>0</v>
          </cell>
        </row>
        <row r="306">
          <cell r="B306" t="str">
            <v>LCP-210008</v>
          </cell>
          <cell r="C306" t="str">
            <v>COL- Plant roof  sheet metal improvement</v>
          </cell>
          <cell r="D306" t="str">
            <v>Facilities Sustaining</v>
          </cell>
          <cell r="E306" t="str">
            <v>N</v>
          </cell>
          <cell r="F306" t="str">
            <v>LA</v>
          </cell>
          <cell r="H306" t="str">
            <v>Commercial Radial</v>
          </cell>
          <cell r="I306" t="str">
            <v>Facilities/Infrastructure</v>
          </cell>
          <cell r="J306" t="str">
            <v>COL</v>
          </cell>
          <cell r="S306">
            <v>0</v>
          </cell>
          <cell r="T306">
            <v>0</v>
          </cell>
          <cell r="U306">
            <v>100</v>
          </cell>
          <cell r="V306">
            <v>100</v>
          </cell>
          <cell r="W306">
            <v>100</v>
          </cell>
          <cell r="X306">
            <v>48.600999999999999</v>
          </cell>
          <cell r="Y306">
            <v>1.4795</v>
          </cell>
        </row>
        <row r="307">
          <cell r="B307" t="str">
            <v>LCP-210138</v>
          </cell>
          <cell r="C307" t="str">
            <v>AME - NEW RAINWATER CONTAINMENT SYSTEM</v>
          </cell>
          <cell r="D307" t="str">
            <v>EHS</v>
          </cell>
          <cell r="E307" t="str">
            <v>N</v>
          </cell>
          <cell r="F307" t="str">
            <v>LA</v>
          </cell>
          <cell r="G307" t="str">
            <v>ENV</v>
          </cell>
          <cell r="H307" t="str">
            <v>Other</v>
          </cell>
          <cell r="I307" t="str">
            <v>OTHER</v>
          </cell>
          <cell r="J307" t="str">
            <v>AME</v>
          </cell>
          <cell r="T307">
            <v>0</v>
          </cell>
          <cell r="U307">
            <v>90</v>
          </cell>
          <cell r="X307">
            <v>164.20319000000001</v>
          </cell>
          <cell r="Y307">
            <v>0</v>
          </cell>
          <cell r="AD307">
            <v>85.000000000000014</v>
          </cell>
        </row>
        <row r="308">
          <cell r="B308" t="str">
            <v>LCP-210011</v>
          </cell>
          <cell r="C308" t="str">
            <v>WASTEWATER TANK IMPROVEMENT</v>
          </cell>
          <cell r="D308" t="str">
            <v>EHS</v>
          </cell>
          <cell r="E308" t="str">
            <v>N</v>
          </cell>
          <cell r="F308" t="str">
            <v>LA</v>
          </cell>
          <cell r="G308" t="str">
            <v>ENV</v>
          </cell>
          <cell r="H308" t="str">
            <v>N/A</v>
          </cell>
          <cell r="I308" t="str">
            <v>Other</v>
          </cell>
          <cell r="J308" t="str">
            <v>AME</v>
          </cell>
          <cell r="T308">
            <v>85.094279999999998</v>
          </cell>
          <cell r="U308">
            <v>24.099999999999994</v>
          </cell>
          <cell r="V308">
            <v>130.1</v>
          </cell>
          <cell r="W308">
            <v>130.1</v>
          </cell>
          <cell r="X308">
            <v>5.7048000000000005</v>
          </cell>
          <cell r="Y308">
            <v>38.906399999999991</v>
          </cell>
          <cell r="AD308">
            <v>0</v>
          </cell>
        </row>
        <row r="309">
          <cell r="B309" t="str">
            <v>LCP-210013</v>
          </cell>
          <cell r="C309" t="str">
            <v>AME- Additional molds to Americana</v>
          </cell>
          <cell r="D309" t="str">
            <v>Molds</v>
          </cell>
          <cell r="E309" t="str">
            <v>N</v>
          </cell>
          <cell r="F309" t="str">
            <v>LA</v>
          </cell>
          <cell r="G309">
            <v>0</v>
          </cell>
          <cell r="H309" t="str">
            <v>CONSUMER RADIAL</v>
          </cell>
          <cell r="I309" t="str">
            <v>Curing</v>
          </cell>
          <cell r="J309" t="str">
            <v>AME</v>
          </cell>
          <cell r="S309">
            <v>3.6897599999999993</v>
          </cell>
          <cell r="T309">
            <v>216.88569999999999</v>
          </cell>
          <cell r="U309">
            <v>12.699999999999989</v>
          </cell>
          <cell r="V309">
            <v>285</v>
          </cell>
          <cell r="W309">
            <v>285</v>
          </cell>
          <cell r="X309">
            <v>0</v>
          </cell>
          <cell r="Y309">
            <v>50.792000000000002</v>
          </cell>
        </row>
        <row r="310">
          <cell r="B310" t="str">
            <v>LCP-210014</v>
          </cell>
          <cell r="C310" t="str">
            <v>UPGRADE OF DRIVES BEADWINDER#03</v>
          </cell>
          <cell r="D310" t="str">
            <v>Facilities Sustaining</v>
          </cell>
          <cell r="E310" t="str">
            <v>N</v>
          </cell>
          <cell r="F310" t="str">
            <v>LA</v>
          </cell>
          <cell r="H310" t="str">
            <v>CONSUMER RADIAL</v>
          </cell>
          <cell r="I310" t="str">
            <v>COMPONENT PREP OTHER</v>
          </cell>
          <cell r="J310" t="str">
            <v>AME</v>
          </cell>
          <cell r="T310">
            <v>11.50849</v>
          </cell>
          <cell r="U310">
            <v>47.284269999999999</v>
          </cell>
          <cell r="X310">
            <v>0</v>
          </cell>
          <cell r="Y310">
            <v>80.857399999999998</v>
          </cell>
          <cell r="AD310">
            <v>0</v>
          </cell>
        </row>
        <row r="311">
          <cell r="B311" t="str">
            <v>LCP-210016</v>
          </cell>
          <cell r="C311" t="str">
            <v>IMPROVEMENT CLIMATIZATION IN THE TBM'S</v>
          </cell>
          <cell r="D311" t="str">
            <v>Quality - Improvement</v>
          </cell>
          <cell r="E311" t="str">
            <v>N</v>
          </cell>
          <cell r="F311" t="str">
            <v>LA</v>
          </cell>
          <cell r="H311" t="str">
            <v>Commercial Radial</v>
          </cell>
          <cell r="I311" t="str">
            <v>TIRE ASSEMBLY</v>
          </cell>
          <cell r="J311" t="str">
            <v>AME</v>
          </cell>
          <cell r="T311">
            <v>14.29861</v>
          </cell>
          <cell r="U311">
            <v>14.647219999999997</v>
          </cell>
          <cell r="X311">
            <v>0</v>
          </cell>
          <cell r="Y311">
            <v>39.958949999999994</v>
          </cell>
          <cell r="AD311">
            <v>0</v>
          </cell>
        </row>
        <row r="312">
          <cell r="B312" t="str">
            <v>LCP-210134</v>
          </cell>
          <cell r="C312" t="str">
            <v>AME – INTERNAL LIGHTING ADEQUACY</v>
          </cell>
          <cell r="D312" t="str">
            <v>EHS</v>
          </cell>
          <cell r="E312" t="str">
            <v>N</v>
          </cell>
          <cell r="F312" t="str">
            <v>LA</v>
          </cell>
          <cell r="G312" t="str">
            <v>COMP</v>
          </cell>
          <cell r="H312" t="str">
            <v>Other</v>
          </cell>
          <cell r="I312" t="str">
            <v>OTHER</v>
          </cell>
          <cell r="J312" t="str">
            <v>AME</v>
          </cell>
          <cell r="T312">
            <v>0</v>
          </cell>
          <cell r="U312">
            <v>75.520219999999995</v>
          </cell>
          <cell r="X312">
            <v>99.921890000000019</v>
          </cell>
          <cell r="Y312">
            <v>0</v>
          </cell>
          <cell r="AD312">
            <v>86.000000000000014</v>
          </cell>
        </row>
        <row r="313">
          <cell r="B313" t="str">
            <v>LCP-210045</v>
          </cell>
          <cell r="C313" t="str">
            <v>CREEL ROOM TRANSFER FROM GADSTEN PLANT</v>
          </cell>
          <cell r="D313" t="str">
            <v>Productivity</v>
          </cell>
          <cell r="E313" t="str">
            <v>N</v>
          </cell>
          <cell r="F313" t="str">
            <v>LA</v>
          </cell>
          <cell r="H313" t="str">
            <v>CONSUMER RADIAL</v>
          </cell>
          <cell r="I313" t="str">
            <v>COMPONENT PREP OTHER</v>
          </cell>
          <cell r="J313" t="str">
            <v>AME</v>
          </cell>
          <cell r="T313">
            <v>0</v>
          </cell>
          <cell r="U313">
            <v>96</v>
          </cell>
          <cell r="X313">
            <v>0</v>
          </cell>
          <cell r="Y313">
            <v>11.290569999999999</v>
          </cell>
          <cell r="AD313">
            <v>89</v>
          </cell>
        </row>
        <row r="314">
          <cell r="B314" t="str">
            <v>LCP-210022</v>
          </cell>
          <cell r="C314" t="str">
            <v>PROJECT RUNNER</v>
          </cell>
          <cell r="D314" t="str">
            <v>SAG</v>
          </cell>
          <cell r="E314" t="str">
            <v>N</v>
          </cell>
          <cell r="F314" t="str">
            <v>LA</v>
          </cell>
          <cell r="H314" t="str">
            <v>Mixed</v>
          </cell>
          <cell r="I314" t="str">
            <v>SAG - Other</v>
          </cell>
          <cell r="J314" t="str">
            <v>BRZ</v>
          </cell>
          <cell r="S314">
            <v>292.84548000000001</v>
          </cell>
          <cell r="T314">
            <v>550.67319999999995</v>
          </cell>
          <cell r="U314">
            <v>68</v>
          </cell>
          <cell r="V314">
            <v>772.5</v>
          </cell>
          <cell r="W314">
            <v>772.5</v>
          </cell>
          <cell r="X314">
            <v>83.13103000000001</v>
          </cell>
          <cell r="Y314">
            <v>28.48413</v>
          </cell>
          <cell r="AD314">
            <v>0</v>
          </cell>
        </row>
        <row r="315">
          <cell r="B315" t="str">
            <v>LCP-210025</v>
          </cell>
          <cell r="C315" t="str">
            <v>UPG AKROSCAN SYSTEM FOR LINES FVM (CAMERAS PRETAS)</v>
          </cell>
          <cell r="D315" t="str">
            <v>Facilities Sustaining</v>
          </cell>
          <cell r="E315" t="str">
            <v>N</v>
          </cell>
          <cell r="F315" t="str">
            <v>LA</v>
          </cell>
          <cell r="H315" t="str">
            <v>CONSUMER RADIAL</v>
          </cell>
          <cell r="I315" t="str">
            <v>Tire Assembly</v>
          </cell>
          <cell r="J315" t="str">
            <v>AME</v>
          </cell>
          <cell r="T315">
            <v>1.45123</v>
          </cell>
          <cell r="U315">
            <v>407.61162000000002</v>
          </cell>
          <cell r="X315">
            <v>0</v>
          </cell>
          <cell r="Y315">
            <v>20.46378</v>
          </cell>
          <cell r="AD315">
            <v>0</v>
          </cell>
        </row>
        <row r="316">
          <cell r="B316" t="str">
            <v>LCP-210026</v>
          </cell>
          <cell r="C316" t="str">
            <v>Molds for Tcross and Polo Rota 2030 (OE)</v>
          </cell>
          <cell r="D316" t="str">
            <v>Molds</v>
          </cell>
          <cell r="E316" t="str">
            <v>N</v>
          </cell>
          <cell r="F316" t="str">
            <v>LA</v>
          </cell>
          <cell r="H316" t="str">
            <v>Consumer Radial</v>
          </cell>
          <cell r="I316" t="str">
            <v>Curing</v>
          </cell>
          <cell r="J316" t="str">
            <v>AME</v>
          </cell>
          <cell r="Q316">
            <v>544</v>
          </cell>
          <cell r="S316">
            <v>0</v>
          </cell>
          <cell r="T316">
            <v>0</v>
          </cell>
          <cell r="U316">
            <v>547.5</v>
          </cell>
          <cell r="V316">
            <v>544</v>
          </cell>
          <cell r="W316">
            <v>544</v>
          </cell>
          <cell r="X316">
            <v>0</v>
          </cell>
          <cell r="Y316">
            <v>448.19906000000003</v>
          </cell>
        </row>
        <row r="317">
          <cell r="B317" t="str">
            <v>LCP-210027</v>
          </cell>
          <cell r="C317" t="str">
            <v>COL -  PROPERTY SECURITY IMPROVEMENT</v>
          </cell>
          <cell r="D317" t="str">
            <v>Facilities Sustaining</v>
          </cell>
          <cell r="E317" t="str">
            <v>N</v>
          </cell>
          <cell r="F317" t="str">
            <v>LA</v>
          </cell>
          <cell r="H317" t="str">
            <v>Commercial Radial</v>
          </cell>
          <cell r="I317" t="str">
            <v>Facilities/Infrastructure</v>
          </cell>
          <cell r="J317" t="str">
            <v>COL</v>
          </cell>
          <cell r="S317">
            <v>21.520869999999999</v>
          </cell>
          <cell r="T317">
            <v>57.745940000000004</v>
          </cell>
          <cell r="U317">
            <v>32</v>
          </cell>
          <cell r="V317">
            <v>100</v>
          </cell>
          <cell r="W317">
            <v>100</v>
          </cell>
          <cell r="X317">
            <v>0</v>
          </cell>
          <cell r="Y317">
            <v>6.7144000000000004</v>
          </cell>
        </row>
        <row r="318">
          <cell r="B318" t="str">
            <v>LCP-210028</v>
          </cell>
          <cell r="C318" t="str">
            <v>COL-Wire Calander extruder screw 250mm replace</v>
          </cell>
          <cell r="D318" t="str">
            <v>Facilities Sustaining</v>
          </cell>
          <cell r="E318" t="str">
            <v>N</v>
          </cell>
          <cell r="F318" t="str">
            <v>LA</v>
          </cell>
          <cell r="H318" t="str">
            <v>Commercial Radial</v>
          </cell>
          <cell r="I318" t="str">
            <v xml:space="preserve">Extruding </v>
          </cell>
          <cell r="J318" t="str">
            <v>COL</v>
          </cell>
          <cell r="S318">
            <v>0</v>
          </cell>
          <cell r="T318">
            <v>0</v>
          </cell>
          <cell r="U318">
            <v>50</v>
          </cell>
          <cell r="V318">
            <v>50</v>
          </cell>
          <cell r="W318">
            <v>50</v>
          </cell>
        </row>
        <row r="319">
          <cell r="B319" t="str">
            <v>LCP-210029</v>
          </cell>
          <cell r="C319" t="str">
            <v>LCP-210029 PER-DBMs SERVOSATR S700 DRIVES UPGRADE</v>
          </cell>
          <cell r="D319" t="str">
            <v>Facilities Sustaining</v>
          </cell>
          <cell r="E319" t="str">
            <v>N</v>
          </cell>
          <cell r="F319" t="str">
            <v>LA</v>
          </cell>
          <cell r="H319" t="str">
            <v>MIXED</v>
          </cell>
          <cell r="I319" t="str">
            <v>Final Finish</v>
          </cell>
          <cell r="J319" t="str">
            <v>PER</v>
          </cell>
          <cell r="T319">
            <v>43.475609999999996</v>
          </cell>
          <cell r="U319">
            <v>0</v>
          </cell>
          <cell r="X319">
            <v>2.8</v>
          </cell>
          <cell r="Y319">
            <v>0</v>
          </cell>
        </row>
        <row r="320">
          <cell r="B320" t="str">
            <v>LCP-210030</v>
          </cell>
          <cell r="C320" t="str">
            <v>CHI - Look &amp; Feel POS Identification Ecuador 2021</v>
          </cell>
          <cell r="D320" t="str">
            <v>SAG</v>
          </cell>
          <cell r="E320" t="str">
            <v>N</v>
          </cell>
          <cell r="F320" t="str">
            <v>LA</v>
          </cell>
          <cell r="H320" t="str">
            <v>CONSUMER RADIAL</v>
          </cell>
          <cell r="I320" t="str">
            <v>SAG - Sales &amp; Marketing</v>
          </cell>
          <cell r="J320" t="str">
            <v>CHI</v>
          </cell>
          <cell r="S320">
            <v>38.61</v>
          </cell>
          <cell r="T320">
            <v>54.508200000000002</v>
          </cell>
          <cell r="U320">
            <v>42.31</v>
          </cell>
          <cell r="V320">
            <v>84</v>
          </cell>
          <cell r="W320">
            <v>84</v>
          </cell>
        </row>
        <row r="321">
          <cell r="B321" t="str">
            <v>LCP-210031</v>
          </cell>
          <cell r="C321" t="str">
            <v>PER - 150 PSI NEW COMPRESSOR</v>
          </cell>
          <cell r="D321" t="str">
            <v>Facilities Sustaining</v>
          </cell>
          <cell r="E321" t="str">
            <v>N</v>
          </cell>
          <cell r="F321" t="str">
            <v>LA</v>
          </cell>
          <cell r="H321" t="str">
            <v>Mixed</v>
          </cell>
          <cell r="I321" t="str">
            <v>ENGINEERING</v>
          </cell>
          <cell r="J321" t="str">
            <v>PER</v>
          </cell>
          <cell r="T321">
            <v>131.01820000000001</v>
          </cell>
          <cell r="U321">
            <v>9.2390199999999822</v>
          </cell>
          <cell r="X321">
            <v>0</v>
          </cell>
          <cell r="Y321">
            <v>8.3666499999999999</v>
          </cell>
        </row>
        <row r="322">
          <cell r="B322" t="str">
            <v>LCP-210032</v>
          </cell>
          <cell r="C322" t="str">
            <v>PER - 2021 MISCELLANEOUS ANNUAL BUDGET</v>
          </cell>
          <cell r="D322" t="str">
            <v>Facilities Sustaining</v>
          </cell>
          <cell r="E322" t="str">
            <v>N</v>
          </cell>
          <cell r="F322" t="str">
            <v>LA</v>
          </cell>
          <cell r="H322" t="str">
            <v>MIXED</v>
          </cell>
          <cell r="I322" t="str">
            <v>Other</v>
          </cell>
          <cell r="J322" t="str">
            <v>PER</v>
          </cell>
          <cell r="S322">
            <v>157.59748999999999</v>
          </cell>
          <cell r="T322">
            <v>250.08355</v>
          </cell>
          <cell r="U322">
            <v>72.793960000000027</v>
          </cell>
          <cell r="V322">
            <v>400</v>
          </cell>
          <cell r="W322">
            <v>400</v>
          </cell>
          <cell r="X322">
            <v>43.197240000000001</v>
          </cell>
          <cell r="Y322">
            <v>66.411209999999983</v>
          </cell>
        </row>
        <row r="323">
          <cell r="B323" t="str">
            <v>LCP-210034</v>
          </cell>
          <cell r="C323" t="str">
            <v>CHI - Look &amp; Feel POS Identification Bolivia 2021</v>
          </cell>
          <cell r="D323" t="str">
            <v>SAG</v>
          </cell>
          <cell r="E323" t="str">
            <v>N</v>
          </cell>
          <cell r="F323" t="str">
            <v>LA</v>
          </cell>
          <cell r="H323" t="str">
            <v>CONSUMER RADIAL</v>
          </cell>
          <cell r="I323" t="str">
            <v>SAG - Sales &amp; Marketing</v>
          </cell>
          <cell r="J323" t="str">
            <v>CHI</v>
          </cell>
          <cell r="S323">
            <v>0</v>
          </cell>
          <cell r="T323">
            <v>0</v>
          </cell>
          <cell r="U323">
            <v>0</v>
          </cell>
          <cell r="V323">
            <v>37</v>
          </cell>
          <cell r="W323">
            <v>37</v>
          </cell>
        </row>
        <row r="324">
          <cell r="B324" t="str">
            <v>LCP-210035</v>
          </cell>
          <cell r="C324" t="str">
            <v>CHI - Look &amp; Feel POS Identification Chile 2021</v>
          </cell>
          <cell r="D324" t="str">
            <v>SAG</v>
          </cell>
          <cell r="E324" t="str">
            <v>N</v>
          </cell>
          <cell r="F324" t="str">
            <v>LA</v>
          </cell>
          <cell r="H324" t="str">
            <v>CONSUMER RADIAL</v>
          </cell>
          <cell r="I324" t="str">
            <v>SAG - Sales &amp; Marketing</v>
          </cell>
          <cell r="J324" t="str">
            <v>CHI</v>
          </cell>
          <cell r="S324">
            <v>88.080780000000004</v>
          </cell>
          <cell r="T324">
            <v>152.54676000000001</v>
          </cell>
          <cell r="U324">
            <v>110.19999999999999</v>
          </cell>
          <cell r="V324">
            <v>220</v>
          </cell>
          <cell r="W324">
            <v>220</v>
          </cell>
        </row>
        <row r="325">
          <cell r="B325" t="str">
            <v>LCP-210036</v>
          </cell>
          <cell r="C325" t="str">
            <v>PER - Generator Portable Nitrogen Plant</v>
          </cell>
          <cell r="D325" t="str">
            <v>Quality - Improvement</v>
          </cell>
          <cell r="E325" t="str">
            <v>N</v>
          </cell>
          <cell r="F325" t="str">
            <v>LA</v>
          </cell>
          <cell r="H325" t="str">
            <v>Mixed</v>
          </cell>
          <cell r="I325" t="str">
            <v>ENGINEERING</v>
          </cell>
          <cell r="J325" t="str">
            <v>PER</v>
          </cell>
          <cell r="O325">
            <v>450</v>
          </cell>
          <cell r="P325">
            <v>175</v>
          </cell>
          <cell r="Q325">
            <v>625</v>
          </cell>
          <cell r="T325">
            <v>628.10801000000004</v>
          </cell>
          <cell r="U325">
            <v>11.431479999999965</v>
          </cell>
          <cell r="X325">
            <v>6.3449600000000004</v>
          </cell>
          <cell r="Y325">
            <v>35.393610000000002</v>
          </cell>
        </row>
        <row r="326">
          <cell r="B326" t="str">
            <v>LCP-210037</v>
          </cell>
          <cell r="C326" t="str">
            <v>BRAZIL CONTINGENCY BILLING SYSTEM</v>
          </cell>
          <cell r="D326" t="str">
            <v>IT</v>
          </cell>
          <cell r="E326" t="str">
            <v>N</v>
          </cell>
          <cell r="F326" t="str">
            <v>LA</v>
          </cell>
          <cell r="H326" t="str">
            <v>N/A</v>
          </cell>
          <cell r="I326" t="str">
            <v>SAG - IT</v>
          </cell>
          <cell r="J326" t="str">
            <v>BRZ</v>
          </cell>
          <cell r="S326">
            <v>29.861369999999997</v>
          </cell>
          <cell r="T326">
            <v>42.617889999999996</v>
          </cell>
          <cell r="U326">
            <v>0</v>
          </cell>
          <cell r="V326">
            <v>50</v>
          </cell>
          <cell r="W326">
            <v>50</v>
          </cell>
        </row>
        <row r="327">
          <cell r="B327" t="str">
            <v>LCP-210038</v>
          </cell>
          <cell r="C327" t="str">
            <v>UPPER CONVEYORS UPGRADE – CURING B1</v>
          </cell>
          <cell r="D327" t="str">
            <v>EHS</v>
          </cell>
          <cell r="E327" t="str">
            <v>N</v>
          </cell>
          <cell r="F327" t="str">
            <v>LA</v>
          </cell>
          <cell r="G327" t="str">
            <v>MSR</v>
          </cell>
          <cell r="H327" t="str">
            <v>Other</v>
          </cell>
          <cell r="I327" t="str">
            <v>CURING</v>
          </cell>
          <cell r="J327" t="str">
            <v>AME</v>
          </cell>
          <cell r="T327">
            <v>54.643919999999994</v>
          </cell>
          <cell r="U327">
            <v>116.3</v>
          </cell>
          <cell r="X327">
            <v>0</v>
          </cell>
          <cell r="Y327">
            <v>18.576520000000002</v>
          </cell>
          <cell r="AD327">
            <v>0</v>
          </cell>
        </row>
        <row r="328">
          <cell r="B328" t="str">
            <v>LCP-210039</v>
          </cell>
          <cell r="C328" t="str">
            <v>FCA Mobi</v>
          </cell>
          <cell r="D328" t="str">
            <v>Molds</v>
          </cell>
          <cell r="E328" t="str">
            <v>N</v>
          </cell>
          <cell r="F328" t="str">
            <v>LA</v>
          </cell>
          <cell r="H328" t="str">
            <v>Consumer Radial</v>
          </cell>
          <cell r="I328" t="str">
            <v>Curing</v>
          </cell>
          <cell r="J328" t="str">
            <v>AME</v>
          </cell>
          <cell r="S328">
            <v>0</v>
          </cell>
          <cell r="T328">
            <v>0</v>
          </cell>
          <cell r="U328">
            <v>27.04</v>
          </cell>
          <cell r="V328">
            <v>228</v>
          </cell>
          <cell r="W328">
            <v>228</v>
          </cell>
          <cell r="X328">
            <v>0</v>
          </cell>
          <cell r="Y328">
            <v>156.75575999999998</v>
          </cell>
        </row>
        <row r="329">
          <cell r="B329" t="str">
            <v>LCP-210040</v>
          </cell>
          <cell r="C329" t="str">
            <v>FSB - 2021 MISCELLANEOUS ANNUAL BUDGET</v>
          </cell>
          <cell r="D329" t="str">
            <v>Facilities Sustaining</v>
          </cell>
          <cell r="E329" t="str">
            <v>N</v>
          </cell>
          <cell r="F329" t="str">
            <v>LA</v>
          </cell>
          <cell r="H329" t="str">
            <v>Other</v>
          </cell>
          <cell r="I329" t="str">
            <v>Other</v>
          </cell>
          <cell r="J329" t="str">
            <v>RET</v>
          </cell>
          <cell r="S329">
            <v>0</v>
          </cell>
          <cell r="T329">
            <v>13.399560000000001</v>
          </cell>
          <cell r="U329">
            <v>77.5</v>
          </cell>
          <cell r="V329">
            <v>67</v>
          </cell>
          <cell r="W329">
            <v>67</v>
          </cell>
          <cell r="X329">
            <v>14.4</v>
          </cell>
          <cell r="Y329">
            <v>58.391160000000006</v>
          </cell>
          <cell r="AD329">
            <v>0</v>
          </cell>
        </row>
        <row r="330">
          <cell r="B330" t="str">
            <v>LCP-210042</v>
          </cell>
          <cell r="C330" t="str">
            <v>COL - BT Drum</v>
          </cell>
          <cell r="D330" t="str">
            <v>Facilities Sustaining</v>
          </cell>
          <cell r="E330" t="str">
            <v>N</v>
          </cell>
          <cell r="F330" t="str">
            <v>LA</v>
          </cell>
          <cell r="H330" t="str">
            <v>COMMERCIAL RADIAL</v>
          </cell>
          <cell r="I330" t="str">
            <v>FACILITIES/INFRASTRUCTURE</v>
          </cell>
          <cell r="J330" t="str">
            <v>COL</v>
          </cell>
          <cell r="S330">
            <v>0</v>
          </cell>
          <cell r="T330">
            <v>0</v>
          </cell>
          <cell r="U330">
            <v>0</v>
          </cell>
          <cell r="V330">
            <v>150</v>
          </cell>
          <cell r="W330">
            <v>150</v>
          </cell>
          <cell r="X330">
            <v>0</v>
          </cell>
          <cell r="Y330">
            <v>95.611999999999995</v>
          </cell>
        </row>
        <row r="331">
          <cell r="B331" t="str">
            <v>LCP-210043</v>
          </cell>
          <cell r="C331" t="str">
            <v>COL - CURING MONITORING PANEL UPGRADE IN HEADER</v>
          </cell>
          <cell r="D331" t="str">
            <v>Facilities Sustaining</v>
          </cell>
          <cell r="E331" t="str">
            <v>N</v>
          </cell>
          <cell r="F331" t="str">
            <v>LA</v>
          </cell>
          <cell r="H331" t="str">
            <v>Commercial Radial</v>
          </cell>
          <cell r="I331" t="str">
            <v>Curing</v>
          </cell>
          <cell r="J331" t="str">
            <v>COL</v>
          </cell>
          <cell r="S331">
            <v>28.311490000000003</v>
          </cell>
          <cell r="T331">
            <v>83.937309999999997</v>
          </cell>
          <cell r="U331">
            <v>2.3132700000000028</v>
          </cell>
          <cell r="V331">
            <v>100</v>
          </cell>
          <cell r="W331">
            <v>100</v>
          </cell>
          <cell r="X331">
            <v>0</v>
          </cell>
          <cell r="Y331">
            <v>5.2022700000000004</v>
          </cell>
        </row>
        <row r="332">
          <cell r="B332" t="str">
            <v>LCP-190020</v>
          </cell>
          <cell r="C332" t="str">
            <v>AME - ROBOT FOR BEAD WINDER</v>
          </cell>
          <cell r="D332" t="str">
            <v>Productivity</v>
          </cell>
          <cell r="E332" t="str">
            <v>N</v>
          </cell>
          <cell r="F332" t="str">
            <v>LA</v>
          </cell>
          <cell r="H332" t="str">
            <v>Mixed</v>
          </cell>
          <cell r="I332" t="str">
            <v>Other</v>
          </cell>
          <cell r="J332" t="str">
            <v>AME</v>
          </cell>
          <cell r="O332">
            <v>90</v>
          </cell>
          <cell r="Q332">
            <v>90</v>
          </cell>
          <cell r="R332">
            <v>49.075190000000006</v>
          </cell>
          <cell r="S332">
            <v>91.345690000000005</v>
          </cell>
          <cell r="T332">
            <v>50.493780000000001</v>
          </cell>
          <cell r="U332">
            <v>59.314419999999998</v>
          </cell>
          <cell r="V332">
            <v>138.62703999999999</v>
          </cell>
          <cell r="W332">
            <v>138.62703999999999</v>
          </cell>
          <cell r="X332">
            <v>1.9018699999999999</v>
          </cell>
          <cell r="Y332">
            <v>169.07485999999997</v>
          </cell>
          <cell r="Z332">
            <v>-1.3456900000000047</v>
          </cell>
          <cell r="AA332">
            <v>1.3456900000000047</v>
          </cell>
          <cell r="AB332">
            <v>150.66011</v>
          </cell>
          <cell r="AC332">
            <v>60.660110000000003</v>
          </cell>
          <cell r="AD332">
            <v>100.00000000000001</v>
          </cell>
        </row>
        <row r="333">
          <cell r="B333" t="str">
            <v>LCP-210046</v>
          </cell>
          <cell r="C333" t="str">
            <v>COL - Look &amp; Feel POS Identification Colombia</v>
          </cell>
          <cell r="D333" t="str">
            <v>SAG</v>
          </cell>
          <cell r="E333" t="str">
            <v>N</v>
          </cell>
          <cell r="F333" t="str">
            <v>LA</v>
          </cell>
          <cell r="H333" t="str">
            <v>Commercial Radial</v>
          </cell>
          <cell r="I333" t="str">
            <v>SAG - Sales &amp; Marketing</v>
          </cell>
          <cell r="J333" t="str">
            <v>COL</v>
          </cell>
          <cell r="S333">
            <v>4.8634799999999991</v>
          </cell>
          <cell r="T333">
            <v>58.236789999999999</v>
          </cell>
          <cell r="U333">
            <v>113.99999999999999</v>
          </cell>
          <cell r="V333">
            <v>250</v>
          </cell>
          <cell r="W333">
            <v>250</v>
          </cell>
          <cell r="X333">
            <v>0</v>
          </cell>
          <cell r="Y333">
            <v>163.24732999999998</v>
          </cell>
        </row>
        <row r="334">
          <cell r="B334" t="str">
            <v>LCP-210047</v>
          </cell>
          <cell r="C334" t="str">
            <v>PER- SUBSTITUTE END-OF-LIFE NETWORK UCE SWITCHES IN PERU</v>
          </cell>
          <cell r="D334" t="str">
            <v>IT</v>
          </cell>
          <cell r="E334" t="str">
            <v>N</v>
          </cell>
          <cell r="F334" t="str">
            <v>LA</v>
          </cell>
          <cell r="H334" t="str">
            <v>N/A</v>
          </cell>
          <cell r="I334" t="str">
            <v>SAG - IT</v>
          </cell>
          <cell r="J334" t="str">
            <v>PER</v>
          </cell>
          <cell r="T334">
            <v>0</v>
          </cell>
          <cell r="U334">
            <v>160</v>
          </cell>
          <cell r="V334">
            <v>190</v>
          </cell>
          <cell r="W334">
            <v>190</v>
          </cell>
          <cell r="X334">
            <v>0</v>
          </cell>
          <cell r="Y334">
            <v>154.97115999999997</v>
          </cell>
        </row>
        <row r="335">
          <cell r="B335" t="str">
            <v>LCP-210048</v>
          </cell>
          <cell r="C335" t="str">
            <v>COL - New TCU 4 rolls 100 GPM for Wire Calander</v>
          </cell>
          <cell r="D335" t="str">
            <v>Capability</v>
          </cell>
          <cell r="E335" t="str">
            <v>N</v>
          </cell>
          <cell r="F335" t="str">
            <v>LA</v>
          </cell>
          <cell r="H335" t="str">
            <v>Commercial Radial</v>
          </cell>
          <cell r="I335" t="str">
            <v>Component Prep Other</v>
          </cell>
          <cell r="J335" t="str">
            <v>COL</v>
          </cell>
          <cell r="S335">
            <v>0.49865000000000004</v>
          </cell>
          <cell r="T335">
            <v>0.59054000000000006</v>
          </cell>
          <cell r="U335">
            <v>363.49</v>
          </cell>
          <cell r="V335">
            <v>150</v>
          </cell>
          <cell r="W335">
            <v>150</v>
          </cell>
        </row>
        <row r="336">
          <cell r="B336" t="str">
            <v>LCP-210052</v>
          </cell>
          <cell r="C336" t="str">
            <v>FIRE PROTECTION SYSTEM MAIN SUBSTATION</v>
          </cell>
          <cell r="D336" t="str">
            <v>EHS</v>
          </cell>
          <cell r="E336" t="str">
            <v>N</v>
          </cell>
          <cell r="F336" t="str">
            <v>LA</v>
          </cell>
          <cell r="G336" t="str">
            <v>FIRE</v>
          </cell>
          <cell r="H336" t="str">
            <v>Other</v>
          </cell>
          <cell r="I336" t="str">
            <v>OTHER</v>
          </cell>
          <cell r="J336" t="str">
            <v>AME</v>
          </cell>
          <cell r="T336">
            <v>0</v>
          </cell>
          <cell r="U336">
            <v>75</v>
          </cell>
          <cell r="X336">
            <v>1.33E-3</v>
          </cell>
          <cell r="Y336">
            <v>0</v>
          </cell>
          <cell r="AD336">
            <v>0</v>
          </cell>
        </row>
        <row r="337">
          <cell r="B337" t="str">
            <v>LCP-210055</v>
          </cell>
          <cell r="C337" t="str">
            <v>AME – WULO CONSUMMER BUILDING - STEP 1 - NT20</v>
          </cell>
          <cell r="D337" t="str">
            <v>EHS</v>
          </cell>
          <cell r="E337" t="str">
            <v>N</v>
          </cell>
          <cell r="F337" t="str">
            <v>LA</v>
          </cell>
          <cell r="G337" t="str">
            <v>MSR</v>
          </cell>
          <cell r="H337" t="str">
            <v>N/A</v>
          </cell>
          <cell r="I337" t="str">
            <v>OTHER</v>
          </cell>
          <cell r="J337" t="str">
            <v>AME</v>
          </cell>
          <cell r="T337">
            <v>24.489800000000002</v>
          </cell>
          <cell r="U337">
            <v>64.971180000000004</v>
          </cell>
          <cell r="X337">
            <v>0</v>
          </cell>
          <cell r="Y337">
            <v>31.069789999999998</v>
          </cell>
          <cell r="AD337">
            <v>0</v>
          </cell>
        </row>
        <row r="338">
          <cell r="B338" t="str">
            <v>LCP-210065</v>
          </cell>
          <cell r="C338" t="str">
            <v>COL-CALI IT NETWORK DEVICES REFRESH BY LIFECYCLE (PHASE 2/3)</v>
          </cell>
          <cell r="D338" t="str">
            <v>IT</v>
          </cell>
          <cell r="E338" t="str">
            <v>N</v>
          </cell>
          <cell r="F338" t="str">
            <v>LA</v>
          </cell>
          <cell r="H338" t="str">
            <v>Commercial Radial</v>
          </cell>
          <cell r="I338" t="str">
            <v>SAG - IT</v>
          </cell>
          <cell r="J338" t="str">
            <v>COL</v>
          </cell>
          <cell r="S338">
            <v>0</v>
          </cell>
          <cell r="T338">
            <v>32.358900000000006</v>
          </cell>
          <cell r="U338">
            <v>21.405009999999997</v>
          </cell>
          <cell r="V338">
            <v>343</v>
          </cell>
          <cell r="W338">
            <v>343</v>
          </cell>
          <cell r="X338">
            <v>0</v>
          </cell>
          <cell r="Y338">
            <v>197.92726000000002</v>
          </cell>
        </row>
        <row r="339">
          <cell r="B339" t="str">
            <v>LCP-210068</v>
          </cell>
          <cell r="C339" t="str">
            <v>PER - PERU DBM #3 (ex Gadsden)</v>
          </cell>
          <cell r="D339" t="str">
            <v>Facilities Sustaining</v>
          </cell>
          <cell r="E339" t="str">
            <v>N</v>
          </cell>
          <cell r="F339" t="str">
            <v>LA</v>
          </cell>
          <cell r="H339" t="str">
            <v>Mixed</v>
          </cell>
          <cell r="I339" t="str">
            <v>Final Finish</v>
          </cell>
          <cell r="J339" t="str">
            <v>PER</v>
          </cell>
          <cell r="T339">
            <v>0</v>
          </cell>
          <cell r="U339">
            <v>198</v>
          </cell>
        </row>
        <row r="340">
          <cell r="B340" t="str">
            <v>LCP-210069</v>
          </cell>
          <cell r="C340" t="str">
            <v>PER EHS-100-02-00001 - Windup Letoff due to audity</v>
          </cell>
          <cell r="D340" t="str">
            <v>EHS</v>
          </cell>
          <cell r="E340" t="str">
            <v>N</v>
          </cell>
          <cell r="F340" t="str">
            <v>LA</v>
          </cell>
          <cell r="G340" t="str">
            <v>MSR</v>
          </cell>
          <cell r="J340" t="str">
            <v>PER</v>
          </cell>
          <cell r="T340">
            <v>0</v>
          </cell>
          <cell r="U340">
            <v>47</v>
          </cell>
          <cell r="V340">
            <v>75</v>
          </cell>
          <cell r="W340">
            <v>75</v>
          </cell>
          <cell r="X340">
            <v>17</v>
          </cell>
          <cell r="Y340">
            <v>0</v>
          </cell>
        </row>
        <row r="341">
          <cell r="B341" t="str">
            <v>LCP-210073</v>
          </cell>
          <cell r="C341" t="str">
            <v xml:space="preserve">	PER - 2 ELECTROMECHANIC BEAD HOLDER SYST</v>
          </cell>
          <cell r="D341" t="str">
            <v>EHS</v>
          </cell>
          <cell r="E341" t="str">
            <v>N</v>
          </cell>
          <cell r="F341" t="str">
            <v>LA</v>
          </cell>
          <cell r="G341" t="str">
            <v>FIRE</v>
          </cell>
          <cell r="H341" t="str">
            <v>MIXED</v>
          </cell>
          <cell r="I341" t="str">
            <v>Facilities/Infrastructure</v>
          </cell>
          <cell r="J341" t="str">
            <v>PER</v>
          </cell>
          <cell r="S341">
            <v>44.961720000000007</v>
          </cell>
          <cell r="T341">
            <v>91.952780000000018</v>
          </cell>
          <cell r="U341">
            <v>49.579820000000012</v>
          </cell>
          <cell r="V341">
            <v>150</v>
          </cell>
          <cell r="W341">
            <v>150</v>
          </cell>
          <cell r="X341">
            <v>4</v>
          </cell>
          <cell r="Y341">
            <v>32.563810000000004</v>
          </cell>
        </row>
        <row r="342">
          <cell r="B342" t="str">
            <v>LCP-210077</v>
          </cell>
          <cell r="C342" t="str">
            <v>AERO - VENTILATION AND EXHAUSTING SYSTEM</v>
          </cell>
          <cell r="D342" t="str">
            <v>Facilities Sustaining</v>
          </cell>
          <cell r="E342" t="str">
            <v>N</v>
          </cell>
          <cell r="F342" t="str">
            <v>LA</v>
          </cell>
          <cell r="H342" t="str">
            <v>AVIATION</v>
          </cell>
          <cell r="I342" t="str">
            <v>Other</v>
          </cell>
          <cell r="J342" t="str">
            <v>SAO</v>
          </cell>
          <cell r="S342">
            <v>0</v>
          </cell>
          <cell r="T342">
            <v>0</v>
          </cell>
          <cell r="U342">
            <v>39</v>
          </cell>
          <cell r="V342">
            <v>80</v>
          </cell>
          <cell r="W342">
            <v>80</v>
          </cell>
          <cell r="X342">
            <v>0</v>
          </cell>
          <cell r="Y342">
            <v>51.261890000000001</v>
          </cell>
          <cell r="AD342">
            <v>0</v>
          </cell>
        </row>
        <row r="343">
          <cell r="B343" t="str">
            <v>LCP-210131</v>
          </cell>
          <cell r="C343" t="str">
            <v>AME - WOMEN'S RESTROOM</v>
          </cell>
          <cell r="D343" t="str">
            <v>EHS</v>
          </cell>
          <cell r="E343" t="str">
            <v>N</v>
          </cell>
          <cell r="F343" t="str">
            <v>LA</v>
          </cell>
          <cell r="G343" t="str">
            <v>COMP</v>
          </cell>
          <cell r="H343" t="str">
            <v>Other</v>
          </cell>
          <cell r="I343" t="str">
            <v>Other</v>
          </cell>
          <cell r="J343" t="str">
            <v>AME</v>
          </cell>
          <cell r="T343">
            <v>0</v>
          </cell>
          <cell r="U343">
            <v>150</v>
          </cell>
          <cell r="X343">
            <v>251.12100000000001</v>
          </cell>
          <cell r="Y343">
            <v>0</v>
          </cell>
          <cell r="AD343">
            <v>105.00000000000001</v>
          </cell>
        </row>
        <row r="344">
          <cell r="B344" t="str">
            <v>LCP-210081</v>
          </cell>
          <cell r="C344" t="str">
            <v>Retread Plant &amp;amp; Truck Service</v>
          </cell>
          <cell r="D344" t="str">
            <v>SAG</v>
          </cell>
          <cell r="E344" t="str">
            <v>N</v>
          </cell>
          <cell r="F344" t="str">
            <v>LA</v>
          </cell>
          <cell r="I344" t="str">
            <v>SAG - Sales &amp; Marketing</v>
          </cell>
          <cell r="J344" t="str">
            <v>ARG</v>
          </cell>
          <cell r="T344">
            <v>38.297310000000003</v>
          </cell>
          <cell r="U344">
            <v>0</v>
          </cell>
          <cell r="X344">
            <v>0</v>
          </cell>
          <cell r="Y344">
            <v>95.895820000000001</v>
          </cell>
          <cell r="AD344">
            <v>75</v>
          </cell>
        </row>
        <row r="345">
          <cell r="B345" t="str">
            <v xml:space="preserve">LCP-210082	</v>
          </cell>
          <cell r="C345" t="str">
            <v>AME- 4 Additional molds to attend FCA-OE</v>
          </cell>
          <cell r="D345" t="str">
            <v>Molds</v>
          </cell>
          <cell r="E345" t="str">
            <v>N</v>
          </cell>
          <cell r="F345" t="str">
            <v>LA</v>
          </cell>
          <cell r="H345" t="str">
            <v>Consumer Radial</v>
          </cell>
          <cell r="I345" t="str">
            <v>CURING</v>
          </cell>
          <cell r="J345" t="str">
            <v>AME</v>
          </cell>
          <cell r="T345">
            <v>0</v>
          </cell>
          <cell r="U345">
            <v>25.274999999999999</v>
          </cell>
        </row>
        <row r="346">
          <cell r="B346" t="str">
            <v>LCP-210118</v>
          </cell>
          <cell r="C346" t="str">
            <v>COOLING SYSTEM UPGRADE MIXER#02–PHASE I</v>
          </cell>
          <cell r="D346" t="str">
            <v>Quality - Improvement</v>
          </cell>
          <cell r="E346" t="str">
            <v>N</v>
          </cell>
          <cell r="F346" t="str">
            <v>LA</v>
          </cell>
          <cell r="H346" t="str">
            <v>MIXED</v>
          </cell>
          <cell r="I346" t="str">
            <v>MIXING</v>
          </cell>
          <cell r="J346" t="str">
            <v>AME</v>
          </cell>
          <cell r="T346">
            <v>0</v>
          </cell>
          <cell r="U346">
            <v>60</v>
          </cell>
          <cell r="V346">
            <v>20</v>
          </cell>
          <cell r="W346">
            <v>20</v>
          </cell>
          <cell r="X346">
            <v>133</v>
          </cell>
          <cell r="Y346">
            <v>0</v>
          </cell>
          <cell r="AD346">
            <v>123.5</v>
          </cell>
        </row>
        <row r="347">
          <cell r="B347" t="str">
            <v>LCP-210120</v>
          </cell>
          <cell r="C347" t="str">
            <v>AME - COOLING SYSTEM UPGRADE MIXER#03</v>
          </cell>
          <cell r="D347" t="str">
            <v>Quality - Improvement</v>
          </cell>
          <cell r="E347" t="str">
            <v>N</v>
          </cell>
          <cell r="F347" t="str">
            <v>LA</v>
          </cell>
          <cell r="H347" t="str">
            <v>MIXED</v>
          </cell>
          <cell r="I347" t="str">
            <v>MIXING</v>
          </cell>
          <cell r="J347" t="str">
            <v>AME</v>
          </cell>
          <cell r="T347">
            <v>0</v>
          </cell>
          <cell r="U347">
            <v>60</v>
          </cell>
          <cell r="V347">
            <v>150</v>
          </cell>
          <cell r="W347">
            <v>150</v>
          </cell>
          <cell r="X347">
            <v>133</v>
          </cell>
          <cell r="Y347">
            <v>0</v>
          </cell>
          <cell r="AD347">
            <v>124</v>
          </cell>
        </row>
        <row r="348">
          <cell r="B348" t="str">
            <v>LCP-210085</v>
          </cell>
          <cell r="C348" t="str">
            <v>CAL4R2 - UPG OF THE BELT STEEL SYSTEM</v>
          </cell>
          <cell r="D348" t="str">
            <v>Facilities Sustaining</v>
          </cell>
          <cell r="E348" t="str">
            <v>N</v>
          </cell>
          <cell r="F348" t="str">
            <v>LA</v>
          </cell>
          <cell r="H348" t="str">
            <v>Other</v>
          </cell>
          <cell r="I348" t="str">
            <v>OTHER</v>
          </cell>
          <cell r="J348" t="str">
            <v>AME</v>
          </cell>
          <cell r="T348">
            <v>0</v>
          </cell>
          <cell r="U348">
            <v>122</v>
          </cell>
          <cell r="X348">
            <v>0</v>
          </cell>
          <cell r="Y348">
            <v>109.69225999999999</v>
          </cell>
          <cell r="AD348">
            <v>0</v>
          </cell>
        </row>
        <row r="349">
          <cell r="B349" t="str">
            <v>LCP-210084</v>
          </cell>
          <cell r="C349" t="str">
            <v>AME - UPG BARREL AND SCREWS</v>
          </cell>
          <cell r="D349" t="str">
            <v>Facilities Sustaining</v>
          </cell>
          <cell r="E349" t="str">
            <v>N</v>
          </cell>
          <cell r="F349" t="str">
            <v>LA</v>
          </cell>
          <cell r="H349" t="str">
            <v>Other</v>
          </cell>
          <cell r="I349" t="str">
            <v>OTHER</v>
          </cell>
          <cell r="J349" t="str">
            <v>AME</v>
          </cell>
          <cell r="T349">
            <v>210.67781000000002</v>
          </cell>
          <cell r="U349">
            <v>0</v>
          </cell>
          <cell r="X349">
            <v>0</v>
          </cell>
          <cell r="Y349">
            <v>31.934370000000001</v>
          </cell>
          <cell r="AD349">
            <v>135.59899999999999</v>
          </cell>
        </row>
        <row r="350">
          <cell r="B350" t="str">
            <v>LCP-210087</v>
          </cell>
          <cell r="C350" t="str">
            <v>STB- 215mm G167 -(1/2)VENTILESS MOLD</v>
          </cell>
          <cell r="D350" t="str">
            <v>Molds</v>
          </cell>
          <cell r="E350" t="str">
            <v>N</v>
          </cell>
          <cell r="F350" t="str">
            <v>LA</v>
          </cell>
          <cell r="H350" t="str">
            <v>COMMERCIAL RADIAL</v>
          </cell>
          <cell r="I350" t="str">
            <v>Curing</v>
          </cell>
          <cell r="J350" t="str">
            <v>RET</v>
          </cell>
          <cell r="T350">
            <v>7.9871199999999991</v>
          </cell>
          <cell r="U350">
            <v>0</v>
          </cell>
        </row>
        <row r="351">
          <cell r="B351" t="str">
            <v>LCP-210089</v>
          </cell>
          <cell r="C351" t="str">
            <v>PER - MOTOR MIXER #2 (1000 HP)</v>
          </cell>
          <cell r="D351" t="str">
            <v>Facilities Sustaining</v>
          </cell>
          <cell r="E351" t="str">
            <v>N</v>
          </cell>
          <cell r="F351" t="str">
            <v>LA</v>
          </cell>
          <cell r="H351" t="str">
            <v>Consumer Radial</v>
          </cell>
          <cell r="I351" t="str">
            <v>Mixing</v>
          </cell>
          <cell r="J351" t="str">
            <v>PER</v>
          </cell>
          <cell r="S351">
            <v>0</v>
          </cell>
          <cell r="T351">
            <v>2.0732999999999997</v>
          </cell>
          <cell r="U351">
            <v>348</v>
          </cell>
          <cell r="V351">
            <v>350</v>
          </cell>
          <cell r="W351">
            <v>350</v>
          </cell>
          <cell r="X351">
            <v>247</v>
          </cell>
          <cell r="Y351">
            <v>0</v>
          </cell>
        </row>
        <row r="352">
          <cell r="B352" t="str">
            <v>LCP-210090</v>
          </cell>
          <cell r="C352" t="str">
            <v>PER- FIBERS FROM COMPUTER ROOM TO PLANT MACHINES  LIFECYCLE</v>
          </cell>
          <cell r="D352" t="str">
            <v>IT</v>
          </cell>
          <cell r="E352" t="str">
            <v>N</v>
          </cell>
          <cell r="F352" t="str">
            <v>LA</v>
          </cell>
          <cell r="H352" t="str">
            <v>N/A</v>
          </cell>
          <cell r="I352" t="str">
            <v>SAG - IT</v>
          </cell>
          <cell r="J352" t="str">
            <v>PER</v>
          </cell>
          <cell r="T352">
            <v>0</v>
          </cell>
          <cell r="U352">
            <v>30</v>
          </cell>
          <cell r="V352">
            <v>160</v>
          </cell>
          <cell r="W352">
            <v>160</v>
          </cell>
          <cell r="X352">
            <v>54.3</v>
          </cell>
          <cell r="Y352">
            <v>69.559889999999996</v>
          </cell>
          <cell r="AD352">
            <v>70</v>
          </cell>
        </row>
        <row r="353">
          <cell r="B353" t="str">
            <v>LCP-210092</v>
          </cell>
          <cell r="C353" t="str">
            <v>RET - UPG PLC AND PRESS TEMP CONTROL</v>
          </cell>
          <cell r="D353" t="str">
            <v>Facilities Sustaining</v>
          </cell>
          <cell r="E353" t="str">
            <v>N</v>
          </cell>
          <cell r="F353" t="str">
            <v>LA</v>
          </cell>
          <cell r="H353" t="str">
            <v>AVIATION</v>
          </cell>
          <cell r="I353" t="str">
            <v>Other</v>
          </cell>
          <cell r="J353" t="str">
            <v>SAO</v>
          </cell>
          <cell r="S353">
            <v>0</v>
          </cell>
          <cell r="T353">
            <v>29.99119</v>
          </cell>
          <cell r="U353">
            <v>49.5</v>
          </cell>
          <cell r="V353">
            <v>50</v>
          </cell>
          <cell r="W353">
            <v>50</v>
          </cell>
          <cell r="X353">
            <v>0</v>
          </cell>
          <cell r="Y353">
            <v>64.247780000000006</v>
          </cell>
          <cell r="AD353">
            <v>0</v>
          </cell>
        </row>
        <row r="354">
          <cell r="B354" t="str">
            <v>LCP-210093</v>
          </cell>
          <cell r="C354" t="str">
            <v>PER - Flexibility replacement</v>
          </cell>
          <cell r="D354" t="str">
            <v>Molds</v>
          </cell>
          <cell r="E354" t="str">
            <v>N</v>
          </cell>
          <cell r="F354" t="str">
            <v>LA</v>
          </cell>
          <cell r="H354" t="str">
            <v>Consumer Radial</v>
          </cell>
          <cell r="I354" t="str">
            <v>Curing</v>
          </cell>
          <cell r="J354" t="str">
            <v>PER</v>
          </cell>
          <cell r="S354">
            <v>0</v>
          </cell>
          <cell r="T354">
            <v>0</v>
          </cell>
          <cell r="U354">
            <v>0</v>
          </cell>
          <cell r="V354">
            <v>100</v>
          </cell>
          <cell r="W354">
            <v>100</v>
          </cell>
        </row>
        <row r="355">
          <cell r="B355" t="str">
            <v>LCP-XXXXX7</v>
          </cell>
          <cell r="C355" t="str">
            <v>CAL4R#1 WIND-UP UPGRADE</v>
          </cell>
          <cell r="D355" t="str">
            <v>Capability</v>
          </cell>
          <cell r="E355" t="str">
            <v>N</v>
          </cell>
          <cell r="F355" t="str">
            <v>LA</v>
          </cell>
          <cell r="H355" t="str">
            <v>COMMERCIAL RADIAL</v>
          </cell>
          <cell r="I355" t="str">
            <v>OTHER</v>
          </cell>
          <cell r="J355" t="str">
            <v>AME</v>
          </cell>
          <cell r="T355">
            <v>0</v>
          </cell>
          <cell r="U355">
            <v>0</v>
          </cell>
          <cell r="V355">
            <v>102.81099999999998</v>
          </cell>
          <cell r="W355">
            <v>102.81099999999998</v>
          </cell>
        </row>
        <row r="356">
          <cell r="B356" t="str">
            <v>LCP-210099</v>
          </cell>
          <cell r="C356" t="str">
            <v>KMAX Successor Steer and Drive - 295 &amp; 275R22.5 (70% req'd molds in 2021)</v>
          </cell>
          <cell r="D356" t="str">
            <v>Molds</v>
          </cell>
          <cell r="E356" t="str">
            <v>N</v>
          </cell>
          <cell r="F356" t="str">
            <v>LA</v>
          </cell>
          <cell r="H356" t="str">
            <v>Commercial Radial</v>
          </cell>
          <cell r="I356" t="str">
            <v>Curing</v>
          </cell>
          <cell r="J356" t="str">
            <v>AME</v>
          </cell>
          <cell r="S356">
            <v>0</v>
          </cell>
          <cell r="T356">
            <v>0</v>
          </cell>
          <cell r="U356">
            <v>1280</v>
          </cell>
          <cell r="V356">
            <v>2900</v>
          </cell>
          <cell r="W356">
            <v>2900</v>
          </cell>
          <cell r="X356">
            <v>0</v>
          </cell>
          <cell r="Y356">
            <v>1288.3729499999999</v>
          </cell>
          <cell r="AD356">
            <v>2000</v>
          </cell>
        </row>
        <row r="357">
          <cell r="B357" t="str">
            <v>LCP-210100</v>
          </cell>
          <cell r="C357" t="str">
            <v>FSB - FM GLOBAL ADEQUANCY</v>
          </cell>
          <cell r="D357" t="str">
            <v>EHS</v>
          </cell>
          <cell r="E357" t="str">
            <v>N</v>
          </cell>
          <cell r="F357" t="str">
            <v>LA</v>
          </cell>
          <cell r="G357" t="str">
            <v>FIRE</v>
          </cell>
          <cell r="H357" t="str">
            <v>Retread</v>
          </cell>
          <cell r="I357" t="str">
            <v>Other</v>
          </cell>
          <cell r="J357" t="str">
            <v>RET</v>
          </cell>
          <cell r="S357">
            <v>0</v>
          </cell>
          <cell r="T357">
            <v>0</v>
          </cell>
          <cell r="U357">
            <v>60.6</v>
          </cell>
          <cell r="V357">
            <v>30</v>
          </cell>
          <cell r="W357">
            <v>30</v>
          </cell>
          <cell r="X357">
            <v>0</v>
          </cell>
          <cell r="Y357">
            <v>44.150730000000003</v>
          </cell>
          <cell r="AD357">
            <v>0</v>
          </cell>
        </row>
        <row r="358">
          <cell r="B358" t="str">
            <v>LCP-210101</v>
          </cell>
          <cell r="C358" t="str">
            <v>RET - BATHROOM ADEQUANCY NR24</v>
          </cell>
          <cell r="D358" t="str">
            <v>EHS</v>
          </cell>
          <cell r="E358" t="str">
            <v>N</v>
          </cell>
          <cell r="F358" t="str">
            <v>LA</v>
          </cell>
          <cell r="G358" t="str">
            <v>COMP</v>
          </cell>
          <cell r="H358" t="str">
            <v>AVIATION</v>
          </cell>
          <cell r="I358" t="str">
            <v>CURING</v>
          </cell>
          <cell r="J358" t="str">
            <v>SAO</v>
          </cell>
          <cell r="S358">
            <v>0</v>
          </cell>
          <cell r="T358">
            <v>0</v>
          </cell>
          <cell r="U358">
            <v>68</v>
          </cell>
          <cell r="X358">
            <v>0</v>
          </cell>
          <cell r="Y358">
            <v>2.0477099999999999</v>
          </cell>
          <cell r="AD358">
            <v>0</v>
          </cell>
        </row>
        <row r="359">
          <cell r="B359" t="str">
            <v>LCP-210102</v>
          </cell>
          <cell r="C359" t="str">
            <v>NR12 ADEQUANCY AERO RETREAD MACHINES</v>
          </cell>
          <cell r="D359" t="str">
            <v>Facilities Sustaining</v>
          </cell>
          <cell r="E359" t="str">
            <v>N</v>
          </cell>
          <cell r="F359" t="str">
            <v>LA</v>
          </cell>
          <cell r="H359" t="str">
            <v>Retread</v>
          </cell>
          <cell r="I359" t="str">
            <v>Other</v>
          </cell>
          <cell r="J359" t="str">
            <v>RET</v>
          </cell>
          <cell r="S359">
            <v>0</v>
          </cell>
          <cell r="T359">
            <v>0</v>
          </cell>
          <cell r="U359">
            <v>70.599999999999994</v>
          </cell>
          <cell r="V359">
            <v>60</v>
          </cell>
          <cell r="W359">
            <v>60</v>
          </cell>
          <cell r="X359">
            <v>62.5383</v>
          </cell>
          <cell r="Y359">
            <v>0</v>
          </cell>
          <cell r="AD359">
            <v>0</v>
          </cell>
        </row>
        <row r="360">
          <cell r="B360" t="str">
            <v>LCP-210177</v>
          </cell>
          <cell r="C360" t="str">
            <v>AME - UPG EXTRUDER HEAD 8X3 EXTRUDER</v>
          </cell>
          <cell r="D360" t="str">
            <v>Facilities Sustaining</v>
          </cell>
          <cell r="E360" t="str">
            <v>N</v>
          </cell>
          <cell r="F360" t="str">
            <v>LA</v>
          </cell>
          <cell r="H360" t="str">
            <v>Consumer Radial</v>
          </cell>
          <cell r="I360" t="str">
            <v>CURING</v>
          </cell>
          <cell r="J360" t="str">
            <v>AME</v>
          </cell>
          <cell r="T360">
            <v>0</v>
          </cell>
          <cell r="U360">
            <v>0</v>
          </cell>
          <cell r="AD360">
            <v>182.99999999999991</v>
          </cell>
        </row>
        <row r="361">
          <cell r="B361" t="str">
            <v>LCP-210105</v>
          </cell>
          <cell r="C361" t="str">
            <v>Consumer AME Directional Successor (132 New Molds)</v>
          </cell>
          <cell r="D361" t="str">
            <v>Molds</v>
          </cell>
          <cell r="E361" t="str">
            <v>N</v>
          </cell>
          <cell r="F361" t="str">
            <v>LA</v>
          </cell>
          <cell r="H361" t="str">
            <v>Consumer Radial</v>
          </cell>
          <cell r="I361" t="str">
            <v>CURING</v>
          </cell>
          <cell r="J361" t="str">
            <v>AME</v>
          </cell>
          <cell r="Q361">
            <v>5600</v>
          </cell>
          <cell r="T361">
            <v>0</v>
          </cell>
          <cell r="U361">
            <v>3145</v>
          </cell>
          <cell r="X361">
            <v>242.73545000000001</v>
          </cell>
          <cell r="Y361">
            <v>3885.52</v>
          </cell>
        </row>
        <row r="362">
          <cell r="B362" t="str">
            <v>LCP-210106</v>
          </cell>
          <cell r="C362" t="str">
            <v>AME - CENTAC#17 100 PSI AIR COMPRESSOR</v>
          </cell>
          <cell r="D362" t="str">
            <v>Facilities Sustaining</v>
          </cell>
          <cell r="E362" t="str">
            <v>N</v>
          </cell>
          <cell r="F362" t="str">
            <v>LA</v>
          </cell>
          <cell r="H362" t="str">
            <v>COMMERCIAL RADIAL</v>
          </cell>
          <cell r="I362" t="str">
            <v>ENGINEERING</v>
          </cell>
          <cell r="J362" t="str">
            <v>AME</v>
          </cell>
          <cell r="T362">
            <v>0</v>
          </cell>
          <cell r="U362">
            <v>30</v>
          </cell>
          <cell r="X362">
            <v>9.6419999999999995</v>
          </cell>
          <cell r="Y362">
            <v>70.523880000000005</v>
          </cell>
          <cell r="AD362">
            <v>0</v>
          </cell>
        </row>
        <row r="363">
          <cell r="B363" t="str">
            <v>LCP-210107</v>
          </cell>
          <cell r="C363" t="str">
            <v>UPGRADE COOLING SYSTEM BB#4</v>
          </cell>
          <cell r="D363" t="str">
            <v>Quality - Improvement</v>
          </cell>
          <cell r="E363" t="str">
            <v>N</v>
          </cell>
          <cell r="F363" t="str">
            <v>LA</v>
          </cell>
          <cell r="H363" t="str">
            <v>MIXED</v>
          </cell>
          <cell r="I363" t="str">
            <v>MIXING</v>
          </cell>
          <cell r="J363" t="str">
            <v>AME</v>
          </cell>
          <cell r="T363">
            <v>0</v>
          </cell>
          <cell r="U363">
            <v>60</v>
          </cell>
          <cell r="V363">
            <v>70</v>
          </cell>
          <cell r="W363">
            <v>70</v>
          </cell>
          <cell r="X363">
            <v>0</v>
          </cell>
          <cell r="Y363">
            <v>30.13571</v>
          </cell>
          <cell r="AD363">
            <v>187.59999999999997</v>
          </cell>
        </row>
        <row r="364">
          <cell r="B364" t="str">
            <v>LCP-210108</v>
          </cell>
          <cell r="C364" t="str">
            <v>COL - Additional NPTs</v>
          </cell>
          <cell r="D364" t="str">
            <v>Productivity</v>
          </cell>
          <cell r="E364" t="str">
            <v>N</v>
          </cell>
          <cell r="F364" t="str">
            <v>LA</v>
          </cell>
          <cell r="H364" t="str">
            <v>Commercial Radial</v>
          </cell>
          <cell r="J364" t="str">
            <v>COL</v>
          </cell>
          <cell r="T364">
            <v>0</v>
          </cell>
          <cell r="U364">
            <v>140</v>
          </cell>
          <cell r="X364">
            <v>0</v>
          </cell>
          <cell r="Y364">
            <v>144.0634</v>
          </cell>
        </row>
        <row r="365">
          <cell r="B365" t="str">
            <v>LCP-210109</v>
          </cell>
          <cell r="C365" t="str">
            <v>COL - Warehouse floor repalacement</v>
          </cell>
          <cell r="D365" t="str">
            <v>SAG</v>
          </cell>
          <cell r="E365" t="str">
            <v>N</v>
          </cell>
          <cell r="F365" t="str">
            <v>LA</v>
          </cell>
          <cell r="H365" t="str">
            <v>Commercial Radial</v>
          </cell>
          <cell r="I365" t="str">
            <v>SAG - Supply Chain</v>
          </cell>
          <cell r="J365" t="str">
            <v>COL</v>
          </cell>
          <cell r="S365">
            <v>0</v>
          </cell>
          <cell r="T365">
            <v>30.075189999999999</v>
          </cell>
          <cell r="U365">
            <v>0</v>
          </cell>
          <cell r="V365">
            <v>40</v>
          </cell>
          <cell r="W365">
            <v>40</v>
          </cell>
        </row>
        <row r="366">
          <cell r="B366" t="str">
            <v>LCP-210110</v>
          </cell>
          <cell r="C366" t="str">
            <v>MC - 2021 MISCELLANEOUS ANNUAL BUDGET</v>
          </cell>
          <cell r="D366" t="str">
            <v>Facilities Sustaining</v>
          </cell>
          <cell r="E366" t="str">
            <v>N</v>
          </cell>
          <cell r="F366" t="str">
            <v>LA</v>
          </cell>
          <cell r="H366" t="str">
            <v>Other</v>
          </cell>
          <cell r="I366" t="str">
            <v>Other</v>
          </cell>
          <cell r="J366" t="str">
            <v>MC</v>
          </cell>
          <cell r="S366">
            <v>0</v>
          </cell>
          <cell r="T366">
            <v>0</v>
          </cell>
          <cell r="U366">
            <v>57</v>
          </cell>
          <cell r="V366">
            <v>70</v>
          </cell>
          <cell r="W366">
            <v>70</v>
          </cell>
          <cell r="X366">
            <v>41.368229999999997</v>
          </cell>
          <cell r="Y366">
            <v>27.798819999999999</v>
          </cell>
          <cell r="AD366">
            <v>0</v>
          </cell>
        </row>
        <row r="367">
          <cell r="B367" t="str">
            <v>LCP-210112</v>
          </cell>
          <cell r="C367" t="str">
            <v>BRA-AMERICANA NEARLINE STORAGE</v>
          </cell>
          <cell r="D367" t="str">
            <v>IT</v>
          </cell>
          <cell r="E367" t="str">
            <v>N</v>
          </cell>
          <cell r="F367" t="str">
            <v>LA</v>
          </cell>
          <cell r="H367" t="str">
            <v>N/A</v>
          </cell>
          <cell r="I367" t="str">
            <v>SAG - IT</v>
          </cell>
          <cell r="J367" t="str">
            <v>BRZ</v>
          </cell>
          <cell r="T367">
            <v>42.49481999999999</v>
          </cell>
          <cell r="U367">
            <v>0</v>
          </cell>
          <cell r="X367">
            <v>0</v>
          </cell>
          <cell r="Y367">
            <v>8.4000000000000003E-4</v>
          </cell>
        </row>
        <row r="368">
          <cell r="B368" t="str">
            <v>LCP-210113</v>
          </cell>
          <cell r="C368" t="str">
            <v xml:space="preserve">BRA - AMERICANA DATACENTER BACKUP </v>
          </cell>
          <cell r="D368" t="str">
            <v>IT</v>
          </cell>
          <cell r="E368" t="str">
            <v>N</v>
          </cell>
          <cell r="F368" t="str">
            <v>LA</v>
          </cell>
          <cell r="H368" t="str">
            <v>Mixed</v>
          </cell>
          <cell r="I368" t="str">
            <v>SAG - IT</v>
          </cell>
          <cell r="J368" t="str">
            <v>BRZ</v>
          </cell>
          <cell r="S368">
            <v>0</v>
          </cell>
          <cell r="T368">
            <v>144.09618000000003</v>
          </cell>
          <cell r="U368">
            <v>0</v>
          </cell>
          <cell r="V368">
            <v>130</v>
          </cell>
          <cell r="W368">
            <v>130</v>
          </cell>
        </row>
        <row r="369">
          <cell r="B369" t="str">
            <v>LCP-210114</v>
          </cell>
          <cell r="C369" t="str">
            <v>AME -COMPLEXITY AND CONCURRENCY INCREASE</v>
          </cell>
          <cell r="D369" t="str">
            <v>Capability</v>
          </cell>
          <cell r="E369" t="str">
            <v>N</v>
          </cell>
          <cell r="F369" t="str">
            <v>LA</v>
          </cell>
          <cell r="H369" t="str">
            <v>Commercial Radial</v>
          </cell>
          <cell r="I369" t="str">
            <v>OTHER</v>
          </cell>
          <cell r="J369" t="str">
            <v>AME</v>
          </cell>
          <cell r="T369">
            <v>10.95839</v>
          </cell>
          <cell r="U369">
            <v>194.91936000000001</v>
          </cell>
          <cell r="X369">
            <v>0</v>
          </cell>
          <cell r="Y369">
            <v>160.91014999999999</v>
          </cell>
          <cell r="AD369">
            <v>0</v>
          </cell>
        </row>
        <row r="370">
          <cell r="B370" t="str">
            <v>LCP-210115</v>
          </cell>
          <cell r="C370" t="str">
            <v>PER - NEW DOCUMENT STORE</v>
          </cell>
          <cell r="D370" t="str">
            <v>SAG</v>
          </cell>
          <cell r="E370" t="str">
            <v>N</v>
          </cell>
          <cell r="F370" t="str">
            <v>LA</v>
          </cell>
          <cell r="J370" t="str">
            <v>PER</v>
          </cell>
          <cell r="T370">
            <v>26.10022</v>
          </cell>
          <cell r="U370">
            <v>5.996850000000002</v>
          </cell>
          <cell r="X370">
            <v>0</v>
          </cell>
          <cell r="Y370">
            <v>17.959160000000001</v>
          </cell>
        </row>
        <row r="371">
          <cell r="B371" t="str">
            <v>LCP-210116</v>
          </cell>
          <cell r="C371" t="str">
            <v>K-MAX Molds transfer from Colombia to Brazil</v>
          </cell>
          <cell r="D371" t="str">
            <v>Molds</v>
          </cell>
          <cell r="E371" t="str">
            <v>N</v>
          </cell>
          <cell r="F371" t="str">
            <v>LA</v>
          </cell>
          <cell r="H371" t="str">
            <v>COMMERCIAL RADIAL</v>
          </cell>
          <cell r="I371" t="str">
            <v>CURING</v>
          </cell>
          <cell r="J371" t="str">
            <v>AME</v>
          </cell>
          <cell r="T371">
            <v>0</v>
          </cell>
          <cell r="U371">
            <v>19</v>
          </cell>
        </row>
        <row r="372">
          <cell r="B372" t="str">
            <v>LCP-210117</v>
          </cell>
          <cell r="C372" t="str">
            <v>(10) Molds G316 transfer from AME to COL</v>
          </cell>
          <cell r="D372" t="str">
            <v>Molds</v>
          </cell>
          <cell r="E372" t="str">
            <v>N</v>
          </cell>
          <cell r="F372" t="str">
            <v>LA</v>
          </cell>
          <cell r="H372" t="str">
            <v>COMMERCIAL RADIAL</v>
          </cell>
          <cell r="I372" t="str">
            <v>Curing</v>
          </cell>
          <cell r="J372" t="str">
            <v>COL</v>
          </cell>
          <cell r="T372">
            <v>25.637509999999999</v>
          </cell>
          <cell r="U372">
            <v>18.915380000000006</v>
          </cell>
          <cell r="X372">
            <v>0</v>
          </cell>
          <cell r="Y372">
            <v>32.592530000000004</v>
          </cell>
        </row>
        <row r="373">
          <cell r="B373" t="str">
            <v>LCP-210018</v>
          </cell>
          <cell r="C373" t="str">
            <v>REPLACEMENT OF BOTTOM COOLING TANK D#4</v>
          </cell>
          <cell r="D373" t="str">
            <v>Facilities Sustaining</v>
          </cell>
          <cell r="E373" t="str">
            <v>N</v>
          </cell>
          <cell r="F373" t="str">
            <v>LA</v>
          </cell>
          <cell r="H373" t="str">
            <v>Mixed</v>
          </cell>
          <cell r="I373" t="str">
            <v>COMPONENT PREP OTHER</v>
          </cell>
          <cell r="J373" t="str">
            <v>AME</v>
          </cell>
          <cell r="T373">
            <v>0</v>
          </cell>
          <cell r="U373">
            <v>184</v>
          </cell>
          <cell r="X373">
            <v>284.54978000000006</v>
          </cell>
          <cell r="Y373">
            <v>0</v>
          </cell>
          <cell r="AD373">
            <v>223.21802000000011</v>
          </cell>
        </row>
        <row r="374">
          <cell r="B374" t="str">
            <v>LCP-210119</v>
          </cell>
          <cell r="C374" t="str">
            <v>COL EHS-100-02-00001 - Windup Letoff due to audity</v>
          </cell>
          <cell r="D374" t="str">
            <v>EHS</v>
          </cell>
          <cell r="E374" t="str">
            <v>N</v>
          </cell>
          <cell r="F374" t="str">
            <v>LA</v>
          </cell>
          <cell r="G374" t="str">
            <v>MSR</v>
          </cell>
          <cell r="J374" t="str">
            <v>COL</v>
          </cell>
          <cell r="S374">
            <v>0</v>
          </cell>
          <cell r="T374">
            <v>0</v>
          </cell>
          <cell r="U374">
            <v>55</v>
          </cell>
          <cell r="V374">
            <v>75</v>
          </cell>
          <cell r="W374">
            <v>75</v>
          </cell>
          <cell r="X374">
            <v>0</v>
          </cell>
          <cell r="Y374">
            <v>33.858150000000002</v>
          </cell>
        </row>
        <row r="375">
          <cell r="B375" t="str">
            <v>LCP-210098</v>
          </cell>
          <cell r="C375" t="str">
            <v>AME - UPG WIND-UP EXTRUDER 8x8 SW</v>
          </cell>
          <cell r="D375" t="str">
            <v>Capability</v>
          </cell>
          <cell r="E375" t="str">
            <v>N</v>
          </cell>
          <cell r="F375" t="str">
            <v>LA</v>
          </cell>
          <cell r="H375" t="str">
            <v>MIXED</v>
          </cell>
          <cell r="I375" t="str">
            <v>MIXING</v>
          </cell>
          <cell r="J375" t="str">
            <v>AME</v>
          </cell>
          <cell r="T375">
            <v>0</v>
          </cell>
          <cell r="U375">
            <v>50</v>
          </cell>
          <cell r="V375">
            <v>180</v>
          </cell>
          <cell r="W375">
            <v>180</v>
          </cell>
          <cell r="X375">
            <v>52.232169999999996</v>
          </cell>
          <cell r="Y375">
            <v>0</v>
          </cell>
          <cell r="AD375">
            <v>237</v>
          </cell>
        </row>
        <row r="376">
          <cell r="B376" t="str">
            <v>LCP-210190</v>
          </cell>
          <cell r="C376" t="str">
            <v>AME - (2) NEW AIR DRYER POWER HOUSE</v>
          </cell>
          <cell r="D376" t="str">
            <v>Facilities Sustaining</v>
          </cell>
          <cell r="E376" t="str">
            <v>N</v>
          </cell>
          <cell r="F376" t="str">
            <v>LA</v>
          </cell>
          <cell r="H376" t="str">
            <v>MIXED</v>
          </cell>
          <cell r="I376" t="str">
            <v>FACILITIES/INFRASTRUCTURE</v>
          </cell>
          <cell r="J376" t="str">
            <v>AME</v>
          </cell>
          <cell r="T376">
            <v>0</v>
          </cell>
          <cell r="U376">
            <v>45</v>
          </cell>
          <cell r="AD376">
            <v>244</v>
          </cell>
        </row>
        <row r="377">
          <cell r="B377" t="str">
            <v>LCP-210122</v>
          </cell>
          <cell r="C377" t="str">
            <v>PER - 2021 MISCELLANEOUS ANNUAL BUDGET PHASE 2</v>
          </cell>
          <cell r="D377" t="str">
            <v>Facilities Sustaining</v>
          </cell>
          <cell r="E377" t="str">
            <v>N</v>
          </cell>
          <cell r="F377" t="str">
            <v>LA</v>
          </cell>
          <cell r="H377" t="str">
            <v>Consumer Radial</v>
          </cell>
          <cell r="I377" t="str">
            <v>Other</v>
          </cell>
          <cell r="J377" t="str">
            <v>PER</v>
          </cell>
          <cell r="T377">
            <v>82.177999999999997</v>
          </cell>
          <cell r="U377">
            <v>187.4203</v>
          </cell>
          <cell r="X377">
            <v>49.2545</v>
          </cell>
          <cell r="Y377">
            <v>81.782359999999997</v>
          </cell>
        </row>
        <row r="378">
          <cell r="B378" t="str">
            <v>LCP-210123</v>
          </cell>
          <cell r="C378" t="str">
            <v>AME - REPLACEMENT X-RAY SET TUBE (A &amp; C)</v>
          </cell>
          <cell r="D378" t="str">
            <v>Facilities Sustaining</v>
          </cell>
          <cell r="E378" t="str">
            <v>N</v>
          </cell>
          <cell r="F378" t="str">
            <v>LA</v>
          </cell>
          <cell r="H378" t="str">
            <v>Commercial Radial</v>
          </cell>
          <cell r="I378" t="str">
            <v>Final Finish</v>
          </cell>
          <cell r="J378" t="str">
            <v>AME</v>
          </cell>
          <cell r="T378">
            <v>73.343699999999984</v>
          </cell>
          <cell r="U378">
            <v>64.943380000000019</v>
          </cell>
          <cell r="AD378">
            <v>0</v>
          </cell>
        </row>
        <row r="379">
          <cell r="B379" t="str">
            <v>LCP-210128</v>
          </cell>
          <cell r="C379" t="str">
            <v>PER - Rehometer (Ex - Gadsden)</v>
          </cell>
          <cell r="D379" t="str">
            <v>Facilities Sustaining</v>
          </cell>
          <cell r="E379" t="str">
            <v>N</v>
          </cell>
          <cell r="F379" t="str">
            <v>LA</v>
          </cell>
          <cell r="H379" t="str">
            <v>Consumer Radial</v>
          </cell>
          <cell r="I379" t="str">
            <v>Other</v>
          </cell>
          <cell r="J379" t="str">
            <v>PER</v>
          </cell>
          <cell r="T379">
            <v>0</v>
          </cell>
          <cell r="U379">
            <v>10</v>
          </cell>
        </row>
        <row r="380">
          <cell r="B380" t="str">
            <v>LCP-210129</v>
          </cell>
          <cell r="C380" t="str">
            <v>BRA-AMERICANA IT NETWORK DEVICES REFRESH BY LIFECYCLE (PHASE 2/4)</v>
          </cell>
          <cell r="D380" t="str">
            <v>IT</v>
          </cell>
          <cell r="E380" t="str">
            <v>N</v>
          </cell>
          <cell r="F380" t="str">
            <v>LA</v>
          </cell>
          <cell r="H380" t="str">
            <v>MIXED</v>
          </cell>
          <cell r="I380" t="str">
            <v>SAG - IT</v>
          </cell>
          <cell r="J380" t="str">
            <v>BRZ</v>
          </cell>
          <cell r="S380">
            <v>0</v>
          </cell>
          <cell r="T380">
            <v>0</v>
          </cell>
          <cell r="U380">
            <v>850</v>
          </cell>
          <cell r="V380">
            <v>500</v>
          </cell>
          <cell r="W380">
            <v>500</v>
          </cell>
          <cell r="X380">
            <v>0</v>
          </cell>
          <cell r="Y380">
            <v>492.55703000000005</v>
          </cell>
        </row>
        <row r="381">
          <cell r="B381" t="str">
            <v>LCP-210130</v>
          </cell>
          <cell r="C381" t="str">
            <v>AME- NAPANE TO AMERICANA MOLD TRAN</v>
          </cell>
          <cell r="D381" t="str">
            <v>Molds</v>
          </cell>
          <cell r="E381" t="str">
            <v>N</v>
          </cell>
          <cell r="F381" t="str">
            <v>LA</v>
          </cell>
          <cell r="H381" t="str">
            <v>CONSUMER RADIAL</v>
          </cell>
          <cell r="I381" t="str">
            <v>CURING</v>
          </cell>
          <cell r="J381" t="str">
            <v>AME</v>
          </cell>
          <cell r="T381">
            <v>14.476539999999998</v>
          </cell>
          <cell r="U381">
            <v>0</v>
          </cell>
          <cell r="X381">
            <v>110.56407999999999</v>
          </cell>
          <cell r="Y381">
            <v>29.814419999999998</v>
          </cell>
        </row>
        <row r="382">
          <cell r="B382" t="str">
            <v>LCP-210148</v>
          </cell>
          <cell r="C382" t="str">
            <v>AME - NR12 - TEXTIL CALENDER 3R</v>
          </cell>
          <cell r="D382" t="str">
            <v>EHS</v>
          </cell>
          <cell r="E382" t="str">
            <v>N</v>
          </cell>
          <cell r="F382" t="str">
            <v>LA</v>
          </cell>
          <cell r="G382" t="str">
            <v>ERG</v>
          </cell>
          <cell r="H382" t="str">
            <v>Commercial Radial</v>
          </cell>
          <cell r="I382" t="str">
            <v>COMPONENT PREP OTHER</v>
          </cell>
          <cell r="J382" t="str">
            <v>AME</v>
          </cell>
          <cell r="T382">
            <v>7.30938</v>
          </cell>
          <cell r="U382">
            <v>91.753309999999999</v>
          </cell>
          <cell r="X382">
            <v>154.54400000000001</v>
          </cell>
          <cell r="Y382">
            <v>51.688289999999988</v>
          </cell>
          <cell r="AD382">
            <v>250</v>
          </cell>
        </row>
        <row r="383">
          <cell r="B383" t="str">
            <v>LCP-210103</v>
          </cell>
          <cell r="C383" t="str">
            <v xml:space="preserve">AME - RESTAURANT’S KITCHEN ADEQUACY </v>
          </cell>
          <cell r="D383" t="str">
            <v>EHS</v>
          </cell>
          <cell r="E383" t="str">
            <v>N</v>
          </cell>
          <cell r="F383" t="str">
            <v>LA</v>
          </cell>
          <cell r="G383" t="str">
            <v>HYG</v>
          </cell>
          <cell r="H383" t="str">
            <v>Other</v>
          </cell>
          <cell r="I383" t="str">
            <v>Other</v>
          </cell>
          <cell r="J383" t="str">
            <v>AME</v>
          </cell>
          <cell r="T383">
            <v>0</v>
          </cell>
          <cell r="U383">
            <v>75</v>
          </cell>
          <cell r="AD383">
            <v>270.93000000000006</v>
          </cell>
        </row>
        <row r="384">
          <cell r="B384" t="str">
            <v>LCP-210133</v>
          </cell>
          <cell r="C384" t="str">
            <v>AME - MILLS ADEQUACY PROJECT FAM</v>
          </cell>
          <cell r="D384" t="str">
            <v>EHS</v>
          </cell>
          <cell r="E384" t="str">
            <v>N</v>
          </cell>
          <cell r="F384" t="str">
            <v>LA</v>
          </cell>
          <cell r="G384" t="str">
            <v>MSR</v>
          </cell>
          <cell r="H384" t="str">
            <v>Commercial Radial</v>
          </cell>
          <cell r="I384" t="str">
            <v>OTHER</v>
          </cell>
          <cell r="J384" t="str">
            <v>AME</v>
          </cell>
          <cell r="T384">
            <v>0</v>
          </cell>
          <cell r="U384">
            <v>73.2</v>
          </cell>
          <cell r="X384">
            <v>0</v>
          </cell>
          <cell r="Y384">
            <v>49.472509999999993</v>
          </cell>
          <cell r="AD384">
            <v>0</v>
          </cell>
        </row>
        <row r="385">
          <cell r="B385" t="str">
            <v>LCP-200053</v>
          </cell>
          <cell r="C385" t="str">
            <v>MIXER#7 BODY REPLACEMENT</v>
          </cell>
          <cell r="D385" t="str">
            <v>Facilities Sustaining</v>
          </cell>
          <cell r="E385" t="str">
            <v>N</v>
          </cell>
          <cell r="F385" t="str">
            <v>LA</v>
          </cell>
          <cell r="H385" t="str">
            <v>MIXED</v>
          </cell>
          <cell r="I385" t="str">
            <v>MIXING</v>
          </cell>
          <cell r="J385" t="str">
            <v>AME</v>
          </cell>
          <cell r="Q385">
            <v>1340.787</v>
          </cell>
          <cell r="S385">
            <v>0</v>
          </cell>
          <cell r="T385">
            <v>938.72769000000017</v>
          </cell>
          <cell r="U385">
            <v>181.20107000000007</v>
          </cell>
          <cell r="V385">
            <v>1340</v>
          </cell>
          <cell r="W385">
            <v>1340</v>
          </cell>
          <cell r="X385">
            <v>42.330919999999992</v>
          </cell>
          <cell r="Y385">
            <v>248.18957000000017</v>
          </cell>
          <cell r="AD385">
            <v>286</v>
          </cell>
        </row>
        <row r="386">
          <cell r="B386" t="str">
            <v>LCP-210135</v>
          </cell>
          <cell r="C386" t="str">
            <v>MC - FALSE TRUCK TIRES SYSTEM RETROFIT</v>
          </cell>
          <cell r="D386" t="str">
            <v>Productivity</v>
          </cell>
          <cell r="E386" t="str">
            <v>N</v>
          </cell>
          <cell r="F386" t="str">
            <v>LA</v>
          </cell>
          <cell r="H386" t="str">
            <v>Other</v>
          </cell>
          <cell r="I386" t="str">
            <v>OTHER</v>
          </cell>
          <cell r="J386" t="str">
            <v>MC</v>
          </cell>
          <cell r="T386">
            <v>0</v>
          </cell>
          <cell r="U386">
            <v>239</v>
          </cell>
          <cell r="X386">
            <v>0</v>
          </cell>
          <cell r="Y386">
            <v>215.5001</v>
          </cell>
          <cell r="AD386">
            <v>0</v>
          </cell>
        </row>
        <row r="387">
          <cell r="B387" t="str">
            <v>LCP-200130</v>
          </cell>
          <cell r="C387" t="str">
            <v>AME - UPGRADE PLC PRESSES MRT (12 PRESSES)</v>
          </cell>
          <cell r="D387" t="str">
            <v>Productivity</v>
          </cell>
          <cell r="E387" t="str">
            <v>N</v>
          </cell>
          <cell r="F387" t="str">
            <v>LA</v>
          </cell>
          <cell r="H387" t="str">
            <v>Commercial Radial</v>
          </cell>
          <cell r="I387" t="str">
            <v>Curing</v>
          </cell>
          <cell r="J387" t="str">
            <v>AME</v>
          </cell>
          <cell r="Q387">
            <v>977.98963000000003</v>
          </cell>
          <cell r="S387">
            <v>87.528360000000006</v>
          </cell>
          <cell r="T387">
            <v>128.48611000000002</v>
          </cell>
          <cell r="U387">
            <v>37.401769999999999</v>
          </cell>
          <cell r="V387">
            <v>416.00808999999998</v>
          </cell>
          <cell r="W387">
            <v>416.00808999999998</v>
          </cell>
          <cell r="X387">
            <v>12.655279999999999</v>
          </cell>
          <cell r="Y387">
            <v>357.81869</v>
          </cell>
          <cell r="AD387">
            <v>314</v>
          </cell>
        </row>
        <row r="388">
          <cell r="B388" t="str">
            <v>LCP-200011</v>
          </cell>
          <cell r="C388" t="str">
            <v>PCI IN (6) ROGERS MECHANICAL PRESSES</v>
          </cell>
          <cell r="D388" t="str">
            <v>Capability</v>
          </cell>
          <cell r="E388" t="str">
            <v>N</v>
          </cell>
          <cell r="F388" t="str">
            <v>LA</v>
          </cell>
          <cell r="H388" t="str">
            <v>CONSUMER RADIAL</v>
          </cell>
          <cell r="I388" t="str">
            <v>CURING</v>
          </cell>
          <cell r="J388" t="str">
            <v>AME</v>
          </cell>
          <cell r="O388">
            <v>774.09900000000005</v>
          </cell>
          <cell r="Q388">
            <v>774.09900000000005</v>
          </cell>
          <cell r="S388">
            <v>28.27366</v>
          </cell>
          <cell r="T388">
            <v>48.866260000000004</v>
          </cell>
          <cell r="U388">
            <v>592.22407999999996</v>
          </cell>
          <cell r="V388">
            <v>773</v>
          </cell>
          <cell r="W388">
            <v>773</v>
          </cell>
          <cell r="X388">
            <v>9.3890200000000004</v>
          </cell>
          <cell r="Y388">
            <v>669.91372000000001</v>
          </cell>
          <cell r="Z388">
            <v>745.8253400000001</v>
          </cell>
          <cell r="AA388">
            <v>-745.8253400000001</v>
          </cell>
          <cell r="AB388">
            <v>620.49773999999991</v>
          </cell>
          <cell r="AC388">
            <v>-153.60126000000014</v>
          </cell>
          <cell r="AD388">
            <v>364.8</v>
          </cell>
        </row>
        <row r="389">
          <cell r="B389" t="str">
            <v>LCP-210140</v>
          </cell>
          <cell r="C389" t="str">
            <v>AME - CAL 3R COOLING IMPROVEMENT</v>
          </cell>
          <cell r="D389" t="str">
            <v>Productivity</v>
          </cell>
          <cell r="E389" t="str">
            <v>N</v>
          </cell>
          <cell r="F389" t="str">
            <v>LA</v>
          </cell>
          <cell r="H389" t="str">
            <v>Commercial Radial</v>
          </cell>
          <cell r="I389" t="str">
            <v>OTHER</v>
          </cell>
          <cell r="J389" t="str">
            <v>AME</v>
          </cell>
          <cell r="T389">
            <v>0</v>
          </cell>
          <cell r="U389">
            <v>132</v>
          </cell>
          <cell r="X389">
            <v>94.177000000000021</v>
          </cell>
          <cell r="Y389">
            <v>3.1548099999999999</v>
          </cell>
          <cell r="AD389">
            <v>0</v>
          </cell>
        </row>
        <row r="390">
          <cell r="B390" t="str">
            <v>LCP-210141</v>
          </cell>
          <cell r="C390" t="str">
            <v>COL-MOLDS KMAX SEVERE</v>
          </cell>
          <cell r="D390" t="str">
            <v>Molds</v>
          </cell>
          <cell r="E390" t="str">
            <v>N</v>
          </cell>
          <cell r="F390" t="str">
            <v>LA</v>
          </cell>
          <cell r="H390" t="str">
            <v>COMMERCIAL RADIAL</v>
          </cell>
          <cell r="I390" t="str">
            <v>Curing</v>
          </cell>
          <cell r="J390" t="str">
            <v>COL</v>
          </cell>
          <cell r="T390">
            <v>0</v>
          </cell>
          <cell r="U390">
            <v>66.599999999999994</v>
          </cell>
          <cell r="X390">
            <v>20.253</v>
          </cell>
          <cell r="Y390">
            <v>0</v>
          </cell>
        </row>
        <row r="391">
          <cell r="B391" t="str">
            <v>LCP-210146</v>
          </cell>
          <cell r="C391" t="str">
            <v>AME - NR12 - WIRE CALENDER  - BRZ MANDATORY</v>
          </cell>
          <cell r="D391" t="str">
            <v>EHS</v>
          </cell>
          <cell r="E391" t="str">
            <v>N</v>
          </cell>
          <cell r="F391" t="str">
            <v>LA</v>
          </cell>
          <cell r="G391" t="str">
            <v>COMP</v>
          </cell>
          <cell r="H391" t="str">
            <v>Consumer Radial</v>
          </cell>
          <cell r="I391" t="str">
            <v>COMPONENT PREP OTHER</v>
          </cell>
          <cell r="J391" t="str">
            <v>AME</v>
          </cell>
          <cell r="T391">
            <v>10.152059999999999</v>
          </cell>
          <cell r="U391">
            <v>190.55975000000001</v>
          </cell>
          <cell r="X391">
            <v>112.0444</v>
          </cell>
          <cell r="Y391">
            <v>60.503919999999994</v>
          </cell>
          <cell r="AD391">
            <v>373.60000000000008</v>
          </cell>
        </row>
        <row r="392">
          <cell r="B392" t="str">
            <v>LCP-XXXY10</v>
          </cell>
          <cell r="C392" t="str">
            <v>D#4 WIND-UP UPGRADE</v>
          </cell>
          <cell r="D392" t="str">
            <v>Capability</v>
          </cell>
          <cell r="E392" t="str">
            <v>N</v>
          </cell>
          <cell r="F392" t="str">
            <v>LA</v>
          </cell>
          <cell r="H392" t="str">
            <v>MIXED</v>
          </cell>
          <cell r="I392" t="str">
            <v>MIXING</v>
          </cell>
          <cell r="J392" t="str">
            <v>AME</v>
          </cell>
          <cell r="T392">
            <v>0</v>
          </cell>
          <cell r="U392">
            <v>0</v>
          </cell>
          <cell r="V392">
            <v>162</v>
          </cell>
          <cell r="W392">
            <v>162</v>
          </cell>
        </row>
        <row r="393">
          <cell r="B393" t="str">
            <v>LCP-210020</v>
          </cell>
          <cell r="C393" t="str">
            <v>NEW AIR COMPRESSOR - 100 PSI</v>
          </cell>
          <cell r="D393" t="str">
            <v>Facilities Sustaining</v>
          </cell>
          <cell r="E393" t="str">
            <v>N</v>
          </cell>
          <cell r="F393" t="str">
            <v>LA</v>
          </cell>
          <cell r="H393" t="str">
            <v>Other</v>
          </cell>
          <cell r="I393" t="str">
            <v>FACILITIES/INFRASTRUCTURE</v>
          </cell>
          <cell r="J393" t="str">
            <v>AME</v>
          </cell>
          <cell r="T393">
            <v>1.3944300000000001</v>
          </cell>
          <cell r="U393">
            <v>233.7</v>
          </cell>
          <cell r="X393">
            <v>98.276890000000009</v>
          </cell>
          <cell r="Y393">
            <v>293.73689999999999</v>
          </cell>
          <cell r="AD393">
            <v>459.79999999999995</v>
          </cell>
        </row>
        <row r="394">
          <cell r="B394" t="str">
            <v>LCP-210180</v>
          </cell>
          <cell r="C394" t="str">
            <v>AME -  UPGRADE PLC MRT PRESSES (11 Presses)</v>
          </cell>
          <cell r="D394" t="str">
            <v>Capability</v>
          </cell>
          <cell r="E394" t="str">
            <v>N</v>
          </cell>
          <cell r="F394" t="str">
            <v>LA</v>
          </cell>
          <cell r="H394" t="str">
            <v>Consumer Radial</v>
          </cell>
          <cell r="I394" t="str">
            <v>CURING</v>
          </cell>
          <cell r="J394" t="str">
            <v>AME</v>
          </cell>
          <cell r="T394">
            <v>0</v>
          </cell>
          <cell r="U394">
            <v>410</v>
          </cell>
          <cell r="AD394">
            <v>500.00000000000006</v>
          </cell>
        </row>
        <row r="395">
          <cell r="B395" t="str">
            <v>LCP-210150</v>
          </cell>
          <cell r="C395" t="str">
            <v xml:space="preserve">COL - Hoist system for wire calander creel room  </v>
          </cell>
          <cell r="D395" t="str">
            <v>EHS</v>
          </cell>
          <cell r="E395" t="str">
            <v>N</v>
          </cell>
          <cell r="F395" t="str">
            <v>LA</v>
          </cell>
          <cell r="G395" t="str">
            <v>ERG</v>
          </cell>
          <cell r="H395" t="str">
            <v>Commercial Radial</v>
          </cell>
          <cell r="I395" t="str">
            <v>Component Prep Other</v>
          </cell>
          <cell r="J395" t="str">
            <v>COL</v>
          </cell>
          <cell r="S395">
            <v>0</v>
          </cell>
          <cell r="T395">
            <v>0</v>
          </cell>
          <cell r="U395">
            <v>100</v>
          </cell>
          <cell r="V395">
            <v>100</v>
          </cell>
          <cell r="W395">
            <v>100</v>
          </cell>
          <cell r="X395">
            <v>0</v>
          </cell>
          <cell r="Y395">
            <v>39.845109999999998</v>
          </cell>
        </row>
        <row r="396">
          <cell r="B396" t="str">
            <v>LCP-210152</v>
          </cell>
          <cell r="C396" t="str">
            <v>PER - 24 MOLDS FOR DIRECTION 2</v>
          </cell>
          <cell r="D396" t="str">
            <v>Molds</v>
          </cell>
          <cell r="E396" t="str">
            <v>N</v>
          </cell>
          <cell r="F396" t="str">
            <v>LA</v>
          </cell>
          <cell r="H396" t="str">
            <v>Consumer Radial</v>
          </cell>
          <cell r="I396" t="str">
            <v>CURING</v>
          </cell>
          <cell r="J396" t="str">
            <v>PER</v>
          </cell>
          <cell r="Q396">
            <v>939</v>
          </cell>
          <cell r="T396">
            <v>0</v>
          </cell>
          <cell r="U396">
            <v>552</v>
          </cell>
          <cell r="X396">
            <v>0</v>
          </cell>
          <cell r="Y396">
            <v>636.83749000000012</v>
          </cell>
        </row>
        <row r="397">
          <cell r="B397" t="str">
            <v>LCP-210153</v>
          </cell>
          <cell r="C397" t="str">
            <v>PER - REPLACE TENSIOMETER</v>
          </cell>
          <cell r="D397" t="str">
            <v>Quality - Improvement</v>
          </cell>
          <cell r="E397" t="str">
            <v>N</v>
          </cell>
          <cell r="F397" t="str">
            <v>LA</v>
          </cell>
          <cell r="H397" t="str">
            <v>Consumer Radial</v>
          </cell>
          <cell r="I397" t="str">
            <v>COMPONENT PREP OTHER</v>
          </cell>
          <cell r="J397" t="str">
            <v>PER</v>
          </cell>
          <cell r="T397">
            <v>0</v>
          </cell>
          <cell r="U397">
            <v>60</v>
          </cell>
          <cell r="X397">
            <v>1E-3</v>
          </cell>
          <cell r="Y397">
            <v>43.456480000000006</v>
          </cell>
        </row>
        <row r="398">
          <cell r="B398" t="str">
            <v>LCP-210154</v>
          </cell>
          <cell r="C398" t="str">
            <v>PER - CHANGE COMBUSTION SYSTEM BOILER 1</v>
          </cell>
          <cell r="D398" t="str">
            <v>Facilities Sustaining</v>
          </cell>
          <cell r="E398" t="str">
            <v>N</v>
          </cell>
          <cell r="F398" t="str">
            <v>LA</v>
          </cell>
          <cell r="H398" t="str">
            <v>MIXED</v>
          </cell>
          <cell r="I398" t="str">
            <v>ENGINEERING</v>
          </cell>
          <cell r="J398" t="str">
            <v>PER</v>
          </cell>
          <cell r="T398">
            <v>0</v>
          </cell>
          <cell r="U398">
            <v>50</v>
          </cell>
        </row>
        <row r="399">
          <cell r="B399" t="str">
            <v>LCP-210164</v>
          </cell>
          <cell r="C399" t="str">
            <v>AME- 4 complete molds for PSA F3M</v>
          </cell>
          <cell r="D399" t="str">
            <v>Molds</v>
          </cell>
          <cell r="E399" t="str">
            <v>N</v>
          </cell>
          <cell r="F399" t="str">
            <v>LA</v>
          </cell>
          <cell r="H399" t="str">
            <v>Consumer Radial</v>
          </cell>
          <cell r="I399" t="str">
            <v>Molds</v>
          </cell>
          <cell r="J399" t="str">
            <v>AME</v>
          </cell>
          <cell r="T399">
            <v>0</v>
          </cell>
          <cell r="U399">
            <v>0</v>
          </cell>
          <cell r="AD399">
            <v>136</v>
          </cell>
        </row>
        <row r="400">
          <cell r="B400" t="str">
            <v>LCP-210170</v>
          </cell>
          <cell r="C400" t="str">
            <v>COL - Quad Extruders (2) Screw Replacement</v>
          </cell>
          <cell r="D400" t="str">
            <v>Facilities Sustaining</v>
          </cell>
          <cell r="E400" t="str">
            <v>N</v>
          </cell>
          <cell r="F400" t="str">
            <v>LA</v>
          </cell>
          <cell r="H400" t="str">
            <v>COMMERCIAL RADIAL</v>
          </cell>
          <cell r="I400" t="str">
            <v>COMPONENT PREP OTHER</v>
          </cell>
          <cell r="J400" t="str">
            <v>COL</v>
          </cell>
          <cell r="T400">
            <v>0</v>
          </cell>
          <cell r="U400">
            <v>126</v>
          </cell>
        </row>
        <row r="401">
          <cell r="B401" t="str">
            <v>LCP-210172</v>
          </cell>
          <cell r="C401" t="str">
            <v>MEX - Fleet control software-only hardware</v>
          </cell>
          <cell r="D401" t="str">
            <v>SAG</v>
          </cell>
          <cell r="E401" t="str">
            <v>N</v>
          </cell>
          <cell r="F401" t="str">
            <v>LA</v>
          </cell>
          <cell r="H401" t="str">
            <v>Commercial Radial</v>
          </cell>
          <cell r="I401" t="str">
            <v>SAG - Sales &amp; Marketing</v>
          </cell>
          <cell r="J401" t="str">
            <v>MEX</v>
          </cell>
          <cell r="S401">
            <v>0</v>
          </cell>
          <cell r="T401">
            <v>0</v>
          </cell>
          <cell r="U401">
            <v>50</v>
          </cell>
          <cell r="V401">
            <v>50</v>
          </cell>
          <cell r="W401">
            <v>50</v>
          </cell>
        </row>
        <row r="402">
          <cell r="B402" t="str">
            <v>LCP-210175</v>
          </cell>
          <cell r="C402" t="str">
            <v>AME- PSA P21 Rota 2030 195/55R16 EGP</v>
          </cell>
          <cell r="D402" t="str">
            <v>Molds</v>
          </cell>
          <cell r="E402" t="str">
            <v>N</v>
          </cell>
          <cell r="F402" t="str">
            <v>LA</v>
          </cell>
          <cell r="H402" t="str">
            <v>CONSUMER RADIAL</v>
          </cell>
          <cell r="I402" t="str">
            <v>CURING</v>
          </cell>
          <cell r="J402" t="str">
            <v>AME</v>
          </cell>
          <cell r="T402">
            <v>0</v>
          </cell>
          <cell r="U402">
            <v>0</v>
          </cell>
          <cell r="AD402">
            <v>136</v>
          </cell>
        </row>
        <row r="403">
          <cell r="B403" t="str">
            <v>LCP-210147</v>
          </cell>
          <cell r="C403" t="str">
            <v>AME - (EHS/CTI) - NT CONSUMMER BUILDING ENHANCEMENT</v>
          </cell>
          <cell r="D403" t="str">
            <v>EHS</v>
          </cell>
          <cell r="E403" t="str">
            <v>N</v>
          </cell>
          <cell r="F403" t="str">
            <v>LA</v>
          </cell>
          <cell r="G403" t="str">
            <v>COMP</v>
          </cell>
          <cell r="H403" t="str">
            <v>Consumer Radial</v>
          </cell>
          <cell r="I403" t="str">
            <v>TIRE ASSEMBLY</v>
          </cell>
          <cell r="J403" t="str">
            <v>AME</v>
          </cell>
          <cell r="T403">
            <v>27.31935</v>
          </cell>
          <cell r="U403">
            <v>209.98443000000003</v>
          </cell>
          <cell r="X403">
            <v>231.816</v>
          </cell>
          <cell r="Y403">
            <v>191.05109000000002</v>
          </cell>
          <cell r="AD403">
            <v>639.70000000000005</v>
          </cell>
        </row>
        <row r="404">
          <cell r="B404" t="str">
            <v>LCP-210178</v>
          </cell>
          <cell r="C404" t="str">
            <v xml:space="preserve">AME- PSA P21 Rota 2030 18565R15 Eagle T. </v>
          </cell>
          <cell r="D404" t="str">
            <v>Molds</v>
          </cell>
          <cell r="E404" t="str">
            <v>N</v>
          </cell>
          <cell r="F404" t="str">
            <v>LA</v>
          </cell>
          <cell r="H404" t="str">
            <v>CONSUMER RADIAL</v>
          </cell>
          <cell r="I404" t="str">
            <v>CURING</v>
          </cell>
          <cell r="J404" t="str">
            <v>AME</v>
          </cell>
          <cell r="T404">
            <v>0</v>
          </cell>
          <cell r="U404">
            <v>25</v>
          </cell>
        </row>
        <row r="405">
          <cell r="B405" t="str">
            <v>LCP-210196</v>
          </cell>
          <cell r="C405" t="str">
            <v>AME - (8) PCI Cavities</v>
          </cell>
          <cell r="D405" t="str">
            <v>Capability</v>
          </cell>
          <cell r="E405" t="str">
            <v>N</v>
          </cell>
          <cell r="F405" t="str">
            <v>LA</v>
          </cell>
          <cell r="H405" t="str">
            <v>CONSUMER RADIAL</v>
          </cell>
          <cell r="I405" t="str">
            <v>CURING</v>
          </cell>
          <cell r="J405" t="str">
            <v>AME</v>
          </cell>
          <cell r="T405">
            <v>0</v>
          </cell>
          <cell r="U405">
            <v>0</v>
          </cell>
          <cell r="AD405">
            <v>715</v>
          </cell>
        </row>
        <row r="406">
          <cell r="B406" t="str">
            <v>LCP-210181</v>
          </cell>
          <cell r="C406" t="str">
            <v>PER - 2021 MISCELLANEOUS ANNUAL BUDGET PHASE 3</v>
          </cell>
          <cell r="D406" t="str">
            <v>Facilities Sustaining</v>
          </cell>
          <cell r="E406" t="str">
            <v>N</v>
          </cell>
          <cell r="F406" t="str">
            <v>LA</v>
          </cell>
          <cell r="H406" t="str">
            <v>CONSUMER RADIAL</v>
          </cell>
          <cell r="I406" t="str">
            <v>Other</v>
          </cell>
          <cell r="J406" t="str">
            <v>PER</v>
          </cell>
          <cell r="T406">
            <v>0</v>
          </cell>
          <cell r="U406">
            <v>180</v>
          </cell>
        </row>
        <row r="407">
          <cell r="B407" t="str">
            <v>LCP-210182</v>
          </cell>
          <cell r="C407" t="str">
            <v>PER-UPGRADE CCM FABRIC CALENDER</v>
          </cell>
          <cell r="D407" t="str">
            <v>Facilities Sustaining</v>
          </cell>
          <cell r="E407" t="str">
            <v>N</v>
          </cell>
          <cell r="F407" t="str">
            <v>LA</v>
          </cell>
          <cell r="H407" t="str">
            <v>CONSUMER RADIAL</v>
          </cell>
          <cell r="I407" t="str">
            <v>Other</v>
          </cell>
          <cell r="J407" t="str">
            <v>PER</v>
          </cell>
          <cell r="T407">
            <v>0</v>
          </cell>
          <cell r="U407">
            <v>80</v>
          </cell>
        </row>
        <row r="408">
          <cell r="B408" t="str">
            <v>LCP-210183</v>
          </cell>
          <cell r="C408" t="str">
            <v>PER-REPLACE 250 HP MOTOR DRIVE GUM CAL</v>
          </cell>
          <cell r="D408" t="str">
            <v>Facilities Sustaining</v>
          </cell>
          <cell r="E408" t="str">
            <v>N</v>
          </cell>
          <cell r="F408" t="str">
            <v>LA</v>
          </cell>
          <cell r="H408" t="str">
            <v>CONSUMER RADIAL</v>
          </cell>
          <cell r="I408" t="str">
            <v>Other</v>
          </cell>
          <cell r="J408" t="str">
            <v>PER</v>
          </cell>
          <cell r="T408">
            <v>0</v>
          </cell>
          <cell r="U408">
            <v>65</v>
          </cell>
        </row>
        <row r="409">
          <cell r="B409" t="str">
            <v>LCP-210184</v>
          </cell>
          <cell r="C409" t="str">
            <v>PER-UPGRADE RESILIOMETER 1 DRIVE MOTOR</v>
          </cell>
          <cell r="D409" t="str">
            <v>Facilities Sustaining</v>
          </cell>
          <cell r="E409" t="str">
            <v>N</v>
          </cell>
          <cell r="F409" t="str">
            <v>LA</v>
          </cell>
          <cell r="H409" t="str">
            <v>CONSUMER RADIAL</v>
          </cell>
          <cell r="I409" t="str">
            <v>Other</v>
          </cell>
          <cell r="J409" t="str">
            <v>PER</v>
          </cell>
          <cell r="T409">
            <v>0</v>
          </cell>
          <cell r="U409">
            <v>75</v>
          </cell>
        </row>
        <row r="410">
          <cell r="B410" t="str">
            <v>LCP-210185</v>
          </cell>
          <cell r="C410" t="str">
            <v>PER-REDUCTION OF COMPLEXITY IN TWO PRESSES</v>
          </cell>
          <cell r="D410" t="str">
            <v>Facilities Sustaining</v>
          </cell>
          <cell r="E410" t="str">
            <v>N</v>
          </cell>
          <cell r="F410" t="str">
            <v>LA</v>
          </cell>
          <cell r="H410" t="str">
            <v>CONSUMER RADIAL</v>
          </cell>
          <cell r="I410" t="str">
            <v>Other</v>
          </cell>
          <cell r="J410" t="str">
            <v>PER</v>
          </cell>
          <cell r="T410">
            <v>0</v>
          </cell>
          <cell r="U410">
            <v>60</v>
          </cell>
        </row>
        <row r="411">
          <cell r="B411" t="str">
            <v>LCP-210187</v>
          </cell>
          <cell r="C411" t="str">
            <v>ARG - Laptops Acquisition</v>
          </cell>
          <cell r="D411" t="str">
            <v>IT</v>
          </cell>
          <cell r="E411" t="str">
            <v>N</v>
          </cell>
          <cell r="F411" t="str">
            <v>LA</v>
          </cell>
          <cell r="H411" t="str">
            <v>Other</v>
          </cell>
          <cell r="I411" t="str">
            <v>SAG - IT</v>
          </cell>
          <cell r="J411" t="str">
            <v>ARG</v>
          </cell>
          <cell r="T411">
            <v>0</v>
          </cell>
          <cell r="U411">
            <v>99</v>
          </cell>
          <cell r="X411">
            <v>0</v>
          </cell>
          <cell r="Y411">
            <v>83.911670000000001</v>
          </cell>
        </row>
        <row r="412">
          <cell r="B412" t="str">
            <v>LCP-210188</v>
          </cell>
          <cell r="C412" t="str">
            <v>AME - OTR BUILDING DRUM 25"</v>
          </cell>
          <cell r="D412" t="str">
            <v>Molds</v>
          </cell>
          <cell r="E412" t="str">
            <v>N</v>
          </cell>
          <cell r="F412" t="str">
            <v>LA</v>
          </cell>
          <cell r="H412" t="str">
            <v>Commercial Radial</v>
          </cell>
          <cell r="I412" t="str">
            <v>CURING</v>
          </cell>
          <cell r="J412" t="str">
            <v>AME</v>
          </cell>
          <cell r="T412">
            <v>0</v>
          </cell>
          <cell r="U412">
            <v>100</v>
          </cell>
          <cell r="X412">
            <v>96.584999999999994</v>
          </cell>
          <cell r="Y412">
            <v>0</v>
          </cell>
        </row>
        <row r="413">
          <cell r="B413" t="str">
            <v>LCP-210189</v>
          </cell>
          <cell r="C413" t="str">
            <v>CTVM - VBOX EQUIPMENT</v>
          </cell>
          <cell r="D413" t="str">
            <v>Facilities Sustaining</v>
          </cell>
          <cell r="E413" t="str">
            <v>N</v>
          </cell>
          <cell r="F413" t="str">
            <v>LA</v>
          </cell>
          <cell r="H413" t="str">
            <v>OTR</v>
          </cell>
          <cell r="I413" t="str">
            <v>SAG - Other</v>
          </cell>
          <cell r="J413" t="str">
            <v>AME</v>
          </cell>
          <cell r="T413">
            <v>0</v>
          </cell>
          <cell r="U413">
            <v>32</v>
          </cell>
          <cell r="AD413">
            <v>0</v>
          </cell>
        </row>
        <row r="414">
          <cell r="B414" t="str">
            <v>LCP-210191</v>
          </cell>
          <cell r="C414" t="str">
            <v>COL-MOLDS KMAX XTREME</v>
          </cell>
          <cell r="D414" t="str">
            <v>Molds</v>
          </cell>
          <cell r="E414" t="str">
            <v>N</v>
          </cell>
          <cell r="F414" t="str">
            <v>LA</v>
          </cell>
          <cell r="H414" t="str">
            <v>COMMERCIAL RADIAL</v>
          </cell>
          <cell r="I414" t="str">
            <v>Curing</v>
          </cell>
          <cell r="J414" t="str">
            <v>COL</v>
          </cell>
          <cell r="T414">
            <v>0</v>
          </cell>
          <cell r="U414">
            <v>10</v>
          </cell>
          <cell r="AD414">
            <v>57</v>
          </cell>
        </row>
        <row r="415">
          <cell r="B415" t="str">
            <v>LCP-210192</v>
          </cell>
          <cell r="C415" t="str">
            <v>PER - (5) UPGRADE TBM's HYDRAULIC / PNEUMATIC SYSTEMS</v>
          </cell>
          <cell r="D415" t="str">
            <v>Facilities Sustaining</v>
          </cell>
          <cell r="E415" t="str">
            <v>N</v>
          </cell>
          <cell r="F415" t="str">
            <v>LA</v>
          </cell>
          <cell r="H415" t="str">
            <v>Consumer Radial</v>
          </cell>
          <cell r="I415" t="str">
            <v>Other</v>
          </cell>
          <cell r="J415" t="str">
            <v>PER</v>
          </cell>
          <cell r="T415">
            <v>0</v>
          </cell>
          <cell r="U415">
            <v>250</v>
          </cell>
          <cell r="AD415">
            <v>200</v>
          </cell>
        </row>
        <row r="416">
          <cell r="B416" t="str">
            <v>LCP-210193</v>
          </cell>
          <cell r="C416" t="str">
            <v>PER - SUB STATION 1 TRANSFORMER REPLACEMENT 1 2.3kV -0.44 Kv / 2000 KVA</v>
          </cell>
          <cell r="D416" t="str">
            <v>Facilities Sustaining</v>
          </cell>
          <cell r="E416" t="str">
            <v>N</v>
          </cell>
          <cell r="F416" t="str">
            <v>LA</v>
          </cell>
          <cell r="H416" t="str">
            <v>Mixed</v>
          </cell>
          <cell r="I416" t="str">
            <v>Other</v>
          </cell>
          <cell r="J416" t="str">
            <v>PER</v>
          </cell>
          <cell r="T416">
            <v>0</v>
          </cell>
          <cell r="U416">
            <v>30</v>
          </cell>
          <cell r="AD416">
            <v>50</v>
          </cell>
        </row>
        <row r="417">
          <cell r="B417" t="str">
            <v>LCP-210194</v>
          </cell>
          <cell r="C417" t="str">
            <v>PER - UPGRADE SUBSTATION 2</v>
          </cell>
          <cell r="D417" t="str">
            <v>Facilities Sustaining</v>
          </cell>
          <cell r="E417" t="str">
            <v>N</v>
          </cell>
          <cell r="F417" t="str">
            <v>LA</v>
          </cell>
          <cell r="H417" t="str">
            <v>Mixed</v>
          </cell>
          <cell r="I417" t="str">
            <v>Other</v>
          </cell>
          <cell r="J417" t="str">
            <v>PER</v>
          </cell>
          <cell r="T417">
            <v>0</v>
          </cell>
          <cell r="U417">
            <v>150</v>
          </cell>
          <cell r="AD417">
            <v>200</v>
          </cell>
        </row>
        <row r="418">
          <cell r="B418" t="str">
            <v>LCP-210195</v>
          </cell>
          <cell r="C418" t="str">
            <v>AME - ADDITIONAL PRODUCTION MOLDS (TO ATTEND 6+6)</v>
          </cell>
          <cell r="D418" t="str">
            <v>MOLDS</v>
          </cell>
          <cell r="E418" t="str">
            <v>N</v>
          </cell>
          <cell r="F418" t="str">
            <v>LA</v>
          </cell>
          <cell r="J418" t="str">
            <v>AME</v>
          </cell>
          <cell r="T418">
            <v>0</v>
          </cell>
          <cell r="U418">
            <v>266.25</v>
          </cell>
        </row>
        <row r="419">
          <cell r="B419" t="str">
            <v>LCP-190215</v>
          </cell>
          <cell r="C419" t="str">
            <v>CONTOUR CORRECTION MACHINE</v>
          </cell>
          <cell r="D419" t="str">
            <v>Quality - Improvement</v>
          </cell>
          <cell r="E419" t="str">
            <v>N</v>
          </cell>
          <cell r="F419" t="str">
            <v>LA</v>
          </cell>
          <cell r="H419" t="str">
            <v>CONSUMER RADIAL</v>
          </cell>
          <cell r="I419" t="str">
            <v>OTHER</v>
          </cell>
          <cell r="J419" t="str">
            <v>AME</v>
          </cell>
          <cell r="O419">
            <v>1244.5036</v>
          </cell>
          <cell r="Q419">
            <v>1244.5036</v>
          </cell>
          <cell r="S419">
            <v>0.98018000000000005</v>
          </cell>
          <cell r="T419">
            <v>9.8801800000000011</v>
          </cell>
          <cell r="U419">
            <v>136</v>
          </cell>
          <cell r="V419">
            <v>1244</v>
          </cell>
          <cell r="W419">
            <v>1244</v>
          </cell>
          <cell r="X419">
            <v>71.554779999999994</v>
          </cell>
          <cell r="Y419">
            <v>68.212740000000011</v>
          </cell>
          <cell r="Z419">
            <v>1243.52342</v>
          </cell>
          <cell r="AA419">
            <v>-1243.52342</v>
          </cell>
          <cell r="AB419">
            <v>136.98017999999999</v>
          </cell>
          <cell r="AC419">
            <v>-1107.52342</v>
          </cell>
          <cell r="AD419">
            <v>1087.8</v>
          </cell>
        </row>
        <row r="420">
          <cell r="B420" t="str">
            <v>LCP-210078</v>
          </cell>
          <cell r="C420" t="str">
            <v>PNC - PNEUMATIC CORE CONSTRUCTION</v>
          </cell>
          <cell r="D420" t="str">
            <v>Capability</v>
          </cell>
          <cell r="E420" t="str">
            <v>N</v>
          </cell>
          <cell r="F420" t="str">
            <v>LA</v>
          </cell>
          <cell r="H420" t="str">
            <v>LA Win in OE</v>
          </cell>
          <cell r="I420" t="str">
            <v>N/A</v>
          </cell>
          <cell r="J420" t="str">
            <v>AME</v>
          </cell>
          <cell r="S420">
            <v>0</v>
          </cell>
          <cell r="T420">
            <v>0</v>
          </cell>
          <cell r="U420">
            <v>150</v>
          </cell>
          <cell r="V420">
            <v>999.7</v>
          </cell>
          <cell r="W420">
            <v>999.7</v>
          </cell>
          <cell r="X420">
            <v>684</v>
          </cell>
          <cell r="Y420">
            <v>0</v>
          </cell>
          <cell r="AD420">
            <v>1207.7249400000001</v>
          </cell>
        </row>
        <row r="421">
          <cell r="B421" t="str">
            <v>LCP-210200</v>
          </cell>
          <cell r="C421" t="str">
            <v>AME - MIXER#3 BODY REPLACEMENT</v>
          </cell>
          <cell r="D421" t="str">
            <v>Facilities Sustaining</v>
          </cell>
          <cell r="E421" t="str">
            <v>N</v>
          </cell>
          <cell r="F421" t="str">
            <v>LA</v>
          </cell>
          <cell r="J421" t="str">
            <v>AME</v>
          </cell>
          <cell r="AD421">
            <v>1300</v>
          </cell>
        </row>
        <row r="422">
          <cell r="B422" t="str">
            <v>LCP-210086</v>
          </cell>
          <cell r="C422" t="str">
            <v>AME - NEW MRT KOKUSAI MACHINE</v>
          </cell>
          <cell r="D422" t="str">
            <v>Capability</v>
          </cell>
          <cell r="E422" t="str">
            <v>N</v>
          </cell>
          <cell r="F422" t="str">
            <v>LA</v>
          </cell>
          <cell r="H422" t="str">
            <v>COMMERCIAL RADIAL</v>
          </cell>
          <cell r="I422" t="str">
            <v>FINAL FINISH</v>
          </cell>
          <cell r="J422" t="str">
            <v>AME</v>
          </cell>
          <cell r="T422">
            <v>0</v>
          </cell>
          <cell r="U422">
            <v>90</v>
          </cell>
          <cell r="AD422">
            <v>2674</v>
          </cell>
        </row>
        <row r="423">
          <cell r="B423" t="str">
            <v>LCP-210083</v>
          </cell>
          <cell r="C423" t="str">
            <v xml:space="preserve">RET - FLAT PRECURED EXPANSION </v>
          </cell>
          <cell r="D423" t="str">
            <v>Growth</v>
          </cell>
          <cell r="E423" t="str">
            <v>N</v>
          </cell>
          <cell r="F423" t="str">
            <v>LA</v>
          </cell>
          <cell r="H423" t="str">
            <v>RETREAD</v>
          </cell>
          <cell r="I423" t="str">
            <v>CURING</v>
          </cell>
          <cell r="J423" t="str">
            <v>RET</v>
          </cell>
          <cell r="T423">
            <v>23.769369999999999</v>
          </cell>
          <cell r="U423">
            <v>1888</v>
          </cell>
          <cell r="W423">
            <v>1000</v>
          </cell>
          <cell r="X423">
            <v>3518.3222299999998</v>
          </cell>
          <cell r="Y423">
            <v>206.25109</v>
          </cell>
          <cell r="AD423">
            <v>3314</v>
          </cell>
        </row>
        <row r="424">
          <cell r="B424" t="str">
            <v>LCP-XXXY12</v>
          </cell>
          <cell r="C424" t="str">
            <v>AME - COGEN OVERHAUL</v>
          </cell>
          <cell r="D424" t="str">
            <v>Facilities Sustaining</v>
          </cell>
          <cell r="E424" t="str">
            <v>N</v>
          </cell>
          <cell r="F424" t="str">
            <v>LA</v>
          </cell>
          <cell r="J424" t="str">
            <v>AME</v>
          </cell>
          <cell r="T424">
            <v>0</v>
          </cell>
          <cell r="U424">
            <v>800</v>
          </cell>
          <cell r="AD424">
            <v>4435</v>
          </cell>
        </row>
        <row r="425">
          <cell r="B425" t="str">
            <v>LCP-XXXXX4</v>
          </cell>
          <cell r="C425" t="str">
            <v>AME - Pigment Room</v>
          </cell>
          <cell r="D425" t="str">
            <v>Capability</v>
          </cell>
          <cell r="E425" t="str">
            <v>N</v>
          </cell>
          <cell r="F425" t="str">
            <v>LA</v>
          </cell>
          <cell r="H425" t="str">
            <v>MIXED</v>
          </cell>
          <cell r="I425" t="str">
            <v>COMPONENT PREP OTHER</v>
          </cell>
          <cell r="J425" t="str">
            <v>AME</v>
          </cell>
          <cell r="T425">
            <v>0</v>
          </cell>
          <cell r="U425">
            <v>0</v>
          </cell>
          <cell r="AD425">
            <v>10000</v>
          </cell>
        </row>
        <row r="426">
          <cell r="B426" t="str">
            <v>LCP-200185</v>
          </cell>
          <cell r="C426" t="str">
            <v>(VMI) AMERICANA CONSUMER HMC TIRE BUILDING</v>
          </cell>
          <cell r="D426" t="str">
            <v>Capability</v>
          </cell>
          <cell r="E426" t="str">
            <v>N</v>
          </cell>
          <cell r="F426" t="str">
            <v>LA</v>
          </cell>
          <cell r="H426" t="str">
            <v>Consumer Radial</v>
          </cell>
          <cell r="I426" t="str">
            <v>Tire Assembly</v>
          </cell>
          <cell r="J426" t="str">
            <v>AME</v>
          </cell>
          <cell r="Q426">
            <v>14300</v>
          </cell>
          <cell r="S426">
            <v>1.5407200000000003</v>
          </cell>
          <cell r="T426">
            <v>25.660879999999999</v>
          </cell>
          <cell r="U426">
            <v>1125.19535</v>
          </cell>
          <cell r="V426">
            <v>4816</v>
          </cell>
          <cell r="W426">
            <v>4816</v>
          </cell>
          <cell r="X426">
            <v>1833.52071</v>
          </cell>
          <cell r="Y426">
            <v>810.19320999999991</v>
          </cell>
          <cell r="AD426">
            <v>15338</v>
          </cell>
        </row>
        <row r="427">
          <cell r="B427" t="str">
            <v>x1</v>
          </cell>
          <cell r="C427" t="str">
            <v>AME - EQUIPMENT IN TRANSIT</v>
          </cell>
          <cell r="D427" t="str">
            <v>Facilities Sustaining</v>
          </cell>
          <cell r="E427" t="str">
            <v>N</v>
          </cell>
          <cell r="F427" t="str">
            <v>LA</v>
          </cell>
          <cell r="G427">
            <v>0</v>
          </cell>
          <cell r="H427" t="str">
            <v>Mixed</v>
          </cell>
          <cell r="I427">
            <v>0</v>
          </cell>
          <cell r="J427" t="str">
            <v>AME</v>
          </cell>
          <cell r="S427">
            <v>1301.705564530482</v>
          </cell>
          <cell r="T427">
            <v>361.70556453048198</v>
          </cell>
          <cell r="U427">
            <v>-361.7</v>
          </cell>
          <cell r="AD427">
            <v>0</v>
          </cell>
        </row>
        <row r="428">
          <cell r="C428" t="str">
            <v>Interplant</v>
          </cell>
          <cell r="D428" t="str">
            <v>Capitalized Interes</v>
          </cell>
          <cell r="E428" t="str">
            <v>N</v>
          </cell>
          <cell r="F428" t="str">
            <v>LA</v>
          </cell>
          <cell r="G428">
            <v>0</v>
          </cell>
          <cell r="H428" t="str">
            <v>N/A</v>
          </cell>
          <cell r="I428" t="str">
            <v>N/A</v>
          </cell>
          <cell r="J428" t="str">
            <v>LA OTHER</v>
          </cell>
          <cell r="S428">
            <v>1222.6471040479996</v>
          </cell>
          <cell r="T428">
            <v>1920.5299240480003</v>
          </cell>
          <cell r="U428">
            <v>-848.5</v>
          </cell>
          <cell r="V428">
            <v>367.18319975843502</v>
          </cell>
          <cell r="W428">
            <v>367.18319975843502</v>
          </cell>
        </row>
        <row r="429">
          <cell r="C429" t="str">
            <v>PER - REGIONAL ADJUSTMENT</v>
          </cell>
          <cell r="D429" t="str">
            <v>Facilities Sustaining</v>
          </cell>
          <cell r="E429" t="str">
            <v>N</v>
          </cell>
          <cell r="F429" t="str">
            <v>LA</v>
          </cell>
          <cell r="G429">
            <v>0</v>
          </cell>
          <cell r="H429" t="str">
            <v>N/A</v>
          </cell>
          <cell r="I429">
            <v>0</v>
          </cell>
          <cell r="J429" t="str">
            <v>PER</v>
          </cell>
          <cell r="S429">
            <v>302.89204000000029</v>
          </cell>
          <cell r="T429">
            <v>306.31555000000048</v>
          </cell>
          <cell r="U429">
            <v>0</v>
          </cell>
          <cell r="V429">
            <v>-44.895929999999993</v>
          </cell>
          <cell r="W429">
            <v>-44.895929999999993</v>
          </cell>
        </row>
        <row r="430">
          <cell r="C430" t="str">
            <v>COL - QUAD Extruder New Skiver</v>
          </cell>
          <cell r="D430" t="str">
            <v>Facilities Sustaining</v>
          </cell>
          <cell r="E430" t="str">
            <v>N</v>
          </cell>
          <cell r="F430" t="str">
            <v>LA</v>
          </cell>
          <cell r="H430" t="str">
            <v>COMMERCIAL RADIAL</v>
          </cell>
          <cell r="I430" t="str">
            <v xml:space="preserve">EXTRUDING </v>
          </cell>
          <cell r="J430" t="str">
            <v>COL</v>
          </cell>
          <cell r="T430">
            <v>0</v>
          </cell>
          <cell r="U430">
            <v>40</v>
          </cell>
          <cell r="AD430">
            <v>200</v>
          </cell>
        </row>
        <row r="431">
          <cell r="C431" t="str">
            <v>AME - CAPITALIZED INTEREST</v>
          </cell>
          <cell r="D431" t="str">
            <v>Capitalized Interes</v>
          </cell>
          <cell r="E431" t="str">
            <v>N</v>
          </cell>
          <cell r="F431" t="str">
            <v>LA</v>
          </cell>
          <cell r="H431" t="str">
            <v>Mixed</v>
          </cell>
          <cell r="I431" t="str">
            <v>N/A</v>
          </cell>
          <cell r="J431" t="str">
            <v>LA OTHER</v>
          </cell>
          <cell r="S431">
            <v>3.8281761168749959</v>
          </cell>
          <cell r="T431">
            <v>3.9311761168749961</v>
          </cell>
          <cell r="U431">
            <v>3.6160000000000001</v>
          </cell>
          <cell r="V431">
            <v>6.7485501648749979</v>
          </cell>
          <cell r="W431">
            <v>6.7485501648749979</v>
          </cell>
        </row>
        <row r="432">
          <cell r="C432" t="str">
            <v>SLP - REGIONAL ADJUSTMENT</v>
          </cell>
          <cell r="D432" t="str">
            <v>Facilities Sustaining</v>
          </cell>
          <cell r="E432" t="str">
            <v>N</v>
          </cell>
          <cell r="F432" t="str">
            <v>LA</v>
          </cell>
          <cell r="G432">
            <v>0</v>
          </cell>
          <cell r="H432" t="str">
            <v>N/A</v>
          </cell>
          <cell r="I432">
            <v>0</v>
          </cell>
          <cell r="J432" t="str">
            <v>San Luis Potosi</v>
          </cell>
          <cell r="P432">
            <v>0</v>
          </cell>
          <cell r="S432">
            <v>4.1665899999992746</v>
          </cell>
          <cell r="T432">
            <v>6.0385799999994987</v>
          </cell>
          <cell r="U432">
            <v>0</v>
          </cell>
          <cell r="V432">
            <v>479</v>
          </cell>
          <cell r="W432">
            <v>504.8</v>
          </cell>
          <cell r="AA432">
            <v>4.1665899999992746</v>
          </cell>
        </row>
        <row r="433">
          <cell r="C433" t="str">
            <v>ARG - REGIONAL ADJUSTMENT</v>
          </cell>
          <cell r="D433" t="str">
            <v>SAG</v>
          </cell>
          <cell r="E433" t="str">
            <v>N</v>
          </cell>
          <cell r="F433" t="str">
            <v>LA</v>
          </cell>
          <cell r="G433">
            <v>0</v>
          </cell>
          <cell r="H433" t="str">
            <v>N/A</v>
          </cell>
          <cell r="I433">
            <v>0</v>
          </cell>
          <cell r="J433" t="str">
            <v>ARG</v>
          </cell>
          <cell r="P433">
            <v>0</v>
          </cell>
          <cell r="S433">
            <v>-0.35695000000002963</v>
          </cell>
          <cell r="T433">
            <v>4.4871999999999623</v>
          </cell>
          <cell r="U433">
            <v>0</v>
          </cell>
          <cell r="V433">
            <v>26.726399999999995</v>
          </cell>
          <cell r="W433">
            <v>26.726399999999995</v>
          </cell>
          <cell r="AA433">
            <v>0</v>
          </cell>
        </row>
        <row r="434">
          <cell r="C434" t="str">
            <v>COL - CAPITALIZED INTEREST</v>
          </cell>
          <cell r="D434" t="str">
            <v>Capitalized Interes</v>
          </cell>
          <cell r="E434" t="str">
            <v>N</v>
          </cell>
          <cell r="F434" t="str">
            <v>LA</v>
          </cell>
          <cell r="G434">
            <v>0</v>
          </cell>
          <cell r="H434" t="str">
            <v>Commercial Radial</v>
          </cell>
          <cell r="I434" t="str">
            <v>Other</v>
          </cell>
          <cell r="J434" t="str">
            <v>LA OTHER</v>
          </cell>
          <cell r="R434">
            <v>1.125</v>
          </cell>
          <cell r="S434">
            <v>1.214</v>
          </cell>
          <cell r="T434">
            <v>0.63300000000000001</v>
          </cell>
          <cell r="U434">
            <v>1.7120000000000002</v>
          </cell>
          <cell r="V434">
            <v>2.5990000000000002</v>
          </cell>
          <cell r="W434">
            <v>2.5990000000000002</v>
          </cell>
        </row>
        <row r="435">
          <cell r="C435" t="str">
            <v>AME - MOLDS IN TRANSIT CONSUMER</v>
          </cell>
          <cell r="D435" t="str">
            <v>Molds</v>
          </cell>
          <cell r="E435" t="str">
            <v>N</v>
          </cell>
          <cell r="F435" t="str">
            <v>LA</v>
          </cell>
          <cell r="H435" t="str">
            <v>Consumer Radial</v>
          </cell>
          <cell r="I435" t="str">
            <v>Curing</v>
          </cell>
          <cell r="J435" t="str">
            <v>AME</v>
          </cell>
          <cell r="S435">
            <v>567.81830077630093</v>
          </cell>
          <cell r="T435">
            <v>1.8300776300918642E-2</v>
          </cell>
          <cell r="U435">
            <v>0</v>
          </cell>
          <cell r="V435">
            <v>-300</v>
          </cell>
          <cell r="W435">
            <v>-300</v>
          </cell>
        </row>
        <row r="436">
          <cell r="C436" t="str">
            <v>AME - MOLDS IN TRANSIT COMMERCIAL</v>
          </cell>
          <cell r="D436" t="str">
            <v>Molds</v>
          </cell>
          <cell r="E436" t="str">
            <v>N</v>
          </cell>
          <cell r="F436" t="str">
            <v>LA</v>
          </cell>
          <cell r="H436" t="str">
            <v>COMMERCIAL RADIAL</v>
          </cell>
          <cell r="I436" t="str">
            <v>Curing</v>
          </cell>
          <cell r="J436" t="str">
            <v>AME</v>
          </cell>
          <cell r="T436">
            <v>8.1000000000000227</v>
          </cell>
          <cell r="U436">
            <v>-8.1</v>
          </cell>
        </row>
        <row r="437">
          <cell r="C437" t="str">
            <v>AME - Flexibility Replacement</v>
          </cell>
          <cell r="D437" t="str">
            <v>Molds</v>
          </cell>
          <cell r="E437" t="str">
            <v>N</v>
          </cell>
          <cell r="F437" t="str">
            <v>LA</v>
          </cell>
          <cell r="H437" t="str">
            <v>Consumer Radial</v>
          </cell>
          <cell r="I437" t="str">
            <v>Curing</v>
          </cell>
          <cell r="J437" t="str">
            <v>AME</v>
          </cell>
          <cell r="S437">
            <v>0</v>
          </cell>
          <cell r="T437">
            <v>0</v>
          </cell>
          <cell r="U437">
            <v>0</v>
          </cell>
          <cell r="V437">
            <v>178</v>
          </cell>
          <cell r="W437">
            <v>178</v>
          </cell>
        </row>
        <row r="438">
          <cell r="C438" t="str">
            <v>AME - Various - OE</v>
          </cell>
          <cell r="D438" t="str">
            <v>Molds</v>
          </cell>
          <cell r="E438" t="str">
            <v>N</v>
          </cell>
          <cell r="F438" t="str">
            <v>LA</v>
          </cell>
          <cell r="H438" t="str">
            <v>Consumer Radial</v>
          </cell>
          <cell r="I438" t="str">
            <v>Curing</v>
          </cell>
          <cell r="J438" t="str">
            <v>AME</v>
          </cell>
          <cell r="S438">
            <v>0</v>
          </cell>
          <cell r="T438">
            <v>0</v>
          </cell>
          <cell r="U438">
            <v>0</v>
          </cell>
          <cell r="V438">
            <v>261.85000000000002</v>
          </cell>
          <cell r="W438">
            <v>261.85000000000002</v>
          </cell>
        </row>
        <row r="439">
          <cell r="C439" t="str">
            <v>FuelMax LHS Gen 2 Production Support molds</v>
          </cell>
          <cell r="D439" t="str">
            <v>Molds</v>
          </cell>
          <cell r="E439" t="str">
            <v>N</v>
          </cell>
          <cell r="F439" t="str">
            <v>LA</v>
          </cell>
          <cell r="H439" t="str">
            <v>Commercial Radial</v>
          </cell>
          <cell r="I439" t="str">
            <v>Curing</v>
          </cell>
          <cell r="J439" t="str">
            <v>AME</v>
          </cell>
          <cell r="S439">
            <v>0</v>
          </cell>
          <cell r="T439">
            <v>0</v>
          </cell>
          <cell r="U439">
            <v>0</v>
          </cell>
          <cell r="V439">
            <v>120</v>
          </cell>
          <cell r="W439">
            <v>120</v>
          </cell>
        </row>
        <row r="440">
          <cell r="C440" t="str">
            <v>ARG-BUENOS AIRES COMPUTER ROOM REFRESH BY LIFECYCLE</v>
          </cell>
          <cell r="D440" t="str">
            <v>IT</v>
          </cell>
          <cell r="E440" t="str">
            <v>N</v>
          </cell>
          <cell r="F440" t="str">
            <v>LA</v>
          </cell>
          <cell r="H440" t="str">
            <v>Other</v>
          </cell>
          <cell r="I440" t="str">
            <v>SAG - IT</v>
          </cell>
          <cell r="J440" t="str">
            <v>ARG</v>
          </cell>
          <cell r="S440">
            <v>0</v>
          </cell>
          <cell r="T440">
            <v>0</v>
          </cell>
          <cell r="U440">
            <v>0</v>
          </cell>
          <cell r="V440">
            <v>15</v>
          </cell>
          <cell r="W440">
            <v>15</v>
          </cell>
        </row>
        <row r="441">
          <cell r="C441" t="str">
            <v>Supply Chain WH automaton of processes</v>
          </cell>
          <cell r="D441" t="str">
            <v>SAG</v>
          </cell>
          <cell r="E441" t="str">
            <v>N</v>
          </cell>
          <cell r="F441" t="str">
            <v>LA</v>
          </cell>
          <cell r="H441" t="str">
            <v>N/A</v>
          </cell>
          <cell r="I441" t="str">
            <v>SAG - Supply Chain</v>
          </cell>
          <cell r="J441" t="str">
            <v>ARG</v>
          </cell>
          <cell r="S441">
            <v>0</v>
          </cell>
          <cell r="T441">
            <v>0</v>
          </cell>
          <cell r="U441">
            <v>0</v>
          </cell>
          <cell r="V441">
            <v>15</v>
          </cell>
          <cell r="W441">
            <v>15</v>
          </cell>
        </row>
        <row r="442">
          <cell r="C442" t="str">
            <v>Blue Racks Acquisition</v>
          </cell>
          <cell r="D442" t="str">
            <v>SAG</v>
          </cell>
          <cell r="E442" t="str">
            <v>N</v>
          </cell>
          <cell r="F442" t="str">
            <v>LA</v>
          </cell>
          <cell r="H442" t="str">
            <v>Consumer Radial</v>
          </cell>
          <cell r="I442" t="str">
            <v>SAG - Supply Chain</v>
          </cell>
          <cell r="J442" t="str">
            <v>ARG</v>
          </cell>
          <cell r="S442">
            <v>0</v>
          </cell>
          <cell r="T442">
            <v>0</v>
          </cell>
          <cell r="U442">
            <v>0</v>
          </cell>
          <cell r="V442">
            <v>90</v>
          </cell>
          <cell r="W442">
            <v>90</v>
          </cell>
        </row>
        <row r="443">
          <cell r="C443" t="str">
            <v>BRAZIL LEGAL REQUIREMENTS</v>
          </cell>
          <cell r="D443" t="str">
            <v>IT</v>
          </cell>
          <cell r="E443" t="str">
            <v>N</v>
          </cell>
          <cell r="F443" t="str">
            <v>LA</v>
          </cell>
          <cell r="H443" t="str">
            <v>Other</v>
          </cell>
          <cell r="I443" t="str">
            <v>SAG - IT</v>
          </cell>
          <cell r="J443" t="str">
            <v>BRZ</v>
          </cell>
          <cell r="S443">
            <v>0</v>
          </cell>
          <cell r="T443">
            <v>0</v>
          </cell>
          <cell r="U443">
            <v>0</v>
          </cell>
          <cell r="V443">
            <v>152</v>
          </cell>
          <cell r="W443">
            <v>152</v>
          </cell>
        </row>
        <row r="444">
          <cell r="C444" t="str">
            <v>BRAZIL MAX SERVICES</v>
          </cell>
          <cell r="D444" t="str">
            <v>IT</v>
          </cell>
          <cell r="E444" t="str">
            <v>N</v>
          </cell>
          <cell r="F444" t="str">
            <v>LA</v>
          </cell>
          <cell r="H444" t="str">
            <v>Other</v>
          </cell>
          <cell r="I444" t="str">
            <v>SAG - IT</v>
          </cell>
          <cell r="J444" t="str">
            <v>BRZ</v>
          </cell>
          <cell r="T444">
            <v>0</v>
          </cell>
          <cell r="U444">
            <v>0</v>
          </cell>
        </row>
        <row r="445">
          <cell r="C445" t="str">
            <v>BRA - AMERICANA IT NETWORK FIBER TO MAIN GATE/POWER HOUSE AND ADJACENCIES</v>
          </cell>
          <cell r="D445" t="str">
            <v>IT</v>
          </cell>
          <cell r="E445" t="str">
            <v>N</v>
          </cell>
          <cell r="F445" t="str">
            <v>LA</v>
          </cell>
          <cell r="H445" t="str">
            <v>N/A</v>
          </cell>
          <cell r="I445" t="str">
            <v>SAG - IT</v>
          </cell>
          <cell r="J445" t="str">
            <v>BRZ</v>
          </cell>
          <cell r="T445">
            <v>0</v>
          </cell>
          <cell r="U445">
            <v>0</v>
          </cell>
          <cell r="V445">
            <v>150</v>
          </cell>
          <cell r="W445">
            <v>150</v>
          </cell>
        </row>
        <row r="446">
          <cell r="C446" t="str">
            <v>CHI - Scale</v>
          </cell>
          <cell r="D446" t="str">
            <v>SAG</v>
          </cell>
          <cell r="E446" t="str">
            <v>N</v>
          </cell>
          <cell r="F446" t="str">
            <v>LA</v>
          </cell>
          <cell r="H446" t="str">
            <v>CONSUMER RADIAL</v>
          </cell>
          <cell r="I446" t="str">
            <v>SAG - Sales &amp; Marketing</v>
          </cell>
          <cell r="J446" t="str">
            <v>CHI</v>
          </cell>
          <cell r="S446">
            <v>0</v>
          </cell>
          <cell r="T446">
            <v>0</v>
          </cell>
          <cell r="U446">
            <v>0</v>
          </cell>
          <cell r="V446">
            <v>15.58333333333333</v>
          </cell>
          <cell r="W446">
            <v>15.58333333333333</v>
          </cell>
        </row>
        <row r="447">
          <cell r="C447" t="str">
            <v>CHI - Ecuador office equipment</v>
          </cell>
          <cell r="D447" t="str">
            <v>SAG</v>
          </cell>
          <cell r="E447" t="str">
            <v>N</v>
          </cell>
          <cell r="F447" t="str">
            <v>LA</v>
          </cell>
          <cell r="H447" t="str">
            <v>CONSUMER RADIAL</v>
          </cell>
          <cell r="I447" t="str">
            <v>SAG - Sales &amp; Marketing</v>
          </cell>
          <cell r="J447" t="str">
            <v>CHI</v>
          </cell>
          <cell r="S447">
            <v>0</v>
          </cell>
          <cell r="T447">
            <v>0</v>
          </cell>
          <cell r="U447">
            <v>0</v>
          </cell>
          <cell r="V447">
            <v>9.625</v>
          </cell>
          <cell r="W447">
            <v>9.625</v>
          </cell>
        </row>
        <row r="448">
          <cell r="C448" t="str">
            <v>CHI - REGIONAL ADJUSTMENT</v>
          </cell>
          <cell r="D448" t="str">
            <v>SAG</v>
          </cell>
          <cell r="E448" t="str">
            <v>N</v>
          </cell>
          <cell r="F448" t="str">
            <v>LA</v>
          </cell>
          <cell r="G448">
            <v>0</v>
          </cell>
          <cell r="H448" t="str">
            <v>N/A</v>
          </cell>
          <cell r="I448">
            <v>0</v>
          </cell>
          <cell r="J448" t="str">
            <v>CHI</v>
          </cell>
          <cell r="S448">
            <v>0</v>
          </cell>
          <cell r="T448">
            <v>0</v>
          </cell>
          <cell r="U448">
            <v>0</v>
          </cell>
        </row>
        <row r="449">
          <cell r="C449" t="str">
            <v>COL - Upgrade single extuder 8" (4.5 Extruder ExGadsden)</v>
          </cell>
          <cell r="D449" t="str">
            <v>Capability</v>
          </cell>
          <cell r="E449" t="str">
            <v>N</v>
          </cell>
          <cell r="F449" t="str">
            <v>LA</v>
          </cell>
          <cell r="H449" t="str">
            <v>Commercial Radial</v>
          </cell>
          <cell r="I449" t="str">
            <v xml:space="preserve">Extruding </v>
          </cell>
          <cell r="J449" t="str">
            <v>COL</v>
          </cell>
          <cell r="S449">
            <v>0</v>
          </cell>
          <cell r="T449">
            <v>0</v>
          </cell>
          <cell r="U449">
            <v>0</v>
          </cell>
          <cell r="V449">
            <v>200</v>
          </cell>
          <cell r="W449">
            <v>200</v>
          </cell>
        </row>
        <row r="450">
          <cell r="C450" t="str">
            <v>COL - HEALTH-EXHAUST &amp; VENTILATION SYSTEMS IN BB2</v>
          </cell>
          <cell r="D450" t="str">
            <v>EHS</v>
          </cell>
          <cell r="E450" t="str">
            <v>N</v>
          </cell>
          <cell r="F450" t="str">
            <v>LA</v>
          </cell>
          <cell r="G450" t="str">
            <v>HYG</v>
          </cell>
          <cell r="H450" t="str">
            <v>Commercial Radial</v>
          </cell>
          <cell r="I450" t="str">
            <v>Mixing</v>
          </cell>
          <cell r="J450" t="str">
            <v>COL</v>
          </cell>
          <cell r="S450">
            <v>0</v>
          </cell>
          <cell r="T450">
            <v>0</v>
          </cell>
          <cell r="U450">
            <v>0</v>
          </cell>
          <cell r="V450">
            <v>50</v>
          </cell>
          <cell r="W450">
            <v>50</v>
          </cell>
        </row>
        <row r="451">
          <cell r="C451" t="str">
            <v>COL - LOCKERS MODERNIZATION (INCLUDE NEW BATHROOM IN PRESSES)</v>
          </cell>
          <cell r="D451" t="str">
            <v>EHS</v>
          </cell>
          <cell r="E451" t="str">
            <v>N</v>
          </cell>
          <cell r="F451" t="str">
            <v>LA</v>
          </cell>
          <cell r="G451" t="str">
            <v>HYG</v>
          </cell>
          <cell r="H451" t="str">
            <v>Commercial Radial</v>
          </cell>
          <cell r="I451" t="str">
            <v>Facilities/Infrastructure</v>
          </cell>
          <cell r="J451" t="str">
            <v>COL</v>
          </cell>
          <cell r="S451">
            <v>0</v>
          </cell>
          <cell r="T451">
            <v>0</v>
          </cell>
          <cell r="U451">
            <v>0</v>
          </cell>
          <cell r="V451">
            <v>60</v>
          </cell>
          <cell r="W451">
            <v>60</v>
          </cell>
        </row>
        <row r="452">
          <cell r="C452" t="str">
            <v>COL - MRT Expansion</v>
          </cell>
          <cell r="D452" t="str">
            <v>Growth</v>
          </cell>
          <cell r="E452" t="str">
            <v>N</v>
          </cell>
          <cell r="F452" t="str">
            <v>LA</v>
          </cell>
          <cell r="H452" t="str">
            <v>COMMERCIAL RADIAL</v>
          </cell>
          <cell r="I452" t="str">
            <v>OTHER</v>
          </cell>
          <cell r="J452" t="str">
            <v>COL</v>
          </cell>
          <cell r="T452">
            <v>0</v>
          </cell>
          <cell r="U452">
            <v>0</v>
          </cell>
        </row>
        <row r="453">
          <cell r="C453" t="str">
            <v xml:space="preserve">COL - SAMPLE MIX/AUTO WW </v>
          </cell>
          <cell r="D453" t="str">
            <v>Productivity</v>
          </cell>
          <cell r="E453" t="str">
            <v>N</v>
          </cell>
          <cell r="F453" t="str">
            <v>LA</v>
          </cell>
          <cell r="H453" t="str">
            <v>Commercial Radial</v>
          </cell>
          <cell r="I453" t="str">
            <v>N/A</v>
          </cell>
          <cell r="J453" t="str">
            <v>COL</v>
          </cell>
          <cell r="S453">
            <v>0</v>
          </cell>
          <cell r="T453">
            <v>0</v>
          </cell>
          <cell r="U453">
            <v>0</v>
          </cell>
          <cell r="V453">
            <v>150</v>
          </cell>
          <cell r="W453">
            <v>150</v>
          </cell>
        </row>
        <row r="454">
          <cell r="C454" t="str">
            <v>COL - Dual wind up a let off for Alpha shear</v>
          </cell>
          <cell r="D454" t="str">
            <v>Productivity</v>
          </cell>
          <cell r="E454" t="str">
            <v>N</v>
          </cell>
          <cell r="F454" t="str">
            <v>LA</v>
          </cell>
          <cell r="H454" t="str">
            <v>Commercial Radial</v>
          </cell>
          <cell r="I454" t="str">
            <v>Component Prep Other</v>
          </cell>
          <cell r="J454" t="str">
            <v>COL</v>
          </cell>
          <cell r="S454">
            <v>0</v>
          </cell>
          <cell r="T454">
            <v>0</v>
          </cell>
          <cell r="U454">
            <v>0</v>
          </cell>
          <cell r="V454">
            <v>150</v>
          </cell>
          <cell r="W454">
            <v>150</v>
          </cell>
        </row>
        <row r="455">
          <cell r="C455" t="str">
            <v>COL - ROLAND OPEN SPLICE DETECTOR - MRT PLY CUTTERS</v>
          </cell>
          <cell r="D455" t="str">
            <v>Quality - Improvement</v>
          </cell>
          <cell r="E455" t="str">
            <v>N</v>
          </cell>
          <cell r="F455" t="str">
            <v>LA</v>
          </cell>
          <cell r="H455" t="str">
            <v>Commercial Radial</v>
          </cell>
          <cell r="I455" t="str">
            <v>Component Prep Other</v>
          </cell>
          <cell r="J455" t="str">
            <v>COL</v>
          </cell>
          <cell r="S455">
            <v>0</v>
          </cell>
          <cell r="T455">
            <v>0</v>
          </cell>
          <cell r="U455">
            <v>0</v>
          </cell>
          <cell r="V455">
            <v>70</v>
          </cell>
          <cell r="W455">
            <v>70</v>
          </cell>
        </row>
        <row r="456">
          <cell r="C456" t="str">
            <v>COL - AUTOMATIC GAUGE CONTROL FOR WIRE CALANDER</v>
          </cell>
          <cell r="D456" t="str">
            <v>Quality - Improvement</v>
          </cell>
          <cell r="E456" t="str">
            <v>N</v>
          </cell>
          <cell r="F456" t="str">
            <v>LA</v>
          </cell>
          <cell r="H456" t="str">
            <v>Commercial Radial</v>
          </cell>
          <cell r="I456" t="str">
            <v>Component Prep Other</v>
          </cell>
          <cell r="J456" t="str">
            <v>COL</v>
          </cell>
          <cell r="S456">
            <v>0</v>
          </cell>
          <cell r="T456">
            <v>0</v>
          </cell>
          <cell r="U456">
            <v>0</v>
          </cell>
          <cell r="V456">
            <v>50</v>
          </cell>
          <cell r="W456">
            <v>50</v>
          </cell>
        </row>
        <row r="457">
          <cell r="C457" t="str">
            <v>GM - 3 Vehicles for sales</v>
          </cell>
          <cell r="D457" t="str">
            <v>SAG</v>
          </cell>
          <cell r="E457" t="str">
            <v>N</v>
          </cell>
          <cell r="F457" t="str">
            <v>LA</v>
          </cell>
          <cell r="G457">
            <v>0</v>
          </cell>
          <cell r="H457" t="str">
            <v>Other</v>
          </cell>
          <cell r="I457" t="str">
            <v>SAG - Other</v>
          </cell>
          <cell r="J457" t="str">
            <v>GIC</v>
          </cell>
          <cell r="T457">
            <v>0</v>
          </cell>
          <cell r="U457">
            <v>0</v>
          </cell>
        </row>
        <row r="458">
          <cell r="C458" t="str">
            <v>GM - New Office</v>
          </cell>
          <cell r="D458" t="str">
            <v>SAG</v>
          </cell>
          <cell r="E458" t="str">
            <v>N</v>
          </cell>
          <cell r="F458" t="str">
            <v>LA</v>
          </cell>
          <cell r="G458">
            <v>0</v>
          </cell>
          <cell r="H458" t="str">
            <v>Other</v>
          </cell>
          <cell r="I458" t="str">
            <v>SAG - Other</v>
          </cell>
          <cell r="J458" t="str">
            <v>GIC</v>
          </cell>
          <cell r="T458">
            <v>0</v>
          </cell>
          <cell r="U458">
            <v>0</v>
          </cell>
        </row>
        <row r="459">
          <cell r="C459" t="str">
            <v>Guatemala office PCs &amp; equipment</v>
          </cell>
          <cell r="D459" t="str">
            <v>SAG</v>
          </cell>
          <cell r="E459" t="str">
            <v>N</v>
          </cell>
          <cell r="F459" t="str">
            <v>LA</v>
          </cell>
          <cell r="H459" t="str">
            <v>Other</v>
          </cell>
          <cell r="I459" t="str">
            <v>SAG - Other</v>
          </cell>
          <cell r="J459" t="str">
            <v>GIC</v>
          </cell>
          <cell r="S459">
            <v>0</v>
          </cell>
          <cell r="T459">
            <v>0</v>
          </cell>
          <cell r="U459">
            <v>0</v>
          </cell>
          <cell r="V459">
            <v>29.969999999999992</v>
          </cell>
          <cell r="W459">
            <v>29.969999999999992</v>
          </cell>
        </row>
        <row r="460">
          <cell r="C460" t="str">
            <v>Guatemala office connectivity</v>
          </cell>
          <cell r="D460" t="str">
            <v>SAG</v>
          </cell>
          <cell r="E460" t="str">
            <v>N</v>
          </cell>
          <cell r="F460" t="str">
            <v>LA</v>
          </cell>
          <cell r="H460" t="str">
            <v>Other</v>
          </cell>
          <cell r="I460" t="str">
            <v>SAG - Other</v>
          </cell>
          <cell r="J460" t="str">
            <v>GIC</v>
          </cell>
          <cell r="S460">
            <v>0</v>
          </cell>
          <cell r="T460">
            <v>0</v>
          </cell>
          <cell r="U460">
            <v>0</v>
          </cell>
          <cell r="V460">
            <v>19.999999999999996</v>
          </cell>
          <cell r="W460">
            <v>19.999999999999996</v>
          </cell>
        </row>
        <row r="461">
          <cell r="C461" t="str">
            <v>GIC - REGIONAL ADJUSTMENT</v>
          </cell>
          <cell r="D461" t="str">
            <v>SAG</v>
          </cell>
          <cell r="E461" t="str">
            <v>N</v>
          </cell>
          <cell r="F461" t="str">
            <v>LA</v>
          </cell>
          <cell r="G461">
            <v>0</v>
          </cell>
          <cell r="H461" t="str">
            <v>N/A</v>
          </cell>
          <cell r="I461">
            <v>0</v>
          </cell>
          <cell r="J461" t="str">
            <v>GIC</v>
          </cell>
          <cell r="S461">
            <v>0</v>
          </cell>
          <cell r="T461">
            <v>0</v>
          </cell>
          <cell r="U461">
            <v>0</v>
          </cell>
        </row>
        <row r="462">
          <cell r="C462" t="str">
            <v>PER - CAPITALIZED INTEREST</v>
          </cell>
          <cell r="D462" t="str">
            <v>Capitalized Interes</v>
          </cell>
          <cell r="E462" t="str">
            <v>N</v>
          </cell>
          <cell r="F462" t="str">
            <v>LA</v>
          </cell>
          <cell r="G462">
            <v>0</v>
          </cell>
          <cell r="H462" t="str">
            <v>N/A</v>
          </cell>
          <cell r="I462">
            <v>0</v>
          </cell>
          <cell r="J462" t="str">
            <v>LA OTHER</v>
          </cell>
          <cell r="S462">
            <v>0</v>
          </cell>
          <cell r="T462">
            <v>0</v>
          </cell>
          <cell r="U462">
            <v>0</v>
          </cell>
        </row>
        <row r="463">
          <cell r="C463" t="str">
            <v>MEX-STAFE/TULTITLAN OFFICE IT NETWORK  AND APPLICATION SERVERS LIFECYCLE (PHASE 2/2)</v>
          </cell>
          <cell r="D463" t="str">
            <v>IT</v>
          </cell>
          <cell r="E463" t="str">
            <v>N</v>
          </cell>
          <cell r="F463" t="str">
            <v>LA</v>
          </cell>
          <cell r="H463" t="str">
            <v>Other</v>
          </cell>
          <cell r="I463" t="str">
            <v>SAG - IT</v>
          </cell>
          <cell r="J463" t="str">
            <v>MEX</v>
          </cell>
          <cell r="S463">
            <v>0</v>
          </cell>
          <cell r="T463">
            <v>0</v>
          </cell>
          <cell r="U463">
            <v>0</v>
          </cell>
          <cell r="V463">
            <v>67</v>
          </cell>
          <cell r="W463">
            <v>67</v>
          </cell>
        </row>
        <row r="464">
          <cell r="C464" t="str">
            <v>MEX- Racks</v>
          </cell>
          <cell r="D464" t="str">
            <v>SAG</v>
          </cell>
          <cell r="E464" t="str">
            <v>N</v>
          </cell>
          <cell r="F464" t="str">
            <v>LA</v>
          </cell>
          <cell r="H464" t="str">
            <v>MIXED</v>
          </cell>
          <cell r="I464" t="str">
            <v>SAG - Supply Chain</v>
          </cell>
          <cell r="J464" t="str">
            <v>MEX</v>
          </cell>
          <cell r="S464">
            <v>0</v>
          </cell>
          <cell r="T464">
            <v>0</v>
          </cell>
          <cell r="U464">
            <v>0</v>
          </cell>
          <cell r="V464">
            <v>50</v>
          </cell>
          <cell r="W464">
            <v>50</v>
          </cell>
        </row>
        <row r="465">
          <cell r="C465" t="str">
            <v>MEX - Emergency Power Plant</v>
          </cell>
          <cell r="D465" t="str">
            <v>SAG</v>
          </cell>
          <cell r="E465" t="str">
            <v>N</v>
          </cell>
          <cell r="F465" t="str">
            <v>LA</v>
          </cell>
          <cell r="H465" t="str">
            <v>N/A</v>
          </cell>
          <cell r="I465" t="str">
            <v>SAG - Supply Chain</v>
          </cell>
          <cell r="J465" t="str">
            <v>MEX</v>
          </cell>
          <cell r="S465">
            <v>0</v>
          </cell>
          <cell r="T465">
            <v>0</v>
          </cell>
          <cell r="U465">
            <v>0</v>
          </cell>
        </row>
        <row r="466">
          <cell r="C466" t="str">
            <v xml:space="preserve">MEX - RFID / Barcoding </v>
          </cell>
          <cell r="D466" t="str">
            <v>SAG</v>
          </cell>
          <cell r="E466" t="str">
            <v>N</v>
          </cell>
          <cell r="F466" t="str">
            <v>LA</v>
          </cell>
          <cell r="H466" t="str">
            <v>N/A</v>
          </cell>
          <cell r="I466" t="str">
            <v>SAG - Supply Chain</v>
          </cell>
          <cell r="J466" t="str">
            <v>MEX</v>
          </cell>
          <cell r="S466">
            <v>0</v>
          </cell>
          <cell r="T466">
            <v>0</v>
          </cell>
          <cell r="U466">
            <v>0</v>
          </cell>
        </row>
        <row r="467">
          <cell r="C467" t="str">
            <v>PER - (3) NEW HYDRAULIC PRESSES 52" + UPGRADE STEELASTIC</v>
          </cell>
          <cell r="D467" t="str">
            <v>Growth</v>
          </cell>
          <cell r="E467" t="str">
            <v>N</v>
          </cell>
          <cell r="F467" t="str">
            <v>LA</v>
          </cell>
          <cell r="H467" t="str">
            <v>COMMERCIAL RADIAL</v>
          </cell>
          <cell r="I467" t="str">
            <v>CURING</v>
          </cell>
          <cell r="J467" t="str">
            <v>PER</v>
          </cell>
          <cell r="T467">
            <v>0</v>
          </cell>
          <cell r="U467">
            <v>0</v>
          </cell>
          <cell r="AD467">
            <v>1749</v>
          </cell>
        </row>
        <row r="468">
          <cell r="C468" t="str">
            <v>Blue Racks acquisition</v>
          </cell>
          <cell r="D468" t="str">
            <v>SAG</v>
          </cell>
          <cell r="E468" t="str">
            <v>N</v>
          </cell>
          <cell r="F468" t="str">
            <v>LA</v>
          </cell>
          <cell r="H468" t="str">
            <v>MIXED</v>
          </cell>
          <cell r="I468" t="str">
            <v>SAG - Supply Chain</v>
          </cell>
          <cell r="J468" t="str">
            <v>PER</v>
          </cell>
          <cell r="S468">
            <v>0</v>
          </cell>
          <cell r="T468">
            <v>0</v>
          </cell>
          <cell r="U468">
            <v>0</v>
          </cell>
          <cell r="V468">
            <v>50</v>
          </cell>
          <cell r="W468">
            <v>50</v>
          </cell>
        </row>
        <row r="469">
          <cell r="C469" t="str">
            <v>ADJUSTMENT FOR PRESENTATION (Pigment Room)</v>
          </cell>
          <cell r="D469" t="str">
            <v>Capability</v>
          </cell>
          <cell r="E469" t="str">
            <v>N</v>
          </cell>
          <cell r="F469" t="str">
            <v>LA</v>
          </cell>
          <cell r="H469" t="str">
            <v>Consumer Radial</v>
          </cell>
          <cell r="J469" t="str">
            <v>REG</v>
          </cell>
          <cell r="T469">
            <v>0</v>
          </cell>
          <cell r="U469">
            <v>0</v>
          </cell>
        </row>
        <row r="470">
          <cell r="C470" t="str">
            <v>ADJUSTMENT FOR PRESENTATION (Aztec 1 &amp; NPT additional)</v>
          </cell>
          <cell r="D470" t="str">
            <v>Capability</v>
          </cell>
          <cell r="E470" t="str">
            <v>N</v>
          </cell>
          <cell r="F470" t="str">
            <v>LA</v>
          </cell>
          <cell r="H470" t="str">
            <v>Consumer Radial</v>
          </cell>
          <cell r="J470" t="str">
            <v>REG</v>
          </cell>
          <cell r="T470">
            <v>0</v>
          </cell>
          <cell r="U470">
            <v>0</v>
          </cell>
        </row>
        <row r="471">
          <cell r="C471" t="str">
            <v>ADJUSTMENT FOR PRESENTATION (MRT Expansion)</v>
          </cell>
          <cell r="D471" t="str">
            <v>Growth</v>
          </cell>
          <cell r="E471" t="str">
            <v>N</v>
          </cell>
          <cell r="F471" t="str">
            <v>LA</v>
          </cell>
          <cell r="H471" t="str">
            <v>COMMERCIAL RADIAL</v>
          </cell>
          <cell r="J471" t="str">
            <v>REG</v>
          </cell>
          <cell r="T471">
            <v>0</v>
          </cell>
          <cell r="U471">
            <v>0</v>
          </cell>
        </row>
        <row r="472">
          <cell r="C472" t="str">
            <v>ADJUSTMENT FOR PRESENTATION</v>
          </cell>
          <cell r="D472" t="str">
            <v>IT</v>
          </cell>
          <cell r="E472" t="str">
            <v>N</v>
          </cell>
          <cell r="F472" t="str">
            <v>LA</v>
          </cell>
          <cell r="H472" t="str">
            <v>MIXED</v>
          </cell>
          <cell r="J472" t="str">
            <v>REG</v>
          </cell>
          <cell r="T472">
            <v>0</v>
          </cell>
          <cell r="U472">
            <v>0</v>
          </cell>
        </row>
        <row r="473">
          <cell r="C473" t="str">
            <v>REG - Adjustment Molds</v>
          </cell>
          <cell r="D473" t="str">
            <v>Molds</v>
          </cell>
          <cell r="E473" t="str">
            <v>N</v>
          </cell>
          <cell r="F473" t="str">
            <v>LA</v>
          </cell>
          <cell r="H473" t="str">
            <v>Commercial Radial</v>
          </cell>
          <cell r="I473" t="str">
            <v>Curing</v>
          </cell>
          <cell r="J473" t="str">
            <v>REG</v>
          </cell>
          <cell r="S473">
            <v>0</v>
          </cell>
          <cell r="T473">
            <v>0</v>
          </cell>
          <cell r="U473">
            <v>0</v>
          </cell>
        </row>
        <row r="474">
          <cell r="C474" t="str">
            <v>Mold flexibility</v>
          </cell>
          <cell r="D474" t="str">
            <v>Molds</v>
          </cell>
          <cell r="E474" t="str">
            <v>N</v>
          </cell>
          <cell r="F474" t="str">
            <v>LA</v>
          </cell>
          <cell r="H474" t="str">
            <v>Consumer Radial</v>
          </cell>
          <cell r="I474" t="str">
            <v>Curing</v>
          </cell>
          <cell r="J474" t="str">
            <v>REG</v>
          </cell>
          <cell r="S474">
            <v>0</v>
          </cell>
          <cell r="T474">
            <v>0</v>
          </cell>
          <cell r="U474">
            <v>0</v>
          </cell>
        </row>
        <row r="475">
          <cell r="C475" t="str">
            <v>REG - Adjustment Molds</v>
          </cell>
          <cell r="D475" t="str">
            <v>Molds</v>
          </cell>
          <cell r="E475" t="str">
            <v>N</v>
          </cell>
          <cell r="F475" t="str">
            <v>LA</v>
          </cell>
          <cell r="H475" t="str">
            <v>Consumer Radial</v>
          </cell>
          <cell r="I475" t="str">
            <v>Curing</v>
          </cell>
          <cell r="J475" t="str">
            <v>REG</v>
          </cell>
          <cell r="S475">
            <v>0</v>
          </cell>
          <cell r="T475">
            <v>0</v>
          </cell>
          <cell r="U475">
            <v>0</v>
          </cell>
        </row>
        <row r="476">
          <cell r="C476" t="str">
            <v>ADJUSTMENT FOR PRESENTATION (PER Directional)</v>
          </cell>
          <cell r="D476" t="str">
            <v>Molds</v>
          </cell>
          <cell r="E476" t="str">
            <v>N</v>
          </cell>
          <cell r="F476" t="str">
            <v>LA</v>
          </cell>
          <cell r="H476" t="str">
            <v>Consumer Radial</v>
          </cell>
          <cell r="J476" t="str">
            <v>REG</v>
          </cell>
          <cell r="T476">
            <v>0</v>
          </cell>
          <cell r="U476">
            <v>0</v>
          </cell>
        </row>
        <row r="477">
          <cell r="C477" t="str">
            <v>ADJUSTMENT FOR PRESENTATION (AME Direectional)</v>
          </cell>
          <cell r="D477" t="str">
            <v>Molds</v>
          </cell>
          <cell r="E477" t="str">
            <v>N</v>
          </cell>
          <cell r="F477" t="str">
            <v>LA</v>
          </cell>
          <cell r="H477" t="str">
            <v>Consumer Radial</v>
          </cell>
          <cell r="J477" t="str">
            <v>REG</v>
          </cell>
          <cell r="T477">
            <v>0</v>
          </cell>
          <cell r="U477">
            <v>0</v>
          </cell>
        </row>
        <row r="478">
          <cell r="C478" t="str">
            <v>ADJUSTMENT FOR PRESENTATION</v>
          </cell>
          <cell r="D478" t="str">
            <v>Molds NA</v>
          </cell>
          <cell r="E478" t="str">
            <v>N</v>
          </cell>
          <cell r="F478" t="str">
            <v>LA</v>
          </cell>
          <cell r="H478" t="str">
            <v>Consumer Radial</v>
          </cell>
          <cell r="J478" t="str">
            <v>REG</v>
          </cell>
          <cell r="T478">
            <v>0</v>
          </cell>
          <cell r="U478">
            <v>0</v>
          </cell>
        </row>
        <row r="479">
          <cell r="C479" t="str">
            <v>ADJUSTMENT FOR PRESENTATION</v>
          </cell>
          <cell r="D479" t="str">
            <v>Quality - Improvement</v>
          </cell>
          <cell r="E479" t="str">
            <v>N</v>
          </cell>
          <cell r="F479" t="str">
            <v>LA</v>
          </cell>
          <cell r="H479" t="str">
            <v>Consumer Radial</v>
          </cell>
          <cell r="J479" t="str">
            <v>REG</v>
          </cell>
          <cell r="T479">
            <v>0</v>
          </cell>
          <cell r="U479">
            <v>0</v>
          </cell>
        </row>
        <row r="480">
          <cell r="C480" t="str">
            <v>eCommerce Capabilities</v>
          </cell>
          <cell r="D480" t="str">
            <v>SAG</v>
          </cell>
          <cell r="E480" t="str">
            <v>N</v>
          </cell>
          <cell r="F480" t="str">
            <v>LA</v>
          </cell>
          <cell r="H480" t="str">
            <v>N/A</v>
          </cell>
          <cell r="I480" t="str">
            <v>SAG - Sales &amp; Marketing</v>
          </cell>
          <cell r="J480" t="str">
            <v>REG</v>
          </cell>
          <cell r="S480">
            <v>0</v>
          </cell>
          <cell r="T480">
            <v>0</v>
          </cell>
          <cell r="U480">
            <v>0</v>
          </cell>
          <cell r="AD480">
            <v>100</v>
          </cell>
        </row>
        <row r="481">
          <cell r="C481" t="str">
            <v>City Service Successor</v>
          </cell>
          <cell r="D481" t="str">
            <v>Molds</v>
          </cell>
          <cell r="E481" t="str">
            <v>N</v>
          </cell>
          <cell r="F481" t="str">
            <v>LA</v>
          </cell>
          <cell r="H481" t="str">
            <v>Retread</v>
          </cell>
          <cell r="I481" t="str">
            <v>Curing</v>
          </cell>
          <cell r="J481" t="str">
            <v>RET</v>
          </cell>
          <cell r="S481">
            <v>0</v>
          </cell>
          <cell r="T481">
            <v>0</v>
          </cell>
          <cell r="U481">
            <v>0</v>
          </cell>
          <cell r="V481">
            <v>104</v>
          </cell>
          <cell r="W481">
            <v>104</v>
          </cell>
        </row>
        <row r="482">
          <cell r="C482" t="str">
            <v>SLP AZTECA 1</v>
          </cell>
          <cell r="D482" t="str">
            <v>Capability</v>
          </cell>
          <cell r="E482" t="str">
            <v>N</v>
          </cell>
          <cell r="F482" t="str">
            <v>LA</v>
          </cell>
          <cell r="H482" t="str">
            <v>Consumer Radial</v>
          </cell>
          <cell r="I482" t="str">
            <v>FINAL FINISH</v>
          </cell>
          <cell r="J482" t="str">
            <v>San Luis Potosi</v>
          </cell>
          <cell r="T482">
            <v>0</v>
          </cell>
          <cell r="U482">
            <v>0</v>
          </cell>
        </row>
        <row r="483">
          <cell r="C483" t="str">
            <v>SLP - WSW (50 mold position)</v>
          </cell>
          <cell r="D483" t="str">
            <v>Capability</v>
          </cell>
          <cell r="E483" t="str">
            <v>N</v>
          </cell>
          <cell r="F483" t="str">
            <v>LA</v>
          </cell>
          <cell r="H483" t="str">
            <v>Consumer Radial</v>
          </cell>
          <cell r="I483" t="str">
            <v>CURING</v>
          </cell>
          <cell r="J483" t="str">
            <v>San Luis Potosi</v>
          </cell>
          <cell r="T483">
            <v>0</v>
          </cell>
          <cell r="U483">
            <v>0</v>
          </cell>
        </row>
        <row r="484">
          <cell r="C484" t="str">
            <v>Additional Oil Tank # 8 (Blinic)</v>
          </cell>
          <cell r="D484" t="str">
            <v>Capability</v>
          </cell>
          <cell r="E484" t="str">
            <v>N</v>
          </cell>
          <cell r="F484" t="str">
            <v>LA</v>
          </cell>
          <cell r="H484" t="str">
            <v>Consumer Radial</v>
          </cell>
          <cell r="I484" t="str">
            <v>Mixing</v>
          </cell>
          <cell r="J484" t="str">
            <v>San Luis Potosi</v>
          </cell>
          <cell r="S484">
            <v>0</v>
          </cell>
          <cell r="T484">
            <v>0</v>
          </cell>
          <cell r="U484">
            <v>0</v>
          </cell>
        </row>
        <row r="485">
          <cell r="C485" t="str">
            <v>SLP - Solar Panels Parking area</v>
          </cell>
          <cell r="D485" t="str">
            <v>Energy Conservation</v>
          </cell>
          <cell r="E485" t="str">
            <v>N</v>
          </cell>
          <cell r="F485" t="str">
            <v>LA</v>
          </cell>
          <cell r="H485" t="str">
            <v>Consumer Radial</v>
          </cell>
          <cell r="I485" t="str">
            <v>FACILITIES/INFRASTRUCTURE</v>
          </cell>
          <cell r="J485" t="str">
            <v>San Luis Potosi</v>
          </cell>
          <cell r="T485">
            <v>0</v>
          </cell>
          <cell r="U485">
            <v>0</v>
          </cell>
        </row>
        <row r="486">
          <cell r="C486" t="str">
            <v>MEX-SLP - Tread Extruder 6" screw Replace - Mid</v>
          </cell>
          <cell r="D486" t="str">
            <v>Facilities Sustaining</v>
          </cell>
          <cell r="E486" t="str">
            <v>N</v>
          </cell>
          <cell r="F486" t="str">
            <v>LA</v>
          </cell>
          <cell r="H486" t="str">
            <v>Consumer Radial</v>
          </cell>
          <cell r="I486" t="str">
            <v>N/A</v>
          </cell>
          <cell r="J486" t="str">
            <v>San Luis Potosi</v>
          </cell>
          <cell r="S486">
            <v>0</v>
          </cell>
          <cell r="T486">
            <v>0</v>
          </cell>
          <cell r="U486">
            <v>0</v>
          </cell>
          <cell r="V486">
            <v>59.583333333333321</v>
          </cell>
          <cell r="W486">
            <v>59.583333333333321</v>
          </cell>
        </row>
        <row r="487">
          <cell r="C487" t="str">
            <v>MEX-SLP - Tread Extruder 6" screw Replace - Bottom</v>
          </cell>
          <cell r="D487" t="str">
            <v>Facilities Sustaining</v>
          </cell>
          <cell r="E487" t="str">
            <v>N</v>
          </cell>
          <cell r="F487" t="str">
            <v>LA</v>
          </cell>
          <cell r="H487" t="str">
            <v>Consumer Radial</v>
          </cell>
          <cell r="I487" t="str">
            <v>N/A</v>
          </cell>
          <cell r="J487" t="str">
            <v>San Luis Potosi</v>
          </cell>
          <cell r="S487">
            <v>0</v>
          </cell>
          <cell r="T487">
            <v>0</v>
          </cell>
          <cell r="U487">
            <v>0</v>
          </cell>
          <cell r="V487">
            <v>59.583333333333321</v>
          </cell>
          <cell r="W487">
            <v>59.583333333333321</v>
          </cell>
        </row>
        <row r="488">
          <cell r="C488" t="str">
            <v>MEX-SLP - Apexer #1 Extruder 3 1/2" screew Replacement</v>
          </cell>
          <cell r="D488" t="str">
            <v>Facilities Sustaining</v>
          </cell>
          <cell r="E488" t="str">
            <v>N</v>
          </cell>
          <cell r="F488" t="str">
            <v>LA</v>
          </cell>
          <cell r="H488" t="str">
            <v>Consumer Radial</v>
          </cell>
          <cell r="I488" t="str">
            <v>N/A</v>
          </cell>
          <cell r="J488" t="str">
            <v>San Luis Potosi</v>
          </cell>
          <cell r="S488">
            <v>0</v>
          </cell>
          <cell r="T488">
            <v>0</v>
          </cell>
          <cell r="U488">
            <v>0</v>
          </cell>
          <cell r="V488">
            <v>50.416666666666671</v>
          </cell>
          <cell r="W488">
            <v>50.416666666666671</v>
          </cell>
        </row>
        <row r="489">
          <cell r="C489" t="str">
            <v>SLP - AS400 upgrade</v>
          </cell>
          <cell r="D489" t="str">
            <v>IT</v>
          </cell>
          <cell r="E489" t="str">
            <v>N</v>
          </cell>
          <cell r="F489" t="str">
            <v>LA</v>
          </cell>
          <cell r="H489" t="str">
            <v>Consumer Radial</v>
          </cell>
          <cell r="I489" t="str">
            <v>SAG - IT</v>
          </cell>
          <cell r="J489" t="str">
            <v>San Luis Potosi</v>
          </cell>
          <cell r="T489">
            <v>0</v>
          </cell>
          <cell r="U489">
            <v>0</v>
          </cell>
        </row>
        <row r="490">
          <cell r="C490" t="str">
            <v>SLP-SLP IT NETWORK DEVICES REFRESH BY LIFECYCLE (PHASE 2/5)</v>
          </cell>
          <cell r="D490" t="str">
            <v>IT</v>
          </cell>
          <cell r="E490" t="str">
            <v>N</v>
          </cell>
          <cell r="F490" t="str">
            <v>LA</v>
          </cell>
          <cell r="H490" t="str">
            <v>N/A</v>
          </cell>
          <cell r="I490" t="str">
            <v>SAG - IT</v>
          </cell>
          <cell r="J490" t="str">
            <v>San Luis Potosi</v>
          </cell>
          <cell r="S490">
            <v>0</v>
          </cell>
          <cell r="T490">
            <v>0</v>
          </cell>
          <cell r="U490">
            <v>0</v>
          </cell>
          <cell r="V490">
            <v>199.18</v>
          </cell>
          <cell r="W490">
            <v>199.18</v>
          </cell>
        </row>
        <row r="491">
          <cell r="C491" t="str">
            <v>SLP-SLP MANUFACTURING APPLICATIONS SERVERS UPDATE REFRESH (PHASE 1/2)</v>
          </cell>
          <cell r="D491" t="str">
            <v>IT</v>
          </cell>
          <cell r="E491" t="str">
            <v>N</v>
          </cell>
          <cell r="F491" t="str">
            <v>LA</v>
          </cell>
          <cell r="H491" t="str">
            <v>N/A</v>
          </cell>
          <cell r="I491" t="str">
            <v>SAG - IT</v>
          </cell>
          <cell r="J491" t="str">
            <v>San Luis Potosi</v>
          </cell>
          <cell r="T491">
            <v>0</v>
          </cell>
          <cell r="U491">
            <v>0</v>
          </cell>
          <cell r="V491">
            <v>60</v>
          </cell>
          <cell r="W491">
            <v>60</v>
          </cell>
        </row>
        <row r="492">
          <cell r="C492" t="str">
            <v>SLP-SLP IT NETWORK DEVICES REFRESH BY LIFECYCLE (PHASE 1/5)</v>
          </cell>
          <cell r="D492" t="str">
            <v>IT</v>
          </cell>
          <cell r="E492" t="str">
            <v>N</v>
          </cell>
          <cell r="F492" t="str">
            <v>LA</v>
          </cell>
          <cell r="H492" t="str">
            <v>N/A</v>
          </cell>
          <cell r="I492" t="str">
            <v>SAG - IT</v>
          </cell>
          <cell r="J492" t="str">
            <v>San Luis Potosi</v>
          </cell>
          <cell r="S492">
            <v>0</v>
          </cell>
          <cell r="T492">
            <v>0</v>
          </cell>
          <cell r="U492">
            <v>0</v>
          </cell>
          <cell r="V492">
            <v>30</v>
          </cell>
          <cell r="W492">
            <v>30</v>
          </cell>
        </row>
        <row r="493">
          <cell r="C493" t="str">
            <v>SLP-SLP COMPUTER ROOM REFRESH BY LIFECYCLE</v>
          </cell>
          <cell r="D493" t="str">
            <v>IT</v>
          </cell>
          <cell r="E493" t="str">
            <v>N</v>
          </cell>
          <cell r="F493" t="str">
            <v>LA</v>
          </cell>
          <cell r="H493" t="str">
            <v>N/A</v>
          </cell>
          <cell r="I493" t="str">
            <v>SAG - IT</v>
          </cell>
          <cell r="J493" t="str">
            <v>San Luis Potosi</v>
          </cell>
          <cell r="S493">
            <v>0</v>
          </cell>
          <cell r="T493">
            <v>0</v>
          </cell>
          <cell r="U493">
            <v>0</v>
          </cell>
          <cell r="V493">
            <v>100</v>
          </cell>
          <cell r="W493">
            <v>100</v>
          </cell>
        </row>
        <row r="494">
          <cell r="C494" t="str">
            <v>SLP - Flexibility OE</v>
          </cell>
          <cell r="D494" t="str">
            <v>Molds</v>
          </cell>
          <cell r="E494" t="str">
            <v>N</v>
          </cell>
          <cell r="F494" t="str">
            <v>LA</v>
          </cell>
          <cell r="H494" t="str">
            <v>Consumer Radial</v>
          </cell>
          <cell r="I494" t="str">
            <v>Curing</v>
          </cell>
          <cell r="J494" t="str">
            <v>San Luis Potosi</v>
          </cell>
          <cell r="S494">
            <v>0</v>
          </cell>
          <cell r="T494">
            <v>0</v>
          </cell>
          <cell r="U494">
            <v>0</v>
          </cell>
        </row>
        <row r="495">
          <cell r="C495" t="str">
            <v>Auto sampling for Mixer # 3</v>
          </cell>
          <cell r="D495" t="str">
            <v>Quality - Cost Savings</v>
          </cell>
          <cell r="E495" t="str">
            <v>N</v>
          </cell>
          <cell r="F495" t="str">
            <v>LA</v>
          </cell>
          <cell r="H495" t="str">
            <v>Consumer Radial</v>
          </cell>
          <cell r="I495" t="str">
            <v>Mixing</v>
          </cell>
          <cell r="J495" t="str">
            <v>San Luis Potosi</v>
          </cell>
          <cell r="S495">
            <v>0</v>
          </cell>
          <cell r="T495">
            <v>0</v>
          </cell>
          <cell r="U495">
            <v>0</v>
          </cell>
          <cell r="V495">
            <v>110</v>
          </cell>
          <cell r="W495">
            <v>110</v>
          </cell>
        </row>
        <row r="496">
          <cell r="C496" t="str">
            <v>SLP - White sidewall cutter for recovery</v>
          </cell>
          <cell r="D496" t="str">
            <v>Quality - Cost Savings</v>
          </cell>
          <cell r="E496" t="str">
            <v>N</v>
          </cell>
          <cell r="F496" t="str">
            <v>LA</v>
          </cell>
          <cell r="H496" t="str">
            <v>Consumer Radial</v>
          </cell>
          <cell r="I496" t="str">
            <v>Component prep</v>
          </cell>
          <cell r="J496" t="str">
            <v>San Luis Potosi</v>
          </cell>
          <cell r="S496">
            <v>0</v>
          </cell>
          <cell r="T496">
            <v>0</v>
          </cell>
          <cell r="U496">
            <v>0</v>
          </cell>
          <cell r="V496">
            <v>120</v>
          </cell>
          <cell r="W496">
            <v>120</v>
          </cell>
        </row>
        <row r="497">
          <cell r="C497" t="str">
            <v>Win in OE - Ford Ranger EQ - SLP?</v>
          </cell>
          <cell r="D497" t="str">
            <v>Quality - Improvement</v>
          </cell>
          <cell r="E497" t="str">
            <v>N</v>
          </cell>
          <cell r="F497" t="str">
            <v>LA</v>
          </cell>
          <cell r="H497" t="str">
            <v>LA Win in OE</v>
          </cell>
          <cell r="I497" t="str">
            <v>Curing</v>
          </cell>
          <cell r="J497" t="str">
            <v>San Luis Potosi</v>
          </cell>
          <cell r="S497">
            <v>0</v>
          </cell>
          <cell r="T497">
            <v>0</v>
          </cell>
          <cell r="U497">
            <v>0</v>
          </cell>
          <cell r="V497">
            <v>137.5</v>
          </cell>
          <cell r="W497">
            <v>137.5</v>
          </cell>
        </row>
        <row r="498">
          <cell r="C498" t="str">
            <v>Vision system for three Ply machines</v>
          </cell>
          <cell r="D498" t="str">
            <v>Quality - Improvement</v>
          </cell>
          <cell r="E498" t="str">
            <v>N</v>
          </cell>
          <cell r="F498" t="str">
            <v>LA</v>
          </cell>
          <cell r="H498" t="str">
            <v>Consumer Radial</v>
          </cell>
          <cell r="I498" t="str">
            <v>Component Prep Other</v>
          </cell>
          <cell r="J498" t="str">
            <v>San Luis Potosi</v>
          </cell>
          <cell r="S498">
            <v>0</v>
          </cell>
          <cell r="T498">
            <v>0</v>
          </cell>
          <cell r="U498">
            <v>0</v>
          </cell>
          <cell r="V498">
            <v>128.33333333333334</v>
          </cell>
          <cell r="W498">
            <v>128.33333333333334</v>
          </cell>
        </row>
        <row r="499">
          <cell r="T499">
            <v>0</v>
          </cell>
          <cell r="U499">
            <v>0</v>
          </cell>
        </row>
        <row r="500">
          <cell r="T500">
            <v>0</v>
          </cell>
          <cell r="U500">
            <v>0</v>
          </cell>
        </row>
        <row r="501">
          <cell r="T501">
            <v>0</v>
          </cell>
          <cell r="U501">
            <v>0</v>
          </cell>
        </row>
        <row r="502">
          <cell r="T502">
            <v>0</v>
          </cell>
          <cell r="U502">
            <v>0</v>
          </cell>
        </row>
        <row r="503">
          <cell r="T503">
            <v>0</v>
          </cell>
          <cell r="U503">
            <v>0</v>
          </cell>
        </row>
        <row r="504">
          <cell r="T504">
            <v>0</v>
          </cell>
          <cell r="U504">
            <v>0</v>
          </cell>
        </row>
        <row r="505">
          <cell r="T505">
            <v>0</v>
          </cell>
          <cell r="U505">
            <v>0</v>
          </cell>
        </row>
        <row r="506">
          <cell r="T506">
            <v>0</v>
          </cell>
          <cell r="U506">
            <v>0</v>
          </cell>
        </row>
        <row r="507">
          <cell r="T507">
            <v>0</v>
          </cell>
          <cell r="U507">
            <v>0</v>
          </cell>
        </row>
        <row r="508">
          <cell r="T508">
            <v>0</v>
          </cell>
          <cell r="U508">
            <v>0</v>
          </cell>
        </row>
        <row r="509">
          <cell r="T509">
            <v>0</v>
          </cell>
          <cell r="U509">
            <v>0</v>
          </cell>
        </row>
        <row r="510">
          <cell r="T510">
            <v>0</v>
          </cell>
          <cell r="U510">
            <v>0</v>
          </cell>
        </row>
        <row r="511">
          <cell r="T511">
            <v>0</v>
          </cell>
          <cell r="U511">
            <v>0</v>
          </cell>
        </row>
        <row r="512">
          <cell r="T512">
            <v>0</v>
          </cell>
          <cell r="U512">
            <v>0</v>
          </cell>
        </row>
        <row r="513">
          <cell r="T513">
            <v>0</v>
          </cell>
          <cell r="U513">
            <v>0</v>
          </cell>
        </row>
        <row r="514">
          <cell r="C514" t="str">
            <v>MEX - REGIONAL ADJUSTMENT</v>
          </cell>
          <cell r="D514" t="str">
            <v>SAG</v>
          </cell>
          <cell r="E514" t="str">
            <v>N</v>
          </cell>
          <cell r="F514" t="str">
            <v>LA</v>
          </cell>
          <cell r="G514">
            <v>0</v>
          </cell>
          <cell r="H514" t="str">
            <v>N/A</v>
          </cell>
          <cell r="I514">
            <v>0</v>
          </cell>
          <cell r="J514" t="str">
            <v>MEX</v>
          </cell>
          <cell r="S514">
            <v>-0.21475999999978379</v>
          </cell>
          <cell r="T514">
            <v>-1.8532099999997838</v>
          </cell>
          <cell r="U514">
            <v>0</v>
          </cell>
          <cell r="V514">
            <v>-6.3510000000007061E-2</v>
          </cell>
          <cell r="W514">
            <v>-6.3510000000007061E-2</v>
          </cell>
        </row>
        <row r="515">
          <cell r="B515" t="str">
            <v>x2</v>
          </cell>
          <cell r="C515" t="str">
            <v>AME - REGIONAL ADJUSTMENT</v>
          </cell>
          <cell r="D515" t="str">
            <v>Facilities Sustaining</v>
          </cell>
          <cell r="E515" t="str">
            <v>N</v>
          </cell>
          <cell r="F515" t="str">
            <v>LA</v>
          </cell>
          <cell r="G515">
            <v>0</v>
          </cell>
          <cell r="H515" t="str">
            <v>Mixed</v>
          </cell>
          <cell r="I515">
            <v>0</v>
          </cell>
          <cell r="J515" t="str">
            <v>AME</v>
          </cell>
          <cell r="S515">
            <v>-257.29108450936906</v>
          </cell>
          <cell r="T515">
            <v>-1003.5149145093706</v>
          </cell>
          <cell r="U515">
            <v>257.29999999999995</v>
          </cell>
          <cell r="V515">
            <v>162.76861000000011</v>
          </cell>
          <cell r="W515">
            <v>142.76861</v>
          </cell>
          <cell r="AD515">
            <v>0</v>
          </cell>
        </row>
        <row r="516">
          <cell r="C516" t="str">
            <v>ADEQUAÇÃO NR 12 - E1/E2 &amp; LRF</v>
          </cell>
          <cell r="D516" t="str">
            <v>EHS</v>
          </cell>
          <cell r="E516" t="str">
            <v>N</v>
          </cell>
          <cell r="F516" t="str">
            <v>LA</v>
          </cell>
          <cell r="G516" t="str">
            <v>COMP</v>
          </cell>
          <cell r="H516" t="str">
            <v>OTR</v>
          </cell>
          <cell r="I516" t="str">
            <v>OTHER</v>
          </cell>
          <cell r="J516" t="str">
            <v>AME</v>
          </cell>
          <cell r="T516">
            <v>0</v>
          </cell>
          <cell r="U516">
            <v>0</v>
          </cell>
        </row>
        <row r="517">
          <cell r="C517" t="str">
            <v>COL - REGIONAL ADJUSTMENT</v>
          </cell>
          <cell r="D517" t="str">
            <v>Facilities Sustaining</v>
          </cell>
          <cell r="E517" t="str">
            <v>N</v>
          </cell>
          <cell r="F517" t="str">
            <v>LA</v>
          </cell>
          <cell r="G517">
            <v>0</v>
          </cell>
          <cell r="H517" t="str">
            <v>N/A</v>
          </cell>
          <cell r="I517">
            <v>0</v>
          </cell>
          <cell r="J517" t="str">
            <v>COL</v>
          </cell>
          <cell r="S517">
            <v>-80.838419999999644</v>
          </cell>
          <cell r="T517">
            <v>57.532850000000479</v>
          </cell>
          <cell r="U517">
            <v>-108.886</v>
          </cell>
          <cell r="V517">
            <v>-634.28649999999993</v>
          </cell>
          <cell r="W517">
            <v>-634.28649999999993</v>
          </cell>
        </row>
        <row r="518">
          <cell r="C518" t="str">
            <v>GNV vs GLP EMPILHADEIRAS</v>
          </cell>
          <cell r="D518" t="str">
            <v>Facilities Sustaining</v>
          </cell>
          <cell r="E518" t="str">
            <v>N</v>
          </cell>
          <cell r="F518" t="str">
            <v>LA</v>
          </cell>
          <cell r="H518" t="str">
            <v>Other</v>
          </cell>
          <cell r="I518" t="str">
            <v>FACILITIES/INFRASTRUCTURE</v>
          </cell>
          <cell r="J518" t="str">
            <v>AME</v>
          </cell>
          <cell r="T518">
            <v>0</v>
          </cell>
          <cell r="U518">
            <v>0</v>
          </cell>
        </row>
        <row r="519">
          <cell r="C519" t="str">
            <v>PICKER ROLL 8X8</v>
          </cell>
          <cell r="D519" t="str">
            <v>Quality - Improvement</v>
          </cell>
          <cell r="E519" t="str">
            <v>N</v>
          </cell>
          <cell r="F519" t="str">
            <v>LA</v>
          </cell>
          <cell r="H519" t="str">
            <v>MIXED</v>
          </cell>
          <cell r="I519" t="str">
            <v>MIXING</v>
          </cell>
          <cell r="J519" t="str">
            <v>AME</v>
          </cell>
          <cell r="T519">
            <v>0</v>
          </cell>
          <cell r="U519">
            <v>0</v>
          </cell>
          <cell r="V519">
            <v>67.339494534502975</v>
          </cell>
          <cell r="W519">
            <v>67.339494534502975</v>
          </cell>
        </row>
        <row r="520">
          <cell r="C520" t="str">
            <v>RET - Additional Curing &amp; Buffer</v>
          </cell>
          <cell r="D520" t="str">
            <v>Capability</v>
          </cell>
          <cell r="E520" t="str">
            <v>N</v>
          </cell>
          <cell r="F520" t="str">
            <v>LA</v>
          </cell>
          <cell r="H520" t="str">
            <v>RETREAD</v>
          </cell>
          <cell r="I520" t="str">
            <v>Other</v>
          </cell>
          <cell r="J520" t="str">
            <v>RET</v>
          </cell>
          <cell r="S520">
            <v>0</v>
          </cell>
          <cell r="T520">
            <v>0</v>
          </cell>
          <cell r="U520">
            <v>0</v>
          </cell>
          <cell r="V520">
            <v>400</v>
          </cell>
          <cell r="W520">
            <v>400</v>
          </cell>
        </row>
        <row r="521">
          <cell r="C521" t="str">
            <v>AER - SIO MH50 Press</v>
          </cell>
          <cell r="D521" t="str">
            <v>Capability</v>
          </cell>
          <cell r="E521" t="str">
            <v>N</v>
          </cell>
          <cell r="F521" t="str">
            <v>LA</v>
          </cell>
          <cell r="H521" t="str">
            <v>AVIATION</v>
          </cell>
          <cell r="I521" t="str">
            <v>Other</v>
          </cell>
          <cell r="J521" t="str">
            <v>SAO</v>
          </cell>
          <cell r="S521">
            <v>0</v>
          </cell>
          <cell r="T521">
            <v>0</v>
          </cell>
          <cell r="U521">
            <v>0</v>
          </cell>
          <cell r="V521">
            <v>133.5</v>
          </cell>
          <cell r="W521">
            <v>133.5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s"/>
      <sheetName val="Cap Int Est"/>
      <sheetName val="Planilha3"/>
      <sheetName val="Database"/>
      <sheetName val="Reports"/>
      <sheetName val="Comparison"/>
      <sheetName val="Comparison (2)"/>
      <sheetName val="Dinamics"/>
      <sheetName val="LA 8+4'21"/>
      <sheetName val="Graph "/>
      <sheetName val="Sheet1"/>
    </sheetNames>
    <sheetDataSet>
      <sheetData sheetId="0"/>
      <sheetData sheetId="1"/>
      <sheetData sheetId="2"/>
      <sheetData sheetId="3">
        <row r="143">
          <cell r="B143" t="str">
            <v>LCP-200185</v>
          </cell>
          <cell r="C143" t="str">
            <v>(VMI) AMERICANA CONSUMER HMC TIRE BUILDING</v>
          </cell>
          <cell r="D143" t="str">
            <v>Capability</v>
          </cell>
          <cell r="E143" t="str">
            <v>N</v>
          </cell>
          <cell r="F143" t="str">
            <v>LA</v>
          </cell>
          <cell r="H143" t="str">
            <v>Consumer Radial</v>
          </cell>
          <cell r="I143" t="str">
            <v>Tire Assembly</v>
          </cell>
          <cell r="J143" t="str">
            <v>AME</v>
          </cell>
          <cell r="Q143">
            <v>14300</v>
          </cell>
          <cell r="S143">
            <v>1.5407200000000003</v>
          </cell>
          <cell r="T143">
            <v>25.660879999999999</v>
          </cell>
          <cell r="U143">
            <v>1125.17911</v>
          </cell>
          <cell r="V143">
            <v>4816</v>
          </cell>
          <cell r="W143">
            <v>4816</v>
          </cell>
          <cell r="X143">
            <v>1833.52071</v>
          </cell>
          <cell r="Y143">
            <v>810.19320999999991</v>
          </cell>
          <cell r="AD143">
            <v>10000</v>
          </cell>
        </row>
        <row r="144">
          <cell r="B144" t="str">
            <v>LCP-XXXXX4</v>
          </cell>
          <cell r="C144" t="str">
            <v>AME - Pigment Room</v>
          </cell>
          <cell r="D144" t="str">
            <v>Capability</v>
          </cell>
          <cell r="E144" t="str">
            <v>N</v>
          </cell>
          <cell r="F144" t="str">
            <v>LA</v>
          </cell>
          <cell r="H144" t="str">
            <v>MIXED</v>
          </cell>
          <cell r="I144" t="str">
            <v>COMPONENT PREP OTHER</v>
          </cell>
          <cell r="J144" t="str">
            <v>AME</v>
          </cell>
          <cell r="T144">
            <v>0</v>
          </cell>
          <cell r="U144">
            <v>0</v>
          </cell>
          <cell r="AD144">
            <v>9000</v>
          </cell>
        </row>
        <row r="145">
          <cell r="B145" t="str">
            <v>LCP-XXXY12</v>
          </cell>
          <cell r="C145" t="str">
            <v>AME - COGEN OVERHAUL</v>
          </cell>
          <cell r="D145" t="str">
            <v>Facilities Sustaining</v>
          </cell>
          <cell r="E145" t="str">
            <v>N</v>
          </cell>
          <cell r="F145" t="str">
            <v>LA</v>
          </cell>
          <cell r="J145" t="str">
            <v>AME</v>
          </cell>
          <cell r="T145">
            <v>0</v>
          </cell>
          <cell r="U145">
            <v>800</v>
          </cell>
          <cell r="AD145">
            <v>4435</v>
          </cell>
        </row>
        <row r="146">
          <cell r="B146" t="str">
            <v>LCP-210083</v>
          </cell>
          <cell r="C146" t="str">
            <v xml:space="preserve">RET - FLAT PRECURED EXPANSION </v>
          </cell>
          <cell r="D146" t="str">
            <v>Growth</v>
          </cell>
          <cell r="E146" t="str">
            <v>N</v>
          </cell>
          <cell r="F146" t="str">
            <v>LA</v>
          </cell>
          <cell r="H146" t="str">
            <v>RETREAD</v>
          </cell>
          <cell r="I146" t="str">
            <v>CURING</v>
          </cell>
          <cell r="J146" t="str">
            <v>RET</v>
          </cell>
          <cell r="T146">
            <v>23.769369999999999</v>
          </cell>
          <cell r="U146">
            <v>1974.0534600000001</v>
          </cell>
          <cell r="W146">
            <v>1000</v>
          </cell>
          <cell r="X146">
            <v>3518.3222299999998</v>
          </cell>
          <cell r="Y146">
            <v>206.25109</v>
          </cell>
          <cell r="AD146">
            <v>3314</v>
          </cell>
        </row>
        <row r="147">
          <cell r="B147" t="str">
            <v>LCP-210086</v>
          </cell>
          <cell r="C147" t="str">
            <v>AME - NEW MRT KOKUSAI MACHINE</v>
          </cell>
          <cell r="D147" t="str">
            <v>Capability</v>
          </cell>
          <cell r="E147" t="str">
            <v>N</v>
          </cell>
          <cell r="F147" t="str">
            <v>LA</v>
          </cell>
          <cell r="H147" t="str">
            <v>COMMERCIAL RADIAL</v>
          </cell>
          <cell r="I147" t="str">
            <v>FINAL FINISH</v>
          </cell>
          <cell r="J147" t="str">
            <v>AME</v>
          </cell>
          <cell r="T147">
            <v>0</v>
          </cell>
          <cell r="U147">
            <v>0</v>
          </cell>
          <cell r="AD147">
            <v>2764</v>
          </cell>
        </row>
        <row r="148">
          <cell r="B148" t="str">
            <v>LCP-210200</v>
          </cell>
          <cell r="C148" t="str">
            <v>AME - MIXER#3 BODY REPLACEMENT</v>
          </cell>
          <cell r="D148" t="str">
            <v>Facilities Sustaining</v>
          </cell>
          <cell r="E148" t="str">
            <v>N</v>
          </cell>
          <cell r="F148" t="str">
            <v>LA</v>
          </cell>
          <cell r="J148" t="str">
            <v>AME</v>
          </cell>
          <cell r="AD148">
            <v>1300</v>
          </cell>
        </row>
        <row r="149">
          <cell r="B149" t="str">
            <v>LCP-210078</v>
          </cell>
          <cell r="C149" t="str">
            <v>PNC - PNEUMATIC CORE CONSTRUCTION</v>
          </cell>
          <cell r="D149" t="str">
            <v>Capability</v>
          </cell>
          <cell r="E149" t="str">
            <v>N</v>
          </cell>
          <cell r="F149" t="str">
            <v>LA</v>
          </cell>
          <cell r="H149" t="str">
            <v>LA Win in OE</v>
          </cell>
          <cell r="I149" t="str">
            <v>N/A</v>
          </cell>
          <cell r="J149" t="str">
            <v>AME</v>
          </cell>
          <cell r="S149">
            <v>0</v>
          </cell>
          <cell r="T149">
            <v>0</v>
          </cell>
          <cell r="U149">
            <v>150.19999999999999</v>
          </cell>
          <cell r="V149">
            <v>999.7</v>
          </cell>
          <cell r="W149">
            <v>999.7</v>
          </cell>
          <cell r="X149">
            <v>684</v>
          </cell>
          <cell r="Y149">
            <v>0</v>
          </cell>
          <cell r="AD149">
            <v>1207.7249400000001</v>
          </cell>
        </row>
        <row r="150">
          <cell r="B150" t="str">
            <v>LCP-190215</v>
          </cell>
          <cell r="C150" t="str">
            <v>CONTOUR CORRECTION MACHINE</v>
          </cell>
          <cell r="D150" t="str">
            <v>Quality - Improvement</v>
          </cell>
          <cell r="E150" t="str">
            <v>N</v>
          </cell>
          <cell r="F150" t="str">
            <v>LA</v>
          </cell>
          <cell r="H150" t="str">
            <v>CONSUMER RADIAL</v>
          </cell>
          <cell r="I150" t="str">
            <v>OTHER</v>
          </cell>
          <cell r="J150" t="str">
            <v>AME</v>
          </cell>
          <cell r="O150">
            <v>1244.5036</v>
          </cell>
          <cell r="Q150">
            <v>1244.5036</v>
          </cell>
          <cell r="S150">
            <v>0.98018000000000005</v>
          </cell>
          <cell r="T150">
            <v>9.8801800000000011</v>
          </cell>
          <cell r="U150">
            <v>141</v>
          </cell>
          <cell r="V150">
            <v>1244</v>
          </cell>
          <cell r="W150">
            <v>1244</v>
          </cell>
          <cell r="X150">
            <v>71.554779999999994</v>
          </cell>
          <cell r="Y150">
            <v>68.212740000000011</v>
          </cell>
          <cell r="Z150">
            <v>1243.52342</v>
          </cell>
          <cell r="AA150">
            <v>-1243.52342</v>
          </cell>
          <cell r="AB150">
            <v>141.98017999999999</v>
          </cell>
          <cell r="AC150">
            <v>-1102.52342</v>
          </cell>
          <cell r="AD150">
            <v>1087.8</v>
          </cell>
        </row>
        <row r="151">
          <cell r="B151" t="str">
            <v>LCP-210196</v>
          </cell>
          <cell r="C151" t="str">
            <v>AME - (8) PCI Cavities</v>
          </cell>
          <cell r="D151" t="str">
            <v>Capability</v>
          </cell>
          <cell r="E151" t="str">
            <v>N</v>
          </cell>
          <cell r="F151" t="str">
            <v>LA</v>
          </cell>
          <cell r="H151" t="str">
            <v>CONSUMER RADIAL</v>
          </cell>
          <cell r="I151" t="str">
            <v>CURING</v>
          </cell>
          <cell r="J151" t="str">
            <v>AME</v>
          </cell>
          <cell r="T151">
            <v>0</v>
          </cell>
          <cell r="U151">
            <v>0</v>
          </cell>
          <cell r="AD151">
            <v>715</v>
          </cell>
        </row>
        <row r="152">
          <cell r="B152" t="str">
            <v>LCP-210147</v>
          </cell>
          <cell r="C152" t="str">
            <v>AME - (EHS/CTI) - NT CONSUMMER BUILDING ENHANCEMENT</v>
          </cell>
          <cell r="D152" t="str">
            <v>EHS</v>
          </cell>
          <cell r="E152" t="str">
            <v>N</v>
          </cell>
          <cell r="F152" t="str">
            <v>LA</v>
          </cell>
          <cell r="G152" t="str">
            <v>COMP</v>
          </cell>
          <cell r="H152" t="str">
            <v>Consumer Radial</v>
          </cell>
          <cell r="I152" t="str">
            <v>TIRE ASSEMBLY</v>
          </cell>
          <cell r="J152" t="str">
            <v>AME</v>
          </cell>
          <cell r="T152">
            <v>27.31935</v>
          </cell>
          <cell r="U152">
            <v>207.04907000000003</v>
          </cell>
          <cell r="X152">
            <v>231.816</v>
          </cell>
          <cell r="Y152">
            <v>191.05109000000002</v>
          </cell>
          <cell r="AD152">
            <v>639.70000000000005</v>
          </cell>
        </row>
        <row r="153">
          <cell r="B153" t="str">
            <v>LCP-210180</v>
          </cell>
          <cell r="C153" t="str">
            <v>AME -  UPGRADE PLC MRT PRESSES (11 Presses)</v>
          </cell>
          <cell r="D153" t="str">
            <v>Capability</v>
          </cell>
          <cell r="E153" t="str">
            <v>N</v>
          </cell>
          <cell r="F153" t="str">
            <v>LA</v>
          </cell>
          <cell r="H153" t="str">
            <v>Consumer Radial</v>
          </cell>
          <cell r="I153" t="str">
            <v>CURING</v>
          </cell>
          <cell r="J153" t="str">
            <v>AME</v>
          </cell>
          <cell r="T153">
            <v>0</v>
          </cell>
          <cell r="U153">
            <v>410</v>
          </cell>
          <cell r="AD153">
            <v>500.00000000000006</v>
          </cell>
        </row>
        <row r="154">
          <cell r="B154" t="str">
            <v>LCP-XXXY10</v>
          </cell>
          <cell r="C154" t="str">
            <v>D#4 WIND-UP UPGRADE</v>
          </cell>
          <cell r="D154" t="str">
            <v>Capability</v>
          </cell>
          <cell r="E154" t="str">
            <v>N</v>
          </cell>
          <cell r="F154" t="str">
            <v>LA</v>
          </cell>
          <cell r="H154" t="str">
            <v>MIXED</v>
          </cell>
          <cell r="I154" t="str">
            <v>MIXING</v>
          </cell>
          <cell r="J154" t="str">
            <v>AME</v>
          </cell>
          <cell r="T154">
            <v>0</v>
          </cell>
          <cell r="U154">
            <v>0</v>
          </cell>
          <cell r="V154">
            <v>162</v>
          </cell>
          <cell r="W154">
            <v>162</v>
          </cell>
        </row>
        <row r="155">
          <cell r="B155" t="str">
            <v>LCP-210146</v>
          </cell>
          <cell r="C155" t="str">
            <v>AME - NR12 - WIRE CALENDER  - BRZ MANDATORY</v>
          </cell>
          <cell r="D155" t="str">
            <v>EHS</v>
          </cell>
          <cell r="E155" t="str">
            <v>N</v>
          </cell>
          <cell r="F155" t="str">
            <v>LA</v>
          </cell>
          <cell r="G155" t="str">
            <v>COMP</v>
          </cell>
          <cell r="H155" t="str">
            <v>Consumer Radial</v>
          </cell>
          <cell r="I155" t="str">
            <v>COMPONENT PREP OTHER</v>
          </cell>
          <cell r="J155" t="str">
            <v>AME</v>
          </cell>
          <cell r="T155">
            <v>10.152059999999999</v>
          </cell>
          <cell r="U155">
            <v>188.63129999999998</v>
          </cell>
          <cell r="X155">
            <v>112.0444</v>
          </cell>
          <cell r="Y155">
            <v>60.503919999999994</v>
          </cell>
          <cell r="AD155">
            <v>373.60000000000008</v>
          </cell>
        </row>
        <row r="156">
          <cell r="B156" t="str">
            <v>LCP-210020</v>
          </cell>
          <cell r="C156" t="str">
            <v>NEW AIR COMPRESSOR - 100 PSI</v>
          </cell>
          <cell r="D156" t="str">
            <v>Facilities Sustaining</v>
          </cell>
          <cell r="E156" t="str">
            <v>N</v>
          </cell>
          <cell r="F156" t="str">
            <v>LA</v>
          </cell>
          <cell r="H156" t="str">
            <v>Other</v>
          </cell>
          <cell r="I156" t="str">
            <v>FACILITIES/INFRASTRUCTURE</v>
          </cell>
          <cell r="J156" t="str">
            <v>AME</v>
          </cell>
          <cell r="T156">
            <v>1.3944300000000001</v>
          </cell>
          <cell r="U156">
            <v>326.92719</v>
          </cell>
          <cell r="X156">
            <v>98.276890000000009</v>
          </cell>
          <cell r="Y156">
            <v>293.73689999999999</v>
          </cell>
          <cell r="AD156">
            <v>369.79999999999995</v>
          </cell>
        </row>
        <row r="157">
          <cell r="B157" t="str">
            <v>LCP-200011</v>
          </cell>
          <cell r="C157" t="str">
            <v>PCI IN (6) ROGERS MECHANICAL PRESSES</v>
          </cell>
          <cell r="D157" t="str">
            <v>Capability</v>
          </cell>
          <cell r="E157" t="str">
            <v>N</v>
          </cell>
          <cell r="F157" t="str">
            <v>LA</v>
          </cell>
          <cell r="H157" t="str">
            <v>CONSUMER RADIAL</v>
          </cell>
          <cell r="I157" t="str">
            <v>CURING</v>
          </cell>
          <cell r="J157" t="str">
            <v>AME</v>
          </cell>
          <cell r="O157">
            <v>774.09900000000005</v>
          </cell>
          <cell r="Q157">
            <v>774.09900000000005</v>
          </cell>
          <cell r="S157">
            <v>28.27366</v>
          </cell>
          <cell r="T157">
            <v>48.866260000000004</v>
          </cell>
          <cell r="U157">
            <v>590.25483999999994</v>
          </cell>
          <cell r="V157">
            <v>773</v>
          </cell>
          <cell r="W157">
            <v>773</v>
          </cell>
          <cell r="X157">
            <v>9.3890200000000004</v>
          </cell>
          <cell r="Y157">
            <v>669.91372000000001</v>
          </cell>
          <cell r="Z157">
            <v>745.8253400000001</v>
          </cell>
          <cell r="AA157">
            <v>-745.8253400000001</v>
          </cell>
          <cell r="AB157">
            <v>618.52849999999989</v>
          </cell>
          <cell r="AC157">
            <v>-155.57050000000015</v>
          </cell>
          <cell r="AD157">
            <v>364.8</v>
          </cell>
        </row>
        <row r="158">
          <cell r="B158" t="str">
            <v>LCP-200130</v>
          </cell>
          <cell r="C158" t="str">
            <v>AME - UPGRADE PLC PRESSES MRT (12 PRESSES)</v>
          </cell>
          <cell r="D158" t="str">
            <v>Productivity</v>
          </cell>
          <cell r="E158" t="str">
            <v>N</v>
          </cell>
          <cell r="F158" t="str">
            <v>LA</v>
          </cell>
          <cell r="H158" t="str">
            <v>Commercial Radial</v>
          </cell>
          <cell r="I158" t="str">
            <v>Curing</v>
          </cell>
          <cell r="J158" t="str">
            <v>AME</v>
          </cell>
          <cell r="Q158">
            <v>977.98963000000003</v>
          </cell>
          <cell r="S158">
            <v>87.528360000000006</v>
          </cell>
          <cell r="T158">
            <v>128.48611000000002</v>
          </cell>
          <cell r="U158">
            <v>67.740250000000003</v>
          </cell>
          <cell r="V158">
            <v>416.00808999999998</v>
          </cell>
          <cell r="W158">
            <v>416.00808999999998</v>
          </cell>
          <cell r="X158">
            <v>12.655279999999999</v>
          </cell>
          <cell r="Y158">
            <v>357.81869</v>
          </cell>
          <cell r="AD158">
            <v>314</v>
          </cell>
        </row>
        <row r="159">
          <cell r="B159" t="str">
            <v>LCP-200053</v>
          </cell>
          <cell r="C159" t="str">
            <v>MIXER#7 BODY REPLACEMENT</v>
          </cell>
          <cell r="D159" t="str">
            <v>Facilities Sustaining</v>
          </cell>
          <cell r="E159" t="str">
            <v>N</v>
          </cell>
          <cell r="F159" t="str">
            <v>LA</v>
          </cell>
          <cell r="H159" t="str">
            <v>MIXED</v>
          </cell>
          <cell r="I159" t="str">
            <v>MIXING</v>
          </cell>
          <cell r="J159" t="str">
            <v>AME</v>
          </cell>
          <cell r="Q159">
            <v>1340.787</v>
          </cell>
          <cell r="S159">
            <v>0</v>
          </cell>
          <cell r="T159">
            <v>938.72769000000017</v>
          </cell>
          <cell r="U159">
            <v>264.23136999999997</v>
          </cell>
          <cell r="V159">
            <v>1340</v>
          </cell>
          <cell r="W159">
            <v>1340</v>
          </cell>
          <cell r="X159">
            <v>42.330919999999992</v>
          </cell>
          <cell r="Y159">
            <v>248.18957000000017</v>
          </cell>
          <cell r="AD159">
            <v>286</v>
          </cell>
        </row>
        <row r="160">
          <cell r="B160" t="str">
            <v>LCP-190022</v>
          </cell>
          <cell r="C160" t="str">
            <v>PER - ANNUAL MISCELLANEOUS 2019</v>
          </cell>
          <cell r="D160" t="str">
            <v>Facilities Sustaining</v>
          </cell>
          <cell r="E160" t="str">
            <v>C</v>
          </cell>
          <cell r="F160" t="str">
            <v>LA</v>
          </cell>
          <cell r="G160">
            <v>0</v>
          </cell>
          <cell r="H160" t="str">
            <v>N/A</v>
          </cell>
          <cell r="I160" t="str">
            <v>FACILITIES/INFRASTRUCTURE</v>
          </cell>
          <cell r="J160" t="str">
            <v>PER</v>
          </cell>
          <cell r="O160">
            <v>500</v>
          </cell>
          <cell r="P160">
            <v>31</v>
          </cell>
          <cell r="Q160">
            <v>531</v>
          </cell>
          <cell r="R160">
            <v>531.07341000000008</v>
          </cell>
          <cell r="S160">
            <v>531.07341000000008</v>
          </cell>
          <cell r="T160">
            <v>0</v>
          </cell>
          <cell r="U160">
            <v>0</v>
          </cell>
          <cell r="Z160">
            <v>-7.34100000000808E-2</v>
          </cell>
          <cell r="AA160">
            <v>7.34100000000808E-2</v>
          </cell>
          <cell r="AB160">
            <v>531.07341000000008</v>
          </cell>
          <cell r="AC160">
            <v>7.34100000000808E-2</v>
          </cell>
        </row>
        <row r="161">
          <cell r="B161" t="str">
            <v>LCP-210103</v>
          </cell>
          <cell r="C161" t="str">
            <v xml:space="preserve">AME - RESTAURANT’S KITCHEN ADEQUACY </v>
          </cell>
          <cell r="D161" t="str">
            <v>EHS</v>
          </cell>
          <cell r="E161" t="str">
            <v>N</v>
          </cell>
          <cell r="F161" t="str">
            <v>LA</v>
          </cell>
          <cell r="G161" t="str">
            <v>HYG</v>
          </cell>
          <cell r="H161" t="str">
            <v>Other</v>
          </cell>
          <cell r="I161" t="str">
            <v>Other</v>
          </cell>
          <cell r="J161" t="str">
            <v>AME</v>
          </cell>
          <cell r="T161">
            <v>0</v>
          </cell>
          <cell r="U161">
            <v>75</v>
          </cell>
          <cell r="AD161">
            <v>270.93000000000006</v>
          </cell>
        </row>
        <row r="162">
          <cell r="B162" t="str">
            <v>LCP-210148</v>
          </cell>
          <cell r="C162" t="str">
            <v>AME - NR12 - TEXTIL CALENDER 3R</v>
          </cell>
          <cell r="D162" t="str">
            <v>EHS</v>
          </cell>
          <cell r="E162" t="str">
            <v>N</v>
          </cell>
          <cell r="F162" t="str">
            <v>LA</v>
          </cell>
          <cell r="G162" t="str">
            <v>ERG</v>
          </cell>
          <cell r="H162" t="str">
            <v>Commercial Radial</v>
          </cell>
          <cell r="I162" t="str">
            <v>COMPONENT PREP OTHER</v>
          </cell>
          <cell r="J162" t="str">
            <v>AME</v>
          </cell>
          <cell r="T162">
            <v>7.30938</v>
          </cell>
          <cell r="U162">
            <v>91.19426</v>
          </cell>
          <cell r="X162">
            <v>154.54400000000001</v>
          </cell>
          <cell r="Y162">
            <v>51.688289999999988</v>
          </cell>
          <cell r="AD162">
            <v>250</v>
          </cell>
        </row>
        <row r="163">
          <cell r="B163" t="str">
            <v>LCP-190064</v>
          </cell>
          <cell r="C163" t="str">
            <v>COL - Payroll application replacement (SAP)</v>
          </cell>
          <cell r="D163" t="str">
            <v>SAG</v>
          </cell>
          <cell r="E163" t="str">
            <v>N</v>
          </cell>
          <cell r="F163" t="str">
            <v>LA</v>
          </cell>
          <cell r="H163" t="str">
            <v>COMMERCIAL RADIAL</v>
          </cell>
          <cell r="I163" t="str">
            <v>SAG - Other</v>
          </cell>
          <cell r="J163" t="str">
            <v>COL</v>
          </cell>
          <cell r="O163">
            <v>160.221</v>
          </cell>
          <cell r="Q163">
            <v>160.221</v>
          </cell>
          <cell r="R163">
            <v>87.411829999999995</v>
          </cell>
          <cell r="S163">
            <v>92.85472</v>
          </cell>
          <cell r="T163">
            <v>5.4428900000000002</v>
          </cell>
          <cell r="U163">
            <v>0</v>
          </cell>
          <cell r="Z163">
            <v>67.366280000000003</v>
          </cell>
          <cell r="AA163">
            <v>-67.366280000000003</v>
          </cell>
          <cell r="AB163">
            <v>92.85472</v>
          </cell>
          <cell r="AC163">
            <v>-67.366280000000003</v>
          </cell>
        </row>
        <row r="164">
          <cell r="B164" t="str">
            <v>LCP-190076</v>
          </cell>
          <cell r="C164" t="str">
            <v>AME - ASSURANCE SUCCESSOR</v>
          </cell>
          <cell r="D164" t="str">
            <v>Molds</v>
          </cell>
          <cell r="E164" t="str">
            <v>N</v>
          </cell>
          <cell r="F164" t="str">
            <v>LA</v>
          </cell>
          <cell r="H164" t="str">
            <v>Consumer Radial</v>
          </cell>
          <cell r="I164" t="str">
            <v>Curing</v>
          </cell>
          <cell r="J164" t="str">
            <v>AME</v>
          </cell>
          <cell r="O164">
            <v>2800</v>
          </cell>
          <cell r="Q164">
            <v>2800</v>
          </cell>
          <cell r="R164">
            <v>884.52637000000004</v>
          </cell>
          <cell r="S164">
            <v>884.54640000000006</v>
          </cell>
          <cell r="T164">
            <v>2.0030000000000003E-2</v>
          </cell>
          <cell r="U164">
            <v>0</v>
          </cell>
          <cell r="Z164">
            <v>1915.4535999999998</v>
          </cell>
          <cell r="AA164">
            <v>-1915.4535999999998</v>
          </cell>
          <cell r="AB164">
            <v>884.54640000000006</v>
          </cell>
          <cell r="AC164">
            <v>-1915.4535999999998</v>
          </cell>
        </row>
        <row r="165">
          <cell r="B165" t="str">
            <v>LCP-210190</v>
          </cell>
          <cell r="C165" t="str">
            <v>AME - (2) NEW AIR DRYER POWER HOUSE</v>
          </cell>
          <cell r="D165" t="str">
            <v>Facilities Sustaining</v>
          </cell>
          <cell r="E165" t="str">
            <v>N</v>
          </cell>
          <cell r="F165" t="str">
            <v>LA</v>
          </cell>
          <cell r="H165" t="str">
            <v>MIXED</v>
          </cell>
          <cell r="I165" t="str">
            <v>FACILITIES/INFRASTRUCTURE</v>
          </cell>
          <cell r="J165" t="str">
            <v>AME</v>
          </cell>
          <cell r="T165">
            <v>0</v>
          </cell>
          <cell r="U165">
            <v>45</v>
          </cell>
          <cell r="AD165">
            <v>244</v>
          </cell>
        </row>
        <row r="166">
          <cell r="B166" t="str">
            <v>LCP-210098</v>
          </cell>
          <cell r="C166" t="str">
            <v>AME - UPG WIND-UP EXTRUDER 8x8 SW</v>
          </cell>
          <cell r="D166" t="str">
            <v>Capability</v>
          </cell>
          <cell r="E166" t="str">
            <v>N</v>
          </cell>
          <cell r="F166" t="str">
            <v>LA</v>
          </cell>
          <cell r="H166" t="str">
            <v>MIXED</v>
          </cell>
          <cell r="I166" t="str">
            <v>MIXING</v>
          </cell>
          <cell r="J166" t="str">
            <v>AME</v>
          </cell>
          <cell r="T166">
            <v>0</v>
          </cell>
          <cell r="U166">
            <v>50</v>
          </cell>
          <cell r="V166">
            <v>180</v>
          </cell>
          <cell r="W166">
            <v>180</v>
          </cell>
          <cell r="X166">
            <v>52.232169999999996</v>
          </cell>
          <cell r="Y166">
            <v>0</v>
          </cell>
          <cell r="AD166">
            <v>237</v>
          </cell>
        </row>
        <row r="167">
          <cell r="B167" t="str">
            <v>LCP-190095</v>
          </cell>
          <cell r="C167" t="str">
            <v>PER - PAY ROLL UPGRADE</v>
          </cell>
          <cell r="D167" t="str">
            <v>Facilities Sustaining</v>
          </cell>
          <cell r="E167" t="str">
            <v>N</v>
          </cell>
          <cell r="F167" t="str">
            <v>LA</v>
          </cell>
          <cell r="H167" t="str">
            <v>N/A</v>
          </cell>
          <cell r="I167" t="str">
            <v>N/A</v>
          </cell>
          <cell r="J167" t="str">
            <v>PER</v>
          </cell>
          <cell r="O167">
            <v>99.3</v>
          </cell>
          <cell r="Q167">
            <v>99.3</v>
          </cell>
          <cell r="S167">
            <v>0</v>
          </cell>
          <cell r="T167">
            <v>0</v>
          </cell>
          <cell r="U167">
            <v>4.4000000000000004</v>
          </cell>
          <cell r="V167">
            <v>80</v>
          </cell>
          <cell r="W167">
            <v>80</v>
          </cell>
          <cell r="X167">
            <v>0</v>
          </cell>
          <cell r="Y167">
            <v>33.136600000000001</v>
          </cell>
          <cell r="Z167">
            <v>99.3</v>
          </cell>
          <cell r="AA167">
            <v>-99.3</v>
          </cell>
          <cell r="AB167">
            <v>4.4000000000000004</v>
          </cell>
          <cell r="AC167">
            <v>-94.899999999999991</v>
          </cell>
          <cell r="AD167">
            <v>80</v>
          </cell>
        </row>
        <row r="168">
          <cell r="B168" t="str">
            <v>LCP-190107</v>
          </cell>
          <cell r="C168" t="str">
            <v>CAP-(44) COMPLETE NEW MOLDS FOR WRANGLER</v>
          </cell>
          <cell r="D168" t="str">
            <v>Molds</v>
          </cell>
          <cell r="E168" t="str">
            <v>N</v>
          </cell>
          <cell r="F168" t="str">
            <v>LA</v>
          </cell>
          <cell r="H168" t="str">
            <v>CONSUMER RADIAL</v>
          </cell>
          <cell r="I168" t="str">
            <v>CURING</v>
          </cell>
          <cell r="J168" t="str">
            <v>AME</v>
          </cell>
          <cell r="O168">
            <v>2700</v>
          </cell>
          <cell r="Q168">
            <v>2700</v>
          </cell>
          <cell r="S168">
            <v>349.44198999999998</v>
          </cell>
          <cell r="T168">
            <v>349.44198999999998</v>
          </cell>
          <cell r="U168">
            <v>0</v>
          </cell>
          <cell r="V168">
            <v>583.28226999999993</v>
          </cell>
          <cell r="W168">
            <v>583.28226999999993</v>
          </cell>
          <cell r="Z168">
            <v>2350.5580100000002</v>
          </cell>
          <cell r="AA168">
            <v>-2350.5580100000002</v>
          </cell>
          <cell r="AB168">
            <v>349.44198999999998</v>
          </cell>
          <cell r="AC168">
            <v>-2350.5580100000002</v>
          </cell>
          <cell r="AD168">
            <v>292.5</v>
          </cell>
        </row>
        <row r="169">
          <cell r="B169" t="str">
            <v>LCP-190110</v>
          </cell>
          <cell r="C169" t="str">
            <v>COL - Shipment dock replacement</v>
          </cell>
          <cell r="D169" t="str">
            <v>SAG</v>
          </cell>
          <cell r="E169" t="str">
            <v>N</v>
          </cell>
          <cell r="F169" t="str">
            <v>LA</v>
          </cell>
          <cell r="H169" t="str">
            <v>N/A</v>
          </cell>
          <cell r="I169" t="str">
            <v>SAG - Supply Chain</v>
          </cell>
          <cell r="J169" t="str">
            <v>COL</v>
          </cell>
          <cell r="O169">
            <v>236.625</v>
          </cell>
          <cell r="Q169">
            <v>236.625</v>
          </cell>
          <cell r="R169">
            <v>191.71001999999999</v>
          </cell>
          <cell r="S169">
            <v>234.46592999999999</v>
          </cell>
          <cell r="T169">
            <v>42.755909999999993</v>
          </cell>
          <cell r="U169">
            <v>0</v>
          </cell>
          <cell r="V169">
            <v>41.155979999999992</v>
          </cell>
          <cell r="W169">
            <v>41.155979999999992</v>
          </cell>
          <cell r="Z169">
            <v>2.159070000000014</v>
          </cell>
          <cell r="AA169">
            <v>-2.159070000000014</v>
          </cell>
          <cell r="AB169">
            <v>234.46592999999999</v>
          </cell>
          <cell r="AC169">
            <v>-2.159070000000014</v>
          </cell>
        </row>
        <row r="170">
          <cell r="B170" t="str">
            <v>LCP-210018</v>
          </cell>
          <cell r="C170" t="str">
            <v>REPLACEMENT OF BOTTOM COOLING TANK D#4</v>
          </cell>
          <cell r="D170" t="str">
            <v>Facilities Sustaining</v>
          </cell>
          <cell r="E170" t="str">
            <v>N</v>
          </cell>
          <cell r="F170" t="str">
            <v>LA</v>
          </cell>
          <cell r="H170" t="str">
            <v>Mixed</v>
          </cell>
          <cell r="I170" t="str">
            <v>COMPONENT PREP OTHER</v>
          </cell>
          <cell r="J170" t="str">
            <v>AME</v>
          </cell>
          <cell r="T170">
            <v>0</v>
          </cell>
          <cell r="U170">
            <v>200</v>
          </cell>
          <cell r="X170">
            <v>284.54978000000006</v>
          </cell>
          <cell r="Y170">
            <v>0</v>
          </cell>
          <cell r="AD170">
            <v>223.21802000000011</v>
          </cell>
        </row>
        <row r="171">
          <cell r="B171" t="str">
            <v>LCP-190123</v>
          </cell>
          <cell r="C171" t="str">
            <v>CAP-G316 PRODUCTION MOLD TRANSFER - AMER</v>
          </cell>
          <cell r="D171" t="str">
            <v>Molds</v>
          </cell>
          <cell r="E171" t="str">
            <v>N</v>
          </cell>
          <cell r="F171" t="str">
            <v>LA</v>
          </cell>
          <cell r="H171" t="str">
            <v>COMMERCIAL RADIAL</v>
          </cell>
          <cell r="I171" t="str">
            <v>CURING</v>
          </cell>
          <cell r="J171" t="str">
            <v>AME</v>
          </cell>
          <cell r="O171">
            <v>112.7</v>
          </cell>
          <cell r="Q171">
            <v>112.7</v>
          </cell>
          <cell r="R171">
            <v>42.732599999999998</v>
          </cell>
          <cell r="S171">
            <v>42.732599999999998</v>
          </cell>
          <cell r="T171">
            <v>0</v>
          </cell>
          <cell r="U171">
            <v>0</v>
          </cell>
          <cell r="Z171">
            <v>69.967399999999998</v>
          </cell>
          <cell r="AA171">
            <v>-69.967399999999998</v>
          </cell>
          <cell r="AB171">
            <v>42.732599999999998</v>
          </cell>
          <cell r="AC171">
            <v>-69.967399999999998</v>
          </cell>
        </row>
        <row r="172">
          <cell r="B172" t="str">
            <v>LCP-190126</v>
          </cell>
          <cell r="C172" t="str">
            <v>PER - UPGRADE FOR OVERLAY CUTTER (Cameron replacement)</v>
          </cell>
          <cell r="D172" t="str">
            <v>Quality - Cost Savings</v>
          </cell>
          <cell r="E172" t="str">
            <v>N</v>
          </cell>
          <cell r="F172" t="str">
            <v>LA</v>
          </cell>
          <cell r="H172" t="str">
            <v>Consumer Radial</v>
          </cell>
          <cell r="I172" t="str">
            <v>Component Prep Other</v>
          </cell>
          <cell r="J172" t="str">
            <v>PER</v>
          </cell>
          <cell r="O172">
            <v>150</v>
          </cell>
          <cell r="Q172">
            <v>150</v>
          </cell>
          <cell r="R172">
            <v>81.72972</v>
          </cell>
          <cell r="S172">
            <v>96.049809999999994</v>
          </cell>
          <cell r="T172">
            <v>14.320089999999999</v>
          </cell>
          <cell r="U172">
            <v>4.2000000000000011</v>
          </cell>
          <cell r="V172">
            <v>18.399999999999999</v>
          </cell>
          <cell r="W172">
            <v>18.399999999999999</v>
          </cell>
          <cell r="X172">
            <v>0</v>
          </cell>
          <cell r="Y172">
            <v>3.9774400000000001</v>
          </cell>
          <cell r="Z172">
            <v>53.950190000000006</v>
          </cell>
          <cell r="AA172">
            <v>-53.950190000000006</v>
          </cell>
          <cell r="AB172">
            <v>100.24981</v>
          </cell>
          <cell r="AC172">
            <v>-49.750190000000003</v>
          </cell>
        </row>
        <row r="173">
          <cell r="B173" t="str">
            <v>LCP-190130</v>
          </cell>
          <cell r="C173" t="str">
            <v>PER - PHASE 4 INCREASE SUV</v>
          </cell>
          <cell r="D173" t="str">
            <v>Capability</v>
          </cell>
          <cell r="E173" t="str">
            <v>N</v>
          </cell>
          <cell r="F173" t="str">
            <v>LA</v>
          </cell>
          <cell r="G173">
            <v>0</v>
          </cell>
          <cell r="H173" t="str">
            <v>Consumer Radial</v>
          </cell>
          <cell r="I173" t="str">
            <v>Tire Assembly</v>
          </cell>
          <cell r="J173" t="str">
            <v>PER</v>
          </cell>
          <cell r="O173">
            <v>1365.4</v>
          </cell>
          <cell r="Q173">
            <v>1365.4</v>
          </cell>
          <cell r="R173">
            <v>194.92041999999998</v>
          </cell>
          <cell r="S173">
            <v>589.1243599999998</v>
          </cell>
          <cell r="T173">
            <v>503.21079999999984</v>
          </cell>
          <cell r="U173">
            <v>-9.0999999997620762E-4</v>
          </cell>
          <cell r="V173">
            <v>490.03255999999999</v>
          </cell>
          <cell r="W173">
            <v>490.03255999999999</v>
          </cell>
          <cell r="X173">
            <v>50</v>
          </cell>
          <cell r="Y173">
            <v>3.99</v>
          </cell>
          <cell r="Z173">
            <v>776.27564000000029</v>
          </cell>
          <cell r="AA173">
            <v>-776.27564000000029</v>
          </cell>
          <cell r="AB173">
            <v>589.12344999999982</v>
          </cell>
          <cell r="AC173">
            <v>-776.27655000000027</v>
          </cell>
          <cell r="AD173">
            <v>490</v>
          </cell>
        </row>
        <row r="174">
          <cell r="B174" t="str">
            <v>LCP-210107</v>
          </cell>
          <cell r="C174" t="str">
            <v>UPGRADE COOLING SYSTEM BB#4</v>
          </cell>
          <cell r="D174" t="str">
            <v>Quality - Improvement</v>
          </cell>
          <cell r="E174" t="str">
            <v>N</v>
          </cell>
          <cell r="F174" t="str">
            <v>LA</v>
          </cell>
          <cell r="H174" t="str">
            <v>MIXED</v>
          </cell>
          <cell r="I174" t="str">
            <v>MIXING</v>
          </cell>
          <cell r="J174" t="str">
            <v>AME</v>
          </cell>
          <cell r="T174">
            <v>0</v>
          </cell>
          <cell r="U174">
            <v>60</v>
          </cell>
          <cell r="V174">
            <v>70</v>
          </cell>
          <cell r="W174">
            <v>70</v>
          </cell>
          <cell r="X174">
            <v>0</v>
          </cell>
          <cell r="Y174">
            <v>30.13571</v>
          </cell>
          <cell r="AD174">
            <v>187.59999999999997</v>
          </cell>
        </row>
        <row r="175">
          <cell r="B175" t="str">
            <v>LCP-190135</v>
          </cell>
          <cell r="C175" t="str">
            <v>PER - MIXER #2 GEARBOX REPLACEMENT</v>
          </cell>
          <cell r="D175" t="str">
            <v>Facilities Sustaining</v>
          </cell>
          <cell r="E175" t="str">
            <v>N</v>
          </cell>
          <cell r="F175" t="str">
            <v>LA</v>
          </cell>
          <cell r="H175" t="str">
            <v>N/A</v>
          </cell>
          <cell r="I175" t="str">
            <v>Facilities/Infrastructure</v>
          </cell>
          <cell r="J175" t="str">
            <v>PER</v>
          </cell>
          <cell r="O175">
            <v>344</v>
          </cell>
          <cell r="Q175">
            <v>344</v>
          </cell>
          <cell r="R175">
            <v>235.01086000000001</v>
          </cell>
          <cell r="S175">
            <v>235.01086000000001</v>
          </cell>
          <cell r="T175">
            <v>8.5467999999999993</v>
          </cell>
          <cell r="U175">
            <v>24</v>
          </cell>
          <cell r="V175">
            <v>24</v>
          </cell>
          <cell r="W175">
            <v>24</v>
          </cell>
          <cell r="X175">
            <v>0</v>
          </cell>
          <cell r="Y175">
            <v>20.15624</v>
          </cell>
          <cell r="Z175">
            <v>108.98913999999999</v>
          </cell>
          <cell r="AA175">
            <v>-108.98913999999999</v>
          </cell>
          <cell r="AB175">
            <v>259.01085999999998</v>
          </cell>
          <cell r="AC175">
            <v>-84.98914000000002</v>
          </cell>
          <cell r="AD175">
            <v>48</v>
          </cell>
        </row>
        <row r="176">
          <cell r="B176" t="str">
            <v>LCP-210177</v>
          </cell>
          <cell r="C176" t="str">
            <v>AME - UPG EXTRUDER HEAD 8X3 EXTRUDER</v>
          </cell>
          <cell r="D176" t="str">
            <v>Facilities Sustaining</v>
          </cell>
          <cell r="E176" t="str">
            <v>N</v>
          </cell>
          <cell r="F176" t="str">
            <v>LA</v>
          </cell>
          <cell r="H176" t="str">
            <v>Consumer Radial</v>
          </cell>
          <cell r="I176" t="str">
            <v>CURING</v>
          </cell>
          <cell r="J176" t="str">
            <v>AME</v>
          </cell>
          <cell r="T176">
            <v>0</v>
          </cell>
          <cell r="U176">
            <v>0</v>
          </cell>
          <cell r="AD176">
            <v>182.99999999999991</v>
          </cell>
        </row>
        <row r="177">
          <cell r="B177" t="str">
            <v>LCP-XXXXX7</v>
          </cell>
          <cell r="C177" t="str">
            <v>CAL4R#1 WIND-UP UPGRADE</v>
          </cell>
          <cell r="D177" t="str">
            <v>Capability</v>
          </cell>
          <cell r="E177" t="str">
            <v>N</v>
          </cell>
          <cell r="F177" t="str">
            <v>LA</v>
          </cell>
          <cell r="H177" t="str">
            <v>COMMERCIAL RADIAL</v>
          </cell>
          <cell r="I177" t="str">
            <v>OTHER</v>
          </cell>
          <cell r="J177" t="str">
            <v>AME</v>
          </cell>
          <cell r="T177">
            <v>0</v>
          </cell>
          <cell r="U177">
            <v>0</v>
          </cell>
          <cell r="V177">
            <v>102.81099999999998</v>
          </cell>
          <cell r="W177">
            <v>102.81099999999998</v>
          </cell>
        </row>
        <row r="178">
          <cell r="B178" t="str">
            <v>LCP-210084</v>
          </cell>
          <cell r="C178" t="str">
            <v>AME - UPG BARREL AND SCREWS</v>
          </cell>
          <cell r="D178" t="str">
            <v>Facilities Sustaining</v>
          </cell>
          <cell r="E178" t="str">
            <v>N</v>
          </cell>
          <cell r="F178" t="str">
            <v>LA</v>
          </cell>
          <cell r="H178" t="str">
            <v>Other</v>
          </cell>
          <cell r="I178" t="str">
            <v>OTHER</v>
          </cell>
          <cell r="J178" t="str">
            <v>AME</v>
          </cell>
          <cell r="T178">
            <v>210.67781000000002</v>
          </cell>
          <cell r="U178">
            <v>0</v>
          </cell>
          <cell r="X178">
            <v>0</v>
          </cell>
          <cell r="Y178">
            <v>31.934370000000001</v>
          </cell>
          <cell r="AD178">
            <v>135.59899999999999</v>
          </cell>
        </row>
        <row r="179">
          <cell r="B179" t="str">
            <v>LCP-190148</v>
          </cell>
          <cell r="C179" t="str">
            <v>Kelly Armorsteel Line extension</v>
          </cell>
          <cell r="D179" t="str">
            <v>Molds</v>
          </cell>
          <cell r="E179" t="str">
            <v>N</v>
          </cell>
          <cell r="F179" t="str">
            <v>LA</v>
          </cell>
          <cell r="H179" t="str">
            <v>Commercial Radial</v>
          </cell>
          <cell r="I179" t="str">
            <v>Curing</v>
          </cell>
          <cell r="J179" t="str">
            <v>AME</v>
          </cell>
          <cell r="O179">
            <v>760</v>
          </cell>
          <cell r="Q179">
            <v>760</v>
          </cell>
          <cell r="R179">
            <v>48.507850000000019</v>
          </cell>
          <cell r="S179">
            <v>49.529470000000018</v>
          </cell>
          <cell r="T179">
            <v>1.02162</v>
          </cell>
          <cell r="U179">
            <v>0</v>
          </cell>
          <cell r="Z179">
            <v>710.47052999999994</v>
          </cell>
          <cell r="AA179">
            <v>-710.47052999999994</v>
          </cell>
          <cell r="AB179">
            <v>49.529470000000018</v>
          </cell>
          <cell r="AC179">
            <v>-710.47052999999994</v>
          </cell>
        </row>
        <row r="180">
          <cell r="B180" t="str">
            <v>LCP-210120</v>
          </cell>
          <cell r="C180" t="str">
            <v>AME - COOLING SYSTEM UPGRADE MIXER#03</v>
          </cell>
          <cell r="D180" t="str">
            <v>Quality - Improvement</v>
          </cell>
          <cell r="E180" t="str">
            <v>N</v>
          </cell>
          <cell r="F180" t="str">
            <v>LA</v>
          </cell>
          <cell r="H180" t="str">
            <v>MIXED</v>
          </cell>
          <cell r="I180" t="str">
            <v>MIXING</v>
          </cell>
          <cell r="J180" t="str">
            <v>AME</v>
          </cell>
          <cell r="T180">
            <v>0</v>
          </cell>
          <cell r="U180">
            <v>60</v>
          </cell>
          <cell r="V180">
            <v>150</v>
          </cell>
          <cell r="W180">
            <v>150</v>
          </cell>
          <cell r="X180">
            <v>133</v>
          </cell>
          <cell r="Y180">
            <v>0</v>
          </cell>
          <cell r="AD180">
            <v>124</v>
          </cell>
        </row>
        <row r="181">
          <cell r="B181" t="str">
            <v>LCP-190153</v>
          </cell>
          <cell r="C181" t="str">
            <v>CHI - DOR NAZAR</v>
          </cell>
          <cell r="D181" t="str">
            <v>SAG</v>
          </cell>
          <cell r="E181" t="str">
            <v>N</v>
          </cell>
          <cell r="F181" t="str">
            <v>LA</v>
          </cell>
          <cell r="H181" t="str">
            <v>N/A</v>
          </cell>
          <cell r="I181" t="str">
            <v>SAG - Other</v>
          </cell>
          <cell r="J181" t="str">
            <v>CHI</v>
          </cell>
          <cell r="O181">
            <v>114.4</v>
          </cell>
          <cell r="Q181">
            <v>114.4</v>
          </cell>
          <cell r="S181">
            <v>0</v>
          </cell>
          <cell r="T181">
            <v>0</v>
          </cell>
          <cell r="U181">
            <v>0</v>
          </cell>
          <cell r="X181">
            <v>0</v>
          </cell>
          <cell r="Y181">
            <v>9.869959999999999</v>
          </cell>
          <cell r="Z181">
            <v>114.4</v>
          </cell>
          <cell r="AA181">
            <v>-114.4</v>
          </cell>
          <cell r="AB181">
            <v>0</v>
          </cell>
          <cell r="AC181">
            <v>-114.4</v>
          </cell>
        </row>
        <row r="182">
          <cell r="B182" t="str">
            <v>LCP-210118</v>
          </cell>
          <cell r="C182" t="str">
            <v>COOLING SYSTEM UPGRADE MIXER#02–PHASE I</v>
          </cell>
          <cell r="D182" t="str">
            <v>Quality - Improvement</v>
          </cell>
          <cell r="E182" t="str">
            <v>N</v>
          </cell>
          <cell r="F182" t="str">
            <v>LA</v>
          </cell>
          <cell r="H182" t="str">
            <v>MIXED</v>
          </cell>
          <cell r="I182" t="str">
            <v>MIXING</v>
          </cell>
          <cell r="J182" t="str">
            <v>AME</v>
          </cell>
          <cell r="T182">
            <v>0</v>
          </cell>
          <cell r="U182">
            <v>60</v>
          </cell>
          <cell r="V182">
            <v>20</v>
          </cell>
          <cell r="W182">
            <v>20</v>
          </cell>
          <cell r="X182">
            <v>133</v>
          </cell>
          <cell r="Y182">
            <v>0</v>
          </cell>
          <cell r="AD182">
            <v>123.5</v>
          </cell>
        </row>
        <row r="183">
          <cell r="B183" t="str">
            <v>LCP-190164</v>
          </cell>
          <cell r="C183" t="str">
            <v>PER - TBM R4 CONTROLS UPGRADE</v>
          </cell>
          <cell r="D183" t="str">
            <v>Facilities Sustaining</v>
          </cell>
          <cell r="E183" t="str">
            <v>N</v>
          </cell>
          <cell r="F183" t="str">
            <v>LA</v>
          </cell>
          <cell r="H183" t="str">
            <v>Consumer Radial</v>
          </cell>
          <cell r="I183" t="str">
            <v>Tire Assembly</v>
          </cell>
          <cell r="J183" t="str">
            <v>PER</v>
          </cell>
          <cell r="O183">
            <v>83.5</v>
          </cell>
          <cell r="Q183">
            <v>83.5</v>
          </cell>
          <cell r="R183">
            <v>82.945729999999998</v>
          </cell>
          <cell r="S183">
            <v>82.945729999999998</v>
          </cell>
          <cell r="T183">
            <v>0</v>
          </cell>
          <cell r="U183">
            <v>0</v>
          </cell>
          <cell r="Z183">
            <v>0.55427000000000248</v>
          </cell>
          <cell r="AA183">
            <v>-0.55427000000000248</v>
          </cell>
          <cell r="AB183">
            <v>82.945729999999998</v>
          </cell>
          <cell r="AC183">
            <v>-0.55427000000000248</v>
          </cell>
        </row>
        <row r="184">
          <cell r="B184" t="str">
            <v>LCP-190165</v>
          </cell>
          <cell r="C184" t="str">
            <v>PER - (4) HYDRAULIC TO ELECTROMECHANIC BEAD HOLDER SYSTEMS ON TBM's</v>
          </cell>
          <cell r="D184" t="str">
            <v>Facilities Sustaining</v>
          </cell>
          <cell r="E184" t="str">
            <v>N</v>
          </cell>
          <cell r="F184" t="str">
            <v>LA</v>
          </cell>
          <cell r="H184" t="str">
            <v>Consumer Radial</v>
          </cell>
          <cell r="I184" t="str">
            <v>Tire Assembly</v>
          </cell>
          <cell r="J184" t="str">
            <v>PER</v>
          </cell>
          <cell r="O184">
            <v>244</v>
          </cell>
          <cell r="Q184">
            <v>244</v>
          </cell>
          <cell r="R184">
            <v>176.29637</v>
          </cell>
          <cell r="S184">
            <v>176.39147</v>
          </cell>
          <cell r="T184">
            <v>9.5100000000000004E-2</v>
          </cell>
          <cell r="U184">
            <v>0.12615999999999999</v>
          </cell>
          <cell r="V184">
            <v>8.6</v>
          </cell>
          <cell r="W184">
            <v>8.6</v>
          </cell>
          <cell r="Z184">
            <v>67.608530000000002</v>
          </cell>
          <cell r="AA184">
            <v>-67.608530000000002</v>
          </cell>
          <cell r="AB184">
            <v>176.51763</v>
          </cell>
          <cell r="AC184">
            <v>-67.482370000000003</v>
          </cell>
          <cell r="AD184">
            <v>8.6</v>
          </cell>
        </row>
        <row r="185">
          <cell r="B185" t="str">
            <v>LCP-190185</v>
          </cell>
          <cell r="C185" t="str">
            <v>PER - VICOSIMETER</v>
          </cell>
          <cell r="D185" t="str">
            <v>Quality - Improvement</v>
          </cell>
          <cell r="E185" t="str">
            <v>N</v>
          </cell>
          <cell r="F185" t="str">
            <v>LA</v>
          </cell>
          <cell r="H185" t="str">
            <v>N/A</v>
          </cell>
          <cell r="I185" t="str">
            <v>COMPONENT PREP OTHER</v>
          </cell>
          <cell r="J185" t="str">
            <v>PER</v>
          </cell>
          <cell r="O185">
            <v>60</v>
          </cell>
          <cell r="Q185">
            <v>60</v>
          </cell>
          <cell r="R185">
            <v>59.931670000000004</v>
          </cell>
          <cell r="S185">
            <v>59.931670000000004</v>
          </cell>
          <cell r="T185">
            <v>0</v>
          </cell>
          <cell r="U185">
            <v>0</v>
          </cell>
          <cell r="X185">
            <v>0</v>
          </cell>
          <cell r="Y185">
            <v>0.26939999999999997</v>
          </cell>
          <cell r="Z185">
            <v>6.8329999999996005E-2</v>
          </cell>
          <cell r="AA185">
            <v>-6.8329999999996005E-2</v>
          </cell>
          <cell r="AB185">
            <v>59.931670000000004</v>
          </cell>
          <cell r="AC185">
            <v>-6.8329999999996005E-2</v>
          </cell>
        </row>
        <row r="186">
          <cell r="B186" t="str">
            <v>LCP-210131</v>
          </cell>
          <cell r="C186" t="str">
            <v>AME - WOMEN'S RESTROOM</v>
          </cell>
          <cell r="D186" t="str">
            <v>EHS</v>
          </cell>
          <cell r="E186" t="str">
            <v>N</v>
          </cell>
          <cell r="F186" t="str">
            <v>LA</v>
          </cell>
          <cell r="G186" t="str">
            <v>COMP</v>
          </cell>
          <cell r="H186" t="str">
            <v>Other</v>
          </cell>
          <cell r="I186" t="str">
            <v>Other</v>
          </cell>
          <cell r="J186" t="str">
            <v>AME</v>
          </cell>
          <cell r="T186">
            <v>0</v>
          </cell>
          <cell r="U186">
            <v>150</v>
          </cell>
          <cell r="X186">
            <v>251.12100000000001</v>
          </cell>
          <cell r="Y186">
            <v>0</v>
          </cell>
          <cell r="AD186">
            <v>105.00000000000001</v>
          </cell>
        </row>
        <row r="187">
          <cell r="B187" t="str">
            <v>LCP-190192</v>
          </cell>
          <cell r="C187" t="str">
            <v>PER - ASSURANCE SUCCESSOR</v>
          </cell>
          <cell r="D187" t="str">
            <v>Molds</v>
          </cell>
          <cell r="E187" t="str">
            <v>N</v>
          </cell>
          <cell r="F187" t="str">
            <v>LA</v>
          </cell>
          <cell r="H187" t="str">
            <v>CONSUMER RADIAL</v>
          </cell>
          <cell r="I187" t="str">
            <v>Curing</v>
          </cell>
          <cell r="J187" t="str">
            <v>PER</v>
          </cell>
          <cell r="O187">
            <v>1080</v>
          </cell>
          <cell r="Q187">
            <v>1080</v>
          </cell>
          <cell r="R187">
            <v>210.38191000000003</v>
          </cell>
          <cell r="S187">
            <v>235.08524000000003</v>
          </cell>
          <cell r="T187">
            <v>24.703330000000001</v>
          </cell>
          <cell r="U187">
            <v>0</v>
          </cell>
          <cell r="V187">
            <v>10.29425</v>
          </cell>
          <cell r="W187">
            <v>10.29425</v>
          </cell>
          <cell r="X187">
            <v>29.181999999999999</v>
          </cell>
          <cell r="Y187">
            <v>1.07</v>
          </cell>
          <cell r="Z187">
            <v>844.91476</v>
          </cell>
          <cell r="AA187">
            <v>-844.91476</v>
          </cell>
          <cell r="AB187">
            <v>235.08524000000003</v>
          </cell>
          <cell r="AC187">
            <v>-844.91476</v>
          </cell>
        </row>
        <row r="188">
          <cell r="B188" t="str">
            <v>LCP-190194</v>
          </cell>
          <cell r="C188" t="str">
            <v>AME - 3 molds 205/45R18 Eagle Touring</v>
          </cell>
          <cell r="D188" t="str">
            <v>Molds</v>
          </cell>
          <cell r="E188" t="str">
            <v>N</v>
          </cell>
          <cell r="F188" t="str">
            <v>LA</v>
          </cell>
          <cell r="H188" t="str">
            <v>CONSUMER RADIAL</v>
          </cell>
          <cell r="I188" t="str">
            <v>CURING</v>
          </cell>
          <cell r="J188" t="str">
            <v>AME</v>
          </cell>
          <cell r="O188">
            <v>135</v>
          </cell>
          <cell r="Q188">
            <v>135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Z188">
            <v>135</v>
          </cell>
          <cell r="AA188">
            <v>-135</v>
          </cell>
          <cell r="AB188">
            <v>0</v>
          </cell>
          <cell r="AC188">
            <v>-135</v>
          </cell>
        </row>
        <row r="189">
          <cell r="B189" t="str">
            <v>LCP-190195</v>
          </cell>
          <cell r="C189" t="str">
            <v>AME- 205/55R16 &amp;amp; 265/70R16 Kelly Edg</v>
          </cell>
          <cell r="D189" t="str">
            <v>Molds</v>
          </cell>
          <cell r="E189" t="str">
            <v>N</v>
          </cell>
          <cell r="F189" t="str">
            <v>LA</v>
          </cell>
          <cell r="H189" t="str">
            <v>CONSUMER RADIAL</v>
          </cell>
          <cell r="I189" t="str">
            <v>CURING</v>
          </cell>
          <cell r="J189" t="str">
            <v>AME</v>
          </cell>
          <cell r="O189">
            <v>164.45</v>
          </cell>
          <cell r="Q189">
            <v>164.45</v>
          </cell>
          <cell r="R189">
            <v>57.056089999999998</v>
          </cell>
          <cell r="S189">
            <v>57.056089999999998</v>
          </cell>
          <cell r="T189">
            <v>0</v>
          </cell>
          <cell r="U189">
            <v>0</v>
          </cell>
          <cell r="Z189">
            <v>107.39390999999999</v>
          </cell>
          <cell r="AA189">
            <v>-107.39390999999999</v>
          </cell>
          <cell r="AB189">
            <v>57.056089999999998</v>
          </cell>
          <cell r="AC189">
            <v>-107.39390999999999</v>
          </cell>
        </row>
        <row r="190">
          <cell r="B190" t="str">
            <v>LCP-190197</v>
          </cell>
          <cell r="C190" t="str">
            <v>PER - COMPOUNDS RACKS FOR PREP COMP AREA</v>
          </cell>
          <cell r="D190" t="str">
            <v>Facilities Sustaining</v>
          </cell>
          <cell r="E190" t="str">
            <v>N</v>
          </cell>
          <cell r="F190" t="str">
            <v>LA</v>
          </cell>
          <cell r="H190" t="str">
            <v>N/A</v>
          </cell>
          <cell r="I190" t="str">
            <v>COMPONENT PREP OTHER</v>
          </cell>
          <cell r="J190" t="str">
            <v>PER</v>
          </cell>
          <cell r="O190">
            <v>88</v>
          </cell>
          <cell r="Q190">
            <v>88</v>
          </cell>
          <cell r="R190">
            <v>87.779029999999992</v>
          </cell>
          <cell r="S190">
            <v>87.779029999999992</v>
          </cell>
          <cell r="T190">
            <v>0</v>
          </cell>
          <cell r="U190">
            <v>0</v>
          </cell>
          <cell r="Z190">
            <v>0.22097000000000833</v>
          </cell>
          <cell r="AA190">
            <v>-0.22097000000000833</v>
          </cell>
          <cell r="AB190">
            <v>87.779029999999992</v>
          </cell>
          <cell r="AC190">
            <v>-0.22097000000000833</v>
          </cell>
        </row>
        <row r="191">
          <cell r="B191" t="str">
            <v>LCP-190020</v>
          </cell>
          <cell r="C191" t="str">
            <v>AME - ROBOT FOR BEAD WINDER</v>
          </cell>
          <cell r="D191" t="str">
            <v>Productivity</v>
          </cell>
          <cell r="E191" t="str">
            <v>N</v>
          </cell>
          <cell r="F191" t="str">
            <v>LA</v>
          </cell>
          <cell r="H191" t="str">
            <v>Mixed</v>
          </cell>
          <cell r="I191" t="str">
            <v>Other</v>
          </cell>
          <cell r="J191" t="str">
            <v>AME</v>
          </cell>
          <cell r="O191">
            <v>90</v>
          </cell>
          <cell r="Q191">
            <v>90</v>
          </cell>
          <cell r="R191">
            <v>49.075190000000006</v>
          </cell>
          <cell r="S191">
            <v>91.345690000000005</v>
          </cell>
          <cell r="T191">
            <v>50.493780000000001</v>
          </cell>
          <cell r="U191">
            <v>70.295789999999997</v>
          </cell>
          <cell r="V191">
            <v>138.62703999999999</v>
          </cell>
          <cell r="W191">
            <v>138.62703999999999</v>
          </cell>
          <cell r="X191">
            <v>1.9018699999999999</v>
          </cell>
          <cell r="Y191">
            <v>169.07485999999997</v>
          </cell>
          <cell r="Z191">
            <v>-1.3456900000000047</v>
          </cell>
          <cell r="AA191">
            <v>1.3456900000000047</v>
          </cell>
          <cell r="AB191">
            <v>161.64148</v>
          </cell>
          <cell r="AC191">
            <v>71.641480000000001</v>
          </cell>
          <cell r="AD191">
            <v>100.00000000000001</v>
          </cell>
        </row>
        <row r="192">
          <cell r="B192" t="str">
            <v>LCP-190200</v>
          </cell>
          <cell r="C192" t="str">
            <v>PER - Blue Rack for Tire Warehouse</v>
          </cell>
          <cell r="D192" t="str">
            <v>SAG</v>
          </cell>
          <cell r="E192" t="str">
            <v>N</v>
          </cell>
          <cell r="F192" t="str">
            <v>LA</v>
          </cell>
          <cell r="H192" t="str">
            <v>N/A</v>
          </cell>
          <cell r="I192" t="str">
            <v>SAG - Supply Chain</v>
          </cell>
          <cell r="J192" t="str">
            <v>PER</v>
          </cell>
          <cell r="O192">
            <v>87</v>
          </cell>
          <cell r="Q192">
            <v>87</v>
          </cell>
          <cell r="R192">
            <v>28.070149999999998</v>
          </cell>
          <cell r="S192">
            <v>28.070149999999998</v>
          </cell>
          <cell r="T192">
            <v>0</v>
          </cell>
          <cell r="U192">
            <v>0</v>
          </cell>
          <cell r="Z192">
            <v>58.929850000000002</v>
          </cell>
          <cell r="AA192">
            <v>-58.929850000000002</v>
          </cell>
          <cell r="AB192">
            <v>28.070149999999998</v>
          </cell>
          <cell r="AC192">
            <v>-58.929850000000002</v>
          </cell>
        </row>
        <row r="193">
          <cell r="B193" t="str">
            <v>LCP-210045</v>
          </cell>
          <cell r="C193" t="str">
            <v>CREEL ROOM TRANSFER FROM GADSTEN PLANT</v>
          </cell>
          <cell r="D193" t="str">
            <v>Productivity</v>
          </cell>
          <cell r="E193" t="str">
            <v>N</v>
          </cell>
          <cell r="F193" t="str">
            <v>LA</v>
          </cell>
          <cell r="H193" t="str">
            <v>CONSUMER RADIAL</v>
          </cell>
          <cell r="I193" t="str">
            <v>COMPONENT PREP OTHER</v>
          </cell>
          <cell r="J193" t="str">
            <v>AME</v>
          </cell>
          <cell r="T193">
            <v>0</v>
          </cell>
          <cell r="U193">
            <v>96</v>
          </cell>
          <cell r="X193">
            <v>0</v>
          </cell>
          <cell r="Y193">
            <v>11.290569999999999</v>
          </cell>
          <cell r="AD193">
            <v>89</v>
          </cell>
        </row>
        <row r="194">
          <cell r="B194" t="str">
            <v>LCP-210134</v>
          </cell>
          <cell r="C194" t="str">
            <v>AME – INTERNAL LIGHTING ADEQUACY</v>
          </cell>
          <cell r="D194" t="str">
            <v>EHS</v>
          </cell>
          <cell r="E194" t="str">
            <v>N</v>
          </cell>
          <cell r="F194" t="str">
            <v>LA</v>
          </cell>
          <cell r="G194" t="str">
            <v>COMP</v>
          </cell>
          <cell r="H194" t="str">
            <v>Other</v>
          </cell>
          <cell r="I194" t="str">
            <v>OTHER</v>
          </cell>
          <cell r="J194" t="str">
            <v>AME</v>
          </cell>
          <cell r="T194">
            <v>0</v>
          </cell>
          <cell r="U194">
            <v>79.953180000000003</v>
          </cell>
          <cell r="X194">
            <v>99.921890000000019</v>
          </cell>
          <cell r="Y194">
            <v>0</v>
          </cell>
          <cell r="AD194">
            <v>86.000000000000014</v>
          </cell>
        </row>
        <row r="195">
          <cell r="B195" t="str">
            <v>LCP-210138</v>
          </cell>
          <cell r="C195" t="str">
            <v>AME - NEW RAINWATER CONTAINMENT SYSTEM</v>
          </cell>
          <cell r="D195" t="str">
            <v>EHS</v>
          </cell>
          <cell r="E195" t="str">
            <v>N</v>
          </cell>
          <cell r="F195" t="str">
            <v>LA</v>
          </cell>
          <cell r="G195" t="str">
            <v>ENV</v>
          </cell>
          <cell r="H195" t="str">
            <v>Other</v>
          </cell>
          <cell r="I195" t="str">
            <v>OTHER</v>
          </cell>
          <cell r="J195" t="str">
            <v>AME</v>
          </cell>
          <cell r="T195">
            <v>0</v>
          </cell>
          <cell r="U195">
            <v>90</v>
          </cell>
          <cell r="X195">
            <v>164.20319000000001</v>
          </cell>
          <cell r="Y195">
            <v>0</v>
          </cell>
          <cell r="AD195">
            <v>85.000000000000014</v>
          </cell>
        </row>
        <row r="196">
          <cell r="B196" t="str">
            <v>LCP-210121</v>
          </cell>
          <cell r="C196" t="str">
            <v>AME – WULO – CONSUMMER BUILDING - STEP 2 - NT22</v>
          </cell>
          <cell r="D196" t="str">
            <v>EHS</v>
          </cell>
          <cell r="E196" t="str">
            <v>N</v>
          </cell>
          <cell r="F196" t="str">
            <v>LA</v>
          </cell>
          <cell r="G196" t="str">
            <v>MSR</v>
          </cell>
          <cell r="H196" t="str">
            <v>N/A</v>
          </cell>
          <cell r="I196" t="str">
            <v>OTHER</v>
          </cell>
          <cell r="J196" t="str">
            <v>AME</v>
          </cell>
          <cell r="T196">
            <v>14.741239999999999</v>
          </cell>
          <cell r="U196">
            <v>7.5675599999999985</v>
          </cell>
          <cell r="X196">
            <v>0</v>
          </cell>
          <cell r="Y196">
            <v>51.295790000000011</v>
          </cell>
          <cell r="AD196">
            <v>80</v>
          </cell>
        </row>
        <row r="197">
          <cell r="B197" t="str">
            <v>LCP-190209</v>
          </cell>
          <cell r="C197" t="str">
            <v>CAP-Racks Acquisition to Store Tire</v>
          </cell>
          <cell r="D197" t="str">
            <v>SAG</v>
          </cell>
          <cell r="E197" t="str">
            <v>N</v>
          </cell>
          <cell r="F197" t="str">
            <v>LA</v>
          </cell>
          <cell r="H197" t="str">
            <v>Consumer Radial</v>
          </cell>
          <cell r="I197" t="str">
            <v>SAG - Supply Chain</v>
          </cell>
          <cell r="J197" t="str">
            <v>CHI</v>
          </cell>
          <cell r="O197">
            <v>297</v>
          </cell>
          <cell r="Q197">
            <v>297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Z197">
            <v>297</v>
          </cell>
          <cell r="AA197">
            <v>-297</v>
          </cell>
          <cell r="AB197">
            <v>0</v>
          </cell>
          <cell r="AC197">
            <v>-297</v>
          </cell>
        </row>
        <row r="198">
          <cell r="B198" t="str">
            <v>LCP-210204</v>
          </cell>
          <cell r="C198" t="str">
            <v>AME - NEW MIXER SLURRY - PLITVIC</v>
          </cell>
          <cell r="D198" t="str">
            <v>Quality - Improvement</v>
          </cell>
          <cell r="E198" t="str">
            <v>N</v>
          </cell>
          <cell r="F198" t="str">
            <v>LA</v>
          </cell>
          <cell r="J198" t="str">
            <v>AME</v>
          </cell>
          <cell r="T198">
            <v>0</v>
          </cell>
          <cell r="U198">
            <v>85</v>
          </cell>
          <cell r="AD198">
            <v>73.534999999999997</v>
          </cell>
        </row>
        <row r="199">
          <cell r="B199" t="str">
            <v>LCP-210010</v>
          </cell>
          <cell r="C199" t="str">
            <v>REPLACEMENT OF THE PRIMARY GEARBOX MIXER#06</v>
          </cell>
          <cell r="D199" t="str">
            <v>Facilities Sustaining</v>
          </cell>
          <cell r="E199" t="str">
            <v>N</v>
          </cell>
          <cell r="F199" t="str">
            <v>LA</v>
          </cell>
          <cell r="H199" t="str">
            <v>Mixed</v>
          </cell>
          <cell r="I199" t="str">
            <v>MIXING</v>
          </cell>
          <cell r="J199" t="str">
            <v>AME</v>
          </cell>
          <cell r="T199">
            <v>2.2459699999999998</v>
          </cell>
          <cell r="U199">
            <v>102.09961</v>
          </cell>
          <cell r="X199">
            <v>0</v>
          </cell>
          <cell r="Y199">
            <v>125.67686</v>
          </cell>
          <cell r="AD199">
            <v>56.638200000000005</v>
          </cell>
        </row>
        <row r="200">
          <cell r="B200" t="str">
            <v>LCP-210132</v>
          </cell>
          <cell r="C200" t="str">
            <v>AME - STEEL TRANSFERS BAND NGTTS</v>
          </cell>
          <cell r="D200" t="str">
            <v>Facilities Sustaining</v>
          </cell>
          <cell r="E200" t="str">
            <v>N</v>
          </cell>
          <cell r="F200" t="str">
            <v>LA</v>
          </cell>
          <cell r="H200" t="str">
            <v>N/A</v>
          </cell>
          <cell r="I200" t="str">
            <v>OTHER</v>
          </cell>
          <cell r="J200" t="str">
            <v>AME</v>
          </cell>
          <cell r="T200">
            <v>0</v>
          </cell>
          <cell r="U200">
            <v>115.82579</v>
          </cell>
          <cell r="X200">
            <v>109.33982</v>
          </cell>
          <cell r="Y200">
            <v>1.1191199999999999</v>
          </cell>
          <cell r="AD200">
            <v>53</v>
          </cell>
        </row>
        <row r="201">
          <cell r="B201" t="str">
            <v>LCP-210149</v>
          </cell>
          <cell r="C201" t="str">
            <v>AME - CURING VACUUM SYSTEM UPGRADE</v>
          </cell>
          <cell r="D201" t="str">
            <v>Facilities Sustaining</v>
          </cell>
          <cell r="E201" t="str">
            <v>N</v>
          </cell>
          <cell r="F201" t="str">
            <v>LA</v>
          </cell>
          <cell r="H201" t="str">
            <v>N/A</v>
          </cell>
          <cell r="I201" t="str">
            <v>OTHER</v>
          </cell>
          <cell r="J201" t="str">
            <v>AME</v>
          </cell>
          <cell r="T201">
            <v>2.1044699999999996</v>
          </cell>
          <cell r="U201">
            <v>62.923350000000006</v>
          </cell>
          <cell r="X201">
            <v>0</v>
          </cell>
          <cell r="Y201">
            <v>79.04222</v>
          </cell>
          <cell r="AD201">
            <v>40</v>
          </cell>
        </row>
        <row r="202">
          <cell r="B202" t="str">
            <v>LCP-190252</v>
          </cell>
          <cell r="C202" t="str">
            <v xml:space="preserve">COL - GUM CALENDER (4) ROLLS REPLACEMENT </v>
          </cell>
          <cell r="D202" t="str">
            <v>Facilities Sustaining</v>
          </cell>
          <cell r="E202" t="str">
            <v>N</v>
          </cell>
          <cell r="F202" t="str">
            <v>LA</v>
          </cell>
          <cell r="H202" t="str">
            <v>Commercial Radial</v>
          </cell>
          <cell r="I202" t="str">
            <v>Component Prep Other</v>
          </cell>
          <cell r="J202" t="str">
            <v>COL</v>
          </cell>
          <cell r="O202">
            <v>140.596</v>
          </cell>
          <cell r="Q202">
            <v>140.596</v>
          </cell>
          <cell r="R202">
            <v>101.59381</v>
          </cell>
          <cell r="S202">
            <v>101.59381</v>
          </cell>
          <cell r="T202">
            <v>0</v>
          </cell>
          <cell r="U202">
            <v>0</v>
          </cell>
          <cell r="Z202">
            <v>39.002189999999999</v>
          </cell>
          <cell r="AA202">
            <v>-39.002189999999999</v>
          </cell>
          <cell r="AB202">
            <v>101.59381</v>
          </cell>
          <cell r="AC202">
            <v>-39.002189999999999</v>
          </cell>
        </row>
        <row r="203">
          <cell r="B203" t="str">
            <v>LCP-200009</v>
          </cell>
          <cell r="C203" t="str">
            <v>AME-REPL &amp; UPG OF ROLLS IN CAL4R2</v>
          </cell>
          <cell r="D203" t="str">
            <v>Facilities Sustaining</v>
          </cell>
          <cell r="E203" t="str">
            <v>N</v>
          </cell>
          <cell r="F203" t="str">
            <v>LA</v>
          </cell>
          <cell r="H203" t="str">
            <v>CONSUMER RADIAL</v>
          </cell>
          <cell r="I203" t="str">
            <v>COMPONENT PREP OTHER</v>
          </cell>
          <cell r="J203" t="str">
            <v>AME</v>
          </cell>
          <cell r="O203">
            <v>864.93799999999999</v>
          </cell>
          <cell r="Q203">
            <v>864.93799999999999</v>
          </cell>
          <cell r="R203">
            <v>53.241159999999994</v>
          </cell>
          <cell r="S203">
            <v>157.20918999999998</v>
          </cell>
          <cell r="T203">
            <v>126.88839999999999</v>
          </cell>
          <cell r="U203">
            <v>-3.3285899999999913</v>
          </cell>
          <cell r="V203">
            <v>261</v>
          </cell>
          <cell r="W203">
            <v>261</v>
          </cell>
          <cell r="X203">
            <v>0</v>
          </cell>
          <cell r="Y203">
            <v>15.21477</v>
          </cell>
          <cell r="Z203">
            <v>707.72881000000007</v>
          </cell>
          <cell r="AA203">
            <v>-707.72881000000007</v>
          </cell>
          <cell r="AB203">
            <v>153.88059999999999</v>
          </cell>
          <cell r="AC203">
            <v>-711.05740000000003</v>
          </cell>
          <cell r="AD203">
            <v>35</v>
          </cell>
        </row>
        <row r="204">
          <cell r="B204" t="str">
            <v>LCP-200007</v>
          </cell>
          <cell r="C204" t="str">
            <v>AME - Additional Direction&amp;apos;s Molds</v>
          </cell>
          <cell r="D204" t="str">
            <v>Molds</v>
          </cell>
          <cell r="E204" t="str">
            <v>N</v>
          </cell>
          <cell r="F204" t="str">
            <v>LA</v>
          </cell>
          <cell r="H204" t="str">
            <v>CONSUMER RADIAL</v>
          </cell>
          <cell r="I204" t="str">
            <v>CURING</v>
          </cell>
          <cell r="J204" t="str">
            <v>AME</v>
          </cell>
          <cell r="O204">
            <v>169.7</v>
          </cell>
          <cell r="Q204">
            <v>169.7</v>
          </cell>
          <cell r="R204">
            <v>10.023640000000015</v>
          </cell>
          <cell r="S204">
            <v>10.023640000000015</v>
          </cell>
          <cell r="T204">
            <v>0</v>
          </cell>
          <cell r="U204">
            <v>0</v>
          </cell>
          <cell r="Z204">
            <v>159.67635999999999</v>
          </cell>
          <cell r="AA204">
            <v>-159.67635999999999</v>
          </cell>
          <cell r="AB204">
            <v>10.023640000000015</v>
          </cell>
          <cell r="AC204">
            <v>-159.67635999999999</v>
          </cell>
        </row>
        <row r="205">
          <cell r="B205" t="str">
            <v>LCP-210137</v>
          </cell>
          <cell r="C205" t="str">
            <v>AME -SIDEWALK BUILDING IN FRONT OF PLANT</v>
          </cell>
          <cell r="D205" t="str">
            <v>EHS</v>
          </cell>
          <cell r="E205" t="str">
            <v>N</v>
          </cell>
          <cell r="F205" t="str">
            <v>LA</v>
          </cell>
          <cell r="G205" t="str">
            <v>ERG</v>
          </cell>
          <cell r="H205" t="str">
            <v>Other</v>
          </cell>
          <cell r="I205" t="str">
            <v>FACILITIES/INFRASTRUCTURE</v>
          </cell>
          <cell r="J205" t="str">
            <v>AME</v>
          </cell>
          <cell r="T205">
            <v>0</v>
          </cell>
          <cell r="U205">
            <v>90.060270000000003</v>
          </cell>
          <cell r="X205">
            <v>0</v>
          </cell>
          <cell r="Y205">
            <v>121.75294</v>
          </cell>
          <cell r="AD205">
            <v>23</v>
          </cell>
        </row>
        <row r="206">
          <cell r="B206" t="str">
            <v>LCP-170154</v>
          </cell>
          <cell r="C206" t="str">
            <v>BRZ - AVCB NEW WAREHOUSE-BUILDING COMMERCIAL</v>
          </cell>
          <cell r="D206" t="str">
            <v>SAG</v>
          </cell>
          <cell r="E206" t="str">
            <v>C</v>
          </cell>
          <cell r="F206" t="str">
            <v>LA</v>
          </cell>
          <cell r="G206">
            <v>0</v>
          </cell>
          <cell r="H206" t="str">
            <v>Mixed</v>
          </cell>
          <cell r="I206" t="str">
            <v>SAG - Supply Chain</v>
          </cell>
          <cell r="J206" t="str">
            <v>BRZ</v>
          </cell>
          <cell r="O206">
            <v>2866.6</v>
          </cell>
          <cell r="Q206">
            <v>2866.6</v>
          </cell>
          <cell r="R206">
            <v>2646.8693699999963</v>
          </cell>
          <cell r="S206">
            <v>2646.8693699999963</v>
          </cell>
          <cell r="T206">
            <v>0</v>
          </cell>
          <cell r="U206">
            <v>0</v>
          </cell>
          <cell r="V206">
            <v>0.7</v>
          </cell>
          <cell r="W206">
            <v>0.7</v>
          </cell>
          <cell r="Z206">
            <v>219.73063000000366</v>
          </cell>
          <cell r="AA206">
            <v>-219.73063000000366</v>
          </cell>
          <cell r="AB206">
            <v>2646.8693699999963</v>
          </cell>
          <cell r="AC206">
            <v>-219.73063000000366</v>
          </cell>
          <cell r="AD206">
            <v>0</v>
          </cell>
        </row>
        <row r="207">
          <cell r="B207" t="str">
            <v>LCP-180002</v>
          </cell>
          <cell r="C207" t="str">
            <v>FAM AVCB PHASE II EMERGENCY LIGHTINING AND ALARMS</v>
          </cell>
          <cell r="D207" t="str">
            <v>EHS</v>
          </cell>
          <cell r="E207" t="str">
            <v>C</v>
          </cell>
          <cell r="F207" t="str">
            <v>LA</v>
          </cell>
          <cell r="G207" t="str">
            <v>COMP</v>
          </cell>
          <cell r="H207" t="str">
            <v>Mixed</v>
          </cell>
          <cell r="I207" t="str">
            <v>N/A</v>
          </cell>
          <cell r="J207" t="str">
            <v>AME</v>
          </cell>
          <cell r="O207">
            <v>3243</v>
          </cell>
          <cell r="P207">
            <v>249</v>
          </cell>
          <cell r="Q207">
            <v>3492</v>
          </cell>
          <cell r="R207">
            <v>3292.9036800000044</v>
          </cell>
          <cell r="S207">
            <v>3302.6670500000046</v>
          </cell>
          <cell r="T207">
            <v>9.7633699999999983</v>
          </cell>
          <cell r="U207">
            <v>0</v>
          </cell>
          <cell r="V207">
            <v>75</v>
          </cell>
          <cell r="W207">
            <v>75</v>
          </cell>
          <cell r="Z207">
            <v>189.33294999999544</v>
          </cell>
          <cell r="AA207">
            <v>-189.33294999999544</v>
          </cell>
          <cell r="AB207">
            <v>3302.6670500000046</v>
          </cell>
          <cell r="AC207">
            <v>-189.33294999999544</v>
          </cell>
          <cell r="AD207">
            <v>0</v>
          </cell>
        </row>
        <row r="208">
          <cell r="B208" t="str">
            <v>LCP-200012</v>
          </cell>
          <cell r="C208" t="str">
            <v>WRANGLER SUV SUCCESSOR</v>
          </cell>
          <cell r="D208" t="str">
            <v>Molds</v>
          </cell>
          <cell r="E208" t="str">
            <v>N</v>
          </cell>
          <cell r="F208" t="str">
            <v>LA</v>
          </cell>
          <cell r="H208" t="str">
            <v>Consumer Radial</v>
          </cell>
          <cell r="I208" t="str">
            <v>Curing</v>
          </cell>
          <cell r="J208" t="str">
            <v>PER</v>
          </cell>
          <cell r="O208">
            <v>720</v>
          </cell>
          <cell r="Q208">
            <v>720</v>
          </cell>
          <cell r="R208">
            <v>0</v>
          </cell>
          <cell r="S208">
            <v>26.204669999999858</v>
          </cell>
          <cell r="T208">
            <v>26.204669999999858</v>
          </cell>
          <cell r="U208">
            <v>0</v>
          </cell>
          <cell r="V208">
            <v>78.374759999999966</v>
          </cell>
          <cell r="W208">
            <v>78.374759999999966</v>
          </cell>
          <cell r="X208">
            <v>39.31</v>
          </cell>
          <cell r="Y208">
            <v>0</v>
          </cell>
          <cell r="Z208">
            <v>693.79533000000015</v>
          </cell>
          <cell r="AA208">
            <v>-693.79533000000015</v>
          </cell>
          <cell r="AB208">
            <v>26.204669999999858</v>
          </cell>
          <cell r="AC208">
            <v>-693.79533000000015</v>
          </cell>
          <cell r="AD208">
            <v>70.850999999999999</v>
          </cell>
        </row>
        <row r="209">
          <cell r="B209" t="str">
            <v>LCP-200014</v>
          </cell>
          <cell r="C209" t="str">
            <v>PER - CALENDER #1 TOP ROLL</v>
          </cell>
          <cell r="D209" t="str">
            <v>Facilities Sustaining</v>
          </cell>
          <cell r="E209" t="str">
            <v>N</v>
          </cell>
          <cell r="F209" t="str">
            <v>LA</v>
          </cell>
          <cell r="H209" t="str">
            <v>Consumer Radial</v>
          </cell>
          <cell r="I209" t="str">
            <v>Facilities/Infrastructure</v>
          </cell>
          <cell r="J209" t="str">
            <v>PER</v>
          </cell>
          <cell r="O209">
            <v>52.5</v>
          </cell>
          <cell r="Q209">
            <v>52.5</v>
          </cell>
          <cell r="S209">
            <v>53.30574</v>
          </cell>
          <cell r="T209">
            <v>53.30574</v>
          </cell>
          <cell r="U209">
            <v>0</v>
          </cell>
          <cell r="V209">
            <v>52.741599999999998</v>
          </cell>
          <cell r="W209">
            <v>52.741599999999998</v>
          </cell>
          <cell r="Z209">
            <v>-0.80574000000000012</v>
          </cell>
          <cell r="AA209">
            <v>0.80574000000000012</v>
          </cell>
          <cell r="AB209">
            <v>53.30574</v>
          </cell>
          <cell r="AC209">
            <v>0.80574000000000012</v>
          </cell>
        </row>
        <row r="210">
          <cell r="B210" t="str">
            <v>LCP-200016</v>
          </cell>
          <cell r="C210" t="str">
            <v>AME- LT275/65R18 Wr. Duratrac - Transfer</v>
          </cell>
          <cell r="D210" t="str">
            <v>Molds</v>
          </cell>
          <cell r="E210" t="str">
            <v>N</v>
          </cell>
          <cell r="F210" t="str">
            <v>LA</v>
          </cell>
          <cell r="H210" t="str">
            <v>Consumer Radial</v>
          </cell>
          <cell r="I210" t="str">
            <v>CURING</v>
          </cell>
          <cell r="J210" t="str">
            <v>AME</v>
          </cell>
          <cell r="O210">
            <v>4</v>
          </cell>
          <cell r="Q210">
            <v>4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Z210">
            <v>4</v>
          </cell>
          <cell r="AA210">
            <v>-4</v>
          </cell>
          <cell r="AB210">
            <v>0</v>
          </cell>
          <cell r="AC210">
            <v>-4</v>
          </cell>
        </row>
        <row r="211">
          <cell r="B211" t="str">
            <v>LCP-200017</v>
          </cell>
          <cell r="C211" t="str">
            <v>PER - CLEANING MOLDS OVEN</v>
          </cell>
          <cell r="D211" t="str">
            <v>Quality - Improvement</v>
          </cell>
          <cell r="E211" t="str">
            <v>N</v>
          </cell>
          <cell r="F211" t="str">
            <v>LA</v>
          </cell>
          <cell r="H211" t="str">
            <v>Consumer Radial</v>
          </cell>
          <cell r="I211" t="str">
            <v>Curing</v>
          </cell>
          <cell r="J211" t="str">
            <v>PER</v>
          </cell>
          <cell r="O211">
            <v>115</v>
          </cell>
          <cell r="Q211">
            <v>115</v>
          </cell>
          <cell r="S211">
            <v>1.3735899999999999</v>
          </cell>
          <cell r="T211">
            <v>1.3735899999999999</v>
          </cell>
          <cell r="U211">
            <v>0</v>
          </cell>
          <cell r="X211">
            <v>0</v>
          </cell>
          <cell r="Y211">
            <v>0.25739999999999996</v>
          </cell>
          <cell r="Z211">
            <v>113.62641000000001</v>
          </cell>
          <cell r="AA211">
            <v>-113.62641000000001</v>
          </cell>
          <cell r="AB211">
            <v>1.3735899999999999</v>
          </cell>
          <cell r="AC211">
            <v>-113.62641000000001</v>
          </cell>
        </row>
        <row r="212">
          <cell r="B212" t="str">
            <v>LCP-200018</v>
          </cell>
          <cell r="C212" t="str">
            <v>VW Tarek Argentina R18</v>
          </cell>
          <cell r="D212" t="str">
            <v>Molds</v>
          </cell>
          <cell r="E212" t="str">
            <v>N</v>
          </cell>
          <cell r="F212" t="str">
            <v>LA</v>
          </cell>
          <cell r="H212" t="str">
            <v>Consumer Radial</v>
          </cell>
          <cell r="I212" t="str">
            <v>Curing</v>
          </cell>
          <cell r="J212" t="str">
            <v>AME</v>
          </cell>
          <cell r="O212">
            <v>340</v>
          </cell>
          <cell r="Q212">
            <v>340</v>
          </cell>
          <cell r="S212">
            <v>204.23382999999995</v>
          </cell>
          <cell r="T212">
            <v>204.23382999999995</v>
          </cell>
          <cell r="U212">
            <v>0</v>
          </cell>
          <cell r="V212">
            <v>174.07524000000001</v>
          </cell>
          <cell r="W212">
            <v>174.07524000000001</v>
          </cell>
          <cell r="Z212">
            <v>135.76617000000005</v>
          </cell>
          <cell r="AA212">
            <v>-135.76617000000005</v>
          </cell>
          <cell r="AB212">
            <v>204.23382999999995</v>
          </cell>
          <cell r="AC212">
            <v>-135.76617000000005</v>
          </cell>
          <cell r="AD212">
            <v>108.82499999999999</v>
          </cell>
        </row>
        <row r="213">
          <cell r="B213" t="str">
            <v>LCP-200019</v>
          </cell>
          <cell r="C213" t="str">
            <v>VW Tarek Argentina R19</v>
          </cell>
          <cell r="D213" t="str">
            <v>Molds</v>
          </cell>
          <cell r="E213" t="str">
            <v>N</v>
          </cell>
          <cell r="F213" t="str">
            <v>LA</v>
          </cell>
          <cell r="H213" t="str">
            <v>Consumer Radial</v>
          </cell>
          <cell r="I213" t="str">
            <v>Curing</v>
          </cell>
          <cell r="J213" t="str">
            <v>AME</v>
          </cell>
          <cell r="O213">
            <v>68</v>
          </cell>
          <cell r="Q213">
            <v>68</v>
          </cell>
          <cell r="S213">
            <v>51.269149999999996</v>
          </cell>
          <cell r="T213">
            <v>51.269149999999996</v>
          </cell>
          <cell r="U213">
            <v>0</v>
          </cell>
          <cell r="V213">
            <v>38.030450000000002</v>
          </cell>
          <cell r="W213">
            <v>38.030450000000002</v>
          </cell>
          <cell r="Z213">
            <v>16.730850000000004</v>
          </cell>
          <cell r="AA213">
            <v>-16.730850000000004</v>
          </cell>
          <cell r="AB213">
            <v>51.269149999999996</v>
          </cell>
          <cell r="AC213">
            <v>-16.730850000000004</v>
          </cell>
          <cell r="AD213">
            <v>37.700000000000003</v>
          </cell>
        </row>
        <row r="214">
          <cell r="B214" t="str">
            <v>LCP-200020</v>
          </cell>
          <cell r="C214" t="str">
            <v>KMAX D - Lwer UT , mold replacement</v>
          </cell>
          <cell r="D214" t="str">
            <v>Molds</v>
          </cell>
          <cell r="E214" t="str">
            <v>N</v>
          </cell>
          <cell r="F214" t="str">
            <v>LA</v>
          </cell>
          <cell r="H214" t="str">
            <v>Retread</v>
          </cell>
          <cell r="I214" t="str">
            <v>Curing</v>
          </cell>
          <cell r="J214" t="str">
            <v>RET</v>
          </cell>
          <cell r="O214">
            <v>105</v>
          </cell>
          <cell r="Q214">
            <v>105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Z214">
            <v>105</v>
          </cell>
          <cell r="AA214">
            <v>-105</v>
          </cell>
          <cell r="AB214">
            <v>0</v>
          </cell>
          <cell r="AC214">
            <v>-105</v>
          </cell>
        </row>
        <row r="215">
          <cell r="B215" t="str">
            <v>LCP-200021</v>
          </cell>
          <cell r="C215" t="str">
            <v>Direction Transfer to Peru</v>
          </cell>
          <cell r="D215" t="str">
            <v>Molds</v>
          </cell>
          <cell r="E215" t="str">
            <v>N</v>
          </cell>
          <cell r="F215" t="str">
            <v>LA</v>
          </cell>
          <cell r="H215" t="str">
            <v>Consumer Radial</v>
          </cell>
          <cell r="I215" t="str">
            <v>Curing</v>
          </cell>
          <cell r="J215" t="str">
            <v>PER</v>
          </cell>
          <cell r="O215">
            <v>140</v>
          </cell>
          <cell r="Q215">
            <v>140</v>
          </cell>
          <cell r="R215">
            <v>0</v>
          </cell>
          <cell r="S215">
            <v>4.4838299999999993</v>
          </cell>
          <cell r="T215">
            <v>4.4838299999999993</v>
          </cell>
          <cell r="U215">
            <v>0</v>
          </cell>
          <cell r="V215">
            <v>2.7883100000000001</v>
          </cell>
          <cell r="W215">
            <v>2.7883100000000001</v>
          </cell>
          <cell r="X215">
            <v>1.54</v>
          </cell>
          <cell r="Y215">
            <v>0</v>
          </cell>
          <cell r="Z215">
            <v>135.51616999999999</v>
          </cell>
          <cell r="AA215">
            <v>-135.51616999999999</v>
          </cell>
          <cell r="AB215">
            <v>4.4838299999999993</v>
          </cell>
          <cell r="AC215">
            <v>-135.51616999999999</v>
          </cell>
        </row>
        <row r="216">
          <cell r="B216" t="str">
            <v>LCP-180003</v>
          </cell>
          <cell r="C216" t="str">
            <v>GEM PROJECT EMC GRAVATAÍ</v>
          </cell>
          <cell r="D216" t="str">
            <v>SAG</v>
          </cell>
          <cell r="E216" t="str">
            <v>C</v>
          </cell>
          <cell r="F216" t="str">
            <v>LA</v>
          </cell>
          <cell r="G216">
            <v>0</v>
          </cell>
          <cell r="H216" t="str">
            <v>N/A</v>
          </cell>
          <cell r="I216" t="str">
            <v>FACILITIES/INFRASTRUCTURE</v>
          </cell>
          <cell r="J216" t="str">
            <v>MC</v>
          </cell>
          <cell r="O216">
            <v>2880</v>
          </cell>
          <cell r="P216">
            <v>887.5</v>
          </cell>
          <cell r="Q216">
            <v>3767.5</v>
          </cell>
          <cell r="R216">
            <v>3449.8341700000001</v>
          </cell>
          <cell r="S216">
            <v>3456.2623200000003</v>
          </cell>
          <cell r="T216">
            <v>6.4281499999999996</v>
          </cell>
          <cell r="U216">
            <v>0</v>
          </cell>
          <cell r="V216">
            <v>10.029610000000002</v>
          </cell>
          <cell r="W216">
            <v>10.029610000000002</v>
          </cell>
          <cell r="Z216">
            <v>311.23767999999973</v>
          </cell>
          <cell r="AA216">
            <v>-311.23767999999973</v>
          </cell>
          <cell r="AB216">
            <v>3456.2623200000003</v>
          </cell>
          <cell r="AC216">
            <v>-311.23767999999973</v>
          </cell>
          <cell r="AD216">
            <v>0</v>
          </cell>
        </row>
        <row r="217">
          <cell r="B217" t="str">
            <v>LCP-180010</v>
          </cell>
          <cell r="C217" t="str">
            <v>(3) NEW 52 HYDRAULIC CONSUMER PRESSES</v>
          </cell>
          <cell r="D217" t="str">
            <v>Capability</v>
          </cell>
          <cell r="E217" t="str">
            <v>C</v>
          </cell>
          <cell r="F217" t="str">
            <v>LA</v>
          </cell>
          <cell r="G217">
            <v>0</v>
          </cell>
          <cell r="H217" t="str">
            <v>Commercial Radial</v>
          </cell>
          <cell r="I217" t="str">
            <v>Curing</v>
          </cell>
          <cell r="J217" t="str">
            <v>AME</v>
          </cell>
          <cell r="O217">
            <v>2961.5</v>
          </cell>
          <cell r="Q217">
            <v>2961.5</v>
          </cell>
          <cell r="R217">
            <v>2419.5096100000001</v>
          </cell>
          <cell r="S217">
            <v>2474.2202499999999</v>
          </cell>
          <cell r="T217">
            <v>54.710640000000005</v>
          </cell>
          <cell r="U217">
            <v>0</v>
          </cell>
          <cell r="V217">
            <v>63.749110000000002</v>
          </cell>
          <cell r="W217">
            <v>63.749110000000002</v>
          </cell>
          <cell r="Z217">
            <v>487.27975000000015</v>
          </cell>
          <cell r="AD217">
            <v>0</v>
          </cell>
        </row>
        <row r="218">
          <cell r="B218" t="str">
            <v>LCP-180080</v>
          </cell>
          <cell r="C218" t="str">
            <v>COMMERCIAL TIRE BUILDING MACHINE</v>
          </cell>
          <cell r="D218" t="str">
            <v>Capability</v>
          </cell>
          <cell r="E218" t="str">
            <v>C</v>
          </cell>
          <cell r="F218" t="str">
            <v>LA</v>
          </cell>
          <cell r="H218" t="str">
            <v>Commercial Radial</v>
          </cell>
          <cell r="I218" t="str">
            <v>Tire Assembly</v>
          </cell>
          <cell r="J218" t="str">
            <v>AME</v>
          </cell>
          <cell r="O218">
            <v>10188.982</v>
          </cell>
          <cell r="Q218">
            <v>10188.982</v>
          </cell>
          <cell r="R218">
            <v>6223.9736700000003</v>
          </cell>
          <cell r="S218">
            <v>6255.96137</v>
          </cell>
          <cell r="T218">
            <v>31.9877</v>
          </cell>
          <cell r="U218">
            <v>0</v>
          </cell>
          <cell r="V218">
            <v>5.3449499999999999</v>
          </cell>
          <cell r="W218">
            <v>5.3449499999999999</v>
          </cell>
          <cell r="Z218">
            <v>3933.02063</v>
          </cell>
          <cell r="AD218">
            <v>0</v>
          </cell>
        </row>
        <row r="219">
          <cell r="B219" t="str">
            <v>LCP-200031</v>
          </cell>
          <cell r="C219" t="str">
            <v>MEX- Converyors</v>
          </cell>
          <cell r="D219" t="str">
            <v>SAG</v>
          </cell>
          <cell r="E219" t="str">
            <v>N</v>
          </cell>
          <cell r="F219" t="str">
            <v>LA</v>
          </cell>
          <cell r="H219" t="str">
            <v>N/A</v>
          </cell>
          <cell r="I219" t="str">
            <v>SAG - Supply Chain</v>
          </cell>
          <cell r="J219" t="str">
            <v>MEX</v>
          </cell>
          <cell r="O219">
            <v>112</v>
          </cell>
          <cell r="Q219">
            <v>112</v>
          </cell>
          <cell r="S219">
            <v>9.1301799999999744</v>
          </cell>
          <cell r="T219">
            <v>10.768629999999975</v>
          </cell>
          <cell r="U219">
            <v>1.6151099999999996</v>
          </cell>
          <cell r="V219">
            <v>-4.85806</v>
          </cell>
          <cell r="W219">
            <v>-4.85806</v>
          </cell>
          <cell r="Z219">
            <v>102.86982000000003</v>
          </cell>
          <cell r="AA219">
            <v>-102.86982000000003</v>
          </cell>
          <cell r="AB219">
            <v>10.745289999999974</v>
          </cell>
          <cell r="AC219">
            <v>-101.25471000000003</v>
          </cell>
        </row>
        <row r="220">
          <cell r="B220" t="str">
            <v>LCP-200032</v>
          </cell>
          <cell r="C220" t="str">
            <v>AME - 4 molds 175/70R13 Edge Touring</v>
          </cell>
          <cell r="D220" t="str">
            <v>Molds</v>
          </cell>
          <cell r="E220" t="str">
            <v>N</v>
          </cell>
          <cell r="F220" t="str">
            <v>LA</v>
          </cell>
          <cell r="H220" t="str">
            <v>Consumer Radial</v>
          </cell>
          <cell r="I220" t="str">
            <v>Curing</v>
          </cell>
          <cell r="J220" t="str">
            <v>AME</v>
          </cell>
          <cell r="O220">
            <v>81.75</v>
          </cell>
          <cell r="Q220">
            <v>81.75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Z220">
            <v>81.75</v>
          </cell>
          <cell r="AA220">
            <v>-81.75</v>
          </cell>
          <cell r="AB220">
            <v>0</v>
          </cell>
          <cell r="AC220">
            <v>-81.75</v>
          </cell>
        </row>
        <row r="221">
          <cell r="B221" t="str">
            <v>LCP-200033</v>
          </cell>
          <cell r="C221" t="str">
            <v>CHI - Look &amp; Feel POS Identification Ecuador 2020</v>
          </cell>
          <cell r="D221" t="str">
            <v>SAG</v>
          </cell>
          <cell r="E221" t="str">
            <v>N</v>
          </cell>
          <cell r="F221" t="str">
            <v>LA</v>
          </cell>
          <cell r="H221" t="str">
            <v>N/A</v>
          </cell>
          <cell r="I221" t="str">
            <v>SAG - Sales &amp; Marketing</v>
          </cell>
          <cell r="J221" t="str">
            <v>CHI</v>
          </cell>
          <cell r="O221">
            <v>84</v>
          </cell>
          <cell r="Q221">
            <v>84</v>
          </cell>
          <cell r="S221">
            <v>0</v>
          </cell>
          <cell r="T221">
            <v>0</v>
          </cell>
          <cell r="U221">
            <v>0</v>
          </cell>
          <cell r="Z221">
            <v>84</v>
          </cell>
          <cell r="AA221">
            <v>-84</v>
          </cell>
          <cell r="AB221">
            <v>0</v>
          </cell>
          <cell r="AC221">
            <v>-84</v>
          </cell>
        </row>
        <row r="222">
          <cell r="B222" t="str">
            <v>LCP-200036</v>
          </cell>
          <cell r="C222" t="str">
            <v>PER - Look &amp; Feel POS Identification Peru</v>
          </cell>
          <cell r="D222" t="str">
            <v>SAG</v>
          </cell>
          <cell r="E222" t="str">
            <v>N</v>
          </cell>
          <cell r="F222" t="str">
            <v>LA</v>
          </cell>
          <cell r="H222" t="str">
            <v>Mixed</v>
          </cell>
          <cell r="I222" t="str">
            <v>SAG - Sales &amp; Marketing</v>
          </cell>
          <cell r="J222" t="str">
            <v>PER</v>
          </cell>
          <cell r="O222">
            <v>250</v>
          </cell>
          <cell r="Q222">
            <v>250</v>
          </cell>
          <cell r="S222">
            <v>0</v>
          </cell>
          <cell r="T222">
            <v>0</v>
          </cell>
          <cell r="U222">
            <v>0</v>
          </cell>
          <cell r="Z222">
            <v>250</v>
          </cell>
          <cell r="AA222">
            <v>-250</v>
          </cell>
          <cell r="AB222">
            <v>0</v>
          </cell>
          <cell r="AC222">
            <v>-250</v>
          </cell>
        </row>
        <row r="223">
          <cell r="B223" t="str">
            <v>LCP-200042</v>
          </cell>
          <cell r="C223" t="str">
            <v>AME- EQUIPMENTS TO CONSUMER TIRES</v>
          </cell>
          <cell r="D223" t="str">
            <v>Molds</v>
          </cell>
          <cell r="E223" t="str">
            <v>N</v>
          </cell>
          <cell r="F223" t="str">
            <v>LA</v>
          </cell>
          <cell r="H223" t="str">
            <v>CONSUMER RADIAL</v>
          </cell>
          <cell r="I223" t="str">
            <v>Curing</v>
          </cell>
          <cell r="J223" t="str">
            <v>AME</v>
          </cell>
          <cell r="O223">
            <v>102</v>
          </cell>
          <cell r="Q223">
            <v>102</v>
          </cell>
          <cell r="S223">
            <v>64.294229999999999</v>
          </cell>
          <cell r="T223">
            <v>84.42179999999999</v>
          </cell>
          <cell r="U223">
            <v>0</v>
          </cell>
          <cell r="V223">
            <v>83.293139999999994</v>
          </cell>
          <cell r="W223">
            <v>83.293139999999994</v>
          </cell>
          <cell r="Z223">
            <v>37.705770000000001</v>
          </cell>
          <cell r="AA223">
            <v>-37.705770000000001</v>
          </cell>
          <cell r="AB223">
            <v>64.294229999999999</v>
          </cell>
          <cell r="AC223">
            <v>-37.705770000000001</v>
          </cell>
          <cell r="AD223">
            <v>102</v>
          </cell>
        </row>
        <row r="224">
          <cell r="B224" t="str">
            <v>LCP-200046</v>
          </cell>
          <cell r="C224" t="str">
            <v>CHI - Look &amp; Feel POS Identification Chile 2020</v>
          </cell>
          <cell r="D224" t="str">
            <v>SAG</v>
          </cell>
          <cell r="E224" t="str">
            <v>N</v>
          </cell>
          <cell r="F224" t="str">
            <v>LA</v>
          </cell>
          <cell r="H224" t="str">
            <v>N/A</v>
          </cell>
          <cell r="I224" t="str">
            <v>SAG - Sales &amp; Marketing</v>
          </cell>
          <cell r="J224" t="str">
            <v>CHI</v>
          </cell>
          <cell r="O224">
            <v>101</v>
          </cell>
          <cell r="P224">
            <v>122</v>
          </cell>
          <cell r="Q224">
            <v>223</v>
          </cell>
          <cell r="S224">
            <v>0.8591899999999999</v>
          </cell>
          <cell r="T224">
            <v>0.8591899999999999</v>
          </cell>
          <cell r="U224">
            <v>0</v>
          </cell>
          <cell r="X224">
            <v>0</v>
          </cell>
          <cell r="Y224">
            <v>30.478009999999998</v>
          </cell>
        </row>
        <row r="225">
          <cell r="B225" t="str">
            <v>LCP-180081</v>
          </cell>
          <cell r="C225" t="str">
            <v>GEM PROJECT SÃO CAETANO DO SUL</v>
          </cell>
          <cell r="D225" t="str">
            <v>SAG</v>
          </cell>
          <cell r="E225" t="str">
            <v>C</v>
          </cell>
          <cell r="F225" t="str">
            <v>LA</v>
          </cell>
          <cell r="H225" t="str">
            <v>N/A</v>
          </cell>
          <cell r="I225" t="str">
            <v>N/A</v>
          </cell>
          <cell r="J225" t="str">
            <v>MC</v>
          </cell>
          <cell r="O225">
            <v>5863</v>
          </cell>
          <cell r="Q225">
            <v>5863</v>
          </cell>
          <cell r="R225">
            <v>4989.9439300000004</v>
          </cell>
          <cell r="S225">
            <v>4989.1904800000002</v>
          </cell>
          <cell r="T225">
            <v>-0.75344999999999995</v>
          </cell>
          <cell r="U225">
            <v>0</v>
          </cell>
          <cell r="V225">
            <v>-0.35293000000000063</v>
          </cell>
          <cell r="W225">
            <v>-0.35293000000000063</v>
          </cell>
          <cell r="Z225">
            <v>873.80951999999979</v>
          </cell>
          <cell r="AA225">
            <v>-873.80951999999979</v>
          </cell>
          <cell r="AB225">
            <v>4989.1904800000002</v>
          </cell>
          <cell r="AC225">
            <v>-873.80951999999979</v>
          </cell>
          <cell r="AD225">
            <v>0</v>
          </cell>
        </row>
        <row r="226">
          <cell r="B226" t="str">
            <v>LCP-200058</v>
          </cell>
          <cell r="C226" t="str">
            <v>29.5-29 SMO</v>
          </cell>
          <cell r="D226" t="str">
            <v>Molds</v>
          </cell>
          <cell r="E226" t="str">
            <v>N</v>
          </cell>
          <cell r="F226" t="str">
            <v>LA</v>
          </cell>
          <cell r="H226" t="str">
            <v>OTR</v>
          </cell>
          <cell r="I226" t="str">
            <v>Curing</v>
          </cell>
          <cell r="J226" t="str">
            <v>AME</v>
          </cell>
          <cell r="O226">
            <v>300</v>
          </cell>
          <cell r="Q226">
            <v>300</v>
          </cell>
          <cell r="S226">
            <v>39.921510000000005</v>
          </cell>
          <cell r="T226">
            <v>39.921510000000005</v>
          </cell>
          <cell r="U226">
            <v>2.8578600000000023</v>
          </cell>
          <cell r="V226">
            <v>21.448710000000005</v>
          </cell>
          <cell r="W226">
            <v>21.448710000000005</v>
          </cell>
          <cell r="Z226">
            <v>260.07848999999999</v>
          </cell>
          <cell r="AA226">
            <v>-260.07848999999999</v>
          </cell>
          <cell r="AB226">
            <v>42.779370000000007</v>
          </cell>
          <cell r="AC226">
            <v>-257.22062999999997</v>
          </cell>
          <cell r="AD226">
            <v>24.324999999999999</v>
          </cell>
        </row>
        <row r="227">
          <cell r="B227" t="str">
            <v>LCP-200061</v>
          </cell>
          <cell r="C227" t="str">
            <v>COL - MISCELLAEOUS SUSTAINING</v>
          </cell>
          <cell r="D227" t="str">
            <v>Facilities Sustaining</v>
          </cell>
          <cell r="E227" t="str">
            <v>N</v>
          </cell>
          <cell r="F227" t="str">
            <v>LA</v>
          </cell>
          <cell r="H227" t="str">
            <v>Commercial Radial</v>
          </cell>
          <cell r="I227" t="str">
            <v>Facilities/Infrastructure</v>
          </cell>
          <cell r="J227" t="str">
            <v>COL</v>
          </cell>
          <cell r="O227">
            <v>400</v>
          </cell>
          <cell r="Q227">
            <v>400</v>
          </cell>
          <cell r="R227">
            <v>0</v>
          </cell>
          <cell r="S227">
            <v>29.429079999999999</v>
          </cell>
          <cell r="T227">
            <v>29.429079999999999</v>
          </cell>
          <cell r="U227">
            <v>0</v>
          </cell>
          <cell r="V227">
            <v>14.396669999999999</v>
          </cell>
          <cell r="W227">
            <v>14.396669999999999</v>
          </cell>
          <cell r="Z227">
            <v>370.57092</v>
          </cell>
          <cell r="AA227">
            <v>-370.57092</v>
          </cell>
          <cell r="AB227">
            <v>29.429079999999999</v>
          </cell>
          <cell r="AC227">
            <v>-370.57092</v>
          </cell>
        </row>
        <row r="228">
          <cell r="B228" t="str">
            <v>LCP-200062</v>
          </cell>
          <cell r="C228" t="str">
            <v xml:space="preserve">COL- Quad Extruder screw 150 mm  replacement  </v>
          </cell>
          <cell r="D228" t="str">
            <v>Facilities Sustaining</v>
          </cell>
          <cell r="E228" t="str">
            <v>N</v>
          </cell>
          <cell r="F228" t="str">
            <v>LA</v>
          </cell>
          <cell r="H228" t="str">
            <v>Commercial Radial</v>
          </cell>
          <cell r="I228" t="str">
            <v>COMPONENT PREP OTHER</v>
          </cell>
          <cell r="J228" t="str">
            <v>COL</v>
          </cell>
          <cell r="S228">
            <v>0</v>
          </cell>
          <cell r="T228">
            <v>0</v>
          </cell>
          <cell r="U228">
            <v>0</v>
          </cell>
        </row>
        <row r="229">
          <cell r="B229" t="str">
            <v>LCP-200064</v>
          </cell>
          <cell r="C229" t="str">
            <v>VEHICLE GIC CAM - GUATEMALA</v>
          </cell>
          <cell r="D229" t="str">
            <v>SAG</v>
          </cell>
          <cell r="E229" t="str">
            <v>N</v>
          </cell>
          <cell r="F229" t="str">
            <v>LA</v>
          </cell>
          <cell r="H229" t="str">
            <v>N/A</v>
          </cell>
          <cell r="I229" t="str">
            <v>SAG - Other</v>
          </cell>
          <cell r="J229" t="str">
            <v>GIC</v>
          </cell>
          <cell r="O229">
            <v>6</v>
          </cell>
          <cell r="Q229">
            <v>6</v>
          </cell>
          <cell r="S229">
            <v>0</v>
          </cell>
          <cell r="T229">
            <v>0</v>
          </cell>
          <cell r="U229">
            <v>0</v>
          </cell>
          <cell r="Z229">
            <v>6</v>
          </cell>
          <cell r="AA229">
            <v>-6</v>
          </cell>
          <cell r="AB229">
            <v>0</v>
          </cell>
          <cell r="AC229">
            <v>-6</v>
          </cell>
        </row>
        <row r="230">
          <cell r="B230" t="str">
            <v>LCP-200070</v>
          </cell>
          <cell r="C230" t="str">
            <v>COL-AUTOMATIC DEFECT RECOGNITION SOFTWAR</v>
          </cell>
          <cell r="D230" t="str">
            <v>Quality - Improvement</v>
          </cell>
          <cell r="E230" t="str">
            <v>N</v>
          </cell>
          <cell r="F230" t="str">
            <v>LA</v>
          </cell>
          <cell r="H230" t="str">
            <v>Commercial Radial</v>
          </cell>
          <cell r="I230" t="str">
            <v>TIRE ASSEMBLY</v>
          </cell>
          <cell r="J230" t="str">
            <v>COL</v>
          </cell>
          <cell r="O230">
            <v>148.03700000000001</v>
          </cell>
          <cell r="Q230">
            <v>148.03700000000001</v>
          </cell>
          <cell r="S230">
            <v>98.827049999999986</v>
          </cell>
          <cell r="T230">
            <v>104.26880999999999</v>
          </cell>
          <cell r="U230">
            <v>0</v>
          </cell>
          <cell r="V230">
            <v>158.37970999999999</v>
          </cell>
          <cell r="W230">
            <v>158.37970999999999</v>
          </cell>
          <cell r="X230">
            <v>0</v>
          </cell>
          <cell r="Y230">
            <v>4.1999999999999996E-4</v>
          </cell>
          <cell r="Z230">
            <v>49.209950000000021</v>
          </cell>
          <cell r="AA230">
            <v>-49.209950000000021</v>
          </cell>
          <cell r="AB230">
            <v>98.827049999999986</v>
          </cell>
          <cell r="AC230">
            <v>-49.209950000000021</v>
          </cell>
        </row>
        <row r="231">
          <cell r="B231" t="str">
            <v>LCP-180095</v>
          </cell>
          <cell r="C231" t="str">
            <v>AME - METAL DETECTOR IN CALANDERS (FORD PROJECT)</v>
          </cell>
          <cell r="D231" t="str">
            <v>Quality - Improvement</v>
          </cell>
          <cell r="E231" t="str">
            <v>C</v>
          </cell>
          <cell r="F231" t="str">
            <v>LA</v>
          </cell>
          <cell r="H231" t="str">
            <v>Mixed</v>
          </cell>
          <cell r="I231" t="str">
            <v xml:space="preserve">Extruding </v>
          </cell>
          <cell r="J231" t="str">
            <v>AME</v>
          </cell>
          <cell r="O231">
            <v>247</v>
          </cell>
          <cell r="Q231">
            <v>247</v>
          </cell>
          <cell r="R231">
            <v>225.48117999999999</v>
          </cell>
          <cell r="S231">
            <v>250.0986</v>
          </cell>
          <cell r="T231">
            <v>24.617420000000006</v>
          </cell>
          <cell r="U231">
            <v>0</v>
          </cell>
          <cell r="V231">
            <v>50</v>
          </cell>
          <cell r="W231">
            <v>50</v>
          </cell>
          <cell r="Z231">
            <v>-3.0986000000000047</v>
          </cell>
          <cell r="AA231">
            <v>3.0986000000000047</v>
          </cell>
          <cell r="AB231">
            <v>250.0986</v>
          </cell>
          <cell r="AC231">
            <v>3.0986000000000047</v>
          </cell>
          <cell r="AD231">
            <v>0</v>
          </cell>
        </row>
        <row r="232">
          <cell r="B232" t="str">
            <v>LCP-180114</v>
          </cell>
          <cell r="C232" t="str">
            <v>LAMINATOR PROFILE AUTOMATION</v>
          </cell>
          <cell r="D232" t="str">
            <v>Facilities Sustaining</v>
          </cell>
          <cell r="E232" t="str">
            <v>C</v>
          </cell>
          <cell r="F232" t="str">
            <v>LA</v>
          </cell>
          <cell r="H232" t="str">
            <v>OTR</v>
          </cell>
          <cell r="I232" t="str">
            <v>N/A</v>
          </cell>
          <cell r="J232" t="str">
            <v>AME</v>
          </cell>
          <cell r="O232">
            <v>267.8</v>
          </cell>
          <cell r="Q232">
            <v>267.8</v>
          </cell>
          <cell r="R232">
            <v>110.45480000000001</v>
          </cell>
          <cell r="S232">
            <v>149.01047</v>
          </cell>
          <cell r="T232">
            <v>38.555669999999999</v>
          </cell>
          <cell r="U232">
            <v>0</v>
          </cell>
          <cell r="V232">
            <v>94.293819999999997</v>
          </cell>
          <cell r="W232">
            <v>94.293819999999997</v>
          </cell>
          <cell r="Z232">
            <v>118.78953000000001</v>
          </cell>
          <cell r="AA232">
            <v>-118.78953000000001</v>
          </cell>
          <cell r="AB232">
            <v>149.01047</v>
          </cell>
          <cell r="AC232">
            <v>-118.78953000000001</v>
          </cell>
          <cell r="AD232">
            <v>0</v>
          </cell>
        </row>
        <row r="233">
          <cell r="B233" t="str">
            <v>LCP-200087</v>
          </cell>
          <cell r="C233" t="str">
            <v>PER-New VSAN environment and BackUp Sol</v>
          </cell>
          <cell r="D233" t="str">
            <v>IT</v>
          </cell>
          <cell r="E233" t="str">
            <v>N</v>
          </cell>
          <cell r="F233" t="str">
            <v>LA</v>
          </cell>
          <cell r="H233" t="str">
            <v>N/A</v>
          </cell>
          <cell r="I233" t="str">
            <v>SAG - IT</v>
          </cell>
          <cell r="J233" t="str">
            <v>PER</v>
          </cell>
          <cell r="O233">
            <v>145</v>
          </cell>
          <cell r="Q233">
            <v>145</v>
          </cell>
          <cell r="S233">
            <v>0</v>
          </cell>
          <cell r="T233">
            <v>0</v>
          </cell>
          <cell r="U233">
            <v>0</v>
          </cell>
          <cell r="Z233">
            <v>145</v>
          </cell>
          <cell r="AA233">
            <v>-145</v>
          </cell>
          <cell r="AB233">
            <v>0</v>
          </cell>
          <cell r="AC233">
            <v>-145</v>
          </cell>
        </row>
        <row r="234">
          <cell r="B234" t="str">
            <v>LCP-200090</v>
          </cell>
          <cell r="C234" t="str">
            <v>PER - CAPA EXTRUDER GEARBOX REPLACEMENT</v>
          </cell>
          <cell r="D234" t="str">
            <v>Facilities Sustaining</v>
          </cell>
          <cell r="E234" t="str">
            <v>N</v>
          </cell>
          <cell r="F234" t="str">
            <v>LA</v>
          </cell>
          <cell r="H234" t="str">
            <v>Consumer Radial</v>
          </cell>
          <cell r="I234" t="str">
            <v>Mixing</v>
          </cell>
          <cell r="J234" t="str">
            <v>PER</v>
          </cell>
          <cell r="Q234">
            <v>225</v>
          </cell>
          <cell r="S234">
            <v>18.706880000000002</v>
          </cell>
          <cell r="T234">
            <v>140.72446000000002</v>
          </cell>
          <cell r="U234">
            <v>135.0675</v>
          </cell>
          <cell r="V234">
            <v>158.9</v>
          </cell>
          <cell r="W234">
            <v>158.9</v>
          </cell>
          <cell r="X234">
            <v>13.5</v>
          </cell>
          <cell r="Y234">
            <v>0</v>
          </cell>
        </row>
        <row r="235">
          <cell r="B235" t="str">
            <v>LCP-180117</v>
          </cell>
          <cell r="C235" t="str">
            <v>SAO - NEW ORBITREAD MACHINE</v>
          </cell>
          <cell r="D235" t="str">
            <v>SAG</v>
          </cell>
          <cell r="E235" t="str">
            <v>C</v>
          </cell>
          <cell r="F235" t="str">
            <v>LA</v>
          </cell>
          <cell r="H235" t="str">
            <v>Aviation</v>
          </cell>
          <cell r="I235" t="str">
            <v>Tire Assembly</v>
          </cell>
          <cell r="J235" t="str">
            <v>SAO</v>
          </cell>
          <cell r="O235">
            <v>387.67</v>
          </cell>
          <cell r="Q235">
            <v>387.67</v>
          </cell>
          <cell r="R235">
            <v>8.9772400000000001</v>
          </cell>
          <cell r="S235">
            <v>316.72945000000004</v>
          </cell>
          <cell r="T235">
            <v>312.45180000000005</v>
          </cell>
          <cell r="U235">
            <v>0</v>
          </cell>
          <cell r="V235">
            <v>376.7</v>
          </cell>
          <cell r="W235">
            <v>376.7</v>
          </cell>
          <cell r="Z235">
            <v>70.940549999999973</v>
          </cell>
          <cell r="AA235">
            <v>-70.940549999999973</v>
          </cell>
          <cell r="AB235">
            <v>316.72945000000004</v>
          </cell>
          <cell r="AC235">
            <v>-70.940549999999973</v>
          </cell>
          <cell r="AD235">
            <v>0</v>
          </cell>
        </row>
        <row r="236">
          <cell r="B236" t="str">
            <v>LCP-200093</v>
          </cell>
          <cell r="C236" t="str">
            <v>PER - 2020 MISCELLANEOUS ANNUAL BUDGET PHASE 2</v>
          </cell>
          <cell r="D236" t="str">
            <v>Facilities Sustaining</v>
          </cell>
          <cell r="E236" t="str">
            <v>N</v>
          </cell>
          <cell r="F236" t="str">
            <v>LA</v>
          </cell>
          <cell r="H236" t="str">
            <v>N/A</v>
          </cell>
          <cell r="I236" t="str">
            <v>Other</v>
          </cell>
          <cell r="J236" t="str">
            <v>PER</v>
          </cell>
          <cell r="Q236">
            <v>225</v>
          </cell>
          <cell r="S236">
            <v>29.40459000000001</v>
          </cell>
          <cell r="T236">
            <v>30.500170000000008</v>
          </cell>
          <cell r="U236">
            <v>42.5</v>
          </cell>
          <cell r="V236">
            <v>27.098480000000002</v>
          </cell>
          <cell r="W236">
            <v>27.098480000000002</v>
          </cell>
        </row>
        <row r="237">
          <cell r="B237" t="str">
            <v>LCP-200097</v>
          </cell>
          <cell r="C237" t="str">
            <v>4 Molds - 295/80R22.5 KMAX-D (TR+SW)</v>
          </cell>
          <cell r="D237" t="str">
            <v>Molds</v>
          </cell>
          <cell r="E237" t="str">
            <v>N</v>
          </cell>
          <cell r="F237" t="str">
            <v>LA</v>
          </cell>
          <cell r="H237" t="str">
            <v>COMMERCIAL RADIAL</v>
          </cell>
          <cell r="I237" t="str">
            <v>Curing</v>
          </cell>
          <cell r="J237" t="str">
            <v>AME</v>
          </cell>
          <cell r="Q237">
            <v>59.5</v>
          </cell>
          <cell r="S237">
            <v>0.73930999999999991</v>
          </cell>
          <cell r="T237">
            <v>0.73930999999999991</v>
          </cell>
          <cell r="U237">
            <v>0</v>
          </cell>
          <cell r="V237">
            <v>-9.572E-2</v>
          </cell>
          <cell r="W237">
            <v>-9.572E-2</v>
          </cell>
        </row>
        <row r="238">
          <cell r="B238" t="str">
            <v>LCP-200100</v>
          </cell>
          <cell r="C238" t="str">
            <v>BRA-AMERICANA IT NETWORK DEVICES REFRESH BY LIFECYCLE (PHASE 2/4)</v>
          </cell>
          <cell r="D238" t="str">
            <v>IT</v>
          </cell>
          <cell r="E238" t="str">
            <v>N</v>
          </cell>
          <cell r="F238" t="str">
            <v>LA</v>
          </cell>
          <cell r="H238" t="str">
            <v>N/A</v>
          </cell>
          <cell r="I238" t="str">
            <v>SAG - IT</v>
          </cell>
          <cell r="J238" t="str">
            <v>BRZ</v>
          </cell>
          <cell r="Q238">
            <v>147</v>
          </cell>
          <cell r="S238">
            <v>0</v>
          </cell>
          <cell r="T238">
            <v>0</v>
          </cell>
          <cell r="U238">
            <v>0</v>
          </cell>
        </row>
        <row r="239">
          <cell r="B239" t="str">
            <v>LCP-200101</v>
          </cell>
          <cell r="C239" t="str">
            <v>BRA-BRIGADEIRO OFFICE IT NETWORK  AND APPLICATION SERVERS LIFECYCLE  (PHASE 1/3)</v>
          </cell>
          <cell r="D239" t="str">
            <v>IT</v>
          </cell>
          <cell r="E239" t="str">
            <v>N</v>
          </cell>
          <cell r="F239" t="str">
            <v>LA</v>
          </cell>
          <cell r="H239" t="str">
            <v>Mixed</v>
          </cell>
          <cell r="I239" t="str">
            <v>SAG - IT</v>
          </cell>
          <cell r="J239" t="str">
            <v>BRZ</v>
          </cell>
          <cell r="Q239">
            <v>100.05</v>
          </cell>
          <cell r="S239">
            <v>0</v>
          </cell>
          <cell r="T239">
            <v>0</v>
          </cell>
          <cell r="U239">
            <v>0</v>
          </cell>
        </row>
        <row r="240">
          <cell r="B240" t="str">
            <v>LCP-200102</v>
          </cell>
          <cell r="C240" t="str">
            <v>BRA-LOGISTICS CENTER NETWORK REFRESH (PHASE 1/2)</v>
          </cell>
          <cell r="D240" t="str">
            <v>IT</v>
          </cell>
          <cell r="E240" t="str">
            <v>N</v>
          </cell>
          <cell r="F240" t="str">
            <v>LA</v>
          </cell>
          <cell r="H240" t="str">
            <v>Mixed</v>
          </cell>
          <cell r="I240" t="str">
            <v>SAG - IT</v>
          </cell>
          <cell r="J240" t="str">
            <v>BRZ</v>
          </cell>
          <cell r="Q240">
            <v>26.6</v>
          </cell>
          <cell r="S240">
            <v>0</v>
          </cell>
          <cell r="T240">
            <v>0</v>
          </cell>
          <cell r="U240">
            <v>0</v>
          </cell>
        </row>
        <row r="241">
          <cell r="B241" t="str">
            <v>LCP-200103</v>
          </cell>
          <cell r="C241" t="str">
            <v xml:space="preserve">BRA-STA BARBARA COMPUTER ROOM REFRESH BY LIFECYCLE </v>
          </cell>
          <cell r="D241" t="str">
            <v>IT</v>
          </cell>
          <cell r="E241" t="str">
            <v>N</v>
          </cell>
          <cell r="F241" t="str">
            <v>LA</v>
          </cell>
          <cell r="H241" t="str">
            <v>RETREAD</v>
          </cell>
          <cell r="I241" t="str">
            <v>SAG - IT</v>
          </cell>
          <cell r="J241" t="str">
            <v>BRZ</v>
          </cell>
          <cell r="Q241">
            <v>25</v>
          </cell>
          <cell r="S241">
            <v>0</v>
          </cell>
          <cell r="T241">
            <v>0</v>
          </cell>
          <cell r="U241">
            <v>0</v>
          </cell>
        </row>
        <row r="242">
          <cell r="B242" t="str">
            <v>LCP-200104</v>
          </cell>
          <cell r="C242" t="str">
            <v>BRA-STA BARBARA MANUFACTURINT IT NETWORK  AND APPLICATION SERVERS LIFECYCLE (PHASE 2/2)</v>
          </cell>
          <cell r="D242" t="str">
            <v>IT</v>
          </cell>
          <cell r="E242" t="str">
            <v>N</v>
          </cell>
          <cell r="F242" t="str">
            <v>LA</v>
          </cell>
          <cell r="H242" t="str">
            <v>RETREAD</v>
          </cell>
          <cell r="I242" t="str">
            <v>SAG - IT</v>
          </cell>
          <cell r="J242" t="str">
            <v>BRZ</v>
          </cell>
          <cell r="Q242">
            <v>60.05</v>
          </cell>
          <cell r="S242">
            <v>0</v>
          </cell>
          <cell r="T242">
            <v>0</v>
          </cell>
          <cell r="U242">
            <v>0</v>
          </cell>
        </row>
        <row r="243">
          <cell r="B243" t="str">
            <v>LCP-200108</v>
          </cell>
          <cell r="C243" t="str">
            <v>ARG - TRUCK TIRE BEAD CUTTER</v>
          </cell>
          <cell r="D243" t="str">
            <v>SAG</v>
          </cell>
          <cell r="E243" t="str">
            <v>N</v>
          </cell>
          <cell r="F243" t="str">
            <v>LA</v>
          </cell>
          <cell r="H243" t="str">
            <v>Commercial Radial</v>
          </cell>
          <cell r="I243" t="str">
            <v>SAG - Other</v>
          </cell>
          <cell r="J243" t="str">
            <v>ARG</v>
          </cell>
          <cell r="Q243">
            <v>22.2</v>
          </cell>
          <cell r="S243">
            <v>12.027470000000001</v>
          </cell>
          <cell r="T243">
            <v>12.027470000000001</v>
          </cell>
          <cell r="U243">
            <v>0</v>
          </cell>
          <cell r="V243">
            <v>11</v>
          </cell>
          <cell r="W243">
            <v>11</v>
          </cell>
        </row>
        <row r="244">
          <cell r="B244" t="str">
            <v>LCP-200109</v>
          </cell>
          <cell r="C244" t="str">
            <v>COL -  Lighting Electric cable replacement</v>
          </cell>
          <cell r="D244" t="str">
            <v>Facilities Sustaining</v>
          </cell>
          <cell r="E244" t="str">
            <v>N</v>
          </cell>
          <cell r="F244" t="str">
            <v>LA</v>
          </cell>
          <cell r="H244" t="str">
            <v>Commercial Radial</v>
          </cell>
          <cell r="I244" t="str">
            <v>Facilities/Infrastructure</v>
          </cell>
          <cell r="J244" t="str">
            <v>COL</v>
          </cell>
          <cell r="Q244">
            <v>89.593999999999994</v>
          </cell>
          <cell r="S244">
            <v>12.85102</v>
          </cell>
          <cell r="T244">
            <v>12.85102</v>
          </cell>
          <cell r="U244">
            <v>0</v>
          </cell>
          <cell r="V244">
            <v>16.04946</v>
          </cell>
          <cell r="W244">
            <v>16.04946</v>
          </cell>
        </row>
        <row r="245">
          <cell r="B245" t="str">
            <v>LCP-200111</v>
          </cell>
          <cell r="C245" t="str">
            <v>COL - Mixer #2 CMS Upgrade</v>
          </cell>
          <cell r="D245" t="str">
            <v>Facilities Sustaining</v>
          </cell>
          <cell r="E245" t="str">
            <v>N</v>
          </cell>
          <cell r="F245" t="str">
            <v>LA</v>
          </cell>
          <cell r="H245" t="str">
            <v>Commercial Radial</v>
          </cell>
          <cell r="I245" t="str">
            <v>Mixing</v>
          </cell>
          <cell r="J245" t="str">
            <v>COL</v>
          </cell>
          <cell r="Q245">
            <v>749.01900000000001</v>
          </cell>
          <cell r="S245">
            <v>667.14533999999969</v>
          </cell>
          <cell r="T245">
            <v>697.68502999999976</v>
          </cell>
          <cell r="U245">
            <v>0</v>
          </cell>
          <cell r="V245">
            <v>708.72530000000006</v>
          </cell>
          <cell r="W245">
            <v>708.72530000000006</v>
          </cell>
          <cell r="X245">
            <v>0</v>
          </cell>
          <cell r="Y245">
            <v>6.1815600000000002</v>
          </cell>
        </row>
        <row r="246">
          <cell r="B246" t="str">
            <v>LCP-200112</v>
          </cell>
          <cell r="C246" t="str">
            <v>COL - Mixer #1 new TCU</v>
          </cell>
          <cell r="D246" t="str">
            <v>Facilities Sustaining</v>
          </cell>
          <cell r="E246" t="str">
            <v>N</v>
          </cell>
          <cell r="F246" t="str">
            <v>LA</v>
          </cell>
          <cell r="H246" t="str">
            <v>Commercial Radial</v>
          </cell>
          <cell r="I246" t="str">
            <v>Mixing</v>
          </cell>
          <cell r="J246" t="str">
            <v>COL</v>
          </cell>
          <cell r="Q246">
            <v>111.209</v>
          </cell>
          <cell r="S246">
            <v>61.616529999999997</v>
          </cell>
          <cell r="T246">
            <v>61.616529999999997</v>
          </cell>
          <cell r="U246">
            <v>0</v>
          </cell>
          <cell r="V246">
            <v>100.80595</v>
          </cell>
          <cell r="W246">
            <v>100.80595</v>
          </cell>
        </row>
        <row r="247">
          <cell r="B247" t="str">
            <v>LCP-200113</v>
          </cell>
          <cell r="C247" t="str">
            <v>COL - Look &amp; Feel POS Identification Colombia</v>
          </cell>
          <cell r="D247" t="str">
            <v>SAG</v>
          </cell>
          <cell r="E247" t="str">
            <v>N</v>
          </cell>
          <cell r="F247" t="str">
            <v>LA</v>
          </cell>
          <cell r="H247" t="str">
            <v>Mixed</v>
          </cell>
          <cell r="I247" t="str">
            <v>SAG - Sales &amp; Marketing</v>
          </cell>
          <cell r="J247" t="str">
            <v>COL</v>
          </cell>
          <cell r="Q247">
            <v>150</v>
          </cell>
          <cell r="S247">
            <v>7.1989499999999991</v>
          </cell>
          <cell r="T247">
            <v>7.1989499999999991</v>
          </cell>
          <cell r="U247">
            <v>0</v>
          </cell>
          <cell r="V247">
            <v>33.488239999999998</v>
          </cell>
          <cell r="W247">
            <v>33.488239999999998</v>
          </cell>
        </row>
        <row r="248">
          <cell r="B248" t="str">
            <v>LCP-200114</v>
          </cell>
          <cell r="C248" t="str">
            <v>COL - ERGO GREEN TIRE LOADER SYSTEMS IN PRESSES</v>
          </cell>
          <cell r="D248" t="str">
            <v>EHS</v>
          </cell>
          <cell r="E248" t="str">
            <v>N</v>
          </cell>
          <cell r="F248" t="str">
            <v>LA</v>
          </cell>
          <cell r="G248" t="str">
            <v>ERG</v>
          </cell>
          <cell r="H248" t="str">
            <v>Commercial Radial</v>
          </cell>
          <cell r="I248" t="str">
            <v>Curing</v>
          </cell>
          <cell r="J248" t="str">
            <v>COL</v>
          </cell>
          <cell r="Q248">
            <v>110.303</v>
          </cell>
          <cell r="S248">
            <v>16.356960000000001</v>
          </cell>
          <cell r="T248">
            <v>21.879049999999999</v>
          </cell>
          <cell r="U248">
            <v>0</v>
          </cell>
          <cell r="V248">
            <v>25</v>
          </cell>
          <cell r="W248">
            <v>25</v>
          </cell>
        </row>
        <row r="249">
          <cell r="B249" t="str">
            <v>LCP-180137</v>
          </cell>
          <cell r="C249" t="str">
            <v>(10) VDF PANEL INSTALLATION</v>
          </cell>
          <cell r="D249" t="str">
            <v>Energy Conservation</v>
          </cell>
          <cell r="E249" t="str">
            <v>C</v>
          </cell>
          <cell r="F249" t="str">
            <v>LA</v>
          </cell>
          <cell r="H249" t="str">
            <v>Mixed</v>
          </cell>
          <cell r="I249" t="str">
            <v>N/A</v>
          </cell>
          <cell r="J249" t="str">
            <v>AME</v>
          </cell>
          <cell r="O249">
            <v>213</v>
          </cell>
          <cell r="Q249">
            <v>213</v>
          </cell>
          <cell r="R249">
            <v>160.65058000000002</v>
          </cell>
          <cell r="S249">
            <v>160.98027000000002</v>
          </cell>
          <cell r="T249">
            <v>0.32969000000000004</v>
          </cell>
          <cell r="U249">
            <v>0</v>
          </cell>
          <cell r="V249">
            <v>0.36386000000000007</v>
          </cell>
          <cell r="W249">
            <v>0.36386000000000007</v>
          </cell>
          <cell r="Z249">
            <v>52.019729999999981</v>
          </cell>
          <cell r="AA249">
            <v>-52.019729999999981</v>
          </cell>
          <cell r="AB249">
            <v>160.98027000000002</v>
          </cell>
          <cell r="AC249">
            <v>-52.019729999999981</v>
          </cell>
          <cell r="AD249">
            <v>0</v>
          </cell>
        </row>
        <row r="250">
          <cell r="B250" t="str">
            <v>LCP-180139</v>
          </cell>
          <cell r="C250" t="str">
            <v>POWER HOUSE STEAM TURBINE</v>
          </cell>
          <cell r="D250" t="str">
            <v>Energy Conservation</v>
          </cell>
          <cell r="E250" t="str">
            <v>C</v>
          </cell>
          <cell r="F250" t="str">
            <v>LA</v>
          </cell>
          <cell r="H250" t="str">
            <v>Mixed</v>
          </cell>
          <cell r="I250" t="str">
            <v>N/A</v>
          </cell>
          <cell r="J250" t="str">
            <v>AME</v>
          </cell>
          <cell r="O250">
            <v>1264.865</v>
          </cell>
          <cell r="P250">
            <v>62</v>
          </cell>
          <cell r="Q250">
            <v>1326.865</v>
          </cell>
          <cell r="R250">
            <v>1255.4557199999999</v>
          </cell>
          <cell r="S250">
            <v>1256.7585099999999</v>
          </cell>
          <cell r="T250">
            <v>1.3027899999999999</v>
          </cell>
          <cell r="U250">
            <v>0</v>
          </cell>
          <cell r="V250">
            <v>8.8639599999999987</v>
          </cell>
          <cell r="W250">
            <v>8.8639599999999987</v>
          </cell>
          <cell r="Z250">
            <v>70.106490000000122</v>
          </cell>
          <cell r="AA250">
            <v>-70.106490000000122</v>
          </cell>
          <cell r="AB250">
            <v>1256.7585099999999</v>
          </cell>
          <cell r="AC250">
            <v>-70.106490000000122</v>
          </cell>
          <cell r="AD250">
            <v>0</v>
          </cell>
        </row>
        <row r="251">
          <cell r="B251" t="str">
            <v>LCP-180149</v>
          </cell>
          <cell r="C251" t="str">
            <v>EXHAUST SYSTEM - LINES A/B &amp; G/H CONSUMER PRESSES</v>
          </cell>
          <cell r="D251" t="str">
            <v>EHS</v>
          </cell>
          <cell r="E251" t="str">
            <v>C</v>
          </cell>
          <cell r="F251" t="str">
            <v>LA</v>
          </cell>
          <cell r="G251" t="str">
            <v>HYG</v>
          </cell>
          <cell r="H251" t="str">
            <v>CONSUMER RADIAL</v>
          </cell>
          <cell r="I251" t="str">
            <v>N/A</v>
          </cell>
          <cell r="J251" t="str">
            <v>AME</v>
          </cell>
          <cell r="O251">
            <v>438.67599999999999</v>
          </cell>
          <cell r="Q251">
            <v>438.67599999999999</v>
          </cell>
          <cell r="R251">
            <v>226.38204999999999</v>
          </cell>
          <cell r="S251">
            <v>267.15053</v>
          </cell>
          <cell r="T251">
            <v>40.768479999999997</v>
          </cell>
          <cell r="U251">
            <v>0</v>
          </cell>
          <cell r="V251">
            <v>54.182309999999994</v>
          </cell>
          <cell r="W251">
            <v>54.182309999999994</v>
          </cell>
          <cell r="Z251">
            <v>171.52546999999998</v>
          </cell>
          <cell r="AA251">
            <v>-171.52546999999998</v>
          </cell>
          <cell r="AB251">
            <v>267.15053</v>
          </cell>
          <cell r="AC251">
            <v>-171.52546999999998</v>
          </cell>
          <cell r="AD251">
            <v>0</v>
          </cell>
        </row>
        <row r="252">
          <cell r="B252" t="str">
            <v>LCP-180150</v>
          </cell>
          <cell r="C252" t="str">
            <v>SAO - SHEROGRAPHY UPGRADE (OBSEOLESCENCE AND SOFTWARE)</v>
          </cell>
          <cell r="D252" t="str">
            <v>SAG</v>
          </cell>
          <cell r="E252" t="str">
            <v>C</v>
          </cell>
          <cell r="F252" t="str">
            <v>LA</v>
          </cell>
          <cell r="H252" t="str">
            <v>Aviation</v>
          </cell>
          <cell r="I252" t="str">
            <v>Other</v>
          </cell>
          <cell r="J252" t="str">
            <v>SAO</v>
          </cell>
          <cell r="O252">
            <v>77.8</v>
          </cell>
          <cell r="Q252">
            <v>77.8</v>
          </cell>
          <cell r="R252">
            <v>41.670199999999994</v>
          </cell>
          <cell r="S252">
            <v>41.670199999999994</v>
          </cell>
          <cell r="T252">
            <v>0</v>
          </cell>
          <cell r="U252">
            <v>0</v>
          </cell>
          <cell r="V252">
            <v>9.9</v>
          </cell>
          <cell r="W252">
            <v>9.9</v>
          </cell>
          <cell r="Z252">
            <v>36.129800000000003</v>
          </cell>
          <cell r="AA252">
            <v>-36.129800000000003</v>
          </cell>
          <cell r="AB252">
            <v>41.670199999999994</v>
          </cell>
          <cell r="AC252">
            <v>-36.129800000000003</v>
          </cell>
          <cell r="AD252">
            <v>0</v>
          </cell>
        </row>
        <row r="253">
          <cell r="B253" t="str">
            <v>LCP-180174</v>
          </cell>
          <cell r="C253" t="str">
            <v>METAL DETECTOR IN EXTRUDERS</v>
          </cell>
          <cell r="D253" t="str">
            <v>Quality - Improvement</v>
          </cell>
          <cell r="E253" t="str">
            <v>C</v>
          </cell>
          <cell r="F253" t="str">
            <v>LA</v>
          </cell>
          <cell r="H253" t="str">
            <v>MIXED</v>
          </cell>
          <cell r="I253" t="str">
            <v>COMPONENT PREP OTHER</v>
          </cell>
          <cell r="J253" t="str">
            <v>AME</v>
          </cell>
          <cell r="O253">
            <v>284.57</v>
          </cell>
          <cell r="P253">
            <v>105.654</v>
          </cell>
          <cell r="Q253">
            <v>390.22399999999999</v>
          </cell>
          <cell r="R253">
            <v>68.774510000000006</v>
          </cell>
          <cell r="S253">
            <v>116.18638000000001</v>
          </cell>
          <cell r="T253">
            <v>47.41187</v>
          </cell>
          <cell r="U253">
            <v>0</v>
          </cell>
          <cell r="V253">
            <v>26.905099999999997</v>
          </cell>
          <cell r="W253">
            <v>26.905099999999997</v>
          </cell>
          <cell r="Z253">
            <v>274.03761999999995</v>
          </cell>
          <cell r="AA253">
            <v>-274.03761999999995</v>
          </cell>
          <cell r="AB253">
            <v>116.18638000000001</v>
          </cell>
          <cell r="AC253">
            <v>-274.03761999999995</v>
          </cell>
          <cell r="AD253">
            <v>0</v>
          </cell>
        </row>
        <row r="254">
          <cell r="B254" t="str">
            <v>LCP-200122</v>
          </cell>
          <cell r="C254" t="str">
            <v>PER-New UPS System and electric power transformer</v>
          </cell>
          <cell r="D254" t="str">
            <v>IT</v>
          </cell>
          <cell r="E254" t="str">
            <v>N</v>
          </cell>
          <cell r="F254" t="str">
            <v>LA</v>
          </cell>
          <cell r="H254" t="str">
            <v>N/A</v>
          </cell>
          <cell r="I254" t="str">
            <v>SAG - IT</v>
          </cell>
          <cell r="J254" t="str">
            <v>PER</v>
          </cell>
          <cell r="Q254">
            <v>42</v>
          </cell>
          <cell r="S254">
            <v>4.2497299999999996</v>
          </cell>
          <cell r="T254">
            <v>5.6488899999999997</v>
          </cell>
          <cell r="U254">
            <v>0</v>
          </cell>
          <cell r="V254">
            <v>3.82213</v>
          </cell>
          <cell r="W254">
            <v>3.82213</v>
          </cell>
          <cell r="X254">
            <v>0</v>
          </cell>
          <cell r="Y254">
            <v>0.85250000000000004</v>
          </cell>
        </row>
        <row r="255">
          <cell r="B255" t="str">
            <v>LCP-200123</v>
          </cell>
          <cell r="C255" t="str">
            <v>PER - UPGRADE PERU FVMs PC&amp;laptops</v>
          </cell>
          <cell r="D255" t="str">
            <v>Facilities Sustaining</v>
          </cell>
          <cell r="E255" t="str">
            <v>N</v>
          </cell>
          <cell r="F255" t="str">
            <v>LA</v>
          </cell>
          <cell r="H255" t="str">
            <v>Consumer Radial</v>
          </cell>
          <cell r="I255" t="str">
            <v>Final Finish</v>
          </cell>
          <cell r="J255" t="str">
            <v>PER</v>
          </cell>
          <cell r="Q255">
            <v>86</v>
          </cell>
          <cell r="S255">
            <v>55.37012</v>
          </cell>
          <cell r="T255">
            <v>56.411609999999996</v>
          </cell>
          <cell r="U255">
            <v>24.900000000000006</v>
          </cell>
          <cell r="V255">
            <v>52.506590000000003</v>
          </cell>
          <cell r="W255">
            <v>52.506590000000003</v>
          </cell>
          <cell r="X255">
            <v>0</v>
          </cell>
          <cell r="Y255">
            <v>0.75567999999999991</v>
          </cell>
          <cell r="AD255">
            <v>8</v>
          </cell>
        </row>
        <row r="256">
          <cell r="B256" t="str">
            <v>LCP-180178</v>
          </cell>
          <cell r="C256" t="str">
            <v>WIND UP LET OFF NGTTS#5 &amp; #8</v>
          </cell>
          <cell r="D256" t="str">
            <v>EHS</v>
          </cell>
          <cell r="E256" t="str">
            <v>C</v>
          </cell>
          <cell r="F256" t="str">
            <v>LA</v>
          </cell>
          <cell r="G256" t="str">
            <v>MSR</v>
          </cell>
          <cell r="H256" t="str">
            <v>COMMERCIAL RADIAL</v>
          </cell>
          <cell r="I256" t="str">
            <v>Tire Assembly</v>
          </cell>
          <cell r="J256" t="str">
            <v>AME</v>
          </cell>
          <cell r="O256">
            <v>242.75</v>
          </cell>
          <cell r="Q256">
            <v>242.75</v>
          </cell>
          <cell r="R256">
            <v>195.34764000000001</v>
          </cell>
          <cell r="S256">
            <v>198.16334000000001</v>
          </cell>
          <cell r="T256">
            <v>2.815700000000001</v>
          </cell>
          <cell r="U256">
            <v>0</v>
          </cell>
          <cell r="V256">
            <v>3.4014400000000009</v>
          </cell>
          <cell r="W256">
            <v>3.4014400000000009</v>
          </cell>
          <cell r="Z256">
            <v>44.586659999999995</v>
          </cell>
          <cell r="AA256">
            <v>-44.586659999999995</v>
          </cell>
          <cell r="AB256">
            <v>198.16334000000001</v>
          </cell>
          <cell r="AC256">
            <v>-44.586659999999995</v>
          </cell>
          <cell r="AD256">
            <v>0</v>
          </cell>
        </row>
        <row r="257">
          <cell r="B257" t="str">
            <v>LCP-180179</v>
          </cell>
          <cell r="C257" t="str">
            <v>UPG DRIVES &amp; CONTROLS – CAL3R</v>
          </cell>
          <cell r="D257" t="str">
            <v>Facilities Sustaining</v>
          </cell>
          <cell r="E257" t="str">
            <v>C</v>
          </cell>
          <cell r="F257" t="str">
            <v>LA</v>
          </cell>
          <cell r="H257" t="str">
            <v>CONSUMER RADIAL</v>
          </cell>
          <cell r="I257" t="str">
            <v>COMPONENT PREP OTHER</v>
          </cell>
          <cell r="J257" t="str">
            <v>AME</v>
          </cell>
          <cell r="O257">
            <v>783.3</v>
          </cell>
          <cell r="Q257">
            <v>783.3</v>
          </cell>
          <cell r="R257">
            <v>633.40698999999995</v>
          </cell>
          <cell r="S257">
            <v>646.43928999999991</v>
          </cell>
          <cell r="T257">
            <v>13.032300000000003</v>
          </cell>
          <cell r="U257">
            <v>0</v>
          </cell>
          <cell r="V257">
            <v>13.82259</v>
          </cell>
          <cell r="W257">
            <v>13.82259</v>
          </cell>
          <cell r="Z257">
            <v>136.86071000000004</v>
          </cell>
          <cell r="AA257">
            <v>-136.86071000000004</v>
          </cell>
          <cell r="AB257">
            <v>646.43928999999991</v>
          </cell>
          <cell r="AC257">
            <v>-136.86071000000004</v>
          </cell>
          <cell r="AD257">
            <v>0</v>
          </cell>
        </row>
        <row r="258">
          <cell r="B258" t="str">
            <v>LCP-190057</v>
          </cell>
          <cell r="C258" t="str">
            <v>AME - UP GRADE EXTRUSORA Q5 ( AUTOMAX ) PHASE 2</v>
          </cell>
          <cell r="D258" t="str">
            <v>Facilities Sustaining</v>
          </cell>
          <cell r="E258" t="str">
            <v>N</v>
          </cell>
          <cell r="F258" t="str">
            <v>LA</v>
          </cell>
          <cell r="H258" t="str">
            <v>MIXED</v>
          </cell>
          <cell r="I258" t="str">
            <v>FACILITIES/INFRASTRUCTURE</v>
          </cell>
          <cell r="J258" t="str">
            <v>AME</v>
          </cell>
          <cell r="O258">
            <v>375.71899999999999</v>
          </cell>
          <cell r="Q258">
            <v>375.71899999999999</v>
          </cell>
          <cell r="R258">
            <v>125.52296000000001</v>
          </cell>
          <cell r="S258">
            <v>174.21512000000001</v>
          </cell>
          <cell r="T258">
            <v>48.692159999999994</v>
          </cell>
          <cell r="U258">
            <v>0</v>
          </cell>
          <cell r="V258">
            <v>34.883949999999999</v>
          </cell>
          <cell r="W258">
            <v>34.883949999999999</v>
          </cell>
          <cell r="Z258">
            <v>201.50387999999998</v>
          </cell>
          <cell r="AA258">
            <v>-201.50387999999998</v>
          </cell>
          <cell r="AB258">
            <v>174.21512000000001</v>
          </cell>
          <cell r="AC258">
            <v>-201.50387999999998</v>
          </cell>
          <cell r="AD258">
            <v>0</v>
          </cell>
        </row>
        <row r="259">
          <cell r="B259" t="str">
            <v>LCP-190061</v>
          </cell>
          <cell r="C259" t="str">
            <v>SECURITY IMPROVEMENT IN (8) APEX APPLIER - NGTTS</v>
          </cell>
          <cell r="D259" t="str">
            <v>EHS</v>
          </cell>
          <cell r="E259" t="str">
            <v>N</v>
          </cell>
          <cell r="F259" t="str">
            <v>LA</v>
          </cell>
          <cell r="G259" t="str">
            <v>COMP</v>
          </cell>
          <cell r="H259" t="str">
            <v>COMMERCIAL RADIAL</v>
          </cell>
          <cell r="I259" t="str">
            <v>Tire Assembly</v>
          </cell>
          <cell r="J259" t="str">
            <v>AME</v>
          </cell>
          <cell r="O259">
            <v>372.80046999999996</v>
          </cell>
          <cell r="Q259">
            <v>372.80046999999996</v>
          </cell>
          <cell r="S259">
            <v>62.600300000000004</v>
          </cell>
          <cell r="T259">
            <v>135.34699000000001</v>
          </cell>
          <cell r="U259">
            <v>42.844449999999995</v>
          </cell>
          <cell r="V259">
            <v>110.00046999999995</v>
          </cell>
          <cell r="W259">
            <v>110.00046999999995</v>
          </cell>
          <cell r="X259">
            <v>16.36965</v>
          </cell>
          <cell r="Y259">
            <v>95.184880000000007</v>
          </cell>
          <cell r="Z259">
            <v>310.20016999999996</v>
          </cell>
          <cell r="AA259">
            <v>-310.20016999999996</v>
          </cell>
          <cell r="AB259">
            <v>105.44475</v>
          </cell>
          <cell r="AC259">
            <v>-267.35571999999996</v>
          </cell>
          <cell r="AD259">
            <v>0</v>
          </cell>
        </row>
        <row r="260">
          <cell r="B260" t="str">
            <v>LCP-190078</v>
          </cell>
          <cell r="C260" t="str">
            <v>REPLACEMENT OF ROLLS CAL3R</v>
          </cell>
          <cell r="D260" t="str">
            <v>Facilities Sustaining</v>
          </cell>
          <cell r="E260" t="str">
            <v>N</v>
          </cell>
          <cell r="F260" t="str">
            <v>LA</v>
          </cell>
          <cell r="H260" t="str">
            <v>CONSUMER RADIAL</v>
          </cell>
          <cell r="I260" t="str">
            <v>COMPONENT PREP OTHER</v>
          </cell>
          <cell r="J260" t="str">
            <v>AME</v>
          </cell>
          <cell r="O260">
            <v>1478.5</v>
          </cell>
          <cell r="P260">
            <v>197.13</v>
          </cell>
          <cell r="Q260">
            <v>1675.63</v>
          </cell>
          <cell r="R260">
            <v>382.68155000000002</v>
          </cell>
          <cell r="S260">
            <v>382.68155000000002</v>
          </cell>
          <cell r="T260">
            <v>-1.7347234759768071E-18</v>
          </cell>
          <cell r="U260">
            <v>0</v>
          </cell>
          <cell r="Z260">
            <v>1292.9484500000001</v>
          </cell>
          <cell r="AA260">
            <v>-1292.9484500000001</v>
          </cell>
          <cell r="AB260">
            <v>382.68155000000002</v>
          </cell>
          <cell r="AC260">
            <v>-1292.9484500000001</v>
          </cell>
          <cell r="AD260">
            <v>0</v>
          </cell>
        </row>
        <row r="261">
          <cell r="B261" t="str">
            <v>LCP-190089</v>
          </cell>
          <cell r="C261" t="str">
            <v>AME - X-ray B upgrade</v>
          </cell>
          <cell r="D261" t="str">
            <v>Facilities Sustaining</v>
          </cell>
          <cell r="E261" t="str">
            <v>N</v>
          </cell>
          <cell r="F261" t="str">
            <v>LA</v>
          </cell>
          <cell r="H261" t="str">
            <v>COMMERCIAL RADIAL</v>
          </cell>
          <cell r="I261" t="str">
            <v>FACILITIES/INFRASTRUCTURE</v>
          </cell>
          <cell r="J261" t="str">
            <v>AME</v>
          </cell>
          <cell r="O261">
            <v>385.7</v>
          </cell>
          <cell r="Q261">
            <v>385.7</v>
          </cell>
          <cell r="R261">
            <v>0</v>
          </cell>
          <cell r="S261">
            <v>-26.880879999999994</v>
          </cell>
          <cell r="T261">
            <v>-26.880879999999994</v>
          </cell>
          <cell r="U261">
            <v>0</v>
          </cell>
          <cell r="V261">
            <v>-28.070629999999998</v>
          </cell>
          <cell r="W261">
            <v>-28.070629999999998</v>
          </cell>
          <cell r="Z261">
            <v>412.58087999999998</v>
          </cell>
          <cell r="AA261">
            <v>-412.58087999999998</v>
          </cell>
          <cell r="AB261">
            <v>-26.880879999999994</v>
          </cell>
          <cell r="AC261">
            <v>-412.58087999999998</v>
          </cell>
          <cell r="AD261">
            <v>0</v>
          </cell>
        </row>
        <row r="262">
          <cell r="B262" t="str">
            <v>LCP-200133</v>
          </cell>
          <cell r="C262" t="str">
            <v>PER - FVM 4 (EX GADSDEN)</v>
          </cell>
          <cell r="D262" t="str">
            <v>Facilities Sustaining</v>
          </cell>
          <cell r="E262" t="str">
            <v>N</v>
          </cell>
          <cell r="F262" t="str">
            <v>LA</v>
          </cell>
          <cell r="H262" t="str">
            <v>Consumer Radial</v>
          </cell>
          <cell r="I262" t="str">
            <v>Final Finish</v>
          </cell>
          <cell r="J262" t="str">
            <v>PER</v>
          </cell>
          <cell r="Q262">
            <v>234.02500000000001</v>
          </cell>
          <cell r="S262">
            <v>55.622230000000002</v>
          </cell>
          <cell r="T262">
            <v>78.873290000000011</v>
          </cell>
          <cell r="U262">
            <v>14.071200000000005</v>
          </cell>
          <cell r="V262">
            <v>144.02420999999998</v>
          </cell>
          <cell r="W262">
            <v>144.02420999999998</v>
          </cell>
          <cell r="X262">
            <v>52.561500000000002</v>
          </cell>
          <cell r="Y262">
            <v>23.616309999999999</v>
          </cell>
          <cell r="AD262">
            <v>144</v>
          </cell>
        </row>
        <row r="263">
          <cell r="B263" t="str">
            <v>LCP-200136</v>
          </cell>
          <cell r="C263" t="str">
            <v>Colombia Plant Storm Recovery</v>
          </cell>
          <cell r="D263" t="str">
            <v>Facilities Sustaining</v>
          </cell>
          <cell r="E263" t="str">
            <v>N</v>
          </cell>
          <cell r="F263" t="str">
            <v>LA</v>
          </cell>
          <cell r="H263" t="str">
            <v>COMMERCIAL RADIAL</v>
          </cell>
          <cell r="I263" t="str">
            <v>FACILITIES/INFRASTRUCTURE</v>
          </cell>
          <cell r="J263" t="str">
            <v>COL</v>
          </cell>
          <cell r="Q263">
            <v>1000</v>
          </cell>
          <cell r="S263">
            <v>0</v>
          </cell>
          <cell r="T263">
            <v>0</v>
          </cell>
          <cell r="U263">
            <v>0</v>
          </cell>
        </row>
        <row r="264">
          <cell r="B264" t="str">
            <v>LCP-190117</v>
          </cell>
          <cell r="C264" t="str">
            <v>CAP-X-RAY GREEN POINT MARKER</v>
          </cell>
          <cell r="D264" t="str">
            <v>Quality - Improvement</v>
          </cell>
          <cell r="E264" t="str">
            <v>N</v>
          </cell>
          <cell r="F264" t="str">
            <v>LA</v>
          </cell>
          <cell r="H264" t="str">
            <v>COMMERCIAL RADIAL</v>
          </cell>
          <cell r="I264" t="str">
            <v>FINAL FINISH</v>
          </cell>
          <cell r="J264" t="str">
            <v>AME</v>
          </cell>
          <cell r="O264">
            <v>67.5</v>
          </cell>
          <cell r="Q264">
            <v>67.5</v>
          </cell>
          <cell r="R264">
            <v>23.122389999999999</v>
          </cell>
          <cell r="S264">
            <v>27.78295</v>
          </cell>
          <cell r="T264">
            <v>4.6605600000000003</v>
          </cell>
          <cell r="U264">
            <v>0</v>
          </cell>
          <cell r="V264">
            <v>9.7674900000000004</v>
          </cell>
          <cell r="W264">
            <v>9.7674900000000004</v>
          </cell>
          <cell r="Z264">
            <v>39.71705</v>
          </cell>
          <cell r="AA264">
            <v>-39.71705</v>
          </cell>
          <cell r="AB264">
            <v>27.78295</v>
          </cell>
          <cell r="AC264">
            <v>-39.71705</v>
          </cell>
          <cell r="AD264">
            <v>0</v>
          </cell>
        </row>
        <row r="265">
          <cell r="B265" t="str">
            <v>LCP-200138</v>
          </cell>
          <cell r="C265" t="str">
            <v>PER - PEMS (ENERGY METERS SYSTEM)</v>
          </cell>
          <cell r="D265" t="str">
            <v>Energy Conservation</v>
          </cell>
          <cell r="E265" t="str">
            <v>N</v>
          </cell>
          <cell r="F265" t="str">
            <v>LA</v>
          </cell>
          <cell r="H265" t="str">
            <v>Consumer Radial</v>
          </cell>
          <cell r="I265" t="str">
            <v>Facilities/Infrastructure</v>
          </cell>
          <cell r="J265" t="str">
            <v>PER</v>
          </cell>
          <cell r="Q265">
            <v>76.325000000000003</v>
          </cell>
          <cell r="S265">
            <v>28.742610000000003</v>
          </cell>
          <cell r="T265">
            <v>28.742610000000003</v>
          </cell>
          <cell r="U265">
            <v>0</v>
          </cell>
          <cell r="V265">
            <v>28.491760000000003</v>
          </cell>
          <cell r="W265">
            <v>28.491760000000003</v>
          </cell>
        </row>
        <row r="266">
          <cell r="B266" t="str">
            <v>LCP-200139</v>
          </cell>
          <cell r="C266" t="str">
            <v>PER - ADDITIONAL RTS AT DIE SHOP</v>
          </cell>
          <cell r="D266" t="str">
            <v>Quality - Improvement</v>
          </cell>
          <cell r="E266" t="str">
            <v>N</v>
          </cell>
          <cell r="F266" t="str">
            <v>LA</v>
          </cell>
          <cell r="H266" t="str">
            <v>Consumer Radial</v>
          </cell>
          <cell r="I266" t="str">
            <v xml:space="preserve">Extruding </v>
          </cell>
          <cell r="J266" t="str">
            <v>PER</v>
          </cell>
          <cell r="Q266">
            <v>104.5</v>
          </cell>
          <cell r="S266">
            <v>3.0941499999999782</v>
          </cell>
          <cell r="T266">
            <v>3.0941499999999782</v>
          </cell>
          <cell r="U266">
            <v>0</v>
          </cell>
          <cell r="V266">
            <v>1.3798299999999784</v>
          </cell>
          <cell r="W266">
            <v>1.3798299999999784</v>
          </cell>
        </row>
        <row r="267">
          <cell r="B267" t="str">
            <v>LCP-200140</v>
          </cell>
          <cell r="C267" t="str">
            <v>PER - COOLING SYSTEM FOR BATCHOFF CHAIN</v>
          </cell>
          <cell r="D267" t="str">
            <v>Quality - Improvement</v>
          </cell>
          <cell r="E267" t="str">
            <v>N</v>
          </cell>
          <cell r="F267" t="str">
            <v>LA</v>
          </cell>
          <cell r="H267" t="str">
            <v>Consumer Radial</v>
          </cell>
          <cell r="I267" t="str">
            <v>Mixing</v>
          </cell>
          <cell r="J267" t="str">
            <v>PER</v>
          </cell>
          <cell r="Q267">
            <v>75</v>
          </cell>
          <cell r="S267">
            <v>36.439010000000003</v>
          </cell>
          <cell r="T267">
            <v>53.762560000000008</v>
          </cell>
          <cell r="U267">
            <v>10.987870000000001</v>
          </cell>
          <cell r="V267">
            <v>67.348089999999999</v>
          </cell>
          <cell r="W267">
            <v>67.348089999999999</v>
          </cell>
          <cell r="X267">
            <v>0</v>
          </cell>
          <cell r="Y267">
            <v>12.808</v>
          </cell>
        </row>
        <row r="268">
          <cell r="B268" t="str">
            <v>LCP-200141</v>
          </cell>
          <cell r="C268" t="str">
            <v>AME- 72 molds transf. from Fayt. to Amer</v>
          </cell>
          <cell r="D268" t="str">
            <v>Molds NA</v>
          </cell>
          <cell r="E268" t="str">
            <v>N</v>
          </cell>
          <cell r="F268" t="str">
            <v>LA</v>
          </cell>
          <cell r="H268" t="str">
            <v>Consumer Radial</v>
          </cell>
          <cell r="I268" t="str">
            <v>CURING</v>
          </cell>
          <cell r="J268" t="str">
            <v>AME Molds NA</v>
          </cell>
          <cell r="Q268">
            <v>590.79999999999995</v>
          </cell>
          <cell r="S268">
            <v>252.27194</v>
          </cell>
          <cell r="T268">
            <v>254.38611</v>
          </cell>
          <cell r="U268">
            <v>0</v>
          </cell>
          <cell r="V268">
            <v>216.42839000000001</v>
          </cell>
          <cell r="W268">
            <v>216.42839000000001</v>
          </cell>
          <cell r="AD268">
            <v>400</v>
          </cell>
        </row>
        <row r="269">
          <cell r="B269" t="str">
            <v>LCP-190132</v>
          </cell>
          <cell r="C269" t="str">
            <v>VEHICLE DYNAMICS AREA (VDA) REPAVING</v>
          </cell>
          <cell r="D269" t="str">
            <v>SAG</v>
          </cell>
          <cell r="E269" t="str">
            <v>N</v>
          </cell>
          <cell r="F269" t="str">
            <v>LA</v>
          </cell>
          <cell r="G269">
            <v>0</v>
          </cell>
          <cell r="H269" t="str">
            <v>N/A</v>
          </cell>
          <cell r="I269" t="str">
            <v>SAG - GPG*LA</v>
          </cell>
          <cell r="J269" t="str">
            <v>BRZ</v>
          </cell>
          <cell r="O269">
            <v>844.22315000000003</v>
          </cell>
          <cell r="Q269">
            <v>844.22315000000003</v>
          </cell>
          <cell r="R269">
            <v>23.084180000000003</v>
          </cell>
          <cell r="S269">
            <v>38.045050000000003</v>
          </cell>
          <cell r="T269">
            <v>18.663270000000001</v>
          </cell>
          <cell r="U269">
            <v>0</v>
          </cell>
          <cell r="V269">
            <v>14.6</v>
          </cell>
          <cell r="W269">
            <v>14.6</v>
          </cell>
          <cell r="Z269">
            <v>806.17810000000009</v>
          </cell>
          <cell r="AA269">
            <v>-806.17810000000009</v>
          </cell>
          <cell r="AB269">
            <v>38.045050000000003</v>
          </cell>
          <cell r="AC269">
            <v>-806.17810000000009</v>
          </cell>
          <cell r="AD269">
            <v>0</v>
          </cell>
        </row>
        <row r="270">
          <cell r="B270" t="str">
            <v>LCP-190140</v>
          </cell>
          <cell r="C270" t="str">
            <v>UPGRADE RING 18" CUV IN MC ANCHIETA</v>
          </cell>
          <cell r="D270" t="str">
            <v>SAG</v>
          </cell>
          <cell r="E270" t="str">
            <v>N</v>
          </cell>
          <cell r="F270" t="str">
            <v>LA</v>
          </cell>
          <cell r="H270" t="str">
            <v>Mixed</v>
          </cell>
          <cell r="I270" t="str">
            <v>N/A</v>
          </cell>
          <cell r="J270" t="str">
            <v>MC</v>
          </cell>
          <cell r="O270">
            <v>427.82044000000002</v>
          </cell>
          <cell r="Q270">
            <v>427.82044000000002</v>
          </cell>
          <cell r="R270">
            <v>0</v>
          </cell>
          <cell r="S270">
            <v>2.9714299999999993</v>
          </cell>
          <cell r="T270">
            <v>2.9714299999999993</v>
          </cell>
          <cell r="U270">
            <v>0</v>
          </cell>
          <cell r="V270">
            <v>2.9873499999999993</v>
          </cell>
          <cell r="W270">
            <v>2.9873499999999993</v>
          </cell>
          <cell r="Z270">
            <v>424.84901000000002</v>
          </cell>
          <cell r="AA270">
            <v>-424.84901000000002</v>
          </cell>
          <cell r="AB270">
            <v>2.9714299999999993</v>
          </cell>
          <cell r="AC270">
            <v>-424.84901000000002</v>
          </cell>
          <cell r="AD270">
            <v>0</v>
          </cell>
        </row>
        <row r="271">
          <cell r="B271" t="str">
            <v>LCP-200146</v>
          </cell>
          <cell r="C271" t="str">
            <v>Molds for Transit V363 (OE)</v>
          </cell>
          <cell r="D271" t="str">
            <v>Molds</v>
          </cell>
          <cell r="E271" t="str">
            <v>N</v>
          </cell>
          <cell r="F271" t="str">
            <v>LA</v>
          </cell>
          <cell r="H271" t="str">
            <v>Consumer Radial</v>
          </cell>
          <cell r="I271" t="str">
            <v>CURING</v>
          </cell>
          <cell r="J271" t="str">
            <v>AME</v>
          </cell>
          <cell r="Q271">
            <v>240</v>
          </cell>
          <cell r="S271">
            <v>138.94022000000004</v>
          </cell>
          <cell r="T271">
            <v>138.47726000000003</v>
          </cell>
          <cell r="U271">
            <v>49.199369999999988</v>
          </cell>
          <cell r="V271">
            <v>136</v>
          </cell>
          <cell r="W271">
            <v>136</v>
          </cell>
          <cell r="X271">
            <v>0</v>
          </cell>
          <cell r="Y271">
            <v>51.977699999999999</v>
          </cell>
        </row>
        <row r="272">
          <cell r="B272" t="str">
            <v>LCP-200148</v>
          </cell>
          <cell r="C272" t="str">
            <v>STB- G159/G159HS and G167 Export to NA</v>
          </cell>
          <cell r="D272" t="str">
            <v>Molds</v>
          </cell>
          <cell r="E272" t="str">
            <v>N</v>
          </cell>
          <cell r="F272" t="str">
            <v>LA</v>
          </cell>
          <cell r="H272" t="str">
            <v>Commercial Radial</v>
          </cell>
          <cell r="I272" t="str">
            <v>CURING</v>
          </cell>
          <cell r="J272" t="str">
            <v>RET</v>
          </cell>
          <cell r="Q272">
            <v>81.5</v>
          </cell>
          <cell r="S272">
            <v>41.393450000000001</v>
          </cell>
          <cell r="T272">
            <v>55.806300000000007</v>
          </cell>
          <cell r="U272">
            <v>0</v>
          </cell>
          <cell r="V272">
            <v>42.507829629629626</v>
          </cell>
          <cell r="W272">
            <v>42.507829629629626</v>
          </cell>
          <cell r="X272">
            <v>0</v>
          </cell>
          <cell r="Y272">
            <v>2.78193</v>
          </cell>
          <cell r="AD272">
            <v>55</v>
          </cell>
        </row>
        <row r="273">
          <cell r="B273" t="str">
            <v>LCP-190142</v>
          </cell>
          <cell r="C273" t="str">
            <v>NEW OIL LINE SYDININI</v>
          </cell>
          <cell r="D273" t="str">
            <v>Quality - Improvement</v>
          </cell>
          <cell r="E273" t="str">
            <v>N</v>
          </cell>
          <cell r="F273" t="str">
            <v>LA</v>
          </cell>
          <cell r="H273" t="str">
            <v>MIXED</v>
          </cell>
          <cell r="I273" t="str">
            <v>MIXING</v>
          </cell>
          <cell r="J273" t="str">
            <v>AME</v>
          </cell>
          <cell r="O273">
            <v>616.40979000000004</v>
          </cell>
          <cell r="Q273">
            <v>616.40979000000004</v>
          </cell>
          <cell r="R273">
            <v>78.383870000000002</v>
          </cell>
          <cell r="S273">
            <v>187.85696000000002</v>
          </cell>
          <cell r="T273">
            <v>128.47309000000001</v>
          </cell>
          <cell r="U273">
            <v>0</v>
          </cell>
          <cell r="V273">
            <v>108.0915</v>
          </cell>
          <cell r="W273">
            <v>108.0915</v>
          </cell>
          <cell r="Z273">
            <v>428.55283000000003</v>
          </cell>
          <cell r="AA273">
            <v>-428.55283000000003</v>
          </cell>
          <cell r="AB273">
            <v>187.85696000000002</v>
          </cell>
          <cell r="AC273">
            <v>-428.55283000000003</v>
          </cell>
          <cell r="AD273">
            <v>0</v>
          </cell>
        </row>
        <row r="274">
          <cell r="B274" t="str">
            <v>LCP-200150</v>
          </cell>
          <cell r="C274" t="str">
            <v>PER - Legal Requirements Compliance</v>
          </cell>
          <cell r="D274" t="str">
            <v>EHS</v>
          </cell>
          <cell r="E274" t="str">
            <v>N</v>
          </cell>
          <cell r="F274" t="str">
            <v>LA</v>
          </cell>
          <cell r="G274" t="str">
            <v>COMP</v>
          </cell>
          <cell r="H274" t="str">
            <v>Consumer Radial</v>
          </cell>
          <cell r="I274" t="str">
            <v>OTHER</v>
          </cell>
          <cell r="J274" t="str">
            <v>PER</v>
          </cell>
          <cell r="Q274">
            <v>65</v>
          </cell>
          <cell r="S274">
            <v>-0.25907000000000124</v>
          </cell>
          <cell r="T274">
            <v>-0.25907000000000124</v>
          </cell>
          <cell r="U274">
            <v>0</v>
          </cell>
          <cell r="V274">
            <v>9.5479999999998455E-2</v>
          </cell>
          <cell r="W274">
            <v>9.5479999999998455E-2</v>
          </cell>
        </row>
        <row r="275">
          <cell r="B275" t="str">
            <v>LCP-200155</v>
          </cell>
          <cell r="C275" t="str">
            <v>AME- FCA 363 (195/60R16 Eagle Touring)</v>
          </cell>
          <cell r="D275" t="str">
            <v>Molds</v>
          </cell>
          <cell r="E275" t="str">
            <v>N</v>
          </cell>
          <cell r="F275" t="str">
            <v>LA</v>
          </cell>
          <cell r="H275" t="str">
            <v>Consumer Radial</v>
          </cell>
          <cell r="I275" t="str">
            <v>CURING</v>
          </cell>
          <cell r="J275" t="str">
            <v>AME</v>
          </cell>
          <cell r="Q275">
            <v>200</v>
          </cell>
          <cell r="S275">
            <v>4.8192099999999991</v>
          </cell>
          <cell r="T275">
            <v>179.49074000000002</v>
          </cell>
          <cell r="U275">
            <v>0.97907000000000721</v>
          </cell>
          <cell r="V275">
            <v>136</v>
          </cell>
          <cell r="W275">
            <v>136</v>
          </cell>
        </row>
        <row r="276">
          <cell r="B276" t="str">
            <v>LCP-200156</v>
          </cell>
          <cell r="C276" t="str">
            <v>AME- 295/80R22.5 KMAX RSA</v>
          </cell>
          <cell r="D276" t="str">
            <v>Molds</v>
          </cell>
          <cell r="E276" t="str">
            <v>N</v>
          </cell>
          <cell r="F276" t="str">
            <v>LA</v>
          </cell>
          <cell r="H276" t="str">
            <v>Commercial Radial</v>
          </cell>
          <cell r="I276" t="str">
            <v>CURING</v>
          </cell>
          <cell r="J276" t="str">
            <v>AME</v>
          </cell>
          <cell r="Q276">
            <v>174.5</v>
          </cell>
          <cell r="S276">
            <v>40.02366</v>
          </cell>
          <cell r="T276">
            <v>142.68323000000001</v>
          </cell>
          <cell r="U276">
            <v>-6.1540000000007922E-2</v>
          </cell>
          <cell r="V276">
            <v>140.25</v>
          </cell>
          <cell r="W276">
            <v>140.25</v>
          </cell>
          <cell r="X276">
            <v>0</v>
          </cell>
          <cell r="Y276">
            <v>9.5440000000000005</v>
          </cell>
          <cell r="AD276">
            <v>155</v>
          </cell>
        </row>
        <row r="277">
          <cell r="B277" t="str">
            <v>LCP-200157</v>
          </cell>
          <cell r="C277" t="str">
            <v>Two additional molds 295/75R22.5 Maratho</v>
          </cell>
          <cell r="D277" t="str">
            <v>Molds</v>
          </cell>
          <cell r="E277" t="str">
            <v>N</v>
          </cell>
          <cell r="F277" t="str">
            <v>LA</v>
          </cell>
          <cell r="H277" t="str">
            <v>Commercial Radial</v>
          </cell>
          <cell r="I277" t="str">
            <v>Curing</v>
          </cell>
          <cell r="J277" t="str">
            <v>COL</v>
          </cell>
          <cell r="Q277">
            <v>133.03800000000001</v>
          </cell>
          <cell r="S277">
            <v>85.554939999999988</v>
          </cell>
          <cell r="T277">
            <v>85.554939999999988</v>
          </cell>
          <cell r="U277">
            <v>0</v>
          </cell>
          <cell r="V277">
            <v>20</v>
          </cell>
          <cell r="W277">
            <v>20</v>
          </cell>
        </row>
        <row r="278">
          <cell r="B278" t="str">
            <v>LCP-190144</v>
          </cell>
          <cell r="C278" t="str">
            <v>WIRE CALENDER EDGE TRIMMING DEVICE</v>
          </cell>
          <cell r="D278" t="str">
            <v>Quality - Improvement</v>
          </cell>
          <cell r="E278" t="str">
            <v>N</v>
          </cell>
          <cell r="F278" t="str">
            <v>LA</v>
          </cell>
          <cell r="H278" t="str">
            <v>CONSUMER RADIAL</v>
          </cell>
          <cell r="I278" t="str">
            <v>COMPONENT PREP OTHER</v>
          </cell>
          <cell r="J278" t="str">
            <v>AME</v>
          </cell>
          <cell r="O278">
            <v>90.5</v>
          </cell>
          <cell r="Q278">
            <v>90.5</v>
          </cell>
          <cell r="R278">
            <v>1.56802</v>
          </cell>
          <cell r="S278">
            <v>0</v>
          </cell>
          <cell r="T278">
            <v>-1.56802</v>
          </cell>
          <cell r="U278">
            <v>0</v>
          </cell>
          <cell r="V278">
            <v>-1.56802</v>
          </cell>
          <cell r="W278">
            <v>-1.56802</v>
          </cell>
          <cell r="Z278">
            <v>90.5</v>
          </cell>
          <cell r="AA278">
            <v>-90.5</v>
          </cell>
          <cell r="AB278">
            <v>0</v>
          </cell>
          <cell r="AC278">
            <v>-90.5</v>
          </cell>
          <cell r="AD278">
            <v>0</v>
          </cell>
        </row>
        <row r="279">
          <cell r="B279" t="str">
            <v>LCP-200161</v>
          </cell>
          <cell r="C279" t="str">
            <v xml:space="preserve">PER - Water softner </v>
          </cell>
          <cell r="D279" t="str">
            <v>Facilities Sustaining</v>
          </cell>
          <cell r="E279" t="str">
            <v>N</v>
          </cell>
          <cell r="F279" t="str">
            <v>LA</v>
          </cell>
          <cell r="H279" t="str">
            <v>Mixed</v>
          </cell>
          <cell r="I279" t="str">
            <v>ENGINEERING</v>
          </cell>
          <cell r="J279" t="str">
            <v>PER</v>
          </cell>
          <cell r="Q279">
            <v>52.5</v>
          </cell>
          <cell r="S279">
            <v>0</v>
          </cell>
          <cell r="T279">
            <v>0</v>
          </cell>
          <cell r="U279">
            <v>0</v>
          </cell>
        </row>
        <row r="280">
          <cell r="B280" t="str">
            <v>LCP-200162</v>
          </cell>
          <cell r="C280" t="str">
            <v>PER - Eletric Drying oven</v>
          </cell>
          <cell r="D280" t="str">
            <v>Facilities Sustaining</v>
          </cell>
          <cell r="E280" t="str">
            <v>N</v>
          </cell>
          <cell r="F280" t="str">
            <v>LA</v>
          </cell>
          <cell r="H280" t="str">
            <v>Mixed</v>
          </cell>
          <cell r="I280" t="str">
            <v>ENGINEERING</v>
          </cell>
          <cell r="J280" t="str">
            <v>PER</v>
          </cell>
          <cell r="Q280">
            <v>70.5</v>
          </cell>
          <cell r="S280">
            <v>34.467569999999995</v>
          </cell>
          <cell r="T280">
            <v>34.467569999999995</v>
          </cell>
          <cell r="U280">
            <v>0</v>
          </cell>
          <cell r="V280">
            <v>34.325209999999998</v>
          </cell>
          <cell r="W280">
            <v>34.325209999999998</v>
          </cell>
          <cell r="X280">
            <v>0</v>
          </cell>
          <cell r="Y280">
            <v>0.37983000000000006</v>
          </cell>
        </row>
        <row r="281">
          <cell r="B281" t="str">
            <v>LCP-200163</v>
          </cell>
          <cell r="C281" t="str">
            <v>PER - New tooling for PDM inspections</v>
          </cell>
          <cell r="D281" t="str">
            <v>Facilities Sustaining</v>
          </cell>
          <cell r="E281" t="str">
            <v>N</v>
          </cell>
          <cell r="F281" t="str">
            <v>LA</v>
          </cell>
          <cell r="H281" t="str">
            <v>Mixed</v>
          </cell>
          <cell r="I281" t="str">
            <v>ENGINEERING</v>
          </cell>
          <cell r="J281" t="str">
            <v>PER</v>
          </cell>
          <cell r="Q281">
            <v>57.7</v>
          </cell>
          <cell r="S281">
            <v>29.955860000000008</v>
          </cell>
          <cell r="T281">
            <v>29.955860000000008</v>
          </cell>
          <cell r="U281">
            <v>0</v>
          </cell>
          <cell r="V281">
            <v>29.935360000000006</v>
          </cell>
          <cell r="W281">
            <v>29.935360000000006</v>
          </cell>
        </row>
        <row r="282">
          <cell r="B282" t="str">
            <v>LCP-200165</v>
          </cell>
          <cell r="C282" t="str">
            <v>Molds for Hyundai SU2B (OE)</v>
          </cell>
          <cell r="D282" t="str">
            <v>Molds</v>
          </cell>
          <cell r="E282" t="str">
            <v>N</v>
          </cell>
          <cell r="F282" t="str">
            <v>LA</v>
          </cell>
          <cell r="H282" t="str">
            <v>Consumer Radial</v>
          </cell>
          <cell r="I282" t="str">
            <v>Curing</v>
          </cell>
          <cell r="J282" t="str">
            <v>AME</v>
          </cell>
          <cell r="Q282">
            <v>630</v>
          </cell>
          <cell r="S282">
            <v>16.106320000000004</v>
          </cell>
          <cell r="T282">
            <v>605.54128000000014</v>
          </cell>
          <cell r="U282">
            <v>-0.46736999999995987</v>
          </cell>
          <cell r="V282">
            <v>798</v>
          </cell>
          <cell r="W282">
            <v>798</v>
          </cell>
        </row>
        <row r="283">
          <cell r="B283" t="str">
            <v>LCP-200166</v>
          </cell>
          <cell r="C283" t="str">
            <v>Automatic Buffing Machine</v>
          </cell>
          <cell r="D283" t="str">
            <v>SAG</v>
          </cell>
          <cell r="E283" t="str">
            <v>N</v>
          </cell>
          <cell r="F283" t="str">
            <v>LA</v>
          </cell>
          <cell r="H283" t="str">
            <v>N/A</v>
          </cell>
          <cell r="I283" t="str">
            <v>SAG - Other</v>
          </cell>
          <cell r="J283" t="str">
            <v>ARG</v>
          </cell>
          <cell r="Q283">
            <v>125</v>
          </cell>
          <cell r="S283">
            <v>59.438830000000003</v>
          </cell>
          <cell r="T283">
            <v>59.438830000000003</v>
          </cell>
          <cell r="U283">
            <v>0</v>
          </cell>
          <cell r="V283">
            <v>62.066780000000001</v>
          </cell>
          <cell r="W283">
            <v>62.066780000000001</v>
          </cell>
        </row>
        <row r="284">
          <cell r="B284" t="str">
            <v>LCP-200168</v>
          </cell>
          <cell r="C284" t="str">
            <v>COL - MRT Tire building machines obsolete control elimination (Phase 2)</v>
          </cell>
          <cell r="D284" t="str">
            <v>Facilities Sustaining</v>
          </cell>
          <cell r="E284" t="str">
            <v>C</v>
          </cell>
          <cell r="F284" t="str">
            <v>LA</v>
          </cell>
          <cell r="H284" t="str">
            <v>COMMERCIAL RADIAL</v>
          </cell>
          <cell r="I284" t="str">
            <v>COMPONENT PREP OTHER</v>
          </cell>
          <cell r="J284" t="str">
            <v>COL</v>
          </cell>
          <cell r="Q284">
            <v>390.86500000000001</v>
          </cell>
          <cell r="S284">
            <v>124.31667999999999</v>
          </cell>
          <cell r="T284">
            <v>168.00009</v>
          </cell>
          <cell r="U284">
            <v>57.510980000000018</v>
          </cell>
          <cell r="V284">
            <v>300</v>
          </cell>
          <cell r="W284">
            <v>300</v>
          </cell>
          <cell r="X284">
            <v>7.0679999999999996</v>
          </cell>
          <cell r="Y284">
            <v>41.344580000000001</v>
          </cell>
        </row>
        <row r="285">
          <cell r="B285" t="str">
            <v>LCP-190150</v>
          </cell>
          <cell r="C285" t="str">
            <v>B1 - UPGRADE PC-ETMS BALANCE AND FVM MACHINE</v>
          </cell>
          <cell r="D285" t="str">
            <v>Facilities Sustaining</v>
          </cell>
          <cell r="E285" t="str">
            <v>N</v>
          </cell>
          <cell r="F285" t="str">
            <v>LA</v>
          </cell>
          <cell r="H285" t="str">
            <v>CONSUMER RADIAL</v>
          </cell>
          <cell r="I285" t="str">
            <v>Tire Assembly</v>
          </cell>
          <cell r="J285" t="str">
            <v>AME</v>
          </cell>
          <cell r="O285">
            <v>304</v>
          </cell>
          <cell r="Q285">
            <v>304</v>
          </cell>
          <cell r="R285">
            <v>200.25262000000001</v>
          </cell>
          <cell r="S285">
            <v>228.78542000000002</v>
          </cell>
          <cell r="T285">
            <v>34.42745</v>
          </cell>
          <cell r="U285">
            <v>10.413139999999999</v>
          </cell>
          <cell r="V285">
            <v>45</v>
          </cell>
          <cell r="W285">
            <v>45</v>
          </cell>
          <cell r="X285">
            <v>0</v>
          </cell>
          <cell r="Y285">
            <v>24.492239999999999</v>
          </cell>
          <cell r="Z285">
            <v>75.214579999999984</v>
          </cell>
          <cell r="AA285">
            <v>-75.214579999999984</v>
          </cell>
          <cell r="AB285">
            <v>239.19856000000001</v>
          </cell>
          <cell r="AC285">
            <v>-64.801439999999985</v>
          </cell>
          <cell r="AD285">
            <v>0</v>
          </cell>
        </row>
        <row r="286">
          <cell r="B286" t="str">
            <v>LCP-190159</v>
          </cell>
          <cell r="C286" t="str">
            <v>(02) TRANSFER ORING NGTTS &amp; MONO CUTTER IN ANGLE</v>
          </cell>
          <cell r="D286" t="str">
            <v>Quality - Improvement</v>
          </cell>
          <cell r="E286" t="str">
            <v>N</v>
          </cell>
          <cell r="F286" t="str">
            <v>LA</v>
          </cell>
          <cell r="H286" t="str">
            <v>COMMERCIAL RADIAL</v>
          </cell>
          <cell r="I286" t="str">
            <v>COMPONENT PREP OTHER</v>
          </cell>
          <cell r="J286" t="str">
            <v>AME</v>
          </cell>
          <cell r="O286">
            <v>298.96199999999999</v>
          </cell>
          <cell r="Q286">
            <v>298.96199999999999</v>
          </cell>
          <cell r="R286">
            <v>0</v>
          </cell>
          <cell r="S286">
            <v>-0.33455000000000007</v>
          </cell>
          <cell r="T286">
            <v>-0.33455000000000007</v>
          </cell>
          <cell r="U286">
            <v>0</v>
          </cell>
          <cell r="V286">
            <v>9.1654499999999999</v>
          </cell>
          <cell r="W286">
            <v>9.1654499999999999</v>
          </cell>
          <cell r="Z286">
            <v>299.29654999999997</v>
          </cell>
          <cell r="AA286">
            <v>-299.29654999999997</v>
          </cell>
          <cell r="AB286">
            <v>-0.33455000000000007</v>
          </cell>
          <cell r="AC286">
            <v>-299.29654999999997</v>
          </cell>
          <cell r="AD286">
            <v>0</v>
          </cell>
        </row>
        <row r="287">
          <cell r="B287" t="str">
            <v>LCP-200171</v>
          </cell>
          <cell r="C287" t="str">
            <v>EAGLE SPORT 2</v>
          </cell>
          <cell r="D287" t="str">
            <v>Molds</v>
          </cell>
          <cell r="E287" t="str">
            <v>N</v>
          </cell>
          <cell r="F287" t="str">
            <v>LA</v>
          </cell>
          <cell r="H287" t="str">
            <v>Consumer Radial</v>
          </cell>
          <cell r="I287" t="str">
            <v>Curing</v>
          </cell>
          <cell r="J287" t="str">
            <v>AME</v>
          </cell>
          <cell r="S287">
            <v>119.32167999999999</v>
          </cell>
          <cell r="T287">
            <v>618.03512000000023</v>
          </cell>
          <cell r="U287">
            <v>380.52816999999993</v>
          </cell>
          <cell r="V287">
            <v>1068</v>
          </cell>
          <cell r="W287">
            <v>1068</v>
          </cell>
          <cell r="X287">
            <v>0</v>
          </cell>
          <cell r="Y287">
            <v>261.39128999999997</v>
          </cell>
        </row>
        <row r="288">
          <cell r="B288" t="str">
            <v>LCP-200172</v>
          </cell>
          <cell r="C288" t="str">
            <v>PER - BARCODE STAGE 01 AT FINAL FINISH</v>
          </cell>
          <cell r="D288" t="str">
            <v>Quality - Improvement</v>
          </cell>
          <cell r="E288" t="str">
            <v>N</v>
          </cell>
          <cell r="F288" t="str">
            <v>LA</v>
          </cell>
          <cell r="H288" t="str">
            <v>Consumer Radial</v>
          </cell>
          <cell r="I288" t="str">
            <v>Final Finish</v>
          </cell>
          <cell r="J288" t="str">
            <v>PER</v>
          </cell>
          <cell r="Q288">
            <v>318</v>
          </cell>
          <cell r="S288">
            <v>26.813890000000001</v>
          </cell>
          <cell r="T288">
            <v>49.181229999999999</v>
          </cell>
          <cell r="U288">
            <v>57.599999999999994</v>
          </cell>
          <cell r="V288">
            <v>125.93503999999999</v>
          </cell>
          <cell r="W288">
            <v>125.93503999999999</v>
          </cell>
          <cell r="X288">
            <v>26.027999999999999</v>
          </cell>
          <cell r="Y288">
            <v>0.44964999999999999</v>
          </cell>
          <cell r="AD288">
            <v>180</v>
          </cell>
        </row>
        <row r="289">
          <cell r="B289" t="str">
            <v>LCP-200173</v>
          </cell>
          <cell r="C289" t="str">
            <v>PER - Barcode scanner</v>
          </cell>
          <cell r="D289" t="str">
            <v>SAG</v>
          </cell>
          <cell r="E289" t="str">
            <v>N</v>
          </cell>
          <cell r="F289" t="str">
            <v>LA</v>
          </cell>
          <cell r="H289" t="str">
            <v>N/A</v>
          </cell>
          <cell r="I289" t="str">
            <v>SAG - Supply Chain</v>
          </cell>
          <cell r="J289" t="str">
            <v>PER</v>
          </cell>
          <cell r="Q289">
            <v>115</v>
          </cell>
          <cell r="S289">
            <v>36.526899999999998</v>
          </cell>
          <cell r="T289">
            <v>38.829509999999999</v>
          </cell>
          <cell r="U289">
            <v>64.5</v>
          </cell>
          <cell r="V289">
            <v>50</v>
          </cell>
          <cell r="W289">
            <v>50</v>
          </cell>
          <cell r="X289">
            <v>0</v>
          </cell>
          <cell r="Y289">
            <v>23.349599999999999</v>
          </cell>
          <cell r="AD289">
            <v>89</v>
          </cell>
        </row>
        <row r="290">
          <cell r="B290" t="str">
            <v>LCP-200174</v>
          </cell>
          <cell r="C290" t="str">
            <v>Molds for PSA Smart Car 195/65R15 (OE)</v>
          </cell>
          <cell r="D290" t="str">
            <v>Molds</v>
          </cell>
          <cell r="E290" t="str">
            <v>N</v>
          </cell>
          <cell r="F290" t="str">
            <v>LA</v>
          </cell>
          <cell r="H290" t="str">
            <v>CONSUMER RADIAL</v>
          </cell>
          <cell r="I290" t="str">
            <v>CURING</v>
          </cell>
          <cell r="J290" t="str">
            <v>AME</v>
          </cell>
          <cell r="Q290">
            <v>68</v>
          </cell>
          <cell r="S290">
            <v>0</v>
          </cell>
          <cell r="T290">
            <v>0</v>
          </cell>
          <cell r="U290">
            <v>0</v>
          </cell>
          <cell r="V290">
            <v>68</v>
          </cell>
          <cell r="W290">
            <v>68</v>
          </cell>
        </row>
        <row r="291">
          <cell r="B291" t="str">
            <v>LCP-190186</v>
          </cell>
          <cell r="C291" t="str">
            <v>CORSAIR Project</v>
          </cell>
          <cell r="D291" t="str">
            <v>SAG</v>
          </cell>
          <cell r="E291" t="str">
            <v>N</v>
          </cell>
          <cell r="F291" t="str">
            <v>LA</v>
          </cell>
          <cell r="H291" t="str">
            <v>AVIATION</v>
          </cell>
          <cell r="I291" t="str">
            <v>SAG - Other</v>
          </cell>
          <cell r="J291" t="str">
            <v>SAO</v>
          </cell>
          <cell r="O291">
            <v>1490</v>
          </cell>
          <cell r="Q291">
            <v>1490</v>
          </cell>
          <cell r="R291">
            <v>50.368539999999996</v>
          </cell>
          <cell r="S291">
            <v>110.55856</v>
          </cell>
          <cell r="T291">
            <v>60.190020000000004</v>
          </cell>
          <cell r="U291">
            <v>0</v>
          </cell>
          <cell r="V291">
            <v>96.589320000000001</v>
          </cell>
          <cell r="W291">
            <v>96.589320000000001</v>
          </cell>
          <cell r="Z291">
            <v>1379.4414400000001</v>
          </cell>
          <cell r="AA291">
            <v>-1379.4414400000001</v>
          </cell>
          <cell r="AB291">
            <v>110.55856</v>
          </cell>
          <cell r="AC291">
            <v>-1379.4414400000001</v>
          </cell>
          <cell r="AD291">
            <v>0</v>
          </cell>
        </row>
        <row r="292">
          <cell r="B292" t="str">
            <v>LCP-190199</v>
          </cell>
          <cell r="C292" t="str">
            <v>MOBILE DOCK LEVELER FOR NEW WAREHOUSE</v>
          </cell>
          <cell r="D292" t="str">
            <v>SAG</v>
          </cell>
          <cell r="E292" t="str">
            <v>N</v>
          </cell>
          <cell r="F292" t="str">
            <v>LA</v>
          </cell>
          <cell r="H292" t="str">
            <v>COMMERCIAL RADIAL</v>
          </cell>
          <cell r="I292" t="str">
            <v>SAG - Supply Chain</v>
          </cell>
          <cell r="J292" t="str">
            <v>BRZ</v>
          </cell>
          <cell r="O292">
            <v>46.003</v>
          </cell>
          <cell r="Q292">
            <v>46.003</v>
          </cell>
          <cell r="R292">
            <v>26.297199999999997</v>
          </cell>
          <cell r="S292">
            <v>31.250259999999997</v>
          </cell>
          <cell r="T292">
            <v>4.9530600000000007</v>
          </cell>
          <cell r="U292">
            <v>0</v>
          </cell>
          <cell r="V292">
            <v>5.0495900000000002</v>
          </cell>
          <cell r="W292">
            <v>5.0495900000000002</v>
          </cell>
          <cell r="Z292">
            <v>14.752740000000003</v>
          </cell>
          <cell r="AA292">
            <v>-14.752740000000003</v>
          </cell>
          <cell r="AB292">
            <v>31.250259999999997</v>
          </cell>
          <cell r="AC292">
            <v>-14.752740000000003</v>
          </cell>
          <cell r="AD292">
            <v>0</v>
          </cell>
        </row>
        <row r="293">
          <cell r="B293" t="str">
            <v>LCP-200178</v>
          </cell>
          <cell r="C293" t="str">
            <v>AME- 26 Molds Workhorse RT for Americana</v>
          </cell>
          <cell r="D293" t="str">
            <v>Molds NA</v>
          </cell>
          <cell r="E293" t="str">
            <v>N</v>
          </cell>
          <cell r="F293" t="str">
            <v>LA</v>
          </cell>
          <cell r="H293" t="str">
            <v>Consumer Radial</v>
          </cell>
          <cell r="I293" t="str">
            <v>CURING</v>
          </cell>
          <cell r="J293" t="str">
            <v>AME Molds NA</v>
          </cell>
          <cell r="T293">
            <v>806.10360999999943</v>
          </cell>
          <cell r="U293">
            <v>333.5180600000001</v>
          </cell>
          <cell r="X293">
            <v>0</v>
          </cell>
          <cell r="Y293">
            <v>411.08111000000002</v>
          </cell>
        </row>
        <row r="294">
          <cell r="B294" t="str">
            <v>LCP-200179</v>
          </cell>
          <cell r="C294" t="str">
            <v>PER - SOL &amp; RIM 17 (EX Americana Nesting)</v>
          </cell>
          <cell r="D294" t="str">
            <v>Facilities Sustaining</v>
          </cell>
          <cell r="E294" t="str">
            <v>N</v>
          </cell>
          <cell r="F294" t="str">
            <v>LA</v>
          </cell>
          <cell r="H294" t="str">
            <v>Consumer Radial</v>
          </cell>
          <cell r="I294" t="str">
            <v>TIRE ASSEMBLY</v>
          </cell>
          <cell r="J294" t="str">
            <v>PER</v>
          </cell>
          <cell r="Q294">
            <v>972.1</v>
          </cell>
          <cell r="S294">
            <v>372.5967500000001</v>
          </cell>
          <cell r="T294">
            <v>395.20038000000005</v>
          </cell>
          <cell r="U294">
            <v>144.65239000000003</v>
          </cell>
          <cell r="V294">
            <v>894.96447000000012</v>
          </cell>
          <cell r="W294">
            <v>894.96447000000012</v>
          </cell>
          <cell r="X294">
            <v>9.2134499999999999</v>
          </cell>
          <cell r="Y294">
            <v>55.628399999999992</v>
          </cell>
          <cell r="AD294">
            <v>895</v>
          </cell>
        </row>
        <row r="295">
          <cell r="B295" t="str">
            <v>LCP-200180</v>
          </cell>
          <cell r="C295" t="str">
            <v>PER - VIRTUAL DMS FOR RADIAL CURING</v>
          </cell>
          <cell r="D295" t="str">
            <v>Facilities Sustaining</v>
          </cell>
          <cell r="E295" t="str">
            <v>N</v>
          </cell>
          <cell r="F295" t="str">
            <v>LA</v>
          </cell>
          <cell r="H295" t="str">
            <v>Consumer Radial</v>
          </cell>
          <cell r="I295" t="str">
            <v>Curing</v>
          </cell>
          <cell r="J295" t="str">
            <v>PER</v>
          </cell>
          <cell r="Q295">
            <v>70</v>
          </cell>
          <cell r="S295">
            <v>1.2880000000000001E-2</v>
          </cell>
          <cell r="T295">
            <v>1.2880000000000001E-2</v>
          </cell>
          <cell r="U295">
            <v>1.324E-2</v>
          </cell>
        </row>
        <row r="296">
          <cell r="B296" t="str">
            <v>LCP-200182</v>
          </cell>
          <cell r="C296" t="str">
            <v>COL- Curing presses/final finish improve</v>
          </cell>
          <cell r="D296" t="str">
            <v>Quality - Improvement</v>
          </cell>
          <cell r="E296" t="str">
            <v>N</v>
          </cell>
          <cell r="F296" t="str">
            <v>LA</v>
          </cell>
          <cell r="H296" t="str">
            <v>Commercial Radial</v>
          </cell>
          <cell r="I296" t="str">
            <v>Final Finish</v>
          </cell>
          <cell r="J296" t="str">
            <v>COL</v>
          </cell>
          <cell r="Q296">
            <v>7039.7960000000003</v>
          </cell>
          <cell r="S296">
            <v>490.36205000000007</v>
          </cell>
          <cell r="T296">
            <v>705.59483999999998</v>
          </cell>
          <cell r="U296">
            <v>1710.1279499999998</v>
          </cell>
          <cell r="V296">
            <v>2638.5359899999999</v>
          </cell>
          <cell r="W296">
            <v>2638.5359899999999</v>
          </cell>
          <cell r="X296">
            <v>12.65279</v>
          </cell>
          <cell r="Y296">
            <v>103.19059999999996</v>
          </cell>
          <cell r="AD296">
            <v>1100</v>
          </cell>
        </row>
        <row r="297">
          <cell r="B297" t="str">
            <v>LCP-200183</v>
          </cell>
          <cell r="C297" t="str">
            <v>ARG - Office Remodelation</v>
          </cell>
          <cell r="D297" t="str">
            <v>SAG</v>
          </cell>
          <cell r="E297" t="str">
            <v>N</v>
          </cell>
          <cell r="F297" t="str">
            <v>LA</v>
          </cell>
          <cell r="H297" t="str">
            <v>N/A</v>
          </cell>
          <cell r="I297" t="str">
            <v>SAG - Other</v>
          </cell>
          <cell r="J297" t="str">
            <v>ARG</v>
          </cell>
          <cell r="Q297">
            <v>33.917000000000002</v>
          </cell>
          <cell r="S297">
            <v>25.218160000000005</v>
          </cell>
          <cell r="T297">
            <v>25.218160000000005</v>
          </cell>
          <cell r="U297">
            <v>0</v>
          </cell>
          <cell r="V297">
            <v>34.492940000000004</v>
          </cell>
          <cell r="W297">
            <v>34.492940000000004</v>
          </cell>
          <cell r="X297">
            <v>0</v>
          </cell>
          <cell r="Y297">
            <v>2.97424</v>
          </cell>
        </row>
        <row r="298">
          <cell r="B298" t="str">
            <v>LCP-190202</v>
          </cell>
          <cell r="C298" t="str">
            <v>MIXER#6 BODY REPLACEMENT</v>
          </cell>
          <cell r="D298" t="str">
            <v>Facilities Sustaining</v>
          </cell>
          <cell r="E298" t="str">
            <v>N</v>
          </cell>
          <cell r="F298" t="str">
            <v>LA</v>
          </cell>
          <cell r="H298" t="str">
            <v>MIXED</v>
          </cell>
          <cell r="I298" t="str">
            <v>MIXING</v>
          </cell>
          <cell r="J298" t="str">
            <v>AME</v>
          </cell>
          <cell r="O298">
            <v>1431.34</v>
          </cell>
          <cell r="Q298">
            <v>1431.34</v>
          </cell>
          <cell r="S298">
            <v>343.79884999999979</v>
          </cell>
          <cell r="T298">
            <v>452.45187999999973</v>
          </cell>
          <cell r="U298">
            <v>16.082839999999976</v>
          </cell>
          <cell r="V298">
            <v>456.93375999999984</v>
          </cell>
          <cell r="W298">
            <v>456.93375999999984</v>
          </cell>
          <cell r="X298">
            <v>0</v>
          </cell>
          <cell r="Y298">
            <v>21.203589999999998</v>
          </cell>
          <cell r="Z298">
            <v>1087.54115</v>
          </cell>
          <cell r="AA298">
            <v>-1087.54115</v>
          </cell>
          <cell r="AB298">
            <v>359.88168999999976</v>
          </cell>
          <cell r="AC298">
            <v>-1071.4583100000002</v>
          </cell>
          <cell r="AD298">
            <v>0</v>
          </cell>
        </row>
        <row r="299">
          <cell r="B299" t="str">
            <v>LCP-210000</v>
          </cell>
          <cell r="C299" t="str">
            <v xml:space="preserve">WRANGLER WORKHORSE AT </v>
          </cell>
          <cell r="D299" t="str">
            <v>Molds</v>
          </cell>
          <cell r="E299" t="str">
            <v>N</v>
          </cell>
          <cell r="F299" t="str">
            <v>LA</v>
          </cell>
          <cell r="H299" t="str">
            <v>Consumer Radial</v>
          </cell>
          <cell r="I299" t="str">
            <v>Curing</v>
          </cell>
          <cell r="J299" t="str">
            <v>PER</v>
          </cell>
          <cell r="Q299">
            <v>259</v>
          </cell>
          <cell r="S299">
            <v>0.23358000000000001</v>
          </cell>
          <cell r="T299">
            <v>40.565570000000001</v>
          </cell>
          <cell r="U299">
            <v>279.87051000000008</v>
          </cell>
          <cell r="V299">
            <v>259</v>
          </cell>
          <cell r="W299">
            <v>259</v>
          </cell>
          <cell r="X299">
            <v>6.3120000000000003</v>
          </cell>
          <cell r="Y299">
            <v>301.15402</v>
          </cell>
          <cell r="AD299">
            <v>18.600000000000001</v>
          </cell>
        </row>
        <row r="300">
          <cell r="B300" t="str">
            <v>LCP-210001</v>
          </cell>
          <cell r="C300" t="str">
            <v>UrbanMax 235/75R17.5 Line extension</v>
          </cell>
          <cell r="D300" t="str">
            <v>Molds</v>
          </cell>
          <cell r="E300" t="str">
            <v>N</v>
          </cell>
          <cell r="F300" t="str">
            <v>LA</v>
          </cell>
          <cell r="H300" t="str">
            <v>Commercial Radial</v>
          </cell>
          <cell r="I300" t="str">
            <v>Curing</v>
          </cell>
          <cell r="J300" t="str">
            <v>AME</v>
          </cell>
          <cell r="Q300">
            <v>157.5</v>
          </cell>
          <cell r="S300">
            <v>19.812570000000004</v>
          </cell>
          <cell r="T300">
            <v>104.32294000000002</v>
          </cell>
          <cell r="U300">
            <v>43.820000000000022</v>
          </cell>
          <cell r="V300">
            <v>136.55000000000001</v>
          </cell>
          <cell r="W300">
            <v>136.55000000000001</v>
          </cell>
          <cell r="X300">
            <v>0</v>
          </cell>
          <cell r="Y300">
            <v>79.677630000000008</v>
          </cell>
        </row>
        <row r="301">
          <cell r="B301" t="str">
            <v>LCP-210002</v>
          </cell>
          <cell r="C301" t="str">
            <v xml:space="preserve">WRANGLER WORKHORSE AT </v>
          </cell>
          <cell r="D301" t="str">
            <v>Molds</v>
          </cell>
          <cell r="E301" t="str">
            <v>N</v>
          </cell>
          <cell r="F301" t="str">
            <v>LA</v>
          </cell>
          <cell r="H301" t="str">
            <v>Consumer Radial</v>
          </cell>
          <cell r="I301" t="str">
            <v>Curing</v>
          </cell>
          <cell r="J301" t="str">
            <v>AME</v>
          </cell>
          <cell r="Q301">
            <v>1144</v>
          </cell>
          <cell r="S301">
            <v>9.0367600000000028</v>
          </cell>
          <cell r="T301">
            <v>133.25166000000002</v>
          </cell>
          <cell r="U301">
            <v>1158.5362099999998</v>
          </cell>
          <cell r="V301">
            <v>1144</v>
          </cell>
          <cell r="W301">
            <v>1144</v>
          </cell>
          <cell r="X301">
            <v>0</v>
          </cell>
          <cell r="Y301">
            <v>1209.6335799999995</v>
          </cell>
          <cell r="AD301">
            <v>189.6</v>
          </cell>
        </row>
        <row r="302">
          <cell r="B302" t="str">
            <v>LCP-210003</v>
          </cell>
          <cell r="C302" t="str">
            <v>215/75R17.5 Endurance RSA</v>
          </cell>
          <cell r="D302" t="str">
            <v>Molds</v>
          </cell>
          <cell r="E302" t="str">
            <v>N</v>
          </cell>
          <cell r="F302" t="str">
            <v>LA</v>
          </cell>
          <cell r="H302" t="str">
            <v>Commercial Radial</v>
          </cell>
          <cell r="I302" t="str">
            <v>Curing</v>
          </cell>
          <cell r="J302" t="str">
            <v>COL</v>
          </cell>
          <cell r="Q302">
            <v>112</v>
          </cell>
          <cell r="S302">
            <v>0</v>
          </cell>
          <cell r="T302">
            <v>47.015610000000009</v>
          </cell>
          <cell r="U302">
            <v>0.73789999999999623</v>
          </cell>
          <cell r="V302">
            <v>112</v>
          </cell>
          <cell r="W302">
            <v>112</v>
          </cell>
          <cell r="X302">
            <v>0</v>
          </cell>
          <cell r="Y302">
            <v>32.714570000000002</v>
          </cell>
        </row>
        <row r="303">
          <cell r="B303" t="str">
            <v>LCP-210004</v>
          </cell>
          <cell r="C303" t="str">
            <v>PER - Look &amp; Feel POS Identification Peru</v>
          </cell>
          <cell r="D303" t="str">
            <v>SAG</v>
          </cell>
          <cell r="E303" t="str">
            <v>N</v>
          </cell>
          <cell r="F303" t="str">
            <v>LA</v>
          </cell>
          <cell r="H303" t="str">
            <v>Mixed</v>
          </cell>
          <cell r="I303" t="str">
            <v>SAG - Sales &amp; Marketing</v>
          </cell>
          <cell r="J303" t="str">
            <v>PER</v>
          </cell>
          <cell r="Q303">
            <v>250</v>
          </cell>
          <cell r="S303">
            <v>107.26773999999999</v>
          </cell>
          <cell r="T303">
            <v>168.88118</v>
          </cell>
          <cell r="U303">
            <v>53.217000000000013</v>
          </cell>
          <cell r="V303">
            <v>250</v>
          </cell>
          <cell r="W303">
            <v>250</v>
          </cell>
          <cell r="X303">
            <v>0</v>
          </cell>
          <cell r="Y303">
            <v>80.749649999999988</v>
          </cell>
        </row>
        <row r="304">
          <cell r="B304" t="str">
            <v>LCP-210006</v>
          </cell>
          <cell r="C304" t="str">
            <v>COL - 2021 MISCELLANEOUS ANNUAL BUDGET</v>
          </cell>
          <cell r="D304" t="str">
            <v>Facilities Sustaining</v>
          </cell>
          <cell r="E304" t="str">
            <v>N</v>
          </cell>
          <cell r="F304" t="str">
            <v>LA</v>
          </cell>
          <cell r="H304" t="str">
            <v>COMMERCIAL RADIAL</v>
          </cell>
          <cell r="I304" t="str">
            <v>FACILITIES/INFRASTRUCTURE</v>
          </cell>
          <cell r="J304" t="str">
            <v>COL</v>
          </cell>
          <cell r="S304">
            <v>58.396729999999991</v>
          </cell>
          <cell r="T304">
            <v>156.20658000000003</v>
          </cell>
          <cell r="U304">
            <v>266.50586999999996</v>
          </cell>
          <cell r="V304">
            <v>450</v>
          </cell>
          <cell r="W304">
            <v>450</v>
          </cell>
          <cell r="X304">
            <v>4.1136999999999997</v>
          </cell>
          <cell r="Y304">
            <v>226.59253000000007</v>
          </cell>
        </row>
        <row r="305">
          <cell r="B305" t="str">
            <v>LCP-190203</v>
          </cell>
          <cell r="C305" t="str">
            <v>SAFETY SYSTEM  RIVER PUMP AREA</v>
          </cell>
          <cell r="D305" t="str">
            <v>EHS</v>
          </cell>
          <cell r="E305" t="str">
            <v>N</v>
          </cell>
          <cell r="F305" t="str">
            <v>LA</v>
          </cell>
          <cell r="G305" t="str">
            <v>ENV</v>
          </cell>
          <cell r="H305" t="str">
            <v>Mixed</v>
          </cell>
          <cell r="I305" t="str">
            <v>ENGINEERING</v>
          </cell>
          <cell r="J305" t="str">
            <v>AME</v>
          </cell>
          <cell r="O305">
            <v>72.099999999999994</v>
          </cell>
          <cell r="Q305">
            <v>72.099999999999994</v>
          </cell>
          <cell r="R305">
            <v>29.671409999999995</v>
          </cell>
          <cell r="S305">
            <v>30.210879999999996</v>
          </cell>
          <cell r="T305">
            <v>0.53947000000000001</v>
          </cell>
          <cell r="U305">
            <v>0</v>
          </cell>
          <cell r="V305">
            <v>0.53947000000000001</v>
          </cell>
          <cell r="W305">
            <v>0.53947000000000001</v>
          </cell>
          <cell r="Z305">
            <v>41.889119999999998</v>
          </cell>
          <cell r="AA305">
            <v>-41.889119999999998</v>
          </cell>
          <cell r="AB305">
            <v>30.210879999999996</v>
          </cell>
          <cell r="AC305">
            <v>-41.889119999999998</v>
          </cell>
          <cell r="AD305">
            <v>0</v>
          </cell>
        </row>
        <row r="306">
          <cell r="B306" t="str">
            <v>LCP-210008</v>
          </cell>
          <cell r="C306" t="str">
            <v>COL- Plant roof  sheet metal improvement</v>
          </cell>
          <cell r="D306" t="str">
            <v>Facilities Sustaining</v>
          </cell>
          <cell r="E306" t="str">
            <v>N</v>
          </cell>
          <cell r="F306" t="str">
            <v>LA</v>
          </cell>
          <cell r="H306" t="str">
            <v>Commercial Radial</v>
          </cell>
          <cell r="I306" t="str">
            <v>Facilities/Infrastructure</v>
          </cell>
          <cell r="J306" t="str">
            <v>COL</v>
          </cell>
          <cell r="S306">
            <v>0</v>
          </cell>
          <cell r="T306">
            <v>0</v>
          </cell>
          <cell r="U306">
            <v>100</v>
          </cell>
          <cell r="V306">
            <v>100</v>
          </cell>
          <cell r="W306">
            <v>100</v>
          </cell>
          <cell r="X306">
            <v>48.600999999999999</v>
          </cell>
          <cell r="Y306">
            <v>1.4795</v>
          </cell>
        </row>
        <row r="307">
          <cell r="B307" t="str">
            <v>LCP-190204</v>
          </cell>
          <cell r="C307" t="str">
            <v>INFLATION TESTING MACHINE</v>
          </cell>
          <cell r="D307" t="str">
            <v>Quality - Improvement</v>
          </cell>
          <cell r="E307" t="str">
            <v>N</v>
          </cell>
          <cell r="F307" t="str">
            <v>LA</v>
          </cell>
          <cell r="H307" t="str">
            <v>CONSUMER RADIAL</v>
          </cell>
          <cell r="I307" t="str">
            <v>TIRE ASSEMBLY</v>
          </cell>
          <cell r="J307" t="str">
            <v>AME</v>
          </cell>
          <cell r="O307">
            <v>131.6</v>
          </cell>
          <cell r="Q307">
            <v>131.6</v>
          </cell>
          <cell r="S307">
            <v>20.68638</v>
          </cell>
          <cell r="T307">
            <v>30.76388</v>
          </cell>
          <cell r="U307">
            <v>-9.6759999999999735E-2</v>
          </cell>
          <cell r="V307">
            <v>24.49933</v>
          </cell>
          <cell r="W307">
            <v>24.49933</v>
          </cell>
          <cell r="X307">
            <v>0</v>
          </cell>
          <cell r="Y307">
            <v>0.18177000000000001</v>
          </cell>
          <cell r="Z307">
            <v>110.91361999999999</v>
          </cell>
          <cell r="AA307">
            <v>-110.91361999999999</v>
          </cell>
          <cell r="AB307">
            <v>20.58962</v>
          </cell>
          <cell r="AC307">
            <v>-111.01038</v>
          </cell>
          <cell r="AD307">
            <v>0</v>
          </cell>
        </row>
        <row r="308">
          <cell r="B308" t="str">
            <v>LCP-190208</v>
          </cell>
          <cell r="C308" t="str">
            <v>AME- (1) BALANCE MACHINE MARKER (DOWN SIDE)</v>
          </cell>
          <cell r="D308" t="str">
            <v>Quality - Improvement</v>
          </cell>
          <cell r="E308" t="str">
            <v>N</v>
          </cell>
          <cell r="F308" t="str">
            <v>LA</v>
          </cell>
          <cell r="H308" t="str">
            <v>CONSUMER RADIAL</v>
          </cell>
          <cell r="I308" t="str">
            <v>FINAL FINISH</v>
          </cell>
          <cell r="J308" t="str">
            <v>AME</v>
          </cell>
          <cell r="O308">
            <v>560.5</v>
          </cell>
          <cell r="Q308">
            <v>560.5</v>
          </cell>
          <cell r="S308">
            <v>63.584839999999986</v>
          </cell>
          <cell r="T308">
            <v>70.152139999999989</v>
          </cell>
          <cell r="U308">
            <v>0</v>
          </cell>
          <cell r="V308">
            <v>29.232530000000001</v>
          </cell>
          <cell r="W308">
            <v>29.232530000000001</v>
          </cell>
          <cell r="X308">
            <v>0</v>
          </cell>
          <cell r="Y308">
            <v>0.21647999999999998</v>
          </cell>
          <cell r="Z308">
            <v>496.91516000000001</v>
          </cell>
          <cell r="AA308">
            <v>-496.91516000000001</v>
          </cell>
          <cell r="AB308">
            <v>63.584839999999986</v>
          </cell>
          <cell r="AC308">
            <v>-496.91516000000001</v>
          </cell>
          <cell r="AD308">
            <v>0</v>
          </cell>
        </row>
        <row r="309">
          <cell r="B309" t="str">
            <v>LCP-210013</v>
          </cell>
          <cell r="C309" t="str">
            <v>AME- Additional molds to Americana</v>
          </cell>
          <cell r="D309" t="str">
            <v>Molds</v>
          </cell>
          <cell r="E309" t="str">
            <v>N</v>
          </cell>
          <cell r="F309" t="str">
            <v>LA</v>
          </cell>
          <cell r="G309">
            <v>0</v>
          </cell>
          <cell r="H309" t="str">
            <v>CONSUMER RADIAL</v>
          </cell>
          <cell r="I309" t="str">
            <v>Curing</v>
          </cell>
          <cell r="J309" t="str">
            <v>AME</v>
          </cell>
          <cell r="S309">
            <v>3.6897599999999993</v>
          </cell>
          <cell r="T309">
            <v>216.88569999999999</v>
          </cell>
          <cell r="U309">
            <v>43.795819999999992</v>
          </cell>
          <cell r="V309">
            <v>285</v>
          </cell>
          <cell r="W309">
            <v>285</v>
          </cell>
          <cell r="X309">
            <v>0</v>
          </cell>
          <cell r="Y309">
            <v>50.792000000000002</v>
          </cell>
        </row>
        <row r="310">
          <cell r="B310" t="str">
            <v>LCP-190213</v>
          </cell>
          <cell r="C310" t="str">
            <v>ALPHA SHEAR LETOFF TREATMENT</v>
          </cell>
          <cell r="D310" t="str">
            <v>Productivity</v>
          </cell>
          <cell r="E310" t="str">
            <v>N</v>
          </cell>
          <cell r="F310" t="str">
            <v>LA</v>
          </cell>
          <cell r="H310" t="str">
            <v>COMMERCIAL RADIAL</v>
          </cell>
          <cell r="I310" t="str">
            <v>FACILITIES/INFRASTRUCTURE</v>
          </cell>
          <cell r="J310" t="str">
            <v>AME</v>
          </cell>
          <cell r="O310">
            <v>126.47499999999999</v>
          </cell>
          <cell r="Q310">
            <v>126.47499999999999</v>
          </cell>
          <cell r="R310">
            <v>0</v>
          </cell>
          <cell r="S310">
            <v>26.274090000000001</v>
          </cell>
          <cell r="T310">
            <v>26.912100000000002</v>
          </cell>
          <cell r="U310">
            <v>7.8303599999999989</v>
          </cell>
          <cell r="V310">
            <v>32.894840000000002</v>
          </cell>
          <cell r="W310">
            <v>32.894840000000002</v>
          </cell>
          <cell r="X310">
            <v>0</v>
          </cell>
          <cell r="Y310">
            <v>8.8583700000000007</v>
          </cell>
          <cell r="Z310">
            <v>100.20090999999999</v>
          </cell>
          <cell r="AA310">
            <v>-100.20090999999999</v>
          </cell>
          <cell r="AB310">
            <v>34.10445</v>
          </cell>
          <cell r="AC310">
            <v>-92.370549999999994</v>
          </cell>
          <cell r="AD310">
            <v>0</v>
          </cell>
        </row>
        <row r="311">
          <cell r="B311" t="str">
            <v>LCP-190229</v>
          </cell>
          <cell r="C311" t="str">
            <v>UPGRADE TYLOR SYSTEM IN MRT CURING PRESSES</v>
          </cell>
          <cell r="D311" t="str">
            <v>Facilities Sustaining</v>
          </cell>
          <cell r="E311" t="str">
            <v>N</v>
          </cell>
          <cell r="F311" t="str">
            <v>LA</v>
          </cell>
          <cell r="H311" t="str">
            <v>COMMERCIAL RADIAL</v>
          </cell>
          <cell r="I311" t="str">
            <v>FACILITIES/INFRASTRUCTURE</v>
          </cell>
          <cell r="J311" t="str">
            <v>AME</v>
          </cell>
          <cell r="O311">
            <v>120</v>
          </cell>
          <cell r="Q311">
            <v>120</v>
          </cell>
          <cell r="S311">
            <v>3.8177699999999999</v>
          </cell>
          <cell r="T311">
            <v>3.8177699999999999</v>
          </cell>
          <cell r="U311">
            <v>0</v>
          </cell>
          <cell r="V311">
            <v>6</v>
          </cell>
          <cell r="W311">
            <v>6</v>
          </cell>
          <cell r="Z311">
            <v>116.18223</v>
          </cell>
          <cell r="AA311">
            <v>-116.18223</v>
          </cell>
          <cell r="AB311">
            <v>3.8177699999999999</v>
          </cell>
          <cell r="AC311">
            <v>-116.18223</v>
          </cell>
          <cell r="AD311">
            <v>0</v>
          </cell>
        </row>
        <row r="312">
          <cell r="B312" t="str">
            <v>LCP-190231</v>
          </cell>
          <cell r="C312" t="str">
            <v>HOTFORMER UPGRADE LINNER AND SCREW</v>
          </cell>
          <cell r="D312" t="str">
            <v>Facilities Sustaining</v>
          </cell>
          <cell r="E312" t="str">
            <v>N</v>
          </cell>
          <cell r="F312" t="str">
            <v>LA</v>
          </cell>
          <cell r="H312" t="str">
            <v>MIXED</v>
          </cell>
          <cell r="I312" t="str">
            <v>FACILITIES/INFRASTRUCTURE</v>
          </cell>
          <cell r="J312" t="str">
            <v>AME</v>
          </cell>
          <cell r="O312">
            <v>225</v>
          </cell>
          <cell r="Q312">
            <v>225</v>
          </cell>
          <cell r="R312">
            <v>150.19739999999999</v>
          </cell>
          <cell r="S312">
            <v>150.19739999999999</v>
          </cell>
          <cell r="T312">
            <v>0</v>
          </cell>
          <cell r="U312">
            <v>0</v>
          </cell>
          <cell r="V312">
            <v>18</v>
          </cell>
          <cell r="W312">
            <v>18</v>
          </cell>
          <cell r="Z312">
            <v>74.802600000000012</v>
          </cell>
          <cell r="AA312">
            <v>-74.802600000000012</v>
          </cell>
          <cell r="AB312">
            <v>150.19739999999999</v>
          </cell>
          <cell r="AC312">
            <v>-74.802600000000012</v>
          </cell>
          <cell r="AD312">
            <v>0</v>
          </cell>
        </row>
        <row r="313">
          <cell r="B313" t="str">
            <v>LCP-200001</v>
          </cell>
          <cell r="C313" t="str">
            <v>AME-REPL &amp; UPG OF ROLLS IN CAL3R</v>
          </cell>
          <cell r="D313" t="str">
            <v>Facilities Sustaining</v>
          </cell>
          <cell r="E313" t="str">
            <v>N</v>
          </cell>
          <cell r="F313" t="str">
            <v>LA</v>
          </cell>
          <cell r="H313" t="str">
            <v>CONSUMER RADIAL</v>
          </cell>
          <cell r="I313" t="str">
            <v>COMPONENT PREP OTHER</v>
          </cell>
          <cell r="J313" t="str">
            <v>AME</v>
          </cell>
          <cell r="O313">
            <v>1208.9570000000001</v>
          </cell>
          <cell r="Q313">
            <v>1208.9570000000001</v>
          </cell>
          <cell r="R313">
            <v>0</v>
          </cell>
          <cell r="S313">
            <v>787.40364000000022</v>
          </cell>
          <cell r="T313">
            <v>787.35342000000026</v>
          </cell>
          <cell r="U313">
            <v>20.400160000000028</v>
          </cell>
          <cell r="V313">
            <v>814.2</v>
          </cell>
          <cell r="W313">
            <v>814.2</v>
          </cell>
          <cell r="X313">
            <v>0</v>
          </cell>
          <cell r="Y313">
            <v>31.256220000000003</v>
          </cell>
          <cell r="Z313">
            <v>421.55335999999988</v>
          </cell>
          <cell r="AA313">
            <v>-421.55335999999988</v>
          </cell>
          <cell r="AB313">
            <v>807.80380000000025</v>
          </cell>
          <cell r="AC313">
            <v>-401.15319999999986</v>
          </cell>
          <cell r="AD313">
            <v>0</v>
          </cell>
        </row>
        <row r="314">
          <cell r="B314" t="str">
            <v>LCP-200008</v>
          </cell>
          <cell r="C314" t="str">
            <v>AME-REPL &amp; UPG OF ROLLS IN CAL4R1</v>
          </cell>
          <cell r="D314" t="str">
            <v>Facilities Sustaining</v>
          </cell>
          <cell r="E314" t="str">
            <v>N</v>
          </cell>
          <cell r="F314" t="str">
            <v>LA</v>
          </cell>
          <cell r="H314" t="str">
            <v>CONSUMER RADIAL</v>
          </cell>
          <cell r="I314" t="str">
            <v>COMPONENT PREP OTHER</v>
          </cell>
          <cell r="J314" t="str">
            <v>AME</v>
          </cell>
          <cell r="O314">
            <v>955.78200000000004</v>
          </cell>
          <cell r="Q314">
            <v>955.78200000000004</v>
          </cell>
          <cell r="R314">
            <v>2.1484299999999976</v>
          </cell>
          <cell r="S314">
            <v>32.605260000000001</v>
          </cell>
          <cell r="T314">
            <v>32.015540000000009</v>
          </cell>
          <cell r="U314">
            <v>35.000000000000007</v>
          </cell>
          <cell r="V314">
            <v>199.04179999999999</v>
          </cell>
          <cell r="W314">
            <v>199.04179999999999</v>
          </cell>
          <cell r="X314">
            <v>110.50160000000001</v>
          </cell>
          <cell r="Y314">
            <v>0</v>
          </cell>
          <cell r="Z314">
            <v>923.17674</v>
          </cell>
          <cell r="AA314">
            <v>-923.17674</v>
          </cell>
          <cell r="AB314">
            <v>67.605260000000015</v>
          </cell>
          <cell r="AC314">
            <v>-888.17674</v>
          </cell>
          <cell r="AD314">
            <v>0</v>
          </cell>
        </row>
        <row r="315">
          <cell r="B315" t="str">
            <v>LCP-200023</v>
          </cell>
          <cell r="C315" t="str">
            <v>UPGRADE KOKUSAI #01</v>
          </cell>
          <cell r="D315" t="str">
            <v>Facilities Sustaining</v>
          </cell>
          <cell r="E315" t="str">
            <v>N</v>
          </cell>
          <cell r="F315" t="str">
            <v>LA</v>
          </cell>
          <cell r="H315" t="str">
            <v>Commercial Radial</v>
          </cell>
          <cell r="I315" t="str">
            <v>Final Finish</v>
          </cell>
          <cell r="J315" t="str">
            <v>AME</v>
          </cell>
          <cell r="O315">
            <v>386.005</v>
          </cell>
          <cell r="Q315">
            <v>386.005</v>
          </cell>
          <cell r="S315">
            <v>68.737850000000009</v>
          </cell>
          <cell r="T315">
            <v>116.46867</v>
          </cell>
          <cell r="U315">
            <v>80.224310000000003</v>
          </cell>
          <cell r="V315">
            <v>86</v>
          </cell>
          <cell r="W315">
            <v>86</v>
          </cell>
          <cell r="X315">
            <v>0</v>
          </cell>
          <cell r="Y315">
            <v>54.426600000000001</v>
          </cell>
          <cell r="Z315">
            <v>317.26715000000002</v>
          </cell>
          <cell r="AA315">
            <v>-317.26715000000002</v>
          </cell>
          <cell r="AB315">
            <v>148.96216000000001</v>
          </cell>
          <cell r="AC315">
            <v>-237.04283999999998</v>
          </cell>
          <cell r="AD315">
            <v>0</v>
          </cell>
        </row>
        <row r="316">
          <cell r="B316" t="str">
            <v>LCP-210026</v>
          </cell>
          <cell r="C316" t="str">
            <v>Molds for Tcross and Polo Rota 2030 (OE)</v>
          </cell>
          <cell r="D316" t="str">
            <v>Molds</v>
          </cell>
          <cell r="E316" t="str">
            <v>N</v>
          </cell>
          <cell r="F316" t="str">
            <v>LA</v>
          </cell>
          <cell r="H316" t="str">
            <v>Consumer Radial</v>
          </cell>
          <cell r="I316" t="str">
            <v>Curing</v>
          </cell>
          <cell r="J316" t="str">
            <v>AME</v>
          </cell>
          <cell r="Q316">
            <v>544</v>
          </cell>
          <cell r="S316">
            <v>0</v>
          </cell>
          <cell r="T316">
            <v>0</v>
          </cell>
          <cell r="U316">
            <v>547.5</v>
          </cell>
          <cell r="V316">
            <v>544</v>
          </cell>
          <cell r="W316">
            <v>544</v>
          </cell>
          <cell r="X316">
            <v>0</v>
          </cell>
          <cell r="Y316">
            <v>448.19906000000003</v>
          </cell>
        </row>
        <row r="317">
          <cell r="B317" t="str">
            <v>LCP-210027</v>
          </cell>
          <cell r="C317" t="str">
            <v>COL -  PROPERTY SECURITY IMPROVEMENT</v>
          </cell>
          <cell r="D317" t="str">
            <v>Facilities Sustaining</v>
          </cell>
          <cell r="E317" t="str">
            <v>N</v>
          </cell>
          <cell r="F317" t="str">
            <v>LA</v>
          </cell>
          <cell r="H317" t="str">
            <v>Commercial Radial</v>
          </cell>
          <cell r="I317" t="str">
            <v>Facilities/Infrastructure</v>
          </cell>
          <cell r="J317" t="str">
            <v>COL</v>
          </cell>
          <cell r="S317">
            <v>21.520869999999999</v>
          </cell>
          <cell r="T317">
            <v>57.745940000000004</v>
          </cell>
          <cell r="U317">
            <v>32</v>
          </cell>
          <cell r="V317">
            <v>100</v>
          </cell>
          <cell r="W317">
            <v>100</v>
          </cell>
          <cell r="X317">
            <v>0</v>
          </cell>
          <cell r="Y317">
            <v>6.7144000000000004</v>
          </cell>
        </row>
        <row r="318">
          <cell r="B318" t="str">
            <v>LCP-210028</v>
          </cell>
          <cell r="C318" t="str">
            <v>COL-Wire Calander extruder screw 250mm replace</v>
          </cell>
          <cell r="D318" t="str">
            <v>Facilities Sustaining</v>
          </cell>
          <cell r="E318" t="str">
            <v>N</v>
          </cell>
          <cell r="F318" t="str">
            <v>LA</v>
          </cell>
          <cell r="H318" t="str">
            <v>Commercial Radial</v>
          </cell>
          <cell r="I318" t="str">
            <v xml:space="preserve">Extruding </v>
          </cell>
          <cell r="J318" t="str">
            <v>COL</v>
          </cell>
          <cell r="S318">
            <v>0</v>
          </cell>
          <cell r="T318">
            <v>0</v>
          </cell>
          <cell r="U318">
            <v>50</v>
          </cell>
          <cell r="V318">
            <v>50</v>
          </cell>
          <cell r="W318">
            <v>50</v>
          </cell>
        </row>
        <row r="319">
          <cell r="B319" t="str">
            <v>LCP-210029</v>
          </cell>
          <cell r="C319" t="str">
            <v>LCP-210029 PER-DBMs SERVOSATR S700 DRIVES UPGRADE</v>
          </cell>
          <cell r="D319" t="str">
            <v>Facilities Sustaining</v>
          </cell>
          <cell r="E319" t="str">
            <v>N</v>
          </cell>
          <cell r="F319" t="str">
            <v>LA</v>
          </cell>
          <cell r="H319" t="str">
            <v>MIXED</v>
          </cell>
          <cell r="I319" t="str">
            <v>Final Finish</v>
          </cell>
          <cell r="J319" t="str">
            <v>PER</v>
          </cell>
          <cell r="T319">
            <v>43.475609999999996</v>
          </cell>
          <cell r="U319">
            <v>0</v>
          </cell>
          <cell r="X319">
            <v>2.8</v>
          </cell>
          <cell r="Y319">
            <v>0</v>
          </cell>
        </row>
        <row r="320">
          <cell r="B320" t="str">
            <v>LCP-210030</v>
          </cell>
          <cell r="C320" t="str">
            <v>CHI - Look &amp; Feel POS Identification Ecuador 2021</v>
          </cell>
          <cell r="D320" t="str">
            <v>SAG</v>
          </cell>
          <cell r="E320" t="str">
            <v>N</v>
          </cell>
          <cell r="F320" t="str">
            <v>LA</v>
          </cell>
          <cell r="H320" t="str">
            <v>CONSUMER RADIAL</v>
          </cell>
          <cell r="I320" t="str">
            <v>SAG - Sales &amp; Marketing</v>
          </cell>
          <cell r="J320" t="str">
            <v>CHI</v>
          </cell>
          <cell r="S320">
            <v>38.61</v>
          </cell>
          <cell r="T320">
            <v>54.508200000000002</v>
          </cell>
          <cell r="U320">
            <v>42.31</v>
          </cell>
          <cell r="V320">
            <v>84</v>
          </cell>
          <cell r="W320">
            <v>84</v>
          </cell>
        </row>
        <row r="321">
          <cell r="B321" t="str">
            <v>LCP-210031</v>
          </cell>
          <cell r="C321" t="str">
            <v>PER - 150 PSI NEW COMPRESSOR</v>
          </cell>
          <cell r="D321" t="str">
            <v>Facilities Sustaining</v>
          </cell>
          <cell r="E321" t="str">
            <v>N</v>
          </cell>
          <cell r="F321" t="str">
            <v>LA</v>
          </cell>
          <cell r="H321" t="str">
            <v>Mixed</v>
          </cell>
          <cell r="I321" t="str">
            <v>ENGINEERING</v>
          </cell>
          <cell r="J321" t="str">
            <v>PER</v>
          </cell>
          <cell r="T321">
            <v>131.01820000000001</v>
          </cell>
          <cell r="U321">
            <v>9.2390199999999822</v>
          </cell>
          <cell r="X321">
            <v>0</v>
          </cell>
          <cell r="Y321">
            <v>8.3666499999999999</v>
          </cell>
        </row>
        <row r="322">
          <cell r="B322" t="str">
            <v>LCP-210032</v>
          </cell>
          <cell r="C322" t="str">
            <v>PER - 2021 MISCELLANEOUS ANNUAL BUDGET</v>
          </cell>
          <cell r="D322" t="str">
            <v>Facilities Sustaining</v>
          </cell>
          <cell r="E322" t="str">
            <v>N</v>
          </cell>
          <cell r="F322" t="str">
            <v>LA</v>
          </cell>
          <cell r="H322" t="str">
            <v>MIXED</v>
          </cell>
          <cell r="I322" t="str">
            <v>Other</v>
          </cell>
          <cell r="J322" t="str">
            <v>PER</v>
          </cell>
          <cell r="S322">
            <v>157.59748999999999</v>
          </cell>
          <cell r="T322">
            <v>250.08355</v>
          </cell>
          <cell r="U322">
            <v>72.793960000000027</v>
          </cell>
          <cell r="V322">
            <v>400</v>
          </cell>
          <cell r="W322">
            <v>400</v>
          </cell>
          <cell r="X322">
            <v>43.197240000000001</v>
          </cell>
          <cell r="Y322">
            <v>66.411209999999983</v>
          </cell>
        </row>
        <row r="323">
          <cell r="B323" t="str">
            <v>LCP-210034</v>
          </cell>
          <cell r="C323" t="str">
            <v>CHI - Look &amp; Feel POS Identification Bolivia 2021</v>
          </cell>
          <cell r="D323" t="str">
            <v>SAG</v>
          </cell>
          <cell r="E323" t="str">
            <v>N</v>
          </cell>
          <cell r="F323" t="str">
            <v>LA</v>
          </cell>
          <cell r="H323" t="str">
            <v>CONSUMER RADIAL</v>
          </cell>
          <cell r="I323" t="str">
            <v>SAG - Sales &amp; Marketing</v>
          </cell>
          <cell r="J323" t="str">
            <v>CHI</v>
          </cell>
          <cell r="S323">
            <v>0</v>
          </cell>
          <cell r="T323">
            <v>0</v>
          </cell>
          <cell r="U323">
            <v>0</v>
          </cell>
          <cell r="V323">
            <v>37</v>
          </cell>
          <cell r="W323">
            <v>37</v>
          </cell>
        </row>
        <row r="324">
          <cell r="B324" t="str">
            <v>LCP-210035</v>
          </cell>
          <cell r="C324" t="str">
            <v>CHI - Look &amp; Feel POS Identification Chile 2021</v>
          </cell>
          <cell r="D324" t="str">
            <v>SAG</v>
          </cell>
          <cell r="E324" t="str">
            <v>N</v>
          </cell>
          <cell r="F324" t="str">
            <v>LA</v>
          </cell>
          <cell r="H324" t="str">
            <v>CONSUMER RADIAL</v>
          </cell>
          <cell r="I324" t="str">
            <v>SAG - Sales &amp; Marketing</v>
          </cell>
          <cell r="J324" t="str">
            <v>CHI</v>
          </cell>
          <cell r="S324">
            <v>88.080780000000004</v>
          </cell>
          <cell r="T324">
            <v>152.54676000000001</v>
          </cell>
          <cell r="U324">
            <v>110.19999999999999</v>
          </cell>
          <cell r="V324">
            <v>220</v>
          </cell>
          <cell r="W324">
            <v>220</v>
          </cell>
        </row>
        <row r="325">
          <cell r="B325" t="str">
            <v>LCP-210036</v>
          </cell>
          <cell r="C325" t="str">
            <v>PER - Generator Portable Nitrogen Plant</v>
          </cell>
          <cell r="D325" t="str">
            <v>Quality - Improvement</v>
          </cell>
          <cell r="E325" t="str">
            <v>N</v>
          </cell>
          <cell r="F325" t="str">
            <v>LA</v>
          </cell>
          <cell r="H325" t="str">
            <v>Mixed</v>
          </cell>
          <cell r="I325" t="str">
            <v>ENGINEERING</v>
          </cell>
          <cell r="J325" t="str">
            <v>PER</v>
          </cell>
          <cell r="O325">
            <v>450</v>
          </cell>
          <cell r="P325">
            <v>175</v>
          </cell>
          <cell r="Q325">
            <v>625</v>
          </cell>
          <cell r="T325">
            <v>628.10801000000004</v>
          </cell>
          <cell r="U325">
            <v>11.431479999999965</v>
          </cell>
          <cell r="X325">
            <v>6.3449600000000004</v>
          </cell>
          <cell r="Y325">
            <v>35.393610000000002</v>
          </cell>
        </row>
        <row r="326">
          <cell r="B326" t="str">
            <v>LCP-210037</v>
          </cell>
          <cell r="C326" t="str">
            <v>BRAZIL CONTINGENCY BILLING SYSTEM</v>
          </cell>
          <cell r="D326" t="str">
            <v>IT</v>
          </cell>
          <cell r="E326" t="str">
            <v>N</v>
          </cell>
          <cell r="F326" t="str">
            <v>LA</v>
          </cell>
          <cell r="H326" t="str">
            <v>N/A</v>
          </cell>
          <cell r="I326" t="str">
            <v>SAG - IT</v>
          </cell>
          <cell r="J326" t="str">
            <v>BRZ</v>
          </cell>
          <cell r="S326">
            <v>29.861369999999997</v>
          </cell>
          <cell r="T326">
            <v>42.617889999999996</v>
          </cell>
          <cell r="U326">
            <v>0</v>
          </cell>
          <cell r="V326">
            <v>50</v>
          </cell>
          <cell r="W326">
            <v>50</v>
          </cell>
        </row>
        <row r="327">
          <cell r="B327" t="str">
            <v>LCP-200026</v>
          </cell>
          <cell r="C327" t="str">
            <v>AME-MISCELANEOUS QUARTELY 2020</v>
          </cell>
          <cell r="D327" t="str">
            <v>Facilities Sustaining</v>
          </cell>
          <cell r="E327" t="str">
            <v>N</v>
          </cell>
          <cell r="F327" t="str">
            <v>LA</v>
          </cell>
          <cell r="H327" t="str">
            <v>Mixed</v>
          </cell>
          <cell r="I327" t="str">
            <v>Other</v>
          </cell>
          <cell r="J327" t="str">
            <v>AME</v>
          </cell>
          <cell r="O327">
            <v>1000</v>
          </cell>
          <cell r="Q327">
            <v>1000</v>
          </cell>
          <cell r="R327">
            <v>0</v>
          </cell>
          <cell r="S327">
            <v>29.465679999999999</v>
          </cell>
          <cell r="T327">
            <v>29.465679999999999</v>
          </cell>
          <cell r="U327">
            <v>0</v>
          </cell>
          <cell r="V327">
            <v>37.937039999999996</v>
          </cell>
          <cell r="W327">
            <v>37.937039999999996</v>
          </cell>
          <cell r="Z327">
            <v>970.53431999999998</v>
          </cell>
          <cell r="AA327">
            <v>-970.53431999999998</v>
          </cell>
          <cell r="AB327">
            <v>29.465679999999999</v>
          </cell>
          <cell r="AC327">
            <v>-970.53431999999998</v>
          </cell>
          <cell r="AD327">
            <v>0</v>
          </cell>
        </row>
        <row r="328">
          <cell r="B328" t="str">
            <v>LCP-210039</v>
          </cell>
          <cell r="C328" t="str">
            <v>FCA Mobi</v>
          </cell>
          <cell r="D328" t="str">
            <v>Molds</v>
          </cell>
          <cell r="E328" t="str">
            <v>N</v>
          </cell>
          <cell r="F328" t="str">
            <v>LA</v>
          </cell>
          <cell r="H328" t="str">
            <v>Consumer Radial</v>
          </cell>
          <cell r="I328" t="str">
            <v>Curing</v>
          </cell>
          <cell r="J328" t="str">
            <v>AME</v>
          </cell>
          <cell r="S328">
            <v>0</v>
          </cell>
          <cell r="T328">
            <v>0</v>
          </cell>
          <cell r="U328">
            <v>27.04</v>
          </cell>
          <cell r="V328">
            <v>228</v>
          </cell>
          <cell r="W328">
            <v>228</v>
          </cell>
          <cell r="X328">
            <v>0</v>
          </cell>
          <cell r="Y328">
            <v>156.75575999999998</v>
          </cell>
        </row>
        <row r="329">
          <cell r="B329" t="str">
            <v>LCP-200028</v>
          </cell>
          <cell r="C329" t="str">
            <v>REPLACEMENT OF RING IN KOKUSAI</v>
          </cell>
          <cell r="D329" t="str">
            <v>Facilities Sustaining</v>
          </cell>
          <cell r="E329" t="str">
            <v>N</v>
          </cell>
          <cell r="F329" t="str">
            <v>LA</v>
          </cell>
          <cell r="H329" t="str">
            <v>Commercial Radial</v>
          </cell>
          <cell r="I329" t="str">
            <v>Final Finish</v>
          </cell>
          <cell r="J329" t="str">
            <v>AME</v>
          </cell>
          <cell r="O329">
            <v>299.66759999999999</v>
          </cell>
          <cell r="Q329">
            <v>299.66759999999999</v>
          </cell>
          <cell r="S329">
            <v>-0.55757000000000001</v>
          </cell>
          <cell r="T329">
            <v>-0.55757000000000001</v>
          </cell>
          <cell r="U329">
            <v>0</v>
          </cell>
          <cell r="V329">
            <v>-0.55757000000000001</v>
          </cell>
          <cell r="W329">
            <v>-0.55757000000000001</v>
          </cell>
          <cell r="Z329">
            <v>300.22516999999999</v>
          </cell>
          <cell r="AA329">
            <v>-300.22516999999999</v>
          </cell>
          <cell r="AB329">
            <v>-0.55757000000000001</v>
          </cell>
          <cell r="AC329">
            <v>-300.22516999999999</v>
          </cell>
          <cell r="AD329">
            <v>0</v>
          </cell>
        </row>
        <row r="330">
          <cell r="B330" t="str">
            <v>LCP-210042</v>
          </cell>
          <cell r="C330" t="str">
            <v>COL - BT Drum</v>
          </cell>
          <cell r="D330" t="str">
            <v>Facilities Sustaining</v>
          </cell>
          <cell r="E330" t="str">
            <v>N</v>
          </cell>
          <cell r="F330" t="str">
            <v>LA</v>
          </cell>
          <cell r="H330" t="str">
            <v>COMMERCIAL RADIAL</v>
          </cell>
          <cell r="I330" t="str">
            <v>FACILITIES/INFRASTRUCTURE</v>
          </cell>
          <cell r="J330" t="str">
            <v>COL</v>
          </cell>
          <cell r="S330">
            <v>0</v>
          </cell>
          <cell r="T330">
            <v>0</v>
          </cell>
          <cell r="U330">
            <v>0</v>
          </cell>
          <cell r="V330">
            <v>150</v>
          </cell>
          <cell r="W330">
            <v>150</v>
          </cell>
          <cell r="X330">
            <v>0</v>
          </cell>
          <cell r="Y330">
            <v>95.611999999999995</v>
          </cell>
        </row>
        <row r="331">
          <cell r="B331" t="str">
            <v>LCP-210043</v>
          </cell>
          <cell r="C331" t="str">
            <v>COL - CURING MONITORING PANEL UPGRADE IN HEADER</v>
          </cell>
          <cell r="D331" t="str">
            <v>Facilities Sustaining</v>
          </cell>
          <cell r="E331" t="str">
            <v>N</v>
          </cell>
          <cell r="F331" t="str">
            <v>LA</v>
          </cell>
          <cell r="H331" t="str">
            <v>Commercial Radial</v>
          </cell>
          <cell r="I331" t="str">
            <v>Curing</v>
          </cell>
          <cell r="J331" t="str">
            <v>COL</v>
          </cell>
          <cell r="S331">
            <v>28.311490000000003</v>
          </cell>
          <cell r="T331">
            <v>83.937309999999997</v>
          </cell>
          <cell r="U331">
            <v>2.3132700000000028</v>
          </cell>
          <cell r="V331">
            <v>100</v>
          </cell>
          <cell r="W331">
            <v>100</v>
          </cell>
          <cell r="X331">
            <v>0</v>
          </cell>
          <cell r="Y331">
            <v>5.2022700000000004</v>
          </cell>
        </row>
        <row r="332">
          <cell r="B332" t="str">
            <v>LCP-200076</v>
          </cell>
          <cell r="C332" t="str">
            <v>HOTFORMER UPG LINNER AND SCREW STATIONS #04</v>
          </cell>
          <cell r="D332" t="str">
            <v>Facilities Sustaining</v>
          </cell>
          <cell r="E332" t="str">
            <v>N</v>
          </cell>
          <cell r="F332" t="str">
            <v>LA</v>
          </cell>
          <cell r="H332" t="str">
            <v>N/A</v>
          </cell>
          <cell r="I332" t="str">
            <v>COMPONENT PREP OTHER</v>
          </cell>
          <cell r="J332" t="str">
            <v>AME</v>
          </cell>
          <cell r="Q332">
            <v>144.029</v>
          </cell>
          <cell r="S332">
            <v>0</v>
          </cell>
          <cell r="T332">
            <v>0</v>
          </cell>
          <cell r="U332">
            <v>68.632509999999996</v>
          </cell>
          <cell r="V332">
            <v>64.375</v>
          </cell>
          <cell r="W332">
            <v>64.375</v>
          </cell>
          <cell r="AD332">
            <v>0</v>
          </cell>
        </row>
        <row r="333">
          <cell r="B333" t="str">
            <v>LCP-210046</v>
          </cell>
          <cell r="C333" t="str">
            <v>COL - Look &amp; Feel POS Identification Colombia</v>
          </cell>
          <cell r="D333" t="str">
            <v>SAG</v>
          </cell>
          <cell r="E333" t="str">
            <v>N</v>
          </cell>
          <cell r="F333" t="str">
            <v>LA</v>
          </cell>
          <cell r="H333" t="str">
            <v>Commercial Radial</v>
          </cell>
          <cell r="I333" t="str">
            <v>SAG - Sales &amp; Marketing</v>
          </cell>
          <cell r="J333" t="str">
            <v>COL</v>
          </cell>
          <cell r="S333">
            <v>4.8634799999999991</v>
          </cell>
          <cell r="T333">
            <v>58.236789999999999</v>
          </cell>
          <cell r="U333">
            <v>113.99999999999999</v>
          </cell>
          <cell r="V333">
            <v>250</v>
          </cell>
          <cell r="W333">
            <v>250</v>
          </cell>
          <cell r="X333">
            <v>0</v>
          </cell>
          <cell r="Y333">
            <v>163.24732999999998</v>
          </cell>
        </row>
        <row r="334">
          <cell r="B334" t="str">
            <v>LCP-210047</v>
          </cell>
          <cell r="C334" t="str">
            <v>PER- SUBSTITUTE END-OF-LIFE NETWORK UCE SWITCHES IN PERU</v>
          </cell>
          <cell r="D334" t="str">
            <v>IT</v>
          </cell>
          <cell r="E334" t="str">
            <v>N</v>
          </cell>
          <cell r="F334" t="str">
            <v>LA</v>
          </cell>
          <cell r="H334" t="str">
            <v>N/A</v>
          </cell>
          <cell r="I334" t="str">
            <v>SAG - IT</v>
          </cell>
          <cell r="J334" t="str">
            <v>PER</v>
          </cell>
          <cell r="T334">
            <v>0</v>
          </cell>
          <cell r="U334">
            <v>160</v>
          </cell>
          <cell r="V334">
            <v>190</v>
          </cell>
          <cell r="W334">
            <v>190</v>
          </cell>
          <cell r="X334">
            <v>0</v>
          </cell>
          <cell r="Y334">
            <v>154.97115999999997</v>
          </cell>
        </row>
        <row r="335">
          <cell r="B335" t="str">
            <v>LCP-210048</v>
          </cell>
          <cell r="C335" t="str">
            <v>COL - New TCU 4 rolls 100 GPM for Wire Calander</v>
          </cell>
          <cell r="D335" t="str">
            <v>Capability</v>
          </cell>
          <cell r="E335" t="str">
            <v>N</v>
          </cell>
          <cell r="F335" t="str">
            <v>LA</v>
          </cell>
          <cell r="H335" t="str">
            <v>Commercial Radial</v>
          </cell>
          <cell r="I335" t="str">
            <v>Component Prep Other</v>
          </cell>
          <cell r="J335" t="str">
            <v>COL</v>
          </cell>
          <cell r="S335">
            <v>0.49865000000000004</v>
          </cell>
          <cell r="T335">
            <v>0.59054000000000006</v>
          </cell>
          <cell r="U335">
            <v>363.49</v>
          </cell>
          <cell r="V335">
            <v>150</v>
          </cell>
          <cell r="W335">
            <v>150</v>
          </cell>
        </row>
        <row r="336">
          <cell r="B336" t="str">
            <v>LCP-200077</v>
          </cell>
          <cell r="C336" t="str">
            <v>AME - Bijinic Tank</v>
          </cell>
          <cell r="D336" t="str">
            <v>Quality - Improvement</v>
          </cell>
          <cell r="E336" t="str">
            <v>N</v>
          </cell>
          <cell r="F336" t="str">
            <v>LA</v>
          </cell>
          <cell r="H336" t="str">
            <v>CONSUMER RADIAL</v>
          </cell>
          <cell r="I336" t="str">
            <v>Mixing</v>
          </cell>
          <cell r="J336" t="str">
            <v>AME</v>
          </cell>
          <cell r="Q336">
            <v>213.85</v>
          </cell>
          <cell r="S336">
            <v>67.475760000000008</v>
          </cell>
          <cell r="T336">
            <v>67.311960000000013</v>
          </cell>
          <cell r="U336">
            <v>3.6412700000000058</v>
          </cell>
          <cell r="V336">
            <v>63.783950000000004</v>
          </cell>
          <cell r="W336">
            <v>63.783950000000004</v>
          </cell>
          <cell r="X336">
            <v>0</v>
          </cell>
          <cell r="Y336">
            <v>4.8676599999999999</v>
          </cell>
          <cell r="AD336">
            <v>0</v>
          </cell>
        </row>
        <row r="337">
          <cell r="B337" t="str">
            <v>LCP-200092</v>
          </cell>
          <cell r="C337" t="str">
            <v>AME-METAL DETECTOR IN CAL 4R2</v>
          </cell>
          <cell r="D337" t="str">
            <v>Quality - Improvement</v>
          </cell>
          <cell r="E337" t="str">
            <v>N</v>
          </cell>
          <cell r="F337" t="str">
            <v>LA</v>
          </cell>
          <cell r="H337" t="str">
            <v>CONSUMER RADIAL</v>
          </cell>
          <cell r="I337" t="str">
            <v>Component Prep</v>
          </cell>
          <cell r="J337" t="str">
            <v>AME</v>
          </cell>
          <cell r="Q337">
            <v>245</v>
          </cell>
          <cell r="S337">
            <v>41.832540000000002</v>
          </cell>
          <cell r="T337">
            <v>41.832540000000002</v>
          </cell>
          <cell r="U337">
            <v>10.639310000000002</v>
          </cell>
          <cell r="V337">
            <v>170.14825000000002</v>
          </cell>
          <cell r="W337">
            <v>170.14825000000002</v>
          </cell>
          <cell r="X337">
            <v>7.7003999999999992</v>
          </cell>
          <cell r="Y337">
            <v>14.644170000000001</v>
          </cell>
          <cell r="AD337">
            <v>0</v>
          </cell>
        </row>
        <row r="338">
          <cell r="B338" t="str">
            <v>LCP-210065</v>
          </cell>
          <cell r="C338" t="str">
            <v>COL-CALI IT NETWORK DEVICES REFRESH BY LIFECYCLE (PHASE 2/3)</v>
          </cell>
          <cell r="D338" t="str">
            <v>IT</v>
          </cell>
          <cell r="E338" t="str">
            <v>N</v>
          </cell>
          <cell r="F338" t="str">
            <v>LA</v>
          </cell>
          <cell r="H338" t="str">
            <v>Commercial Radial</v>
          </cell>
          <cell r="I338" t="str">
            <v>SAG - IT</v>
          </cell>
          <cell r="J338" t="str">
            <v>COL</v>
          </cell>
          <cell r="S338">
            <v>0</v>
          </cell>
          <cell r="T338">
            <v>32.358900000000006</v>
          </cell>
          <cell r="U338">
            <v>21.405009999999997</v>
          </cell>
          <cell r="V338">
            <v>343</v>
          </cell>
          <cell r="W338">
            <v>343</v>
          </cell>
          <cell r="X338">
            <v>0</v>
          </cell>
          <cell r="Y338">
            <v>197.92726000000002</v>
          </cell>
        </row>
        <row r="339">
          <cell r="B339" t="str">
            <v>LCP-210068</v>
          </cell>
          <cell r="C339" t="str">
            <v>PER - PERU DBM #3 (ex Gadsden)</v>
          </cell>
          <cell r="D339" t="str">
            <v>Facilities Sustaining</v>
          </cell>
          <cell r="E339" t="str">
            <v>N</v>
          </cell>
          <cell r="F339" t="str">
            <v>LA</v>
          </cell>
          <cell r="H339" t="str">
            <v>Mixed</v>
          </cell>
          <cell r="I339" t="str">
            <v>Final Finish</v>
          </cell>
          <cell r="J339" t="str">
            <v>PER</v>
          </cell>
          <cell r="T339">
            <v>0</v>
          </cell>
          <cell r="U339">
            <v>198</v>
          </cell>
        </row>
        <row r="340">
          <cell r="B340" t="str">
            <v>LCP-210069</v>
          </cell>
          <cell r="C340" t="str">
            <v>PER EHS-100-02-00001 - Windup Letoff due to audity</v>
          </cell>
          <cell r="D340" t="str">
            <v>EHS</v>
          </cell>
          <cell r="E340" t="str">
            <v>N</v>
          </cell>
          <cell r="F340" t="str">
            <v>LA</v>
          </cell>
          <cell r="G340" t="str">
            <v>MSR</v>
          </cell>
          <cell r="J340" t="str">
            <v>PER</v>
          </cell>
          <cell r="T340">
            <v>0</v>
          </cell>
          <cell r="U340">
            <v>47</v>
          </cell>
          <cell r="V340">
            <v>75</v>
          </cell>
          <cell r="W340">
            <v>75</v>
          </cell>
          <cell r="X340">
            <v>17</v>
          </cell>
          <cell r="Y340">
            <v>0</v>
          </cell>
        </row>
        <row r="341">
          <cell r="B341" t="str">
            <v>LCP-210073</v>
          </cell>
          <cell r="C341" t="str">
            <v xml:space="preserve">	PER - 2 ELECTROMECHANIC BEAD HOLDER SYST</v>
          </cell>
          <cell r="D341" t="str">
            <v>EHS</v>
          </cell>
          <cell r="E341" t="str">
            <v>N</v>
          </cell>
          <cell r="F341" t="str">
            <v>LA</v>
          </cell>
          <cell r="G341" t="str">
            <v>FIRE</v>
          </cell>
          <cell r="H341" t="str">
            <v>MIXED</v>
          </cell>
          <cell r="I341" t="str">
            <v>Facilities/Infrastructure</v>
          </cell>
          <cell r="J341" t="str">
            <v>PER</v>
          </cell>
          <cell r="S341">
            <v>44.961720000000007</v>
          </cell>
          <cell r="T341">
            <v>91.952780000000018</v>
          </cell>
          <cell r="U341">
            <v>49.579820000000012</v>
          </cell>
          <cell r="V341">
            <v>150</v>
          </cell>
          <cell r="W341">
            <v>150</v>
          </cell>
          <cell r="X341">
            <v>4</v>
          </cell>
          <cell r="Y341">
            <v>32.563810000000004</v>
          </cell>
        </row>
        <row r="342">
          <cell r="B342" t="str">
            <v>LCP-200115</v>
          </cell>
          <cell r="C342" t="str">
            <v>AME - BT DRUM WYKO UPGRADE</v>
          </cell>
          <cell r="D342" t="str">
            <v>Facilities Sustaining</v>
          </cell>
          <cell r="E342" t="str">
            <v>N</v>
          </cell>
          <cell r="F342" t="str">
            <v>LA</v>
          </cell>
          <cell r="H342" t="str">
            <v>Commercial Radial</v>
          </cell>
          <cell r="I342" t="str">
            <v>TIRE ASSEMBLY</v>
          </cell>
          <cell r="J342" t="str">
            <v>AME</v>
          </cell>
          <cell r="Q342">
            <v>99.994</v>
          </cell>
          <cell r="S342">
            <v>1.0724</v>
          </cell>
          <cell r="T342">
            <v>1.0724</v>
          </cell>
          <cell r="U342">
            <v>0</v>
          </cell>
          <cell r="V342">
            <v>1.0629599999999999</v>
          </cell>
          <cell r="W342">
            <v>1.0629599999999999</v>
          </cell>
          <cell r="AD342">
            <v>0</v>
          </cell>
        </row>
        <row r="343">
          <cell r="B343" t="str">
            <v>LCP-200116</v>
          </cell>
          <cell r="C343" t="str">
            <v>SBO - UPGRADE PLC AUTOMAX EXTRUDER</v>
          </cell>
          <cell r="D343" t="str">
            <v>Facilities Sustaining</v>
          </cell>
          <cell r="E343" t="str">
            <v>N</v>
          </cell>
          <cell r="F343" t="str">
            <v>LA</v>
          </cell>
          <cell r="H343" t="str">
            <v>Other</v>
          </cell>
          <cell r="I343" t="str">
            <v>COMPONENT PREP OTHER</v>
          </cell>
          <cell r="J343" t="str">
            <v>RET</v>
          </cell>
          <cell r="Q343">
            <v>4</v>
          </cell>
          <cell r="S343">
            <v>330.18847</v>
          </cell>
          <cell r="T343">
            <v>384.08826000000005</v>
          </cell>
          <cell r="U343">
            <v>33.153700000000015</v>
          </cell>
          <cell r="V343">
            <v>473.62520999999998</v>
          </cell>
          <cell r="W343">
            <v>473.62520999999998</v>
          </cell>
          <cell r="X343">
            <v>0</v>
          </cell>
          <cell r="Y343">
            <v>28.590269999999997</v>
          </cell>
          <cell r="AD343">
            <v>0</v>
          </cell>
        </row>
        <row r="344">
          <cell r="B344" t="str">
            <v>LCP-210081</v>
          </cell>
          <cell r="C344" t="str">
            <v>Retread Plant &amp;amp; Truck Service</v>
          </cell>
          <cell r="D344" t="str">
            <v>SAG</v>
          </cell>
          <cell r="E344" t="str">
            <v>N</v>
          </cell>
          <cell r="F344" t="str">
            <v>LA</v>
          </cell>
          <cell r="I344" t="str">
            <v>SAG - Sales &amp; Marketing</v>
          </cell>
          <cell r="J344" t="str">
            <v>ARG</v>
          </cell>
          <cell r="T344">
            <v>38.297310000000003</v>
          </cell>
          <cell r="U344">
            <v>0</v>
          </cell>
          <cell r="X344">
            <v>0</v>
          </cell>
          <cell r="Y344">
            <v>95.895820000000001</v>
          </cell>
          <cell r="AD344">
            <v>75</v>
          </cell>
        </row>
        <row r="345">
          <cell r="B345" t="str">
            <v xml:space="preserve">LCP-210082	</v>
          </cell>
          <cell r="C345" t="str">
            <v>AME- 4 Additional molds to attend FCA-OE</v>
          </cell>
          <cell r="D345" t="str">
            <v>Molds</v>
          </cell>
          <cell r="E345" t="str">
            <v>N</v>
          </cell>
          <cell r="F345" t="str">
            <v>LA</v>
          </cell>
          <cell r="H345" t="str">
            <v>Consumer Radial</v>
          </cell>
          <cell r="I345" t="str">
            <v>CURING</v>
          </cell>
          <cell r="J345" t="str">
            <v>AME</v>
          </cell>
          <cell r="T345">
            <v>0</v>
          </cell>
          <cell r="U345">
            <v>25.274999999999999</v>
          </cell>
        </row>
        <row r="346">
          <cell r="B346" t="str">
            <v>LCP-200117</v>
          </cell>
          <cell r="C346" t="str">
            <v>REWIND STATIONS MRT  BUILD MACHINES</v>
          </cell>
          <cell r="D346" t="str">
            <v>Facilities Sustaining</v>
          </cell>
          <cell r="E346" t="str">
            <v>N</v>
          </cell>
          <cell r="F346" t="str">
            <v>LA</v>
          </cell>
          <cell r="H346" t="str">
            <v>Commercial Radial</v>
          </cell>
          <cell r="I346" t="str">
            <v>TIRE ASSEMBLY</v>
          </cell>
          <cell r="J346" t="str">
            <v>AME</v>
          </cell>
          <cell r="Q346">
            <v>99.512</v>
          </cell>
          <cell r="S346">
            <v>0.25570999999999999</v>
          </cell>
          <cell r="T346">
            <v>1.25346</v>
          </cell>
          <cell r="U346">
            <v>108.42956</v>
          </cell>
          <cell r="V346">
            <v>99.512</v>
          </cell>
          <cell r="W346">
            <v>99.512</v>
          </cell>
          <cell r="X346">
            <v>3.8664000000000001</v>
          </cell>
          <cell r="Y346">
            <v>7.0000000000000007E-5</v>
          </cell>
          <cell r="AD346">
            <v>0</v>
          </cell>
        </row>
        <row r="347">
          <cell r="B347" t="str">
            <v>LCP-200119</v>
          </cell>
          <cell r="C347" t="str">
            <v>REPL MAIN GEARBOX 6” &amp; 10” MRT EXTRUDER</v>
          </cell>
          <cell r="D347" t="str">
            <v>Facilities Sustaining</v>
          </cell>
          <cell r="E347" t="str">
            <v>N</v>
          </cell>
          <cell r="F347" t="str">
            <v>LA</v>
          </cell>
          <cell r="H347" t="str">
            <v>Other</v>
          </cell>
          <cell r="I347" t="str">
            <v>COMPONENT PREP OTHER</v>
          </cell>
          <cell r="J347" t="str">
            <v>AME</v>
          </cell>
          <cell r="Q347">
            <v>309.29599999999999</v>
          </cell>
          <cell r="S347">
            <v>34.550109999999997</v>
          </cell>
          <cell r="T347">
            <v>34.550109999999997</v>
          </cell>
          <cell r="U347">
            <v>6.2634399999999957</v>
          </cell>
          <cell r="V347">
            <v>45.178789999999999</v>
          </cell>
          <cell r="W347">
            <v>45.178789999999999</v>
          </cell>
          <cell r="X347">
            <v>3.8318000000000003</v>
          </cell>
          <cell r="Y347">
            <v>3.3566100000000003</v>
          </cell>
          <cell r="AD347">
            <v>0</v>
          </cell>
        </row>
        <row r="348">
          <cell r="B348" t="str">
            <v>LCP-200121</v>
          </cell>
          <cell r="C348" t="str">
            <v xml:space="preserve">AME - PRODUCTIVITY MRT </v>
          </cell>
          <cell r="D348" t="str">
            <v>Productivity</v>
          </cell>
          <cell r="E348" t="str">
            <v>N</v>
          </cell>
          <cell r="F348" t="str">
            <v>LA</v>
          </cell>
          <cell r="H348" t="str">
            <v>Commercial Radial</v>
          </cell>
          <cell r="I348" t="str">
            <v>TIRE ASSEMBLY</v>
          </cell>
          <cell r="J348" t="str">
            <v>AME</v>
          </cell>
          <cell r="Q348">
            <v>98.66037</v>
          </cell>
          <cell r="S348">
            <v>0.42429999999999995</v>
          </cell>
          <cell r="T348">
            <v>0.42429999999999995</v>
          </cell>
          <cell r="U348">
            <v>0</v>
          </cell>
          <cell r="V348">
            <v>0.42429999999999995</v>
          </cell>
          <cell r="W348">
            <v>0.42429999999999995</v>
          </cell>
          <cell r="AD348">
            <v>0</v>
          </cell>
        </row>
        <row r="349">
          <cell r="B349" t="str">
            <v>LCP-200124</v>
          </cell>
          <cell r="C349" t="str">
            <v>AME - BAMBURIES BATCH-OFF CRANES</v>
          </cell>
          <cell r="D349" t="str">
            <v>EHS</v>
          </cell>
          <cell r="E349" t="str">
            <v>N</v>
          </cell>
          <cell r="F349" t="str">
            <v>LA</v>
          </cell>
          <cell r="G349" t="str">
            <v>COMP</v>
          </cell>
          <cell r="H349" t="str">
            <v>MIXED</v>
          </cell>
          <cell r="I349" t="str">
            <v>COMPONENT PREP OTHER</v>
          </cell>
          <cell r="J349" t="str">
            <v>AME</v>
          </cell>
          <cell r="Q349">
            <v>63.145000000000003</v>
          </cell>
          <cell r="S349">
            <v>9.2854599999999987</v>
          </cell>
          <cell r="T349">
            <v>9.2854599999999987</v>
          </cell>
          <cell r="U349">
            <v>0</v>
          </cell>
          <cell r="V349">
            <v>7.8740199999999998</v>
          </cell>
          <cell r="W349">
            <v>7.8740199999999998</v>
          </cell>
          <cell r="AD349">
            <v>0</v>
          </cell>
        </row>
        <row r="350">
          <cell r="B350" t="str">
            <v>LCP-210087</v>
          </cell>
          <cell r="C350" t="str">
            <v>STB- 215mm G167 -(1/2)VENTILESS MOLD</v>
          </cell>
          <cell r="D350" t="str">
            <v>Molds</v>
          </cell>
          <cell r="E350" t="str">
            <v>N</v>
          </cell>
          <cell r="F350" t="str">
            <v>LA</v>
          </cell>
          <cell r="H350" t="str">
            <v>COMMERCIAL RADIAL</v>
          </cell>
          <cell r="I350" t="str">
            <v>Curing</v>
          </cell>
          <cell r="J350" t="str">
            <v>RET</v>
          </cell>
          <cell r="T350">
            <v>7.9871199999999991</v>
          </cell>
          <cell r="U350">
            <v>0</v>
          </cell>
        </row>
        <row r="351">
          <cell r="B351" t="str">
            <v>LCP-210089</v>
          </cell>
          <cell r="C351" t="str">
            <v>PER - MOTOR MIXER #2 (1000 HP)</v>
          </cell>
          <cell r="D351" t="str">
            <v>Facilities Sustaining</v>
          </cell>
          <cell r="E351" t="str">
            <v>N</v>
          </cell>
          <cell r="F351" t="str">
            <v>LA</v>
          </cell>
          <cell r="H351" t="str">
            <v>Consumer Radial</v>
          </cell>
          <cell r="I351" t="str">
            <v>Mixing</v>
          </cell>
          <cell r="J351" t="str">
            <v>PER</v>
          </cell>
          <cell r="S351">
            <v>0</v>
          </cell>
          <cell r="T351">
            <v>2.0732999999999997</v>
          </cell>
          <cell r="U351">
            <v>348</v>
          </cell>
          <cell r="V351">
            <v>350</v>
          </cell>
          <cell r="W351">
            <v>350</v>
          </cell>
          <cell r="X351">
            <v>247</v>
          </cell>
          <cell r="Y351">
            <v>0</v>
          </cell>
        </row>
        <row r="352">
          <cell r="B352" t="str">
            <v>LCP-210090</v>
          </cell>
          <cell r="C352" t="str">
            <v>PER- FIBERS FROM COMPUTER ROOM TO PLANT MACHINES  LIFECYCLE</v>
          </cell>
          <cell r="D352" t="str">
            <v>IT</v>
          </cell>
          <cell r="E352" t="str">
            <v>N</v>
          </cell>
          <cell r="F352" t="str">
            <v>LA</v>
          </cell>
          <cell r="H352" t="str">
            <v>N/A</v>
          </cell>
          <cell r="I352" t="str">
            <v>SAG - IT</v>
          </cell>
          <cell r="J352" t="str">
            <v>PER</v>
          </cell>
          <cell r="T352">
            <v>0</v>
          </cell>
          <cell r="U352">
            <v>30</v>
          </cell>
          <cell r="V352">
            <v>160</v>
          </cell>
          <cell r="W352">
            <v>160</v>
          </cell>
          <cell r="X352">
            <v>54.3</v>
          </cell>
          <cell r="Y352">
            <v>69.559889999999996</v>
          </cell>
          <cell r="AD352">
            <v>70</v>
          </cell>
        </row>
        <row r="353">
          <cell r="B353" t="str">
            <v>LCP-200125</v>
          </cell>
          <cell r="C353" t="str">
            <v>UPGRADE MICROPOISE BALANCE MACHINE ANCHIETA</v>
          </cell>
          <cell r="D353" t="str">
            <v>SAG</v>
          </cell>
          <cell r="E353" t="str">
            <v>N</v>
          </cell>
          <cell r="F353" t="str">
            <v>LA</v>
          </cell>
          <cell r="H353" t="str">
            <v>Other</v>
          </cell>
          <cell r="I353" t="str">
            <v>Other</v>
          </cell>
          <cell r="J353" t="str">
            <v>MC</v>
          </cell>
          <cell r="Q353">
            <v>234.983</v>
          </cell>
          <cell r="S353">
            <v>154.53612000000001</v>
          </cell>
          <cell r="T353">
            <v>155.51115000000001</v>
          </cell>
          <cell r="U353">
            <v>0</v>
          </cell>
          <cell r="V353">
            <v>89.973389999999995</v>
          </cell>
          <cell r="W353">
            <v>89.973389999999995</v>
          </cell>
          <cell r="AD353">
            <v>0</v>
          </cell>
        </row>
        <row r="354">
          <cell r="B354" t="str">
            <v>LCP-210093</v>
          </cell>
          <cell r="C354" t="str">
            <v>PER - Flexibility replacement</v>
          </cell>
          <cell r="D354" t="str">
            <v>Molds</v>
          </cell>
          <cell r="E354" t="str">
            <v>N</v>
          </cell>
          <cell r="F354" t="str">
            <v>LA</v>
          </cell>
          <cell r="H354" t="str">
            <v>Consumer Radial</v>
          </cell>
          <cell r="I354" t="str">
            <v>Curing</v>
          </cell>
          <cell r="J354" t="str">
            <v>PER</v>
          </cell>
          <cell r="S354">
            <v>0</v>
          </cell>
          <cell r="T354">
            <v>0</v>
          </cell>
          <cell r="U354">
            <v>0</v>
          </cell>
          <cell r="V354">
            <v>100</v>
          </cell>
          <cell r="W354">
            <v>100</v>
          </cell>
        </row>
        <row r="355">
          <cell r="B355" t="str">
            <v>LCP-200126</v>
          </cell>
          <cell r="C355" t="str">
            <v xml:space="preserve">UPGRADE DRIVE VTW MICRIPOISE BALANCE MACHINE - GRAVATAI </v>
          </cell>
          <cell r="D355" t="str">
            <v>SAG</v>
          </cell>
          <cell r="E355" t="str">
            <v>N</v>
          </cell>
          <cell r="F355" t="str">
            <v>LA</v>
          </cell>
          <cell r="H355" t="str">
            <v>Other</v>
          </cell>
          <cell r="I355" t="str">
            <v>Other</v>
          </cell>
          <cell r="J355" t="str">
            <v>MC</v>
          </cell>
          <cell r="Q355">
            <v>361.22300000000001</v>
          </cell>
          <cell r="S355">
            <v>286.86747000000003</v>
          </cell>
          <cell r="T355">
            <v>287.84170999999998</v>
          </cell>
          <cell r="U355">
            <v>7.444059999999979</v>
          </cell>
          <cell r="V355">
            <v>160</v>
          </cell>
          <cell r="W355">
            <v>160</v>
          </cell>
          <cell r="X355">
            <v>0</v>
          </cell>
          <cell r="Y355">
            <v>8.0744399999999992</v>
          </cell>
          <cell r="AD355">
            <v>0</v>
          </cell>
        </row>
        <row r="356">
          <cell r="B356" t="str">
            <v>LCP-210099</v>
          </cell>
          <cell r="C356" t="str">
            <v>KMAX Successor Steer and Drive - 295 &amp; 275R22.5 (70% req'd molds in 2021)</v>
          </cell>
          <cell r="D356" t="str">
            <v>Molds</v>
          </cell>
          <cell r="E356" t="str">
            <v>N</v>
          </cell>
          <cell r="F356" t="str">
            <v>LA</v>
          </cell>
          <cell r="H356" t="str">
            <v>Commercial Radial</v>
          </cell>
          <cell r="I356" t="str">
            <v>Curing</v>
          </cell>
          <cell r="J356" t="str">
            <v>AME</v>
          </cell>
          <cell r="S356">
            <v>0</v>
          </cell>
          <cell r="T356">
            <v>0</v>
          </cell>
          <cell r="U356">
            <v>1280</v>
          </cell>
          <cell r="V356">
            <v>2900</v>
          </cell>
          <cell r="W356">
            <v>2900</v>
          </cell>
          <cell r="X356">
            <v>0</v>
          </cell>
          <cell r="Y356">
            <v>1288.3729499999999</v>
          </cell>
          <cell r="AD356">
            <v>2000</v>
          </cell>
        </row>
        <row r="357">
          <cell r="B357" t="str">
            <v>LCP-200129</v>
          </cell>
          <cell r="C357" t="str">
            <v>AME - SAFETY UPGRADE BEADWINDER #03</v>
          </cell>
          <cell r="D357" t="str">
            <v>EHS</v>
          </cell>
          <cell r="E357" t="str">
            <v>N</v>
          </cell>
          <cell r="F357" t="str">
            <v>LA</v>
          </cell>
          <cell r="G357" t="str">
            <v>COMP</v>
          </cell>
          <cell r="H357" t="str">
            <v>Other</v>
          </cell>
          <cell r="I357" t="str">
            <v>COMPONENT PREP OTHER</v>
          </cell>
          <cell r="J357" t="str">
            <v>AME</v>
          </cell>
          <cell r="Q357">
            <v>53.960999999999999</v>
          </cell>
          <cell r="S357">
            <v>5.492700000000001</v>
          </cell>
          <cell r="T357">
            <v>5.492700000000001</v>
          </cell>
          <cell r="U357">
            <v>0</v>
          </cell>
          <cell r="V357">
            <v>2.2372400000000003</v>
          </cell>
          <cell r="W357">
            <v>2.2372400000000003</v>
          </cell>
          <cell r="AD357">
            <v>0</v>
          </cell>
        </row>
        <row r="358">
          <cell r="B358" t="str">
            <v>LCP-200131</v>
          </cell>
          <cell r="C358" t="str">
            <v>AME - UPGRADE GENERAL PANEL CURING PRESSES MRT</v>
          </cell>
          <cell r="D358" t="str">
            <v>Productivity</v>
          </cell>
          <cell r="E358" t="str">
            <v>N</v>
          </cell>
          <cell r="F358" t="str">
            <v>LA</v>
          </cell>
          <cell r="H358" t="str">
            <v>Commercial Radial</v>
          </cell>
          <cell r="I358" t="str">
            <v>Curing</v>
          </cell>
          <cell r="J358" t="str">
            <v>AME</v>
          </cell>
          <cell r="Q358">
            <v>420.88981999999999</v>
          </cell>
          <cell r="S358">
            <v>95.412089999999964</v>
          </cell>
          <cell r="T358">
            <v>100.80012999999997</v>
          </cell>
          <cell r="U358">
            <v>70.963329999999985</v>
          </cell>
          <cell r="V358">
            <v>274.27812</v>
          </cell>
          <cell r="W358">
            <v>274.27812</v>
          </cell>
          <cell r="X358">
            <v>0</v>
          </cell>
          <cell r="Y358">
            <v>96.112669999999994</v>
          </cell>
          <cell r="AD358">
            <v>0</v>
          </cell>
        </row>
        <row r="359">
          <cell r="B359" t="str">
            <v>LCP-200137</v>
          </cell>
          <cell r="C359" t="str">
            <v>UPGRADE XLE#7 AIR COMPRESSOR</v>
          </cell>
          <cell r="D359" t="str">
            <v>Facilities Sustaining</v>
          </cell>
          <cell r="E359" t="str">
            <v>N</v>
          </cell>
          <cell r="F359" t="str">
            <v>LA</v>
          </cell>
          <cell r="H359" t="str">
            <v>Other</v>
          </cell>
          <cell r="I359" t="str">
            <v>Other</v>
          </cell>
          <cell r="J359" t="str">
            <v>AME</v>
          </cell>
          <cell r="Q359">
            <v>59.8</v>
          </cell>
          <cell r="S359">
            <v>10.406239999999997</v>
          </cell>
          <cell r="T359">
            <v>10.406239999999997</v>
          </cell>
          <cell r="U359">
            <v>0</v>
          </cell>
          <cell r="V359">
            <v>10.9</v>
          </cell>
          <cell r="W359">
            <v>10.9</v>
          </cell>
          <cell r="AD359">
            <v>0</v>
          </cell>
        </row>
        <row r="360">
          <cell r="B360" t="str">
            <v>LCP-200142</v>
          </cell>
          <cell r="C360" t="str">
            <v>BARCODE SYSTEM IN SEQUENCING AREA ANCHIETA</v>
          </cell>
          <cell r="D360" t="str">
            <v>SAG</v>
          </cell>
          <cell r="E360" t="str">
            <v>N</v>
          </cell>
          <cell r="F360" t="str">
            <v>LA</v>
          </cell>
          <cell r="H360" t="str">
            <v>Other</v>
          </cell>
          <cell r="I360" t="str">
            <v>Other</v>
          </cell>
          <cell r="J360" t="str">
            <v>MC</v>
          </cell>
          <cell r="Q360">
            <v>44.95</v>
          </cell>
          <cell r="S360">
            <v>1.9303300000000003</v>
          </cell>
          <cell r="T360">
            <v>1.9303300000000003</v>
          </cell>
          <cell r="U360">
            <v>0</v>
          </cell>
          <cell r="V360">
            <v>1.0839000000000001</v>
          </cell>
          <cell r="W360">
            <v>1.0839000000000001</v>
          </cell>
          <cell r="X360">
            <v>0</v>
          </cell>
          <cell r="Y360">
            <v>2.351E-2</v>
          </cell>
          <cell r="AD360">
            <v>0</v>
          </cell>
        </row>
        <row r="361">
          <cell r="B361" t="str">
            <v>LCP-210105</v>
          </cell>
          <cell r="C361" t="str">
            <v>Consumer AME Directional Successor (132 New Molds)</v>
          </cell>
          <cell r="D361" t="str">
            <v>Molds</v>
          </cell>
          <cell r="E361" t="str">
            <v>N</v>
          </cell>
          <cell r="F361" t="str">
            <v>LA</v>
          </cell>
          <cell r="H361" t="str">
            <v>Consumer Radial</v>
          </cell>
          <cell r="I361" t="str">
            <v>CURING</v>
          </cell>
          <cell r="J361" t="str">
            <v>AME</v>
          </cell>
          <cell r="Q361">
            <v>5600</v>
          </cell>
          <cell r="T361">
            <v>0</v>
          </cell>
          <cell r="U361">
            <v>3145</v>
          </cell>
          <cell r="X361">
            <v>242.73545000000001</v>
          </cell>
          <cell r="Y361">
            <v>3885.52</v>
          </cell>
        </row>
        <row r="362">
          <cell r="B362" t="str">
            <v>LCP-200145</v>
          </cell>
          <cell r="C362" t="str">
            <v>AUTOMATIC LOADING WIND UP – GUM CALENDER #2</v>
          </cell>
          <cell r="D362" t="str">
            <v>Productivity</v>
          </cell>
          <cell r="E362" t="str">
            <v>N</v>
          </cell>
          <cell r="F362" t="str">
            <v>LA</v>
          </cell>
          <cell r="H362" t="str">
            <v>Other</v>
          </cell>
          <cell r="I362" t="str">
            <v>Other</v>
          </cell>
          <cell r="J362" t="str">
            <v>AME</v>
          </cell>
          <cell r="Q362">
            <v>71.727000000000004</v>
          </cell>
          <cell r="S362">
            <v>27.988940000000007</v>
          </cell>
          <cell r="T362">
            <v>27.988940000000007</v>
          </cell>
          <cell r="U362">
            <v>0</v>
          </cell>
          <cell r="V362">
            <v>20.26003</v>
          </cell>
          <cell r="W362">
            <v>20.26003</v>
          </cell>
          <cell r="AD362">
            <v>0</v>
          </cell>
        </row>
        <row r="363">
          <cell r="B363" t="str">
            <v>LCP-200149</v>
          </cell>
          <cell r="C363" t="str">
            <v xml:space="preserve">MASTER PLAN SECURITY AMERICANA PLANT </v>
          </cell>
          <cell r="D363" t="str">
            <v>EHS</v>
          </cell>
          <cell r="E363" t="str">
            <v>N</v>
          </cell>
          <cell r="F363" t="str">
            <v>LA</v>
          </cell>
          <cell r="G363" t="str">
            <v>COMP</v>
          </cell>
          <cell r="H363" t="str">
            <v>MIXED</v>
          </cell>
          <cell r="I363" t="str">
            <v>OTHER</v>
          </cell>
          <cell r="J363" t="str">
            <v>AME</v>
          </cell>
          <cell r="Q363">
            <v>356.63299999999998</v>
          </cell>
          <cell r="S363">
            <v>70.752269999999996</v>
          </cell>
          <cell r="T363">
            <v>79.23429999999999</v>
          </cell>
          <cell r="U363">
            <v>12.456280000000007</v>
          </cell>
          <cell r="V363">
            <v>96.782550000000001</v>
          </cell>
          <cell r="W363">
            <v>96.782550000000001</v>
          </cell>
          <cell r="X363">
            <v>15.617419999999997</v>
          </cell>
          <cell r="Y363">
            <v>4.7271100000000006</v>
          </cell>
          <cell r="AD363">
            <v>0</v>
          </cell>
        </row>
        <row r="364">
          <cell r="B364" t="str">
            <v>LCP-210108</v>
          </cell>
          <cell r="C364" t="str">
            <v>COL - Additional NPTs</v>
          </cell>
          <cell r="D364" t="str">
            <v>Productivity</v>
          </cell>
          <cell r="E364" t="str">
            <v>N</v>
          </cell>
          <cell r="F364" t="str">
            <v>LA</v>
          </cell>
          <cell r="H364" t="str">
            <v>Commercial Radial</v>
          </cell>
          <cell r="J364" t="str">
            <v>COL</v>
          </cell>
          <cell r="T364">
            <v>0</v>
          </cell>
          <cell r="U364">
            <v>140</v>
          </cell>
          <cell r="X364">
            <v>0</v>
          </cell>
          <cell r="Y364">
            <v>144.0634</v>
          </cell>
        </row>
        <row r="365">
          <cell r="B365" t="str">
            <v>LCP-210109</v>
          </cell>
          <cell r="C365" t="str">
            <v>COL - Warehouse floor repalacement</v>
          </cell>
          <cell r="D365" t="str">
            <v>SAG</v>
          </cell>
          <cell r="E365" t="str">
            <v>N</v>
          </cell>
          <cell r="F365" t="str">
            <v>LA</v>
          </cell>
          <cell r="H365" t="str">
            <v>Commercial Radial</v>
          </cell>
          <cell r="I365" t="str">
            <v>SAG - Supply Chain</v>
          </cell>
          <cell r="J365" t="str">
            <v>COL</v>
          </cell>
          <cell r="S365">
            <v>0</v>
          </cell>
          <cell r="T365">
            <v>30.075189999999999</v>
          </cell>
          <cell r="U365">
            <v>0</v>
          </cell>
          <cell r="V365">
            <v>40</v>
          </cell>
          <cell r="W365">
            <v>40</v>
          </cell>
        </row>
        <row r="366">
          <cell r="B366" t="str">
            <v>LCP-200159</v>
          </cell>
          <cell r="C366" t="str">
            <v>COMFORT LANES REPAVING</v>
          </cell>
          <cell r="D366" t="str">
            <v>SAG</v>
          </cell>
          <cell r="E366" t="str">
            <v>N</v>
          </cell>
          <cell r="F366" t="str">
            <v>LA</v>
          </cell>
          <cell r="H366" t="str">
            <v>N/A</v>
          </cell>
          <cell r="I366" t="str">
            <v>SAG - GPG*LA</v>
          </cell>
          <cell r="J366" t="str">
            <v>BRZ</v>
          </cell>
          <cell r="S366">
            <v>97.741419999999977</v>
          </cell>
          <cell r="T366">
            <v>97.741419999999977</v>
          </cell>
          <cell r="U366">
            <v>0</v>
          </cell>
          <cell r="V366">
            <v>94.835999999999999</v>
          </cell>
          <cell r="W366">
            <v>94.835999999999999</v>
          </cell>
          <cell r="AD366">
            <v>0</v>
          </cell>
        </row>
        <row r="367">
          <cell r="B367" t="str">
            <v>LCP-210112</v>
          </cell>
          <cell r="C367" t="str">
            <v>BRA-AMERICANA NEARLINE STORAGE</v>
          </cell>
          <cell r="D367" t="str">
            <v>IT</v>
          </cell>
          <cell r="E367" t="str">
            <v>N</v>
          </cell>
          <cell r="F367" t="str">
            <v>LA</v>
          </cell>
          <cell r="H367" t="str">
            <v>N/A</v>
          </cell>
          <cell r="I367" t="str">
            <v>SAG - IT</v>
          </cell>
          <cell r="J367" t="str">
            <v>BRZ</v>
          </cell>
          <cell r="T367">
            <v>42.49481999999999</v>
          </cell>
          <cell r="U367">
            <v>0</v>
          </cell>
          <cell r="X367">
            <v>0</v>
          </cell>
          <cell r="Y367">
            <v>8.4000000000000003E-4</v>
          </cell>
        </row>
        <row r="368">
          <cell r="B368" t="str">
            <v>LCP-210113</v>
          </cell>
          <cell r="C368" t="str">
            <v xml:space="preserve">BRA - AMERICANA DATACENTER BACKUP </v>
          </cell>
          <cell r="D368" t="str">
            <v>IT</v>
          </cell>
          <cell r="E368" t="str">
            <v>N</v>
          </cell>
          <cell r="F368" t="str">
            <v>LA</v>
          </cell>
          <cell r="H368" t="str">
            <v>Mixed</v>
          </cell>
          <cell r="I368" t="str">
            <v>SAG - IT</v>
          </cell>
          <cell r="J368" t="str">
            <v>BRZ</v>
          </cell>
          <cell r="S368">
            <v>0</v>
          </cell>
          <cell r="T368">
            <v>144.09618000000003</v>
          </cell>
          <cell r="U368">
            <v>0</v>
          </cell>
          <cell r="V368">
            <v>130</v>
          </cell>
          <cell r="W368">
            <v>130</v>
          </cell>
        </row>
        <row r="369">
          <cell r="B369" t="str">
            <v>LCP-200169</v>
          </cell>
          <cell r="C369" t="str">
            <v>ENGINEERING CONTRACTOR’S SHOP STANDARDIZATION</v>
          </cell>
          <cell r="D369" t="str">
            <v>EHS</v>
          </cell>
          <cell r="E369" t="str">
            <v>N</v>
          </cell>
          <cell r="F369" t="str">
            <v>LA</v>
          </cell>
          <cell r="G369" t="str">
            <v>COMP</v>
          </cell>
          <cell r="H369" t="str">
            <v>N/A</v>
          </cell>
          <cell r="I369" t="str">
            <v>Other</v>
          </cell>
          <cell r="J369" t="str">
            <v>AME</v>
          </cell>
          <cell r="S369">
            <v>7.4173099999999996</v>
          </cell>
          <cell r="T369">
            <v>45.815610000000007</v>
          </cell>
          <cell r="U369">
            <v>125.73348000000003</v>
          </cell>
          <cell r="V369">
            <v>172.2</v>
          </cell>
          <cell r="W369">
            <v>172.2</v>
          </cell>
          <cell r="X369">
            <v>10.6326</v>
          </cell>
          <cell r="Y369">
            <v>122.60767</v>
          </cell>
          <cell r="AD369">
            <v>0</v>
          </cell>
        </row>
        <row r="370">
          <cell r="B370" t="str">
            <v>LCP-210115</v>
          </cell>
          <cell r="C370" t="str">
            <v>PER - NEW DOCUMENT STORE</v>
          </cell>
          <cell r="D370" t="str">
            <v>SAG</v>
          </cell>
          <cell r="E370" t="str">
            <v>N</v>
          </cell>
          <cell r="F370" t="str">
            <v>LA</v>
          </cell>
          <cell r="J370" t="str">
            <v>PER</v>
          </cell>
          <cell r="T370">
            <v>26.10022</v>
          </cell>
          <cell r="U370">
            <v>5.996850000000002</v>
          </cell>
          <cell r="X370">
            <v>0</v>
          </cell>
          <cell r="Y370">
            <v>17.959160000000001</v>
          </cell>
        </row>
        <row r="371">
          <cell r="B371" t="str">
            <v>LCP-210116</v>
          </cell>
          <cell r="C371" t="str">
            <v>K-MAX Molds transfer from Colombia to Brazil</v>
          </cell>
          <cell r="D371" t="str">
            <v>Molds</v>
          </cell>
          <cell r="E371" t="str">
            <v>N</v>
          </cell>
          <cell r="F371" t="str">
            <v>LA</v>
          </cell>
          <cell r="H371" t="str">
            <v>COMMERCIAL RADIAL</v>
          </cell>
          <cell r="I371" t="str">
            <v>CURING</v>
          </cell>
          <cell r="J371" t="str">
            <v>AME</v>
          </cell>
          <cell r="T371">
            <v>0</v>
          </cell>
          <cell r="U371">
            <v>19</v>
          </cell>
        </row>
        <row r="372">
          <cell r="B372" t="str">
            <v>LCP-210117</v>
          </cell>
          <cell r="C372" t="str">
            <v>(10) Molds G316 transfer from AME to COL</v>
          </cell>
          <cell r="D372" t="str">
            <v>Molds</v>
          </cell>
          <cell r="E372" t="str">
            <v>N</v>
          </cell>
          <cell r="F372" t="str">
            <v>LA</v>
          </cell>
          <cell r="H372" t="str">
            <v>COMMERCIAL RADIAL</v>
          </cell>
          <cell r="I372" t="str">
            <v>Curing</v>
          </cell>
          <cell r="J372" t="str">
            <v>COL</v>
          </cell>
          <cell r="T372">
            <v>25.637509999999999</v>
          </cell>
          <cell r="U372">
            <v>18.915380000000006</v>
          </cell>
          <cell r="X372">
            <v>0</v>
          </cell>
          <cell r="Y372">
            <v>32.592530000000004</v>
          </cell>
        </row>
        <row r="373">
          <cell r="B373" t="str">
            <v>LCP-200170</v>
          </cell>
          <cell r="C373" t="str">
            <v>AME - UPGRADE DRIVE + MOTOR AC MILL MIXER#3</v>
          </cell>
          <cell r="D373" t="str">
            <v>Facilities Sustaining</v>
          </cell>
          <cell r="E373" t="str">
            <v>N</v>
          </cell>
          <cell r="F373" t="str">
            <v>LA</v>
          </cell>
          <cell r="H373" t="str">
            <v>MIXED</v>
          </cell>
          <cell r="I373" t="str">
            <v>Mixing</v>
          </cell>
          <cell r="J373" t="str">
            <v>AME</v>
          </cell>
          <cell r="S373">
            <v>21.10305</v>
          </cell>
          <cell r="T373">
            <v>54.715620000000001</v>
          </cell>
          <cell r="U373">
            <v>238.94709</v>
          </cell>
          <cell r="V373">
            <v>300</v>
          </cell>
          <cell r="W373">
            <v>300</v>
          </cell>
          <cell r="X373">
            <v>0</v>
          </cell>
          <cell r="Y373">
            <v>209.46408000000002</v>
          </cell>
          <cell r="AD373">
            <v>0</v>
          </cell>
        </row>
        <row r="374">
          <cell r="B374" t="str">
            <v>LCP-210119</v>
          </cell>
          <cell r="C374" t="str">
            <v>COL EHS-100-02-00001 - Windup Letoff due to audity</v>
          </cell>
          <cell r="D374" t="str">
            <v>EHS</v>
          </cell>
          <cell r="E374" t="str">
            <v>N</v>
          </cell>
          <cell r="F374" t="str">
            <v>LA</v>
          </cell>
          <cell r="G374" t="str">
            <v>MSR</v>
          </cell>
          <cell r="J374" t="str">
            <v>COL</v>
          </cell>
          <cell r="S374">
            <v>0</v>
          </cell>
          <cell r="T374">
            <v>0</v>
          </cell>
          <cell r="U374">
            <v>55</v>
          </cell>
          <cell r="V374">
            <v>75</v>
          </cell>
          <cell r="W374">
            <v>75</v>
          </cell>
          <cell r="X374">
            <v>0</v>
          </cell>
          <cell r="Y374">
            <v>33.858150000000002</v>
          </cell>
        </row>
        <row r="375">
          <cell r="B375" t="str">
            <v>LCP-200175</v>
          </cell>
          <cell r="C375" t="str">
            <v>RETROFIT–BLUE RACKS FOR CONSUMER TIRES</v>
          </cell>
          <cell r="D375" t="str">
            <v>SAG</v>
          </cell>
          <cell r="E375" t="str">
            <v>N</v>
          </cell>
          <cell r="F375" t="str">
            <v>LA</v>
          </cell>
          <cell r="H375" t="str">
            <v>CONSUMER RADIAL</v>
          </cell>
          <cell r="I375" t="str">
            <v>SAG - Supply Chain</v>
          </cell>
          <cell r="J375" t="str">
            <v>BRZ</v>
          </cell>
          <cell r="S375">
            <v>185.78165999999987</v>
          </cell>
          <cell r="T375">
            <v>571.69055000000003</v>
          </cell>
          <cell r="U375">
            <v>0</v>
          </cell>
          <cell r="V375">
            <v>266.52999999999997</v>
          </cell>
          <cell r="W375">
            <v>266.52999999999997</v>
          </cell>
          <cell r="AD375">
            <v>0</v>
          </cell>
        </row>
        <row r="376">
          <cell r="B376" t="str">
            <v>LCP-200177</v>
          </cell>
          <cell r="C376" t="str">
            <v>NEW POWER GENERATOR</v>
          </cell>
          <cell r="D376" t="str">
            <v>SAG</v>
          </cell>
          <cell r="E376" t="str">
            <v>N</v>
          </cell>
          <cell r="F376" t="str">
            <v>LA</v>
          </cell>
          <cell r="H376" t="str">
            <v>MIXED</v>
          </cell>
          <cell r="I376" t="str">
            <v>Other</v>
          </cell>
          <cell r="J376" t="str">
            <v>MC</v>
          </cell>
          <cell r="Q376">
            <v>107.81399999999999</v>
          </cell>
          <cell r="S376">
            <v>49.774949999999997</v>
          </cell>
          <cell r="T376">
            <v>49.774949999999997</v>
          </cell>
          <cell r="U376">
            <v>0</v>
          </cell>
          <cell r="V376">
            <v>70</v>
          </cell>
          <cell r="W376">
            <v>70</v>
          </cell>
          <cell r="AD376">
            <v>0</v>
          </cell>
        </row>
        <row r="377">
          <cell r="B377" t="str">
            <v>LCP-210122</v>
          </cell>
          <cell r="C377" t="str">
            <v>PER - 2021 MISCELLANEOUS ANNUAL BUDGET PHASE 2</v>
          </cell>
          <cell r="D377" t="str">
            <v>Facilities Sustaining</v>
          </cell>
          <cell r="E377" t="str">
            <v>N</v>
          </cell>
          <cell r="F377" t="str">
            <v>LA</v>
          </cell>
          <cell r="H377" t="str">
            <v>Consumer Radial</v>
          </cell>
          <cell r="I377" t="str">
            <v>Other</v>
          </cell>
          <cell r="J377" t="str">
            <v>PER</v>
          </cell>
          <cell r="T377">
            <v>82.177999999999997</v>
          </cell>
          <cell r="U377">
            <v>187.4203</v>
          </cell>
          <cell r="X377">
            <v>49.2545</v>
          </cell>
          <cell r="Y377">
            <v>81.782359999999997</v>
          </cell>
        </row>
        <row r="378">
          <cell r="B378" t="str">
            <v>LCP-210007</v>
          </cell>
          <cell r="C378" t="str">
            <v>AME - 2021 MISCELLANEOUS ANNUAL BUDGET</v>
          </cell>
          <cell r="D378" t="str">
            <v>Facilities Sustaining</v>
          </cell>
          <cell r="E378" t="str">
            <v>N</v>
          </cell>
          <cell r="F378" t="str">
            <v>LA</v>
          </cell>
          <cell r="H378" t="str">
            <v>MIXED</v>
          </cell>
          <cell r="I378" t="str">
            <v>Other</v>
          </cell>
          <cell r="J378" t="str">
            <v>AME</v>
          </cell>
          <cell r="S378">
            <v>127.85485000000006</v>
          </cell>
          <cell r="T378">
            <v>232.11990000000006</v>
          </cell>
          <cell r="U378">
            <v>646.87561083333333</v>
          </cell>
          <cell r="V378">
            <v>800.0454545454545</v>
          </cell>
          <cell r="W378">
            <v>800.0454545454545</v>
          </cell>
          <cell r="X378">
            <v>73.874780000000001</v>
          </cell>
          <cell r="Y378">
            <v>410.55628000000007</v>
          </cell>
          <cell r="AD378">
            <v>0</v>
          </cell>
        </row>
        <row r="379">
          <cell r="B379" t="str">
            <v>LCP-210128</v>
          </cell>
          <cell r="C379" t="str">
            <v>PER - Rehometer (Ex - Gadsden)</v>
          </cell>
          <cell r="D379" t="str">
            <v>Facilities Sustaining</v>
          </cell>
          <cell r="E379" t="str">
            <v>N</v>
          </cell>
          <cell r="F379" t="str">
            <v>LA</v>
          </cell>
          <cell r="H379" t="str">
            <v>Consumer Radial</v>
          </cell>
          <cell r="I379" t="str">
            <v>Other</v>
          </cell>
          <cell r="J379" t="str">
            <v>PER</v>
          </cell>
          <cell r="T379">
            <v>0</v>
          </cell>
          <cell r="U379">
            <v>10</v>
          </cell>
        </row>
        <row r="380">
          <cell r="B380" t="str">
            <v>LCP-210129</v>
          </cell>
          <cell r="C380" t="str">
            <v>BRA-AMERICANA IT NETWORK DEVICES REFRESH BY LIFECYCLE (PHASE 2/4)</v>
          </cell>
          <cell r="D380" t="str">
            <v>IT</v>
          </cell>
          <cell r="E380" t="str">
            <v>N</v>
          </cell>
          <cell r="F380" t="str">
            <v>LA</v>
          </cell>
          <cell r="H380" t="str">
            <v>MIXED</v>
          </cell>
          <cell r="I380" t="str">
            <v>SAG - IT</v>
          </cell>
          <cell r="J380" t="str">
            <v>BRZ</v>
          </cell>
          <cell r="S380">
            <v>0</v>
          </cell>
          <cell r="T380">
            <v>0</v>
          </cell>
          <cell r="U380">
            <v>850</v>
          </cell>
          <cell r="V380">
            <v>500</v>
          </cell>
          <cell r="W380">
            <v>500</v>
          </cell>
          <cell r="X380">
            <v>0</v>
          </cell>
          <cell r="Y380">
            <v>492.55703000000005</v>
          </cell>
        </row>
        <row r="381">
          <cell r="B381" t="str">
            <v>LCP-210130</v>
          </cell>
          <cell r="C381" t="str">
            <v>AME- NAPANE TO AMERICANA MOLD TRAN</v>
          </cell>
          <cell r="D381" t="str">
            <v>Molds</v>
          </cell>
          <cell r="E381" t="str">
            <v>N</v>
          </cell>
          <cell r="F381" t="str">
            <v>LA</v>
          </cell>
          <cell r="H381" t="str">
            <v>CONSUMER RADIAL</v>
          </cell>
          <cell r="I381" t="str">
            <v>CURING</v>
          </cell>
          <cell r="J381" t="str">
            <v>AME</v>
          </cell>
          <cell r="T381">
            <v>14.476539999999998</v>
          </cell>
          <cell r="U381">
            <v>0</v>
          </cell>
          <cell r="X381">
            <v>110.56407999999999</v>
          </cell>
          <cell r="Y381">
            <v>29.814419999999998</v>
          </cell>
        </row>
        <row r="382">
          <cell r="B382" t="str">
            <v>LCP-210011</v>
          </cell>
          <cell r="C382" t="str">
            <v>WASTEWATER TANK IMPROVEMENT</v>
          </cell>
          <cell r="D382" t="str">
            <v>EHS</v>
          </cell>
          <cell r="E382" t="str">
            <v>N</v>
          </cell>
          <cell r="F382" t="str">
            <v>LA</v>
          </cell>
          <cell r="G382" t="str">
            <v>ENV</v>
          </cell>
          <cell r="H382" t="str">
            <v>N/A</v>
          </cell>
          <cell r="I382" t="str">
            <v>Other</v>
          </cell>
          <cell r="J382" t="str">
            <v>AME</v>
          </cell>
          <cell r="T382">
            <v>85.094279999999998</v>
          </cell>
          <cell r="U382">
            <v>44.072239999999994</v>
          </cell>
          <cell r="V382">
            <v>130.1</v>
          </cell>
          <cell r="W382">
            <v>130.1</v>
          </cell>
          <cell r="X382">
            <v>5.7048000000000005</v>
          </cell>
          <cell r="Y382">
            <v>38.906399999999991</v>
          </cell>
          <cell r="AD382">
            <v>0</v>
          </cell>
        </row>
        <row r="383">
          <cell r="B383" t="str">
            <v>LCP-210014</v>
          </cell>
          <cell r="C383" t="str">
            <v>UPGRADE OF DRIVES BEADWINDER#03</v>
          </cell>
          <cell r="D383" t="str">
            <v>Facilities Sustaining</v>
          </cell>
          <cell r="E383" t="str">
            <v>N</v>
          </cell>
          <cell r="F383" t="str">
            <v>LA</v>
          </cell>
          <cell r="H383" t="str">
            <v>CONSUMER RADIAL</v>
          </cell>
          <cell r="I383" t="str">
            <v>COMPONENT PREP OTHER</v>
          </cell>
          <cell r="J383" t="str">
            <v>AME</v>
          </cell>
          <cell r="T383">
            <v>11.50849</v>
          </cell>
          <cell r="U383">
            <v>82.755040000000008</v>
          </cell>
          <cell r="X383">
            <v>0</v>
          </cell>
          <cell r="Y383">
            <v>80.857399999999998</v>
          </cell>
          <cell r="AD383">
            <v>0</v>
          </cell>
        </row>
        <row r="384">
          <cell r="B384" t="str">
            <v>LCP-210016</v>
          </cell>
          <cell r="C384" t="str">
            <v>IMPROVEMENT CLIMATIZATION IN THE TBM'S</v>
          </cell>
          <cell r="D384" t="str">
            <v>Quality - Improvement</v>
          </cell>
          <cell r="E384" t="str">
            <v>N</v>
          </cell>
          <cell r="F384" t="str">
            <v>LA</v>
          </cell>
          <cell r="H384" t="str">
            <v>Commercial Radial</v>
          </cell>
          <cell r="I384" t="str">
            <v>TIRE ASSEMBLY</v>
          </cell>
          <cell r="J384" t="str">
            <v>AME</v>
          </cell>
          <cell r="T384">
            <v>14.29861</v>
          </cell>
          <cell r="U384">
            <v>45.210849999999994</v>
          </cell>
          <cell r="X384">
            <v>0</v>
          </cell>
          <cell r="Y384">
            <v>39.958949999999994</v>
          </cell>
          <cell r="AD384">
            <v>0</v>
          </cell>
        </row>
        <row r="385">
          <cell r="B385" t="str">
            <v>LCP-210022</v>
          </cell>
          <cell r="C385" t="str">
            <v>PROJECT RUNNER</v>
          </cell>
          <cell r="D385" t="str">
            <v>SAG</v>
          </cell>
          <cell r="E385" t="str">
            <v>N</v>
          </cell>
          <cell r="F385" t="str">
            <v>LA</v>
          </cell>
          <cell r="H385" t="str">
            <v>Mixed</v>
          </cell>
          <cell r="I385" t="str">
            <v>SAG - Other</v>
          </cell>
          <cell r="J385" t="str">
            <v>BRZ</v>
          </cell>
          <cell r="S385">
            <v>292.84548000000001</v>
          </cell>
          <cell r="T385">
            <v>550.67319999999995</v>
          </cell>
          <cell r="U385">
            <v>61.04970000000003</v>
          </cell>
          <cell r="V385">
            <v>772.5</v>
          </cell>
          <cell r="W385">
            <v>772.5</v>
          </cell>
          <cell r="X385">
            <v>83.13103000000001</v>
          </cell>
          <cell r="Y385">
            <v>28.48413</v>
          </cell>
          <cell r="AD385">
            <v>0</v>
          </cell>
        </row>
        <row r="386">
          <cell r="B386" t="str">
            <v>LCP-210025</v>
          </cell>
          <cell r="C386" t="str">
            <v>UPG AKROSCAN SYSTEM FOR LINES FVM (CAMERAS PRETAS)</v>
          </cell>
          <cell r="D386" t="str">
            <v>Facilities Sustaining</v>
          </cell>
          <cell r="E386" t="str">
            <v>N</v>
          </cell>
          <cell r="F386" t="str">
            <v>LA</v>
          </cell>
          <cell r="H386" t="str">
            <v>CONSUMER RADIAL</v>
          </cell>
          <cell r="I386" t="str">
            <v>Tire Assembly</v>
          </cell>
          <cell r="J386" t="str">
            <v>AME</v>
          </cell>
          <cell r="T386">
            <v>1.45123</v>
          </cell>
          <cell r="U386">
            <v>239.39999999999998</v>
          </cell>
          <cell r="X386">
            <v>0</v>
          </cell>
          <cell r="Y386">
            <v>20.46378</v>
          </cell>
          <cell r="AD386">
            <v>0</v>
          </cell>
        </row>
        <row r="387">
          <cell r="B387" t="str">
            <v>LCP-210038</v>
          </cell>
          <cell r="C387" t="str">
            <v>UPPER CONVEYORS UPGRADE – CURING B1</v>
          </cell>
          <cell r="D387" t="str">
            <v>EHS</v>
          </cell>
          <cell r="E387" t="str">
            <v>N</v>
          </cell>
          <cell r="F387" t="str">
            <v>LA</v>
          </cell>
          <cell r="G387" t="str">
            <v>MSR</v>
          </cell>
          <cell r="H387" t="str">
            <v>Other</v>
          </cell>
          <cell r="I387" t="str">
            <v>CURING</v>
          </cell>
          <cell r="J387" t="str">
            <v>AME</v>
          </cell>
          <cell r="T387">
            <v>54.643919999999994</v>
          </cell>
          <cell r="U387">
            <v>125.72465999999999</v>
          </cell>
          <cell r="X387">
            <v>0</v>
          </cell>
          <cell r="Y387">
            <v>18.576520000000002</v>
          </cell>
          <cell r="AD387">
            <v>0</v>
          </cell>
        </row>
        <row r="388">
          <cell r="B388" t="str">
            <v>LCP-210040</v>
          </cell>
          <cell r="C388" t="str">
            <v>FSB - 2021 MISCELLANEOUS ANNUAL BUDGET</v>
          </cell>
          <cell r="D388" t="str">
            <v>Facilities Sustaining</v>
          </cell>
          <cell r="E388" t="str">
            <v>N</v>
          </cell>
          <cell r="F388" t="str">
            <v>LA</v>
          </cell>
          <cell r="H388" t="str">
            <v>Other</v>
          </cell>
          <cell r="I388" t="str">
            <v>Other</v>
          </cell>
          <cell r="J388" t="str">
            <v>RET</v>
          </cell>
          <cell r="S388">
            <v>0</v>
          </cell>
          <cell r="T388">
            <v>13.399560000000001</v>
          </cell>
          <cell r="U388">
            <v>77.5</v>
          </cell>
          <cell r="V388">
            <v>67</v>
          </cell>
          <cell r="W388">
            <v>67</v>
          </cell>
          <cell r="X388">
            <v>14.4</v>
          </cell>
          <cell r="Y388">
            <v>58.391160000000006</v>
          </cell>
          <cell r="AD388">
            <v>0</v>
          </cell>
        </row>
        <row r="389">
          <cell r="B389" t="str">
            <v>LCP-210052</v>
          </cell>
          <cell r="C389" t="str">
            <v>FIRE PROTECTION SYSTEM MAIN SUBSTATION</v>
          </cell>
          <cell r="D389" t="str">
            <v>EHS</v>
          </cell>
          <cell r="E389" t="str">
            <v>N</v>
          </cell>
          <cell r="F389" t="str">
            <v>LA</v>
          </cell>
          <cell r="G389" t="str">
            <v>FIRE</v>
          </cell>
          <cell r="H389" t="str">
            <v>Other</v>
          </cell>
          <cell r="I389" t="str">
            <v>OTHER</v>
          </cell>
          <cell r="J389" t="str">
            <v>AME</v>
          </cell>
          <cell r="T389">
            <v>0</v>
          </cell>
          <cell r="U389">
            <v>75</v>
          </cell>
          <cell r="X389">
            <v>1.33E-3</v>
          </cell>
          <cell r="Y389">
            <v>0</v>
          </cell>
          <cell r="AD389">
            <v>0</v>
          </cell>
        </row>
        <row r="390">
          <cell r="B390" t="str">
            <v>LCP-210141</v>
          </cell>
          <cell r="C390" t="str">
            <v>COL-MOLDS KMAX SEVERE</v>
          </cell>
          <cell r="D390" t="str">
            <v>Molds</v>
          </cell>
          <cell r="E390" t="str">
            <v>N</v>
          </cell>
          <cell r="F390" t="str">
            <v>LA</v>
          </cell>
          <cell r="H390" t="str">
            <v>COMMERCIAL RADIAL</v>
          </cell>
          <cell r="I390" t="str">
            <v>Curing</v>
          </cell>
          <cell r="J390" t="str">
            <v>COL</v>
          </cell>
          <cell r="T390">
            <v>0</v>
          </cell>
          <cell r="U390">
            <v>66.599999999999994</v>
          </cell>
          <cell r="X390">
            <v>20.253</v>
          </cell>
          <cell r="Y390">
            <v>0</v>
          </cell>
        </row>
        <row r="391">
          <cell r="B391" t="str">
            <v>LCP-210055</v>
          </cell>
          <cell r="C391" t="str">
            <v>AME – WULO CONSUMMER BUILDING - STEP 1 - NT20</v>
          </cell>
          <cell r="D391" t="str">
            <v>EHS</v>
          </cell>
          <cell r="E391" t="str">
            <v>N</v>
          </cell>
          <cell r="F391" t="str">
            <v>LA</v>
          </cell>
          <cell r="G391" t="str">
            <v>MSR</v>
          </cell>
          <cell r="H391" t="str">
            <v>N/A</v>
          </cell>
          <cell r="I391" t="str">
            <v>OTHER</v>
          </cell>
          <cell r="J391" t="str">
            <v>AME</v>
          </cell>
          <cell r="T391">
            <v>24.489800000000002</v>
          </cell>
          <cell r="U391">
            <v>71.746459999999999</v>
          </cell>
          <cell r="X391">
            <v>0</v>
          </cell>
          <cell r="Y391">
            <v>31.069789999999998</v>
          </cell>
          <cell r="AD391">
            <v>0</v>
          </cell>
        </row>
        <row r="392">
          <cell r="B392" t="str">
            <v>LCP-210077</v>
          </cell>
          <cell r="C392" t="str">
            <v>AERO - VENTILATION AND EXHAUSTING SYSTEM</v>
          </cell>
          <cell r="D392" t="str">
            <v>Facilities Sustaining</v>
          </cell>
          <cell r="E392" t="str">
            <v>N</v>
          </cell>
          <cell r="F392" t="str">
            <v>LA</v>
          </cell>
          <cell r="H392" t="str">
            <v>AVIATION</v>
          </cell>
          <cell r="I392" t="str">
            <v>Other</v>
          </cell>
          <cell r="J392" t="str">
            <v>SAO</v>
          </cell>
          <cell r="S392">
            <v>0</v>
          </cell>
          <cell r="T392">
            <v>0</v>
          </cell>
          <cell r="U392">
            <v>47.030670000000001</v>
          </cell>
          <cell r="V392">
            <v>80</v>
          </cell>
          <cell r="W392">
            <v>80</v>
          </cell>
          <cell r="X392">
            <v>0</v>
          </cell>
          <cell r="Y392">
            <v>51.261890000000001</v>
          </cell>
          <cell r="AD392">
            <v>0</v>
          </cell>
        </row>
        <row r="393">
          <cell r="B393" t="str">
            <v>LCP-210085</v>
          </cell>
          <cell r="C393" t="str">
            <v>CAL4R2 - UPG OF THE BELT STEEL SYSTEM</v>
          </cell>
          <cell r="D393" t="str">
            <v>Facilities Sustaining</v>
          </cell>
          <cell r="E393" t="str">
            <v>N</v>
          </cell>
          <cell r="F393" t="str">
            <v>LA</v>
          </cell>
          <cell r="H393" t="str">
            <v>Other</v>
          </cell>
          <cell r="I393" t="str">
            <v>OTHER</v>
          </cell>
          <cell r="J393" t="str">
            <v>AME</v>
          </cell>
          <cell r="T393">
            <v>0</v>
          </cell>
          <cell r="U393">
            <v>167.80391</v>
          </cell>
          <cell r="X393">
            <v>0</v>
          </cell>
          <cell r="Y393">
            <v>109.69225999999999</v>
          </cell>
          <cell r="AD393">
            <v>0</v>
          </cell>
        </row>
        <row r="394">
          <cell r="B394" t="str">
            <v>LCP-210092</v>
          </cell>
          <cell r="C394" t="str">
            <v>RET - UPG PLC AND PRESS TEMP CONTROL</v>
          </cell>
          <cell r="D394" t="str">
            <v>Facilities Sustaining</v>
          </cell>
          <cell r="E394" t="str">
            <v>N</v>
          </cell>
          <cell r="F394" t="str">
            <v>LA</v>
          </cell>
          <cell r="H394" t="str">
            <v>AVIATION</v>
          </cell>
          <cell r="I394" t="str">
            <v>Other</v>
          </cell>
          <cell r="J394" t="str">
            <v>SAO</v>
          </cell>
          <cell r="S394">
            <v>0</v>
          </cell>
          <cell r="T394">
            <v>29.99119</v>
          </cell>
          <cell r="U394">
            <v>54.509019999999992</v>
          </cell>
          <cell r="V394">
            <v>50</v>
          </cell>
          <cell r="W394">
            <v>50</v>
          </cell>
          <cell r="X394">
            <v>0</v>
          </cell>
          <cell r="Y394">
            <v>64.247780000000006</v>
          </cell>
          <cell r="AD394">
            <v>0</v>
          </cell>
        </row>
        <row r="395">
          <cell r="B395" t="str">
            <v>LCP-210150</v>
          </cell>
          <cell r="C395" t="str">
            <v xml:space="preserve">COL - Hoist system for wire calander creel room  </v>
          </cell>
          <cell r="D395" t="str">
            <v>EHS</v>
          </cell>
          <cell r="E395" t="str">
            <v>N</v>
          </cell>
          <cell r="F395" t="str">
            <v>LA</v>
          </cell>
          <cell r="G395" t="str">
            <v>ERG</v>
          </cell>
          <cell r="H395" t="str">
            <v>Commercial Radial</v>
          </cell>
          <cell r="I395" t="str">
            <v>Component Prep Other</v>
          </cell>
          <cell r="J395" t="str">
            <v>COL</v>
          </cell>
          <cell r="S395">
            <v>0</v>
          </cell>
          <cell r="T395">
            <v>0</v>
          </cell>
          <cell r="U395">
            <v>100</v>
          </cell>
          <cell r="V395">
            <v>100</v>
          </cell>
          <cell r="W395">
            <v>100</v>
          </cell>
          <cell r="X395">
            <v>0</v>
          </cell>
          <cell r="Y395">
            <v>39.845109999999998</v>
          </cell>
        </row>
        <row r="396">
          <cell r="B396" t="str">
            <v>LCP-210152</v>
          </cell>
          <cell r="C396" t="str">
            <v>PER - 24 MOLDS FOR DIRECTION 2</v>
          </cell>
          <cell r="D396" t="str">
            <v>Molds</v>
          </cell>
          <cell r="E396" t="str">
            <v>N</v>
          </cell>
          <cell r="F396" t="str">
            <v>LA</v>
          </cell>
          <cell r="H396" t="str">
            <v>Consumer Radial</v>
          </cell>
          <cell r="I396" t="str">
            <v>CURING</v>
          </cell>
          <cell r="J396" t="str">
            <v>PER</v>
          </cell>
          <cell r="Q396">
            <v>939</v>
          </cell>
          <cell r="T396">
            <v>0</v>
          </cell>
          <cell r="U396">
            <v>552</v>
          </cell>
          <cell r="X396">
            <v>0</v>
          </cell>
          <cell r="Y396">
            <v>636.83749000000012</v>
          </cell>
        </row>
        <row r="397">
          <cell r="B397" t="str">
            <v>LCP-210153</v>
          </cell>
          <cell r="C397" t="str">
            <v>PER - REPLACE TENSIOMETER</v>
          </cell>
          <cell r="D397" t="str">
            <v>Quality - Improvement</v>
          </cell>
          <cell r="E397" t="str">
            <v>N</v>
          </cell>
          <cell r="F397" t="str">
            <v>LA</v>
          </cell>
          <cell r="H397" t="str">
            <v>Consumer Radial</v>
          </cell>
          <cell r="I397" t="str">
            <v>COMPONENT PREP OTHER</v>
          </cell>
          <cell r="J397" t="str">
            <v>PER</v>
          </cell>
          <cell r="T397">
            <v>0</v>
          </cell>
          <cell r="U397">
            <v>60</v>
          </cell>
          <cell r="X397">
            <v>1E-3</v>
          </cell>
          <cell r="Y397">
            <v>43.456480000000006</v>
          </cell>
        </row>
        <row r="398">
          <cell r="B398" t="str">
            <v>LCP-210154</v>
          </cell>
          <cell r="C398" t="str">
            <v>PER - CHANGE COMBUSTION SYSTEM BOILER 1</v>
          </cell>
          <cell r="D398" t="str">
            <v>Facilities Sustaining</v>
          </cell>
          <cell r="E398" t="str">
            <v>N</v>
          </cell>
          <cell r="F398" t="str">
            <v>LA</v>
          </cell>
          <cell r="H398" t="str">
            <v>MIXED</v>
          </cell>
          <cell r="I398" t="str">
            <v>ENGINEERING</v>
          </cell>
          <cell r="J398" t="str">
            <v>PER</v>
          </cell>
          <cell r="T398">
            <v>0</v>
          </cell>
          <cell r="U398">
            <v>50</v>
          </cell>
        </row>
        <row r="399">
          <cell r="B399" t="str">
            <v>LCP-210164</v>
          </cell>
          <cell r="C399" t="str">
            <v>AME- 4 complete molds for PSA F3M</v>
          </cell>
          <cell r="D399" t="str">
            <v>Molds</v>
          </cell>
          <cell r="E399" t="str">
            <v>N</v>
          </cell>
          <cell r="F399" t="str">
            <v>LA</v>
          </cell>
          <cell r="H399" t="str">
            <v>Consumer Radial</v>
          </cell>
          <cell r="I399" t="str">
            <v>Molds</v>
          </cell>
          <cell r="J399" t="str">
            <v>AME</v>
          </cell>
          <cell r="T399">
            <v>0</v>
          </cell>
          <cell r="U399">
            <v>0</v>
          </cell>
          <cell r="AD399">
            <v>136</v>
          </cell>
        </row>
        <row r="400">
          <cell r="B400" t="str">
            <v>LCP-210170</v>
          </cell>
          <cell r="C400" t="str">
            <v>COL - Quad Extruders (2) Screw Replacement</v>
          </cell>
          <cell r="D400" t="str">
            <v>Facilities Sustaining</v>
          </cell>
          <cell r="E400" t="str">
            <v>N</v>
          </cell>
          <cell r="F400" t="str">
            <v>LA</v>
          </cell>
          <cell r="H400" t="str">
            <v>COMMERCIAL RADIAL</v>
          </cell>
          <cell r="I400" t="str">
            <v>COMPONENT PREP OTHER</v>
          </cell>
          <cell r="J400" t="str">
            <v>COL</v>
          </cell>
          <cell r="T400">
            <v>0</v>
          </cell>
          <cell r="U400">
            <v>126</v>
          </cell>
        </row>
        <row r="401">
          <cell r="B401" t="str">
            <v>LCP-210172</v>
          </cell>
          <cell r="C401" t="str">
            <v>MEX - Fleet control software-only hardware</v>
          </cell>
          <cell r="D401" t="str">
            <v>SAG</v>
          </cell>
          <cell r="E401" t="str">
            <v>N</v>
          </cell>
          <cell r="F401" t="str">
            <v>LA</v>
          </cell>
          <cell r="H401" t="str">
            <v>Commercial Radial</v>
          </cell>
          <cell r="I401" t="str">
            <v>SAG - Sales &amp; Marketing</v>
          </cell>
          <cell r="J401" t="str">
            <v>MEX</v>
          </cell>
          <cell r="S401">
            <v>0</v>
          </cell>
          <cell r="T401">
            <v>0</v>
          </cell>
          <cell r="U401">
            <v>50</v>
          </cell>
          <cell r="V401">
            <v>50</v>
          </cell>
          <cell r="W401">
            <v>50</v>
          </cell>
        </row>
        <row r="402">
          <cell r="B402" t="str">
            <v>LCP-210175</v>
          </cell>
          <cell r="C402" t="str">
            <v>AME- PSA P21 Rota 2030 195/55R16 EGP</v>
          </cell>
          <cell r="D402" t="str">
            <v>Molds</v>
          </cell>
          <cell r="E402" t="str">
            <v>N</v>
          </cell>
          <cell r="F402" t="str">
            <v>LA</v>
          </cell>
          <cell r="H402" t="str">
            <v>CONSUMER RADIAL</v>
          </cell>
          <cell r="I402" t="str">
            <v>CURING</v>
          </cell>
          <cell r="J402" t="str">
            <v>AME</v>
          </cell>
          <cell r="T402">
            <v>0</v>
          </cell>
          <cell r="U402">
            <v>0</v>
          </cell>
          <cell r="AD402">
            <v>136</v>
          </cell>
        </row>
        <row r="403">
          <cell r="B403" t="str">
            <v>LCP-210100</v>
          </cell>
          <cell r="C403" t="str">
            <v>FSB - FM GLOBAL ADEQUANCY</v>
          </cell>
          <cell r="D403" t="str">
            <v>EHS</v>
          </cell>
          <cell r="E403" t="str">
            <v>N</v>
          </cell>
          <cell r="F403" t="str">
            <v>LA</v>
          </cell>
          <cell r="G403" t="str">
            <v>FIRE</v>
          </cell>
          <cell r="H403" t="str">
            <v>Retread</v>
          </cell>
          <cell r="I403" t="str">
            <v>Other</v>
          </cell>
          <cell r="J403" t="str">
            <v>RET</v>
          </cell>
          <cell r="S403">
            <v>0</v>
          </cell>
          <cell r="T403">
            <v>0</v>
          </cell>
          <cell r="U403">
            <v>60.6</v>
          </cell>
          <cell r="V403">
            <v>30</v>
          </cell>
          <cell r="W403">
            <v>30</v>
          </cell>
          <cell r="X403">
            <v>0</v>
          </cell>
          <cell r="Y403">
            <v>44.150730000000003</v>
          </cell>
          <cell r="AD403">
            <v>0</v>
          </cell>
        </row>
        <row r="404">
          <cell r="B404" t="str">
            <v>LCP-210178</v>
          </cell>
          <cell r="C404" t="str">
            <v xml:space="preserve">AME- PSA P21 Rota 2030 18565R15 Eagle T. </v>
          </cell>
          <cell r="D404" t="str">
            <v>Molds</v>
          </cell>
          <cell r="E404" t="str">
            <v>N</v>
          </cell>
          <cell r="F404" t="str">
            <v>LA</v>
          </cell>
          <cell r="H404" t="str">
            <v>CONSUMER RADIAL</v>
          </cell>
          <cell r="I404" t="str">
            <v>CURING</v>
          </cell>
          <cell r="J404" t="str">
            <v>AME</v>
          </cell>
          <cell r="T404">
            <v>0</v>
          </cell>
          <cell r="U404">
            <v>25</v>
          </cell>
        </row>
        <row r="405">
          <cell r="B405" t="str">
            <v>LCP-210101</v>
          </cell>
          <cell r="C405" t="str">
            <v>RET - BATHROOM ADEQUANCY NR24</v>
          </cell>
          <cell r="D405" t="str">
            <v>EHS</v>
          </cell>
          <cell r="E405" t="str">
            <v>N</v>
          </cell>
          <cell r="F405" t="str">
            <v>LA</v>
          </cell>
          <cell r="G405" t="str">
            <v>COMP</v>
          </cell>
          <cell r="H405" t="str">
            <v>AVIATION</v>
          </cell>
          <cell r="I405" t="str">
            <v>CURING</v>
          </cell>
          <cell r="J405" t="str">
            <v>SAO</v>
          </cell>
          <cell r="S405">
            <v>0</v>
          </cell>
          <cell r="T405">
            <v>0</v>
          </cell>
          <cell r="U405">
            <v>70</v>
          </cell>
          <cell r="X405">
            <v>0</v>
          </cell>
          <cell r="Y405">
            <v>2.0477099999999999</v>
          </cell>
          <cell r="AD405">
            <v>0</v>
          </cell>
        </row>
        <row r="406">
          <cell r="B406" t="str">
            <v>LCP-210181</v>
          </cell>
          <cell r="C406" t="str">
            <v>PER - 2021 MISCELLANEOUS ANNUAL BUDGET PHASE 3</v>
          </cell>
          <cell r="D406" t="str">
            <v>Facilities Sustaining</v>
          </cell>
          <cell r="E406" t="str">
            <v>N</v>
          </cell>
          <cell r="F406" t="str">
            <v>LA</v>
          </cell>
          <cell r="H406" t="str">
            <v>CONSUMER RADIAL</v>
          </cell>
          <cell r="I406" t="str">
            <v>Other</v>
          </cell>
          <cell r="J406" t="str">
            <v>PER</v>
          </cell>
          <cell r="T406">
            <v>0</v>
          </cell>
          <cell r="U406">
            <v>180</v>
          </cell>
        </row>
        <row r="407">
          <cell r="B407" t="str">
            <v>LCP-210182</v>
          </cell>
          <cell r="C407" t="str">
            <v>PER-UPGRADE CCM FABRIC CALENDER</v>
          </cell>
          <cell r="D407" t="str">
            <v>Facilities Sustaining</v>
          </cell>
          <cell r="E407" t="str">
            <v>N</v>
          </cell>
          <cell r="F407" t="str">
            <v>LA</v>
          </cell>
          <cell r="H407" t="str">
            <v>CONSUMER RADIAL</v>
          </cell>
          <cell r="I407" t="str">
            <v>Other</v>
          </cell>
          <cell r="J407" t="str">
            <v>PER</v>
          </cell>
          <cell r="T407">
            <v>0</v>
          </cell>
          <cell r="U407">
            <v>80</v>
          </cell>
        </row>
        <row r="408">
          <cell r="B408" t="str">
            <v>LCP-210183</v>
          </cell>
          <cell r="C408" t="str">
            <v>PER-REPLACE 250 HP MOTOR DRIVE GUM CAL</v>
          </cell>
          <cell r="D408" t="str">
            <v>Facilities Sustaining</v>
          </cell>
          <cell r="E408" t="str">
            <v>N</v>
          </cell>
          <cell r="F408" t="str">
            <v>LA</v>
          </cell>
          <cell r="H408" t="str">
            <v>CONSUMER RADIAL</v>
          </cell>
          <cell r="I408" t="str">
            <v>Other</v>
          </cell>
          <cell r="J408" t="str">
            <v>PER</v>
          </cell>
          <cell r="T408">
            <v>0</v>
          </cell>
          <cell r="U408">
            <v>65</v>
          </cell>
        </row>
        <row r="409">
          <cell r="B409" t="str">
            <v>LCP-210184</v>
          </cell>
          <cell r="C409" t="str">
            <v>PER-UPGRADE RESILIOMETER 1 DRIVE MOTOR</v>
          </cell>
          <cell r="D409" t="str">
            <v>Facilities Sustaining</v>
          </cell>
          <cell r="E409" t="str">
            <v>N</v>
          </cell>
          <cell r="F409" t="str">
            <v>LA</v>
          </cell>
          <cell r="H409" t="str">
            <v>CONSUMER RADIAL</v>
          </cell>
          <cell r="I409" t="str">
            <v>Other</v>
          </cell>
          <cell r="J409" t="str">
            <v>PER</v>
          </cell>
          <cell r="T409">
            <v>0</v>
          </cell>
          <cell r="U409">
            <v>75</v>
          </cell>
        </row>
        <row r="410">
          <cell r="B410" t="str">
            <v>LCP-210185</v>
          </cell>
          <cell r="C410" t="str">
            <v>PER-REDUCTION OF COMPLEXITY IN TWO PRESSES</v>
          </cell>
          <cell r="D410" t="str">
            <v>Facilities Sustaining</v>
          </cell>
          <cell r="E410" t="str">
            <v>N</v>
          </cell>
          <cell r="F410" t="str">
            <v>LA</v>
          </cell>
          <cell r="H410" t="str">
            <v>CONSUMER RADIAL</v>
          </cell>
          <cell r="I410" t="str">
            <v>Other</v>
          </cell>
          <cell r="J410" t="str">
            <v>PER</v>
          </cell>
          <cell r="T410">
            <v>0</v>
          </cell>
          <cell r="U410">
            <v>60</v>
          </cell>
        </row>
        <row r="411">
          <cell r="B411" t="str">
            <v>LCP-210187</v>
          </cell>
          <cell r="C411" t="str">
            <v>ARG - Laptops Acquisition</v>
          </cell>
          <cell r="D411" t="str">
            <v>IT</v>
          </cell>
          <cell r="E411" t="str">
            <v>N</v>
          </cell>
          <cell r="F411" t="str">
            <v>LA</v>
          </cell>
          <cell r="H411" t="str">
            <v>Other</v>
          </cell>
          <cell r="I411" t="str">
            <v>SAG - IT</v>
          </cell>
          <cell r="J411" t="str">
            <v>ARG</v>
          </cell>
          <cell r="T411">
            <v>0</v>
          </cell>
          <cell r="U411">
            <v>99</v>
          </cell>
          <cell r="X411">
            <v>0</v>
          </cell>
          <cell r="Y411">
            <v>83.911670000000001</v>
          </cell>
        </row>
        <row r="412">
          <cell r="B412" t="str">
            <v>LCP-210188</v>
          </cell>
          <cell r="C412" t="str">
            <v>AME - OTR BUILDING DRUM 25"</v>
          </cell>
          <cell r="D412" t="str">
            <v>Molds</v>
          </cell>
          <cell r="E412" t="str">
            <v>N</v>
          </cell>
          <cell r="F412" t="str">
            <v>LA</v>
          </cell>
          <cell r="H412" t="str">
            <v>Commercial Radial</v>
          </cell>
          <cell r="I412" t="str">
            <v>CURING</v>
          </cell>
          <cell r="J412" t="str">
            <v>AME</v>
          </cell>
          <cell r="T412">
            <v>0</v>
          </cell>
          <cell r="U412">
            <v>100</v>
          </cell>
          <cell r="X412">
            <v>96.584999999999994</v>
          </cell>
          <cell r="Y412">
            <v>0</v>
          </cell>
        </row>
        <row r="413">
          <cell r="B413" t="str">
            <v>LCP-210102</v>
          </cell>
          <cell r="C413" t="str">
            <v>NR12 ADEQUANCY AERO RETREAD MACHINES</v>
          </cell>
          <cell r="D413" t="str">
            <v>Facilities Sustaining</v>
          </cell>
          <cell r="E413" t="str">
            <v>N</v>
          </cell>
          <cell r="F413" t="str">
            <v>LA</v>
          </cell>
          <cell r="H413" t="str">
            <v>Retread</v>
          </cell>
          <cell r="I413" t="str">
            <v>Other</v>
          </cell>
          <cell r="J413" t="str">
            <v>RET</v>
          </cell>
          <cell r="S413">
            <v>0</v>
          </cell>
          <cell r="T413">
            <v>0</v>
          </cell>
          <cell r="U413">
            <v>70.599999999999994</v>
          </cell>
          <cell r="V413">
            <v>60</v>
          </cell>
          <cell r="W413">
            <v>60</v>
          </cell>
          <cell r="X413">
            <v>62.5383</v>
          </cell>
          <cell r="Y413">
            <v>0</v>
          </cell>
          <cell r="AD413">
            <v>0</v>
          </cell>
        </row>
        <row r="414">
          <cell r="B414" t="str">
            <v>LCP-210191</v>
          </cell>
          <cell r="C414" t="str">
            <v>COL-MOLDS KMAX XTREME</v>
          </cell>
          <cell r="D414" t="str">
            <v>Molds</v>
          </cell>
          <cell r="E414" t="str">
            <v>N</v>
          </cell>
          <cell r="F414" t="str">
            <v>LA</v>
          </cell>
          <cell r="H414" t="str">
            <v>COMMERCIAL RADIAL</v>
          </cell>
          <cell r="I414" t="str">
            <v>Curing</v>
          </cell>
          <cell r="J414" t="str">
            <v>COL</v>
          </cell>
          <cell r="T414">
            <v>0</v>
          </cell>
          <cell r="U414">
            <v>10</v>
          </cell>
          <cell r="AD414">
            <v>57</v>
          </cell>
        </row>
        <row r="415">
          <cell r="B415" t="str">
            <v>LCP-210192</v>
          </cell>
          <cell r="C415" t="str">
            <v>PER - (5) UPGRADE TBM's HYDRAULIC / PNEUMATIC SYSTEMS</v>
          </cell>
          <cell r="D415" t="str">
            <v>Facilities Sustaining</v>
          </cell>
          <cell r="E415" t="str">
            <v>N</v>
          </cell>
          <cell r="F415" t="str">
            <v>LA</v>
          </cell>
          <cell r="H415" t="str">
            <v>Consumer Radial</v>
          </cell>
          <cell r="I415" t="str">
            <v>Other</v>
          </cell>
          <cell r="J415" t="str">
            <v>PER</v>
          </cell>
          <cell r="T415">
            <v>0</v>
          </cell>
          <cell r="U415">
            <v>250</v>
          </cell>
          <cell r="AD415">
            <v>200</v>
          </cell>
        </row>
        <row r="416">
          <cell r="B416" t="str">
            <v>LCP-210193</v>
          </cell>
          <cell r="C416" t="str">
            <v>PER - SUB STATION 1 TRANSFORMER REPLACEMENT 1 2.3kV -0.44 Kv / 2000 KVA</v>
          </cell>
          <cell r="D416" t="str">
            <v>Facilities Sustaining</v>
          </cell>
          <cell r="E416" t="str">
            <v>N</v>
          </cell>
          <cell r="F416" t="str">
            <v>LA</v>
          </cell>
          <cell r="H416" t="str">
            <v>Mixed</v>
          </cell>
          <cell r="I416" t="str">
            <v>Other</v>
          </cell>
          <cell r="J416" t="str">
            <v>PER</v>
          </cell>
          <cell r="T416">
            <v>0</v>
          </cell>
          <cell r="U416">
            <v>30</v>
          </cell>
          <cell r="AD416">
            <v>50</v>
          </cell>
        </row>
        <row r="417">
          <cell r="B417" t="str">
            <v>LCP-210194</v>
          </cell>
          <cell r="C417" t="str">
            <v>PER - UPGRADE SUBSTATION 2</v>
          </cell>
          <cell r="D417" t="str">
            <v>Facilities Sustaining</v>
          </cell>
          <cell r="E417" t="str">
            <v>N</v>
          </cell>
          <cell r="F417" t="str">
            <v>LA</v>
          </cell>
          <cell r="H417" t="str">
            <v>Mixed</v>
          </cell>
          <cell r="I417" t="str">
            <v>Other</v>
          </cell>
          <cell r="J417" t="str">
            <v>PER</v>
          </cell>
          <cell r="T417">
            <v>0</v>
          </cell>
          <cell r="U417">
            <v>150</v>
          </cell>
          <cell r="AD417">
            <v>200</v>
          </cell>
        </row>
        <row r="418">
          <cell r="B418" t="str">
            <v>LCP-210195</v>
          </cell>
          <cell r="C418" t="str">
            <v>AME - ADDITIONAL PRODUCTION MOLDS (TO ATTEND 6+6)</v>
          </cell>
          <cell r="D418" t="str">
            <v>MOLDS</v>
          </cell>
          <cell r="E418" t="str">
            <v>N</v>
          </cell>
          <cell r="F418" t="str">
            <v>LA</v>
          </cell>
          <cell r="J418" t="str">
            <v>AME</v>
          </cell>
          <cell r="T418">
            <v>0</v>
          </cell>
          <cell r="U418">
            <v>266.25</v>
          </cell>
        </row>
        <row r="419">
          <cell r="B419" t="str">
            <v>LCP-210106</v>
          </cell>
          <cell r="C419" t="str">
            <v>AME - CENTAC#17 100 PSI AIR COMPRESSOR</v>
          </cell>
          <cell r="D419" t="str">
            <v>Facilities Sustaining</v>
          </cell>
          <cell r="E419" t="str">
            <v>N</v>
          </cell>
          <cell r="F419" t="str">
            <v>LA</v>
          </cell>
          <cell r="H419" t="str">
            <v>COMMERCIAL RADIAL</v>
          </cell>
          <cell r="I419" t="str">
            <v>ENGINEERING</v>
          </cell>
          <cell r="J419" t="str">
            <v>AME</v>
          </cell>
          <cell r="T419">
            <v>0</v>
          </cell>
          <cell r="U419">
            <v>88.806979999999996</v>
          </cell>
          <cell r="X419">
            <v>9.6419999999999995</v>
          </cell>
          <cell r="Y419">
            <v>70.523880000000005</v>
          </cell>
          <cell r="AD419">
            <v>0</v>
          </cell>
        </row>
        <row r="420">
          <cell r="B420" t="str">
            <v>LCP-210110</v>
          </cell>
          <cell r="C420" t="str">
            <v>MC - 2021 MISCELLANEOUS ANNUAL BUDGET</v>
          </cell>
          <cell r="D420" t="str">
            <v>Facilities Sustaining</v>
          </cell>
          <cell r="E420" t="str">
            <v>N</v>
          </cell>
          <cell r="F420" t="str">
            <v>LA</v>
          </cell>
          <cell r="H420" t="str">
            <v>Other</v>
          </cell>
          <cell r="I420" t="str">
            <v>Other</v>
          </cell>
          <cell r="J420" t="str">
            <v>MC</v>
          </cell>
          <cell r="S420">
            <v>0</v>
          </cell>
          <cell r="T420">
            <v>0</v>
          </cell>
          <cell r="U420">
            <v>72.983440000000002</v>
          </cell>
          <cell r="V420">
            <v>70</v>
          </cell>
          <cell r="W420">
            <v>70</v>
          </cell>
          <cell r="X420">
            <v>41.368229999999997</v>
          </cell>
          <cell r="Y420">
            <v>27.798819999999999</v>
          </cell>
          <cell r="AD420">
            <v>0</v>
          </cell>
        </row>
        <row r="421">
          <cell r="B421" t="str">
            <v>LCP-210114</v>
          </cell>
          <cell r="C421" t="str">
            <v>AME -COMPLEXITY AND CONCURRENCY INCREASE</v>
          </cell>
          <cell r="D421" t="str">
            <v>Capability</v>
          </cell>
          <cell r="E421" t="str">
            <v>N</v>
          </cell>
          <cell r="F421" t="str">
            <v>LA</v>
          </cell>
          <cell r="H421" t="str">
            <v>Commercial Radial</v>
          </cell>
          <cell r="I421" t="str">
            <v>OTHER</v>
          </cell>
          <cell r="J421" t="str">
            <v>AME</v>
          </cell>
          <cell r="T421">
            <v>10.95839</v>
          </cell>
          <cell r="U421">
            <v>221.44270999999998</v>
          </cell>
          <cell r="X421">
            <v>0</v>
          </cell>
          <cell r="Y421">
            <v>160.91014999999999</v>
          </cell>
          <cell r="AD421">
            <v>0</v>
          </cell>
        </row>
        <row r="422">
          <cell r="B422" t="str">
            <v>LCP-210123</v>
          </cell>
          <cell r="C422" t="str">
            <v>AME - REPLACEMENT X-RAY SET TUBE (A &amp; C)</v>
          </cell>
          <cell r="D422" t="str">
            <v>Facilities Sustaining</v>
          </cell>
          <cell r="E422" t="str">
            <v>N</v>
          </cell>
          <cell r="F422" t="str">
            <v>LA</v>
          </cell>
          <cell r="H422" t="str">
            <v>Commercial Radial</v>
          </cell>
          <cell r="I422" t="str">
            <v>Final Finish</v>
          </cell>
          <cell r="J422" t="str">
            <v>AME</v>
          </cell>
          <cell r="T422">
            <v>73.343699999999984</v>
          </cell>
          <cell r="U422">
            <v>64.986240000000009</v>
          </cell>
          <cell r="AD422">
            <v>0</v>
          </cell>
        </row>
        <row r="423">
          <cell r="B423" t="str">
            <v>LCP-210133</v>
          </cell>
          <cell r="C423" t="str">
            <v>AME - MILLS ADEQUACY PROJECT FAM</v>
          </cell>
          <cell r="D423" t="str">
            <v>EHS</v>
          </cell>
          <cell r="E423" t="str">
            <v>N</v>
          </cell>
          <cell r="F423" t="str">
            <v>LA</v>
          </cell>
          <cell r="G423" t="str">
            <v>MSR</v>
          </cell>
          <cell r="H423" t="str">
            <v>Commercial Radial</v>
          </cell>
          <cell r="I423" t="str">
            <v>OTHER</v>
          </cell>
          <cell r="J423" t="str">
            <v>AME</v>
          </cell>
          <cell r="T423">
            <v>0</v>
          </cell>
          <cell r="U423">
            <v>73.2</v>
          </cell>
          <cell r="X423">
            <v>0</v>
          </cell>
          <cell r="Y423">
            <v>49.472509999999993</v>
          </cell>
          <cell r="AD423">
            <v>0</v>
          </cell>
        </row>
        <row r="424">
          <cell r="B424" t="str">
            <v>LCP-210135</v>
          </cell>
          <cell r="C424" t="str">
            <v>MC - FALSE TRUCK TIRES SYSTEM RETROFIT</v>
          </cell>
          <cell r="D424" t="str">
            <v>Productivity</v>
          </cell>
          <cell r="E424" t="str">
            <v>N</v>
          </cell>
          <cell r="F424" t="str">
            <v>LA</v>
          </cell>
          <cell r="H424" t="str">
            <v>Other</v>
          </cell>
          <cell r="I424" t="str">
            <v>OTHER</v>
          </cell>
          <cell r="J424" t="str">
            <v>MC</v>
          </cell>
          <cell r="T424">
            <v>0</v>
          </cell>
          <cell r="U424">
            <v>248.6147</v>
          </cell>
          <cell r="X424">
            <v>0</v>
          </cell>
          <cell r="Y424">
            <v>215.5001</v>
          </cell>
          <cell r="AD424">
            <v>0</v>
          </cell>
        </row>
        <row r="425">
          <cell r="B425" t="str">
            <v>LCP-210140</v>
          </cell>
          <cell r="C425" t="str">
            <v>AME - CAL 3R COOLING IMPROVEMENT</v>
          </cell>
          <cell r="D425" t="str">
            <v>Productivity</v>
          </cell>
          <cell r="E425" t="str">
            <v>N</v>
          </cell>
          <cell r="F425" t="str">
            <v>LA</v>
          </cell>
          <cell r="H425" t="str">
            <v>Commercial Radial</v>
          </cell>
          <cell r="I425" t="str">
            <v>OTHER</v>
          </cell>
          <cell r="J425" t="str">
            <v>AME</v>
          </cell>
          <cell r="T425">
            <v>0</v>
          </cell>
          <cell r="U425">
            <v>132</v>
          </cell>
          <cell r="X425">
            <v>94.177000000000021</v>
          </cell>
          <cell r="Y425">
            <v>3.1548099999999999</v>
          </cell>
          <cell r="AD425">
            <v>0</v>
          </cell>
        </row>
        <row r="426">
          <cell r="B426" t="str">
            <v>LCP-210189</v>
          </cell>
          <cell r="C426" t="str">
            <v>CTVM - VBOX EQUIPMENT</v>
          </cell>
          <cell r="D426" t="str">
            <v>Facilities Sustaining</v>
          </cell>
          <cell r="E426" t="str">
            <v>N</v>
          </cell>
          <cell r="F426" t="str">
            <v>LA</v>
          </cell>
          <cell r="H426" t="str">
            <v>OTR</v>
          </cell>
          <cell r="I426" t="str">
            <v>SAG - Other</v>
          </cell>
          <cell r="J426" t="str">
            <v>AME</v>
          </cell>
          <cell r="T426">
            <v>0</v>
          </cell>
          <cell r="U426">
            <v>32</v>
          </cell>
          <cell r="AD426">
            <v>0</v>
          </cell>
        </row>
        <row r="427">
          <cell r="B427" t="str">
            <v>x1</v>
          </cell>
          <cell r="C427" t="str">
            <v>AME - EQUIPMENT IN TRANSIT</v>
          </cell>
          <cell r="D427" t="str">
            <v>Facilities Sustaining</v>
          </cell>
          <cell r="E427" t="str">
            <v>N</v>
          </cell>
          <cell r="F427" t="str">
            <v>LA</v>
          </cell>
          <cell r="G427">
            <v>0</v>
          </cell>
          <cell r="H427" t="str">
            <v>Mixed</v>
          </cell>
          <cell r="I427">
            <v>0</v>
          </cell>
          <cell r="J427" t="str">
            <v>AME</v>
          </cell>
          <cell r="S427">
            <v>1301.705564530482</v>
          </cell>
          <cell r="T427">
            <v>361.70556453048198</v>
          </cell>
          <cell r="U427">
            <v>0</v>
          </cell>
          <cell r="AD427">
            <v>0</v>
          </cell>
        </row>
        <row r="428">
          <cell r="C428" t="str">
            <v>Interplant</v>
          </cell>
          <cell r="D428" t="str">
            <v>Capitalized Interes</v>
          </cell>
          <cell r="E428" t="str">
            <v>N</v>
          </cell>
          <cell r="F428" t="str">
            <v>LA</v>
          </cell>
          <cell r="G428">
            <v>0</v>
          </cell>
          <cell r="H428" t="str">
            <v>N/A</v>
          </cell>
          <cell r="I428" t="str">
            <v>N/A</v>
          </cell>
          <cell r="J428" t="str">
            <v>LA OTHER</v>
          </cell>
          <cell r="S428">
            <v>1222.6471040479996</v>
          </cell>
          <cell r="T428">
            <v>1920.5299240480003</v>
          </cell>
          <cell r="U428">
            <v>-848.5</v>
          </cell>
          <cell r="V428">
            <v>367.18319975843502</v>
          </cell>
          <cell r="W428">
            <v>367.18319975843502</v>
          </cell>
        </row>
        <row r="429">
          <cell r="C429" t="str">
            <v>PER - REGIONAL ADJUSTMENT</v>
          </cell>
          <cell r="D429" t="str">
            <v>Facilities Sustaining</v>
          </cell>
          <cell r="E429" t="str">
            <v>N</v>
          </cell>
          <cell r="F429" t="str">
            <v>LA</v>
          </cell>
          <cell r="G429">
            <v>0</v>
          </cell>
          <cell r="H429" t="str">
            <v>N/A</v>
          </cell>
          <cell r="I429">
            <v>0</v>
          </cell>
          <cell r="J429" t="str">
            <v>PER</v>
          </cell>
          <cell r="S429">
            <v>302.89204000000029</v>
          </cell>
          <cell r="T429">
            <v>306.31555000000048</v>
          </cell>
          <cell r="U429">
            <v>0</v>
          </cell>
          <cell r="V429">
            <v>-44.895929999999993</v>
          </cell>
          <cell r="W429">
            <v>-44.895929999999993</v>
          </cell>
        </row>
        <row r="430">
          <cell r="C430" t="str">
            <v>COL - QUAD Extruder New Skiver</v>
          </cell>
          <cell r="D430" t="str">
            <v>Facilities Sustaining</v>
          </cell>
          <cell r="E430" t="str">
            <v>N</v>
          </cell>
          <cell r="F430" t="str">
            <v>LA</v>
          </cell>
          <cell r="H430" t="str">
            <v>COMMERCIAL RADIAL</v>
          </cell>
          <cell r="I430" t="str">
            <v xml:space="preserve">EXTRUDING </v>
          </cell>
          <cell r="J430" t="str">
            <v>COL</v>
          </cell>
          <cell r="T430">
            <v>0</v>
          </cell>
          <cell r="U430">
            <v>40</v>
          </cell>
          <cell r="AD430">
            <v>200</v>
          </cell>
        </row>
        <row r="431">
          <cell r="C431" t="str">
            <v>AME - CAPITALIZED INTEREST</v>
          </cell>
          <cell r="D431" t="str">
            <v>Capitalized Interes</v>
          </cell>
          <cell r="E431" t="str">
            <v>N</v>
          </cell>
          <cell r="F431" t="str">
            <v>LA</v>
          </cell>
          <cell r="H431" t="str">
            <v>Mixed</v>
          </cell>
          <cell r="I431" t="str">
            <v>N/A</v>
          </cell>
          <cell r="J431" t="str">
            <v>LA OTHER</v>
          </cell>
          <cell r="S431">
            <v>3.8281761168749959</v>
          </cell>
          <cell r="T431">
            <v>3.9311761168749961</v>
          </cell>
          <cell r="U431">
            <v>3.6160000000000001</v>
          </cell>
          <cell r="V431">
            <v>6.7485501648749979</v>
          </cell>
          <cell r="W431">
            <v>6.7485501648749979</v>
          </cell>
        </row>
        <row r="432">
          <cell r="C432" t="str">
            <v>SLP - REGIONAL ADJUSTMENT</v>
          </cell>
          <cell r="D432" t="str">
            <v>Facilities Sustaining</v>
          </cell>
          <cell r="E432" t="str">
            <v>N</v>
          </cell>
          <cell r="F432" t="str">
            <v>LA</v>
          </cell>
          <cell r="G432">
            <v>0</v>
          </cell>
          <cell r="H432" t="str">
            <v>N/A</v>
          </cell>
          <cell r="I432">
            <v>0</v>
          </cell>
          <cell r="J432" t="str">
            <v>San Luis Potosi</v>
          </cell>
          <cell r="P432">
            <v>0</v>
          </cell>
          <cell r="S432">
            <v>4.1665899999992746</v>
          </cell>
          <cell r="T432">
            <v>6.0385799999994987</v>
          </cell>
          <cell r="U432">
            <v>0</v>
          </cell>
          <cell r="V432">
            <v>479</v>
          </cell>
          <cell r="W432">
            <v>504.8</v>
          </cell>
          <cell r="AA432">
            <v>4.1665899999992746</v>
          </cell>
        </row>
        <row r="433">
          <cell r="C433" t="str">
            <v>ARG - REGIONAL ADJUSTMENT</v>
          </cell>
          <cell r="D433" t="str">
            <v>SAG</v>
          </cell>
          <cell r="E433" t="str">
            <v>N</v>
          </cell>
          <cell r="F433" t="str">
            <v>LA</v>
          </cell>
          <cell r="G433">
            <v>0</v>
          </cell>
          <cell r="H433" t="str">
            <v>N/A</v>
          </cell>
          <cell r="I433">
            <v>0</v>
          </cell>
          <cell r="J433" t="str">
            <v>ARG</v>
          </cell>
          <cell r="P433">
            <v>0</v>
          </cell>
          <cell r="S433">
            <v>-0.35695000000002963</v>
          </cell>
          <cell r="T433">
            <v>4.4871999999999623</v>
          </cell>
          <cell r="U433">
            <v>0</v>
          </cell>
          <cell r="V433">
            <v>26.726399999999995</v>
          </cell>
          <cell r="W433">
            <v>26.726399999999995</v>
          </cell>
          <cell r="AA433">
            <v>0</v>
          </cell>
        </row>
        <row r="434">
          <cell r="C434" t="str">
            <v>COL - CAPITALIZED INTEREST</v>
          </cell>
          <cell r="D434" t="str">
            <v>Capitalized Interes</v>
          </cell>
          <cell r="E434" t="str">
            <v>N</v>
          </cell>
          <cell r="F434" t="str">
            <v>LA</v>
          </cell>
          <cell r="G434">
            <v>0</v>
          </cell>
          <cell r="H434" t="str">
            <v>Commercial Radial</v>
          </cell>
          <cell r="I434" t="str">
            <v>Other</v>
          </cell>
          <cell r="J434" t="str">
            <v>LA OTHER</v>
          </cell>
          <cell r="R434">
            <v>1.125</v>
          </cell>
          <cell r="S434">
            <v>1.214</v>
          </cell>
          <cell r="T434">
            <v>0.63300000000000001</v>
          </cell>
          <cell r="U434">
            <v>1.7120000000000002</v>
          </cell>
          <cell r="V434">
            <v>2.5990000000000002</v>
          </cell>
          <cell r="W434">
            <v>2.5990000000000002</v>
          </cell>
        </row>
        <row r="435">
          <cell r="C435" t="str">
            <v>AME - MOLDS IN TRANSIT CONSUMER</v>
          </cell>
          <cell r="D435" t="str">
            <v>Molds</v>
          </cell>
          <cell r="E435" t="str">
            <v>N</v>
          </cell>
          <cell r="F435" t="str">
            <v>LA</v>
          </cell>
          <cell r="H435" t="str">
            <v>Consumer Radial</v>
          </cell>
          <cell r="I435" t="str">
            <v>Curing</v>
          </cell>
          <cell r="J435" t="str">
            <v>AME</v>
          </cell>
          <cell r="S435">
            <v>567.81830077630093</v>
          </cell>
          <cell r="T435">
            <v>1.8300776300918642E-2</v>
          </cell>
          <cell r="U435">
            <v>0</v>
          </cell>
          <cell r="V435">
            <v>-300</v>
          </cell>
          <cell r="W435">
            <v>-300</v>
          </cell>
        </row>
        <row r="436">
          <cell r="C436" t="str">
            <v>AME - MOLDS IN TRANSIT COMMERCIAL</v>
          </cell>
          <cell r="D436" t="str">
            <v>Molds</v>
          </cell>
          <cell r="E436" t="str">
            <v>N</v>
          </cell>
          <cell r="F436" t="str">
            <v>LA</v>
          </cell>
          <cell r="H436" t="str">
            <v>COMMERCIAL RADIAL</v>
          </cell>
          <cell r="I436" t="str">
            <v>Curing</v>
          </cell>
          <cell r="J436" t="str">
            <v>AME</v>
          </cell>
          <cell r="T436">
            <v>8.1000000000000227</v>
          </cell>
          <cell r="U436">
            <v>0</v>
          </cell>
        </row>
        <row r="437">
          <cell r="C437" t="str">
            <v>AME - Flexibility Replacement</v>
          </cell>
          <cell r="D437" t="str">
            <v>Molds</v>
          </cell>
          <cell r="E437" t="str">
            <v>N</v>
          </cell>
          <cell r="F437" t="str">
            <v>LA</v>
          </cell>
          <cell r="H437" t="str">
            <v>Consumer Radial</v>
          </cell>
          <cell r="I437" t="str">
            <v>Curing</v>
          </cell>
          <cell r="J437" t="str">
            <v>AME</v>
          </cell>
          <cell r="S437">
            <v>0</v>
          </cell>
          <cell r="T437">
            <v>0</v>
          </cell>
          <cell r="U437">
            <v>0</v>
          </cell>
          <cell r="V437">
            <v>178</v>
          </cell>
          <cell r="W437">
            <v>178</v>
          </cell>
        </row>
        <row r="438">
          <cell r="C438" t="str">
            <v>AME - Various - OE</v>
          </cell>
          <cell r="D438" t="str">
            <v>Molds</v>
          </cell>
          <cell r="E438" t="str">
            <v>N</v>
          </cell>
          <cell r="F438" t="str">
            <v>LA</v>
          </cell>
          <cell r="H438" t="str">
            <v>Consumer Radial</v>
          </cell>
          <cell r="I438" t="str">
            <v>Curing</v>
          </cell>
          <cell r="J438" t="str">
            <v>AME</v>
          </cell>
          <cell r="S438">
            <v>0</v>
          </cell>
          <cell r="T438">
            <v>0</v>
          </cell>
          <cell r="U438">
            <v>0</v>
          </cell>
          <cell r="V438">
            <v>261.85000000000002</v>
          </cell>
          <cell r="W438">
            <v>261.85000000000002</v>
          </cell>
        </row>
        <row r="439">
          <cell r="C439" t="str">
            <v>FuelMax LHS Gen 2 Production Support molds</v>
          </cell>
          <cell r="D439" t="str">
            <v>Molds</v>
          </cell>
          <cell r="E439" t="str">
            <v>N</v>
          </cell>
          <cell r="F439" t="str">
            <v>LA</v>
          </cell>
          <cell r="H439" t="str">
            <v>Commercial Radial</v>
          </cell>
          <cell r="I439" t="str">
            <v>Curing</v>
          </cell>
          <cell r="J439" t="str">
            <v>AME</v>
          </cell>
          <cell r="S439">
            <v>0</v>
          </cell>
          <cell r="T439">
            <v>0</v>
          </cell>
          <cell r="U439">
            <v>0</v>
          </cell>
          <cell r="V439">
            <v>120</v>
          </cell>
          <cell r="W439">
            <v>120</v>
          </cell>
        </row>
        <row r="440">
          <cell r="C440" t="str">
            <v>ARG-BUENOS AIRES COMPUTER ROOM REFRESH BY LIFECYCLE</v>
          </cell>
          <cell r="D440" t="str">
            <v>IT</v>
          </cell>
          <cell r="E440" t="str">
            <v>N</v>
          </cell>
          <cell r="F440" t="str">
            <v>LA</v>
          </cell>
          <cell r="H440" t="str">
            <v>Other</v>
          </cell>
          <cell r="I440" t="str">
            <v>SAG - IT</v>
          </cell>
          <cell r="J440" t="str">
            <v>ARG</v>
          </cell>
          <cell r="S440">
            <v>0</v>
          </cell>
          <cell r="T440">
            <v>0</v>
          </cell>
          <cell r="U440">
            <v>0</v>
          </cell>
          <cell r="V440">
            <v>15</v>
          </cell>
          <cell r="W440">
            <v>15</v>
          </cell>
        </row>
        <row r="441">
          <cell r="C441" t="str">
            <v>Supply Chain WH automaton of processes</v>
          </cell>
          <cell r="D441" t="str">
            <v>SAG</v>
          </cell>
          <cell r="E441" t="str">
            <v>N</v>
          </cell>
          <cell r="F441" t="str">
            <v>LA</v>
          </cell>
          <cell r="H441" t="str">
            <v>N/A</v>
          </cell>
          <cell r="I441" t="str">
            <v>SAG - Supply Chain</v>
          </cell>
          <cell r="J441" t="str">
            <v>ARG</v>
          </cell>
          <cell r="S441">
            <v>0</v>
          </cell>
          <cell r="T441">
            <v>0</v>
          </cell>
          <cell r="U441">
            <v>0</v>
          </cell>
          <cell r="V441">
            <v>15</v>
          </cell>
          <cell r="W441">
            <v>15</v>
          </cell>
        </row>
        <row r="442">
          <cell r="C442" t="str">
            <v>Blue Racks Acquisition</v>
          </cell>
          <cell r="D442" t="str">
            <v>SAG</v>
          </cell>
          <cell r="E442" t="str">
            <v>N</v>
          </cell>
          <cell r="F442" t="str">
            <v>LA</v>
          </cell>
          <cell r="H442" t="str">
            <v>Consumer Radial</v>
          </cell>
          <cell r="I442" t="str">
            <v>SAG - Supply Chain</v>
          </cell>
          <cell r="J442" t="str">
            <v>ARG</v>
          </cell>
          <cell r="S442">
            <v>0</v>
          </cell>
          <cell r="T442">
            <v>0</v>
          </cell>
          <cell r="U442">
            <v>0</v>
          </cell>
          <cell r="V442">
            <v>90</v>
          </cell>
          <cell r="W442">
            <v>90</v>
          </cell>
        </row>
        <row r="443">
          <cell r="C443" t="str">
            <v>BRAZIL LEGAL REQUIREMENTS</v>
          </cell>
          <cell r="D443" t="str">
            <v>IT</v>
          </cell>
          <cell r="E443" t="str">
            <v>N</v>
          </cell>
          <cell r="F443" t="str">
            <v>LA</v>
          </cell>
          <cell r="H443" t="str">
            <v>Other</v>
          </cell>
          <cell r="I443" t="str">
            <v>SAG - IT</v>
          </cell>
          <cell r="J443" t="str">
            <v>BRZ</v>
          </cell>
          <cell r="S443">
            <v>0</v>
          </cell>
          <cell r="T443">
            <v>0</v>
          </cell>
          <cell r="U443">
            <v>0</v>
          </cell>
          <cell r="V443">
            <v>152</v>
          </cell>
          <cell r="W443">
            <v>152</v>
          </cell>
        </row>
        <row r="444">
          <cell r="C444" t="str">
            <v>BRAZIL MAX SERVICES</v>
          </cell>
          <cell r="D444" t="str">
            <v>IT</v>
          </cell>
          <cell r="E444" t="str">
            <v>N</v>
          </cell>
          <cell r="F444" t="str">
            <v>LA</v>
          </cell>
          <cell r="H444" t="str">
            <v>Other</v>
          </cell>
          <cell r="I444" t="str">
            <v>SAG - IT</v>
          </cell>
          <cell r="J444" t="str">
            <v>BRZ</v>
          </cell>
          <cell r="T444">
            <v>0</v>
          </cell>
          <cell r="U444">
            <v>0</v>
          </cell>
        </row>
        <row r="445">
          <cell r="C445" t="str">
            <v>BRA - AMERICANA IT NETWORK FIBER TO MAIN GATE/POWER HOUSE AND ADJACENCIES</v>
          </cell>
          <cell r="D445" t="str">
            <v>IT</v>
          </cell>
          <cell r="E445" t="str">
            <v>N</v>
          </cell>
          <cell r="F445" t="str">
            <v>LA</v>
          </cell>
          <cell r="H445" t="str">
            <v>N/A</v>
          </cell>
          <cell r="I445" t="str">
            <v>SAG - IT</v>
          </cell>
          <cell r="J445" t="str">
            <v>BRZ</v>
          </cell>
          <cell r="T445">
            <v>0</v>
          </cell>
          <cell r="U445">
            <v>0</v>
          </cell>
          <cell r="V445">
            <v>150</v>
          </cell>
          <cell r="W445">
            <v>150</v>
          </cell>
        </row>
        <row r="446">
          <cell r="C446" t="str">
            <v>CHI - Scale</v>
          </cell>
          <cell r="D446" t="str">
            <v>SAG</v>
          </cell>
          <cell r="E446" t="str">
            <v>N</v>
          </cell>
          <cell r="F446" t="str">
            <v>LA</v>
          </cell>
          <cell r="H446" t="str">
            <v>CONSUMER RADIAL</v>
          </cell>
          <cell r="I446" t="str">
            <v>SAG - Sales &amp; Marketing</v>
          </cell>
          <cell r="J446" t="str">
            <v>CHI</v>
          </cell>
          <cell r="S446">
            <v>0</v>
          </cell>
          <cell r="T446">
            <v>0</v>
          </cell>
          <cell r="U446">
            <v>0</v>
          </cell>
          <cell r="V446">
            <v>15.58333333333333</v>
          </cell>
          <cell r="W446">
            <v>15.58333333333333</v>
          </cell>
        </row>
        <row r="447">
          <cell r="C447" t="str">
            <v>CHI - Ecuador office equipment</v>
          </cell>
          <cell r="D447" t="str">
            <v>SAG</v>
          </cell>
          <cell r="E447" t="str">
            <v>N</v>
          </cell>
          <cell r="F447" t="str">
            <v>LA</v>
          </cell>
          <cell r="H447" t="str">
            <v>CONSUMER RADIAL</v>
          </cell>
          <cell r="I447" t="str">
            <v>SAG - Sales &amp; Marketing</v>
          </cell>
          <cell r="J447" t="str">
            <v>CHI</v>
          </cell>
          <cell r="S447">
            <v>0</v>
          </cell>
          <cell r="T447">
            <v>0</v>
          </cell>
          <cell r="U447">
            <v>0</v>
          </cell>
          <cell r="V447">
            <v>9.625</v>
          </cell>
          <cell r="W447">
            <v>9.625</v>
          </cell>
        </row>
        <row r="448">
          <cell r="C448" t="str">
            <v>CHI - REGIONAL ADJUSTMENT</v>
          </cell>
          <cell r="D448" t="str">
            <v>SAG</v>
          </cell>
          <cell r="E448" t="str">
            <v>N</v>
          </cell>
          <cell r="F448" t="str">
            <v>LA</v>
          </cell>
          <cell r="G448">
            <v>0</v>
          </cell>
          <cell r="H448" t="str">
            <v>N/A</v>
          </cell>
          <cell r="I448">
            <v>0</v>
          </cell>
          <cell r="J448" t="str">
            <v>CHI</v>
          </cell>
          <cell r="S448">
            <v>0</v>
          </cell>
          <cell r="T448">
            <v>0</v>
          </cell>
          <cell r="U448">
            <v>0</v>
          </cell>
        </row>
        <row r="449">
          <cell r="C449" t="str">
            <v>COL - Upgrade single extuder 8" (4.5 Extruder ExGadsden)</v>
          </cell>
          <cell r="D449" t="str">
            <v>Capability</v>
          </cell>
          <cell r="E449" t="str">
            <v>N</v>
          </cell>
          <cell r="F449" t="str">
            <v>LA</v>
          </cell>
          <cell r="H449" t="str">
            <v>Commercial Radial</v>
          </cell>
          <cell r="I449" t="str">
            <v xml:space="preserve">Extruding </v>
          </cell>
          <cell r="J449" t="str">
            <v>COL</v>
          </cell>
          <cell r="S449">
            <v>0</v>
          </cell>
          <cell r="T449">
            <v>0</v>
          </cell>
          <cell r="U449">
            <v>0</v>
          </cell>
          <cell r="V449">
            <v>200</v>
          </cell>
          <cell r="W449">
            <v>200</v>
          </cell>
        </row>
        <row r="450">
          <cell r="C450" t="str">
            <v>COL - HEALTH-EXHAUST &amp; VENTILATION SYSTEMS IN BB2</v>
          </cell>
          <cell r="D450" t="str">
            <v>EHS</v>
          </cell>
          <cell r="E450" t="str">
            <v>N</v>
          </cell>
          <cell r="F450" t="str">
            <v>LA</v>
          </cell>
          <cell r="G450" t="str">
            <v>HYG</v>
          </cell>
          <cell r="H450" t="str">
            <v>Commercial Radial</v>
          </cell>
          <cell r="I450" t="str">
            <v>Mixing</v>
          </cell>
          <cell r="J450" t="str">
            <v>COL</v>
          </cell>
          <cell r="S450">
            <v>0</v>
          </cell>
          <cell r="T450">
            <v>0</v>
          </cell>
          <cell r="U450">
            <v>0</v>
          </cell>
          <cell r="V450">
            <v>50</v>
          </cell>
          <cell r="W450">
            <v>50</v>
          </cell>
        </row>
        <row r="451">
          <cell r="C451" t="str">
            <v>COL - LOCKERS MODERNIZATION (INCLUDE NEW BATHROOM IN PRESSES)</v>
          </cell>
          <cell r="D451" t="str">
            <v>EHS</v>
          </cell>
          <cell r="E451" t="str">
            <v>N</v>
          </cell>
          <cell r="F451" t="str">
            <v>LA</v>
          </cell>
          <cell r="G451" t="str">
            <v>HYG</v>
          </cell>
          <cell r="H451" t="str">
            <v>Commercial Radial</v>
          </cell>
          <cell r="I451" t="str">
            <v>Facilities/Infrastructure</v>
          </cell>
          <cell r="J451" t="str">
            <v>COL</v>
          </cell>
          <cell r="S451">
            <v>0</v>
          </cell>
          <cell r="T451">
            <v>0</v>
          </cell>
          <cell r="U451">
            <v>0</v>
          </cell>
          <cell r="V451">
            <v>60</v>
          </cell>
          <cell r="W451">
            <v>60</v>
          </cell>
        </row>
        <row r="452">
          <cell r="C452" t="str">
            <v>COL - MRT Expansion</v>
          </cell>
          <cell r="D452" t="str">
            <v>Growth</v>
          </cell>
          <cell r="E452" t="str">
            <v>N</v>
          </cell>
          <cell r="F452" t="str">
            <v>LA</v>
          </cell>
          <cell r="H452" t="str">
            <v>COMMERCIAL RADIAL</v>
          </cell>
          <cell r="I452" t="str">
            <v>OTHER</v>
          </cell>
          <cell r="J452" t="str">
            <v>COL</v>
          </cell>
          <cell r="T452">
            <v>0</v>
          </cell>
          <cell r="U452">
            <v>0</v>
          </cell>
        </row>
        <row r="453">
          <cell r="C453" t="str">
            <v xml:space="preserve">COL - SAMPLE MIX/AUTO WW </v>
          </cell>
          <cell r="D453" t="str">
            <v>Productivity</v>
          </cell>
          <cell r="E453" t="str">
            <v>N</v>
          </cell>
          <cell r="F453" t="str">
            <v>LA</v>
          </cell>
          <cell r="H453" t="str">
            <v>Commercial Radial</v>
          </cell>
          <cell r="I453" t="str">
            <v>N/A</v>
          </cell>
          <cell r="J453" t="str">
            <v>COL</v>
          </cell>
          <cell r="S453">
            <v>0</v>
          </cell>
          <cell r="T453">
            <v>0</v>
          </cell>
          <cell r="U453">
            <v>0</v>
          </cell>
          <cell r="V453">
            <v>150</v>
          </cell>
          <cell r="W453">
            <v>150</v>
          </cell>
        </row>
        <row r="454">
          <cell r="C454" t="str">
            <v>COL - Dual wind up a let off for Alpha shear</v>
          </cell>
          <cell r="D454" t="str">
            <v>Productivity</v>
          </cell>
          <cell r="E454" t="str">
            <v>N</v>
          </cell>
          <cell r="F454" t="str">
            <v>LA</v>
          </cell>
          <cell r="H454" t="str">
            <v>Commercial Radial</v>
          </cell>
          <cell r="I454" t="str">
            <v>Component Prep Other</v>
          </cell>
          <cell r="J454" t="str">
            <v>COL</v>
          </cell>
          <cell r="S454">
            <v>0</v>
          </cell>
          <cell r="T454">
            <v>0</v>
          </cell>
          <cell r="U454">
            <v>0</v>
          </cell>
          <cell r="V454">
            <v>150</v>
          </cell>
          <cell r="W454">
            <v>150</v>
          </cell>
        </row>
        <row r="455">
          <cell r="C455" t="str">
            <v>COL - ROLAND OPEN SPLICE DETECTOR - MRT PLY CUTTERS</v>
          </cell>
          <cell r="D455" t="str">
            <v>Quality - Improvement</v>
          </cell>
          <cell r="E455" t="str">
            <v>N</v>
          </cell>
          <cell r="F455" t="str">
            <v>LA</v>
          </cell>
          <cell r="H455" t="str">
            <v>Commercial Radial</v>
          </cell>
          <cell r="I455" t="str">
            <v>Component Prep Other</v>
          </cell>
          <cell r="J455" t="str">
            <v>COL</v>
          </cell>
          <cell r="S455">
            <v>0</v>
          </cell>
          <cell r="T455">
            <v>0</v>
          </cell>
          <cell r="U455">
            <v>0</v>
          </cell>
          <cell r="V455">
            <v>70</v>
          </cell>
          <cell r="W455">
            <v>70</v>
          </cell>
        </row>
        <row r="456">
          <cell r="C456" t="str">
            <v>COL - AUTOMATIC GAUGE CONTROL FOR WIRE CALANDER</v>
          </cell>
          <cell r="D456" t="str">
            <v>Quality - Improvement</v>
          </cell>
          <cell r="E456" t="str">
            <v>N</v>
          </cell>
          <cell r="F456" t="str">
            <v>LA</v>
          </cell>
          <cell r="H456" t="str">
            <v>Commercial Radial</v>
          </cell>
          <cell r="I456" t="str">
            <v>Component Prep Other</v>
          </cell>
          <cell r="J456" t="str">
            <v>COL</v>
          </cell>
          <cell r="S456">
            <v>0</v>
          </cell>
          <cell r="T456">
            <v>0</v>
          </cell>
          <cell r="U456">
            <v>0</v>
          </cell>
          <cell r="V456">
            <v>50</v>
          </cell>
          <cell r="W456">
            <v>50</v>
          </cell>
        </row>
        <row r="457">
          <cell r="C457" t="str">
            <v>GM - 3 Vehicles for sales</v>
          </cell>
          <cell r="D457" t="str">
            <v>SAG</v>
          </cell>
          <cell r="E457" t="str">
            <v>N</v>
          </cell>
          <cell r="F457" t="str">
            <v>LA</v>
          </cell>
          <cell r="G457">
            <v>0</v>
          </cell>
          <cell r="H457" t="str">
            <v>Other</v>
          </cell>
          <cell r="I457" t="str">
            <v>SAG - Other</v>
          </cell>
          <cell r="J457" t="str">
            <v>GIC</v>
          </cell>
          <cell r="T457">
            <v>0</v>
          </cell>
          <cell r="U457">
            <v>0</v>
          </cell>
        </row>
        <row r="458">
          <cell r="C458" t="str">
            <v>GM - New Office</v>
          </cell>
          <cell r="D458" t="str">
            <v>SAG</v>
          </cell>
          <cell r="E458" t="str">
            <v>N</v>
          </cell>
          <cell r="F458" t="str">
            <v>LA</v>
          </cell>
          <cell r="G458">
            <v>0</v>
          </cell>
          <cell r="H458" t="str">
            <v>Other</v>
          </cell>
          <cell r="I458" t="str">
            <v>SAG - Other</v>
          </cell>
          <cell r="J458" t="str">
            <v>GIC</v>
          </cell>
          <cell r="T458">
            <v>0</v>
          </cell>
          <cell r="U458">
            <v>0</v>
          </cell>
        </row>
        <row r="459">
          <cell r="C459" t="str">
            <v>Guatemala office PCs &amp; equipment</v>
          </cell>
          <cell r="D459" t="str">
            <v>SAG</v>
          </cell>
          <cell r="E459" t="str">
            <v>N</v>
          </cell>
          <cell r="F459" t="str">
            <v>LA</v>
          </cell>
          <cell r="H459" t="str">
            <v>Other</v>
          </cell>
          <cell r="I459" t="str">
            <v>SAG - Other</v>
          </cell>
          <cell r="J459" t="str">
            <v>GIC</v>
          </cell>
          <cell r="S459">
            <v>0</v>
          </cell>
          <cell r="T459">
            <v>0</v>
          </cell>
          <cell r="U459">
            <v>0</v>
          </cell>
          <cell r="V459">
            <v>29.969999999999992</v>
          </cell>
          <cell r="W459">
            <v>29.969999999999992</v>
          </cell>
        </row>
        <row r="460">
          <cell r="C460" t="str">
            <v>Guatemala office connectivity</v>
          </cell>
          <cell r="D460" t="str">
            <v>SAG</v>
          </cell>
          <cell r="E460" t="str">
            <v>N</v>
          </cell>
          <cell r="F460" t="str">
            <v>LA</v>
          </cell>
          <cell r="H460" t="str">
            <v>Other</v>
          </cell>
          <cell r="I460" t="str">
            <v>SAG - Other</v>
          </cell>
          <cell r="J460" t="str">
            <v>GIC</v>
          </cell>
          <cell r="S460">
            <v>0</v>
          </cell>
          <cell r="T460">
            <v>0</v>
          </cell>
          <cell r="U460">
            <v>0</v>
          </cell>
          <cell r="V460">
            <v>19.999999999999996</v>
          </cell>
          <cell r="W460">
            <v>19.999999999999996</v>
          </cell>
        </row>
        <row r="461">
          <cell r="C461" t="str">
            <v>GIC - REGIONAL ADJUSTMENT</v>
          </cell>
          <cell r="D461" t="str">
            <v>SAG</v>
          </cell>
          <cell r="E461" t="str">
            <v>N</v>
          </cell>
          <cell r="F461" t="str">
            <v>LA</v>
          </cell>
          <cell r="G461">
            <v>0</v>
          </cell>
          <cell r="H461" t="str">
            <v>N/A</v>
          </cell>
          <cell r="I461">
            <v>0</v>
          </cell>
          <cell r="J461" t="str">
            <v>GIC</v>
          </cell>
          <cell r="S461">
            <v>0</v>
          </cell>
          <cell r="T461">
            <v>0</v>
          </cell>
          <cell r="U461">
            <v>0</v>
          </cell>
        </row>
        <row r="462">
          <cell r="C462" t="str">
            <v>PER - CAPITALIZED INTEREST</v>
          </cell>
          <cell r="D462" t="str">
            <v>Capitalized Interes</v>
          </cell>
          <cell r="E462" t="str">
            <v>N</v>
          </cell>
          <cell r="F462" t="str">
            <v>LA</v>
          </cell>
          <cell r="G462">
            <v>0</v>
          </cell>
          <cell r="H462" t="str">
            <v>N/A</v>
          </cell>
          <cell r="I462">
            <v>0</v>
          </cell>
          <cell r="J462" t="str">
            <v>LA OTHER</v>
          </cell>
          <cell r="S462">
            <v>0</v>
          </cell>
          <cell r="T462">
            <v>0</v>
          </cell>
          <cell r="U462">
            <v>0</v>
          </cell>
        </row>
        <row r="463">
          <cell r="C463" t="str">
            <v>MEX-STAFE/TULTITLAN OFFICE IT NETWORK  AND APPLICATION SERVERS LIFECYCLE (PHASE 2/2)</v>
          </cell>
          <cell r="D463" t="str">
            <v>IT</v>
          </cell>
          <cell r="E463" t="str">
            <v>N</v>
          </cell>
          <cell r="F463" t="str">
            <v>LA</v>
          </cell>
          <cell r="H463" t="str">
            <v>Other</v>
          </cell>
          <cell r="I463" t="str">
            <v>SAG - IT</v>
          </cell>
          <cell r="J463" t="str">
            <v>MEX</v>
          </cell>
          <cell r="S463">
            <v>0</v>
          </cell>
          <cell r="T463">
            <v>0</v>
          </cell>
          <cell r="U463">
            <v>0</v>
          </cell>
          <cell r="V463">
            <v>67</v>
          </cell>
          <cell r="W463">
            <v>67</v>
          </cell>
        </row>
        <row r="464">
          <cell r="C464" t="str">
            <v>MEX- Racks</v>
          </cell>
          <cell r="D464" t="str">
            <v>SAG</v>
          </cell>
          <cell r="E464" t="str">
            <v>N</v>
          </cell>
          <cell r="F464" t="str">
            <v>LA</v>
          </cell>
          <cell r="H464" t="str">
            <v>MIXED</v>
          </cell>
          <cell r="I464" t="str">
            <v>SAG - Supply Chain</v>
          </cell>
          <cell r="J464" t="str">
            <v>MEX</v>
          </cell>
          <cell r="S464">
            <v>0</v>
          </cell>
          <cell r="T464">
            <v>0</v>
          </cell>
          <cell r="U464">
            <v>0</v>
          </cell>
          <cell r="V464">
            <v>50</v>
          </cell>
          <cell r="W464">
            <v>50</v>
          </cell>
        </row>
        <row r="465">
          <cell r="C465" t="str">
            <v>MEX - Emergency Power Plant</v>
          </cell>
          <cell r="D465" t="str">
            <v>SAG</v>
          </cell>
          <cell r="E465" t="str">
            <v>N</v>
          </cell>
          <cell r="F465" t="str">
            <v>LA</v>
          </cell>
          <cell r="H465" t="str">
            <v>N/A</v>
          </cell>
          <cell r="I465" t="str">
            <v>SAG - Supply Chain</v>
          </cell>
          <cell r="J465" t="str">
            <v>MEX</v>
          </cell>
          <cell r="S465">
            <v>0</v>
          </cell>
          <cell r="T465">
            <v>0</v>
          </cell>
          <cell r="U465">
            <v>0</v>
          </cell>
        </row>
        <row r="466">
          <cell r="C466" t="str">
            <v xml:space="preserve">MEX - RFID / Barcoding </v>
          </cell>
          <cell r="D466" t="str">
            <v>SAG</v>
          </cell>
          <cell r="E466" t="str">
            <v>N</v>
          </cell>
          <cell r="F466" t="str">
            <v>LA</v>
          </cell>
          <cell r="H466" t="str">
            <v>N/A</v>
          </cell>
          <cell r="I466" t="str">
            <v>SAG - Supply Chain</v>
          </cell>
          <cell r="J466" t="str">
            <v>MEX</v>
          </cell>
          <cell r="S466">
            <v>0</v>
          </cell>
          <cell r="T466">
            <v>0</v>
          </cell>
          <cell r="U466">
            <v>0</v>
          </cell>
        </row>
        <row r="467">
          <cell r="C467" t="str">
            <v>PER - (3) NEW HYDRAULIC PRESSES 52" + UPGRADE STEELASTIC</v>
          </cell>
          <cell r="D467" t="str">
            <v>Growth</v>
          </cell>
          <cell r="E467" t="str">
            <v>N</v>
          </cell>
          <cell r="F467" t="str">
            <v>LA</v>
          </cell>
          <cell r="H467" t="str">
            <v>COMMERCIAL RADIAL</v>
          </cell>
          <cell r="I467" t="str">
            <v>CURING</v>
          </cell>
          <cell r="J467" t="str">
            <v>PER</v>
          </cell>
          <cell r="T467">
            <v>0</v>
          </cell>
          <cell r="U467">
            <v>0</v>
          </cell>
          <cell r="AD467">
            <v>1749</v>
          </cell>
        </row>
        <row r="468">
          <cell r="C468" t="str">
            <v>Blue Racks acquisition</v>
          </cell>
          <cell r="D468" t="str">
            <v>SAG</v>
          </cell>
          <cell r="E468" t="str">
            <v>N</v>
          </cell>
          <cell r="F468" t="str">
            <v>LA</v>
          </cell>
          <cell r="H468" t="str">
            <v>MIXED</v>
          </cell>
          <cell r="I468" t="str">
            <v>SAG - Supply Chain</v>
          </cell>
          <cell r="J468" t="str">
            <v>PER</v>
          </cell>
          <cell r="S468">
            <v>0</v>
          </cell>
          <cell r="T468">
            <v>0</v>
          </cell>
          <cell r="U468">
            <v>0</v>
          </cell>
          <cell r="V468">
            <v>50</v>
          </cell>
          <cell r="W468">
            <v>50</v>
          </cell>
        </row>
        <row r="469">
          <cell r="C469" t="str">
            <v>ADJUSTMENT FOR PRESENTATION (Pigment Room)</v>
          </cell>
          <cell r="D469" t="str">
            <v>Capability</v>
          </cell>
          <cell r="E469" t="str">
            <v>N</v>
          </cell>
          <cell r="F469" t="str">
            <v>LA</v>
          </cell>
          <cell r="H469" t="str">
            <v>Consumer Radial</v>
          </cell>
          <cell r="J469" t="str">
            <v>REG</v>
          </cell>
          <cell r="T469">
            <v>0</v>
          </cell>
          <cell r="U469">
            <v>0</v>
          </cell>
        </row>
        <row r="470">
          <cell r="C470" t="str">
            <v>ADJUSTMENT FOR PRESENTATION (Aztec 1 &amp; NPT additional)</v>
          </cell>
          <cell r="D470" t="str">
            <v>Capability</v>
          </cell>
          <cell r="E470" t="str">
            <v>N</v>
          </cell>
          <cell r="F470" t="str">
            <v>LA</v>
          </cell>
          <cell r="H470" t="str">
            <v>Consumer Radial</v>
          </cell>
          <cell r="J470" t="str">
            <v>REG</v>
          </cell>
          <cell r="T470">
            <v>0</v>
          </cell>
          <cell r="U470">
            <v>0</v>
          </cell>
        </row>
        <row r="471">
          <cell r="C471" t="str">
            <v>ADJUSTMENT FOR PRESENTATION (MRT Expansion)</v>
          </cell>
          <cell r="D471" t="str">
            <v>Growth</v>
          </cell>
          <cell r="E471" t="str">
            <v>N</v>
          </cell>
          <cell r="F471" t="str">
            <v>LA</v>
          </cell>
          <cell r="H471" t="str">
            <v>COMMERCIAL RADIAL</v>
          </cell>
          <cell r="J471" t="str">
            <v>REG</v>
          </cell>
          <cell r="T471">
            <v>0</v>
          </cell>
          <cell r="U471">
            <v>0</v>
          </cell>
        </row>
        <row r="472">
          <cell r="C472" t="str">
            <v>ADJUSTMENT FOR PRESENTATION</v>
          </cell>
          <cell r="D472" t="str">
            <v>IT</v>
          </cell>
          <cell r="E472" t="str">
            <v>N</v>
          </cell>
          <cell r="F472" t="str">
            <v>LA</v>
          </cell>
          <cell r="H472" t="str">
            <v>MIXED</v>
          </cell>
          <cell r="J472" t="str">
            <v>REG</v>
          </cell>
          <cell r="T472">
            <v>0</v>
          </cell>
          <cell r="U472">
            <v>0</v>
          </cell>
        </row>
        <row r="473">
          <cell r="C473" t="str">
            <v>REG - Adjustment Molds</v>
          </cell>
          <cell r="D473" t="str">
            <v>Molds</v>
          </cell>
          <cell r="E473" t="str">
            <v>N</v>
          </cell>
          <cell r="F473" t="str">
            <v>LA</v>
          </cell>
          <cell r="H473" t="str">
            <v>Commercial Radial</v>
          </cell>
          <cell r="I473" t="str">
            <v>Curing</v>
          </cell>
          <cell r="J473" t="str">
            <v>REG</v>
          </cell>
          <cell r="S473">
            <v>0</v>
          </cell>
          <cell r="T473">
            <v>0</v>
          </cell>
          <cell r="U473">
            <v>0</v>
          </cell>
        </row>
        <row r="474">
          <cell r="C474" t="str">
            <v>Mold flexibility</v>
          </cell>
          <cell r="D474" t="str">
            <v>Molds</v>
          </cell>
          <cell r="E474" t="str">
            <v>N</v>
          </cell>
          <cell r="F474" t="str">
            <v>LA</v>
          </cell>
          <cell r="H474" t="str">
            <v>Consumer Radial</v>
          </cell>
          <cell r="I474" t="str">
            <v>Curing</v>
          </cell>
          <cell r="J474" t="str">
            <v>REG</v>
          </cell>
          <cell r="S474">
            <v>0</v>
          </cell>
          <cell r="T474">
            <v>0</v>
          </cell>
          <cell r="U474">
            <v>0</v>
          </cell>
        </row>
        <row r="475">
          <cell r="C475" t="str">
            <v>REG - Adjustment Molds</v>
          </cell>
          <cell r="D475" t="str">
            <v>Molds</v>
          </cell>
          <cell r="E475" t="str">
            <v>N</v>
          </cell>
          <cell r="F475" t="str">
            <v>LA</v>
          </cell>
          <cell r="H475" t="str">
            <v>Consumer Radial</v>
          </cell>
          <cell r="I475" t="str">
            <v>Curing</v>
          </cell>
          <cell r="J475" t="str">
            <v>REG</v>
          </cell>
          <cell r="S475">
            <v>0</v>
          </cell>
          <cell r="T475">
            <v>0</v>
          </cell>
          <cell r="U475">
            <v>0</v>
          </cell>
        </row>
        <row r="476">
          <cell r="C476" t="str">
            <v>ADJUSTMENT FOR PRESENTATION (PER Directional)</v>
          </cell>
          <cell r="D476" t="str">
            <v>Molds</v>
          </cell>
          <cell r="E476" t="str">
            <v>N</v>
          </cell>
          <cell r="F476" t="str">
            <v>LA</v>
          </cell>
          <cell r="H476" t="str">
            <v>Consumer Radial</v>
          </cell>
          <cell r="J476" t="str">
            <v>REG</v>
          </cell>
          <cell r="T476">
            <v>0</v>
          </cell>
          <cell r="U476">
            <v>0</v>
          </cell>
        </row>
        <row r="477">
          <cell r="C477" t="str">
            <v>ADJUSTMENT FOR PRESENTATION (AME Direectional)</v>
          </cell>
          <cell r="D477" t="str">
            <v>Molds</v>
          </cell>
          <cell r="E477" t="str">
            <v>N</v>
          </cell>
          <cell r="F477" t="str">
            <v>LA</v>
          </cell>
          <cell r="H477" t="str">
            <v>Consumer Radial</v>
          </cell>
          <cell r="J477" t="str">
            <v>REG</v>
          </cell>
          <cell r="T477">
            <v>0</v>
          </cell>
          <cell r="U477">
            <v>0</v>
          </cell>
        </row>
        <row r="478">
          <cell r="C478" t="str">
            <v>ADJUSTMENT FOR PRESENTATION</v>
          </cell>
          <cell r="D478" t="str">
            <v>Molds NA</v>
          </cell>
          <cell r="E478" t="str">
            <v>N</v>
          </cell>
          <cell r="F478" t="str">
            <v>LA</v>
          </cell>
          <cell r="H478" t="str">
            <v>Consumer Radial</v>
          </cell>
          <cell r="J478" t="str">
            <v>REG</v>
          </cell>
          <cell r="T478">
            <v>0</v>
          </cell>
          <cell r="U478">
            <v>0</v>
          </cell>
        </row>
        <row r="479">
          <cell r="C479" t="str">
            <v>ADJUSTMENT FOR PRESENTATION</v>
          </cell>
          <cell r="D479" t="str">
            <v>Quality - Improvement</v>
          </cell>
          <cell r="E479" t="str">
            <v>N</v>
          </cell>
          <cell r="F479" t="str">
            <v>LA</v>
          </cell>
          <cell r="H479" t="str">
            <v>Consumer Radial</v>
          </cell>
          <cell r="J479" t="str">
            <v>REG</v>
          </cell>
          <cell r="T479">
            <v>0</v>
          </cell>
          <cell r="U479">
            <v>0</v>
          </cell>
        </row>
        <row r="480">
          <cell r="C480" t="str">
            <v>eCommerce Capabilities</v>
          </cell>
          <cell r="D480" t="str">
            <v>SAG</v>
          </cell>
          <cell r="E480" t="str">
            <v>N</v>
          </cell>
          <cell r="F480" t="str">
            <v>LA</v>
          </cell>
          <cell r="H480" t="str">
            <v>N/A</v>
          </cell>
          <cell r="I480" t="str">
            <v>SAG - Sales &amp; Marketing</v>
          </cell>
          <cell r="J480" t="str">
            <v>REG</v>
          </cell>
          <cell r="S480">
            <v>0</v>
          </cell>
          <cell r="T480">
            <v>0</v>
          </cell>
          <cell r="U480">
            <v>0</v>
          </cell>
          <cell r="AD480">
            <v>100</v>
          </cell>
        </row>
        <row r="481">
          <cell r="C481" t="str">
            <v>City Service Successor</v>
          </cell>
          <cell r="D481" t="str">
            <v>Molds</v>
          </cell>
          <cell r="E481" t="str">
            <v>N</v>
          </cell>
          <cell r="F481" t="str">
            <v>LA</v>
          </cell>
          <cell r="H481" t="str">
            <v>Retread</v>
          </cell>
          <cell r="I481" t="str">
            <v>Curing</v>
          </cell>
          <cell r="J481" t="str">
            <v>RET</v>
          </cell>
          <cell r="S481">
            <v>0</v>
          </cell>
          <cell r="T481">
            <v>0</v>
          </cell>
          <cell r="U481">
            <v>0</v>
          </cell>
          <cell r="V481">
            <v>104</v>
          </cell>
          <cell r="W481">
            <v>104</v>
          </cell>
        </row>
        <row r="482">
          <cell r="C482" t="str">
            <v>SLP AZTECA 1</v>
          </cell>
          <cell r="D482" t="str">
            <v>Capability</v>
          </cell>
          <cell r="E482" t="str">
            <v>N</v>
          </cell>
          <cell r="F482" t="str">
            <v>LA</v>
          </cell>
          <cell r="H482" t="str">
            <v>Consumer Radial</v>
          </cell>
          <cell r="I482" t="str">
            <v>FINAL FINISH</v>
          </cell>
          <cell r="J482" t="str">
            <v>San Luis Potosi</v>
          </cell>
          <cell r="T482">
            <v>0</v>
          </cell>
          <cell r="U482">
            <v>0</v>
          </cell>
        </row>
        <row r="483">
          <cell r="C483" t="str">
            <v>SLP - WSW (50 mold position)</v>
          </cell>
          <cell r="D483" t="str">
            <v>Capability</v>
          </cell>
          <cell r="E483" t="str">
            <v>N</v>
          </cell>
          <cell r="F483" t="str">
            <v>LA</v>
          </cell>
          <cell r="H483" t="str">
            <v>Consumer Radial</v>
          </cell>
          <cell r="I483" t="str">
            <v>CURING</v>
          </cell>
          <cell r="J483" t="str">
            <v>San Luis Potosi</v>
          </cell>
          <cell r="T483">
            <v>0</v>
          </cell>
          <cell r="U483">
            <v>0</v>
          </cell>
        </row>
        <row r="484">
          <cell r="C484" t="str">
            <v>Additional Oil Tank # 8 (Blinic)</v>
          </cell>
          <cell r="D484" t="str">
            <v>Capability</v>
          </cell>
          <cell r="E484" t="str">
            <v>N</v>
          </cell>
          <cell r="F484" t="str">
            <v>LA</v>
          </cell>
          <cell r="H484" t="str">
            <v>Consumer Radial</v>
          </cell>
          <cell r="I484" t="str">
            <v>Mixing</v>
          </cell>
          <cell r="J484" t="str">
            <v>San Luis Potosi</v>
          </cell>
          <cell r="S484">
            <v>0</v>
          </cell>
          <cell r="T484">
            <v>0</v>
          </cell>
          <cell r="U484">
            <v>0</v>
          </cell>
        </row>
        <row r="485">
          <cell r="C485" t="str">
            <v>SLP - Solar Panels Parking area</v>
          </cell>
          <cell r="D485" t="str">
            <v>Energy Conservation</v>
          </cell>
          <cell r="E485" t="str">
            <v>N</v>
          </cell>
          <cell r="F485" t="str">
            <v>LA</v>
          </cell>
          <cell r="H485" t="str">
            <v>Consumer Radial</v>
          </cell>
          <cell r="I485" t="str">
            <v>FACILITIES/INFRASTRUCTURE</v>
          </cell>
          <cell r="J485" t="str">
            <v>San Luis Potosi</v>
          </cell>
          <cell r="T485">
            <v>0</v>
          </cell>
          <cell r="U485">
            <v>0</v>
          </cell>
        </row>
        <row r="486">
          <cell r="C486" t="str">
            <v>MEX-SLP - Tread Extruder 6" screw Replace - Mid</v>
          </cell>
          <cell r="D486" t="str">
            <v>Facilities Sustaining</v>
          </cell>
          <cell r="E486" t="str">
            <v>N</v>
          </cell>
          <cell r="F486" t="str">
            <v>LA</v>
          </cell>
          <cell r="H486" t="str">
            <v>Consumer Radial</v>
          </cell>
          <cell r="I486" t="str">
            <v>N/A</v>
          </cell>
          <cell r="J486" t="str">
            <v>San Luis Potosi</v>
          </cell>
          <cell r="S486">
            <v>0</v>
          </cell>
          <cell r="T486">
            <v>0</v>
          </cell>
          <cell r="U486">
            <v>0</v>
          </cell>
          <cell r="V486">
            <v>59.583333333333321</v>
          </cell>
          <cell r="W486">
            <v>59.583333333333321</v>
          </cell>
        </row>
        <row r="487">
          <cell r="C487" t="str">
            <v>MEX-SLP - Tread Extruder 6" screw Replace - Bottom</v>
          </cell>
          <cell r="D487" t="str">
            <v>Facilities Sustaining</v>
          </cell>
          <cell r="E487" t="str">
            <v>N</v>
          </cell>
          <cell r="F487" t="str">
            <v>LA</v>
          </cell>
          <cell r="H487" t="str">
            <v>Consumer Radial</v>
          </cell>
          <cell r="I487" t="str">
            <v>N/A</v>
          </cell>
          <cell r="J487" t="str">
            <v>San Luis Potosi</v>
          </cell>
          <cell r="S487">
            <v>0</v>
          </cell>
          <cell r="T487">
            <v>0</v>
          </cell>
          <cell r="U487">
            <v>0</v>
          </cell>
          <cell r="V487">
            <v>59.583333333333321</v>
          </cell>
          <cell r="W487">
            <v>59.583333333333321</v>
          </cell>
        </row>
        <row r="488">
          <cell r="C488" t="str">
            <v>MEX-SLP - Apexer #1 Extruder 3 1/2" screew Replacement</v>
          </cell>
          <cell r="D488" t="str">
            <v>Facilities Sustaining</v>
          </cell>
          <cell r="E488" t="str">
            <v>N</v>
          </cell>
          <cell r="F488" t="str">
            <v>LA</v>
          </cell>
          <cell r="H488" t="str">
            <v>Consumer Radial</v>
          </cell>
          <cell r="I488" t="str">
            <v>N/A</v>
          </cell>
          <cell r="J488" t="str">
            <v>San Luis Potosi</v>
          </cell>
          <cell r="S488">
            <v>0</v>
          </cell>
          <cell r="T488">
            <v>0</v>
          </cell>
          <cell r="U488">
            <v>0</v>
          </cell>
          <cell r="V488">
            <v>50.416666666666671</v>
          </cell>
          <cell r="W488">
            <v>50.416666666666671</v>
          </cell>
        </row>
        <row r="489">
          <cell r="C489" t="str">
            <v>SLP - AS400 upgrade</v>
          </cell>
          <cell r="D489" t="str">
            <v>IT</v>
          </cell>
          <cell r="E489" t="str">
            <v>N</v>
          </cell>
          <cell r="F489" t="str">
            <v>LA</v>
          </cell>
          <cell r="H489" t="str">
            <v>Consumer Radial</v>
          </cell>
          <cell r="I489" t="str">
            <v>SAG - IT</v>
          </cell>
          <cell r="J489" t="str">
            <v>San Luis Potosi</v>
          </cell>
          <cell r="T489">
            <v>0</v>
          </cell>
          <cell r="U489">
            <v>0</v>
          </cell>
        </row>
        <row r="490">
          <cell r="C490" t="str">
            <v>SLP-SLP IT NETWORK DEVICES REFRESH BY LIFECYCLE (PHASE 2/5)</v>
          </cell>
          <cell r="D490" t="str">
            <v>IT</v>
          </cell>
          <cell r="E490" t="str">
            <v>N</v>
          </cell>
          <cell r="F490" t="str">
            <v>LA</v>
          </cell>
          <cell r="H490" t="str">
            <v>N/A</v>
          </cell>
          <cell r="I490" t="str">
            <v>SAG - IT</v>
          </cell>
          <cell r="J490" t="str">
            <v>San Luis Potosi</v>
          </cell>
          <cell r="S490">
            <v>0</v>
          </cell>
          <cell r="T490">
            <v>0</v>
          </cell>
          <cell r="U490">
            <v>0</v>
          </cell>
          <cell r="V490">
            <v>199.18</v>
          </cell>
          <cell r="W490">
            <v>199.18</v>
          </cell>
        </row>
        <row r="491">
          <cell r="C491" t="str">
            <v>SLP-SLP MANUFACTURING APPLICATIONS SERVERS UPDATE REFRESH (PHASE 1/2)</v>
          </cell>
          <cell r="D491" t="str">
            <v>IT</v>
          </cell>
          <cell r="E491" t="str">
            <v>N</v>
          </cell>
          <cell r="F491" t="str">
            <v>LA</v>
          </cell>
          <cell r="H491" t="str">
            <v>N/A</v>
          </cell>
          <cell r="I491" t="str">
            <v>SAG - IT</v>
          </cell>
          <cell r="J491" t="str">
            <v>San Luis Potosi</v>
          </cell>
          <cell r="T491">
            <v>0</v>
          </cell>
          <cell r="U491">
            <v>0</v>
          </cell>
          <cell r="V491">
            <v>60</v>
          </cell>
          <cell r="W491">
            <v>60</v>
          </cell>
        </row>
        <row r="492">
          <cell r="C492" t="str">
            <v>SLP-SLP IT NETWORK DEVICES REFRESH BY LIFECYCLE (PHASE 1/5)</v>
          </cell>
          <cell r="D492" t="str">
            <v>IT</v>
          </cell>
          <cell r="E492" t="str">
            <v>N</v>
          </cell>
          <cell r="F492" t="str">
            <v>LA</v>
          </cell>
          <cell r="H492" t="str">
            <v>N/A</v>
          </cell>
          <cell r="I492" t="str">
            <v>SAG - IT</v>
          </cell>
          <cell r="J492" t="str">
            <v>San Luis Potosi</v>
          </cell>
          <cell r="S492">
            <v>0</v>
          </cell>
          <cell r="T492">
            <v>0</v>
          </cell>
          <cell r="U492">
            <v>0</v>
          </cell>
          <cell r="V492">
            <v>30</v>
          </cell>
          <cell r="W492">
            <v>30</v>
          </cell>
        </row>
        <row r="493">
          <cell r="C493" t="str">
            <v>SLP-SLP COMPUTER ROOM REFRESH BY LIFECYCLE</v>
          </cell>
          <cell r="D493" t="str">
            <v>IT</v>
          </cell>
          <cell r="E493" t="str">
            <v>N</v>
          </cell>
          <cell r="F493" t="str">
            <v>LA</v>
          </cell>
          <cell r="H493" t="str">
            <v>N/A</v>
          </cell>
          <cell r="I493" t="str">
            <v>SAG - IT</v>
          </cell>
          <cell r="J493" t="str">
            <v>San Luis Potosi</v>
          </cell>
          <cell r="S493">
            <v>0</v>
          </cell>
          <cell r="T493">
            <v>0</v>
          </cell>
          <cell r="U493">
            <v>0</v>
          </cell>
          <cell r="V493">
            <v>100</v>
          </cell>
          <cell r="W493">
            <v>100</v>
          </cell>
        </row>
        <row r="494">
          <cell r="C494" t="str">
            <v>SLP - Flexibility OE</v>
          </cell>
          <cell r="D494" t="str">
            <v>Molds</v>
          </cell>
          <cell r="E494" t="str">
            <v>N</v>
          </cell>
          <cell r="F494" t="str">
            <v>LA</v>
          </cell>
          <cell r="H494" t="str">
            <v>Consumer Radial</v>
          </cell>
          <cell r="I494" t="str">
            <v>Curing</v>
          </cell>
          <cell r="J494" t="str">
            <v>San Luis Potosi</v>
          </cell>
          <cell r="S494">
            <v>0</v>
          </cell>
          <cell r="T494">
            <v>0</v>
          </cell>
          <cell r="U494">
            <v>0</v>
          </cell>
        </row>
        <row r="495">
          <cell r="C495" t="str">
            <v>Auto sampling for Mixer # 3</v>
          </cell>
          <cell r="D495" t="str">
            <v>Quality - Cost Savings</v>
          </cell>
          <cell r="E495" t="str">
            <v>N</v>
          </cell>
          <cell r="F495" t="str">
            <v>LA</v>
          </cell>
          <cell r="H495" t="str">
            <v>Consumer Radial</v>
          </cell>
          <cell r="I495" t="str">
            <v>Mixing</v>
          </cell>
          <cell r="J495" t="str">
            <v>San Luis Potosi</v>
          </cell>
          <cell r="S495">
            <v>0</v>
          </cell>
          <cell r="T495">
            <v>0</v>
          </cell>
          <cell r="U495">
            <v>0</v>
          </cell>
          <cell r="V495">
            <v>110</v>
          </cell>
          <cell r="W495">
            <v>110</v>
          </cell>
        </row>
        <row r="496">
          <cell r="C496" t="str">
            <v>SLP - White sidewall cutter for recovery</v>
          </cell>
          <cell r="D496" t="str">
            <v>Quality - Cost Savings</v>
          </cell>
          <cell r="E496" t="str">
            <v>N</v>
          </cell>
          <cell r="F496" t="str">
            <v>LA</v>
          </cell>
          <cell r="H496" t="str">
            <v>Consumer Radial</v>
          </cell>
          <cell r="I496" t="str">
            <v>Component prep</v>
          </cell>
          <cell r="J496" t="str">
            <v>San Luis Potosi</v>
          </cell>
          <cell r="S496">
            <v>0</v>
          </cell>
          <cell r="T496">
            <v>0</v>
          </cell>
          <cell r="U496">
            <v>0</v>
          </cell>
          <cell r="V496">
            <v>120</v>
          </cell>
          <cell r="W496">
            <v>120</v>
          </cell>
        </row>
        <row r="497">
          <cell r="C497" t="str">
            <v>Win in OE - Ford Ranger EQ - SLP?</v>
          </cell>
          <cell r="D497" t="str">
            <v>Quality - Improvement</v>
          </cell>
          <cell r="E497" t="str">
            <v>N</v>
          </cell>
          <cell r="F497" t="str">
            <v>LA</v>
          </cell>
          <cell r="H497" t="str">
            <v>LA Win in OE</v>
          </cell>
          <cell r="I497" t="str">
            <v>Curing</v>
          </cell>
          <cell r="J497" t="str">
            <v>San Luis Potosi</v>
          </cell>
          <cell r="S497">
            <v>0</v>
          </cell>
          <cell r="T497">
            <v>0</v>
          </cell>
          <cell r="U497">
            <v>0</v>
          </cell>
          <cell r="V497">
            <v>137.5</v>
          </cell>
          <cell r="W497">
            <v>137.5</v>
          </cell>
        </row>
        <row r="498">
          <cell r="C498" t="str">
            <v>Vision system for three Ply machines</v>
          </cell>
          <cell r="D498" t="str">
            <v>Quality - Improvement</v>
          </cell>
          <cell r="E498" t="str">
            <v>N</v>
          </cell>
          <cell r="F498" t="str">
            <v>LA</v>
          </cell>
          <cell r="H498" t="str">
            <v>Consumer Radial</v>
          </cell>
          <cell r="I498" t="str">
            <v>Component Prep Other</v>
          </cell>
          <cell r="J498" t="str">
            <v>San Luis Potosi</v>
          </cell>
          <cell r="S498">
            <v>0</v>
          </cell>
          <cell r="T498">
            <v>0</v>
          </cell>
          <cell r="U498">
            <v>0</v>
          </cell>
          <cell r="V498">
            <v>128.33333333333334</v>
          </cell>
          <cell r="W498">
            <v>128.33333333333334</v>
          </cell>
        </row>
        <row r="499">
          <cell r="T499">
            <v>0</v>
          </cell>
          <cell r="U499">
            <v>0</v>
          </cell>
        </row>
        <row r="500">
          <cell r="T500">
            <v>0</v>
          </cell>
          <cell r="U500">
            <v>0</v>
          </cell>
        </row>
        <row r="501">
          <cell r="T501">
            <v>0</v>
          </cell>
          <cell r="U501">
            <v>0</v>
          </cell>
        </row>
        <row r="502">
          <cell r="T502">
            <v>0</v>
          </cell>
          <cell r="U502">
            <v>0</v>
          </cell>
        </row>
        <row r="503">
          <cell r="T503">
            <v>0</v>
          </cell>
          <cell r="U503">
            <v>0</v>
          </cell>
        </row>
        <row r="504">
          <cell r="T504">
            <v>0</v>
          </cell>
          <cell r="U504">
            <v>0</v>
          </cell>
        </row>
        <row r="505">
          <cell r="T505">
            <v>0</v>
          </cell>
          <cell r="U505">
            <v>0</v>
          </cell>
        </row>
        <row r="506">
          <cell r="T506">
            <v>0</v>
          </cell>
          <cell r="U506">
            <v>0</v>
          </cell>
        </row>
        <row r="507">
          <cell r="T507">
            <v>0</v>
          </cell>
          <cell r="U507">
            <v>0</v>
          </cell>
        </row>
        <row r="508">
          <cell r="T508">
            <v>0</v>
          </cell>
          <cell r="U508">
            <v>0</v>
          </cell>
        </row>
        <row r="509">
          <cell r="T509">
            <v>0</v>
          </cell>
          <cell r="U509">
            <v>0</v>
          </cell>
        </row>
        <row r="510">
          <cell r="T510">
            <v>0</v>
          </cell>
          <cell r="U510">
            <v>0</v>
          </cell>
        </row>
        <row r="511">
          <cell r="T511">
            <v>0</v>
          </cell>
          <cell r="U511">
            <v>0</v>
          </cell>
        </row>
        <row r="512">
          <cell r="T512">
            <v>0</v>
          </cell>
          <cell r="U512">
            <v>0</v>
          </cell>
        </row>
        <row r="513">
          <cell r="T513">
            <v>0</v>
          </cell>
          <cell r="U513">
            <v>0</v>
          </cell>
        </row>
        <row r="514">
          <cell r="C514" t="str">
            <v>MEX - REGIONAL ADJUSTMENT</v>
          </cell>
          <cell r="D514" t="str">
            <v>SAG</v>
          </cell>
          <cell r="E514" t="str">
            <v>N</v>
          </cell>
          <cell r="F514" t="str">
            <v>LA</v>
          </cell>
          <cell r="G514">
            <v>0</v>
          </cell>
          <cell r="H514" t="str">
            <v>N/A</v>
          </cell>
          <cell r="I514">
            <v>0</v>
          </cell>
          <cell r="J514" t="str">
            <v>MEX</v>
          </cell>
          <cell r="S514">
            <v>-0.21475999999978379</v>
          </cell>
          <cell r="T514">
            <v>-1.8532099999997838</v>
          </cell>
          <cell r="U514">
            <v>0</v>
          </cell>
          <cell r="V514">
            <v>-6.3510000000007061E-2</v>
          </cell>
          <cell r="W514">
            <v>-6.3510000000007061E-2</v>
          </cell>
        </row>
        <row r="515">
          <cell r="B515" t="str">
            <v>x2</v>
          </cell>
          <cell r="C515" t="str">
            <v>AME - REGIONAL ADJUSTMENT</v>
          </cell>
          <cell r="D515" t="str">
            <v>Facilities Sustaining</v>
          </cell>
          <cell r="E515" t="str">
            <v>N</v>
          </cell>
          <cell r="F515" t="str">
            <v>LA</v>
          </cell>
          <cell r="G515">
            <v>0</v>
          </cell>
          <cell r="H515" t="str">
            <v>Mixed</v>
          </cell>
          <cell r="I515">
            <v>0</v>
          </cell>
          <cell r="J515" t="str">
            <v>AME</v>
          </cell>
          <cell r="S515">
            <v>-257.29108450936906</v>
          </cell>
          <cell r="T515">
            <v>-1003.5149145093706</v>
          </cell>
          <cell r="U515">
            <v>257.29999999999995</v>
          </cell>
          <cell r="V515">
            <v>162.76861000000011</v>
          </cell>
          <cell r="W515">
            <v>142.76861</v>
          </cell>
          <cell r="AD515">
            <v>0</v>
          </cell>
        </row>
        <row r="516">
          <cell r="C516" t="str">
            <v>ADEQUAÇÃO NR 12 - E1/E2 &amp; LRF</v>
          </cell>
          <cell r="D516" t="str">
            <v>EHS</v>
          </cell>
          <cell r="E516" t="str">
            <v>N</v>
          </cell>
          <cell r="F516" t="str">
            <v>LA</v>
          </cell>
          <cell r="G516" t="str">
            <v>COMP</v>
          </cell>
          <cell r="H516" t="str">
            <v>OTR</v>
          </cell>
          <cell r="I516" t="str">
            <v>OTHER</v>
          </cell>
          <cell r="J516" t="str">
            <v>AME</v>
          </cell>
          <cell r="T516">
            <v>0</v>
          </cell>
          <cell r="U516">
            <v>0</v>
          </cell>
        </row>
        <row r="517">
          <cell r="C517" t="str">
            <v>COL - REGIONAL ADJUSTMENT</v>
          </cell>
          <cell r="D517" t="str">
            <v>Facilities Sustaining</v>
          </cell>
          <cell r="E517" t="str">
            <v>N</v>
          </cell>
          <cell r="F517" t="str">
            <v>LA</v>
          </cell>
          <cell r="G517">
            <v>0</v>
          </cell>
          <cell r="H517" t="str">
            <v>N/A</v>
          </cell>
          <cell r="I517">
            <v>0</v>
          </cell>
          <cell r="J517" t="str">
            <v>COL</v>
          </cell>
          <cell r="S517">
            <v>-80.838419999999644</v>
          </cell>
          <cell r="T517">
            <v>57.532850000000479</v>
          </cell>
          <cell r="U517">
            <v>-108.886</v>
          </cell>
          <cell r="V517">
            <v>-634.28649999999993</v>
          </cell>
          <cell r="W517">
            <v>-634.28649999999993</v>
          </cell>
        </row>
        <row r="518">
          <cell r="C518" t="str">
            <v>GNV vs GLP EMPILHADEIRAS</v>
          </cell>
          <cell r="D518" t="str">
            <v>Facilities Sustaining</v>
          </cell>
          <cell r="E518" t="str">
            <v>N</v>
          </cell>
          <cell r="F518" t="str">
            <v>LA</v>
          </cell>
          <cell r="H518" t="str">
            <v>Other</v>
          </cell>
          <cell r="I518" t="str">
            <v>FACILITIES/INFRASTRUCTURE</v>
          </cell>
          <cell r="J518" t="str">
            <v>AME</v>
          </cell>
          <cell r="T518">
            <v>0</v>
          </cell>
          <cell r="U518">
            <v>0</v>
          </cell>
        </row>
        <row r="519">
          <cell r="C519" t="str">
            <v>PICKER ROLL 8X8</v>
          </cell>
          <cell r="D519" t="str">
            <v>Quality - Improvement</v>
          </cell>
          <cell r="E519" t="str">
            <v>N</v>
          </cell>
          <cell r="F519" t="str">
            <v>LA</v>
          </cell>
          <cell r="H519" t="str">
            <v>MIXED</v>
          </cell>
          <cell r="I519" t="str">
            <v>MIXING</v>
          </cell>
          <cell r="J519" t="str">
            <v>AME</v>
          </cell>
          <cell r="T519">
            <v>0</v>
          </cell>
          <cell r="U519">
            <v>0</v>
          </cell>
          <cell r="V519">
            <v>67.339494534502975</v>
          </cell>
          <cell r="W519">
            <v>67.339494534502975</v>
          </cell>
        </row>
        <row r="520">
          <cell r="C520" t="str">
            <v>RET - Additional Curing &amp; Buffer</v>
          </cell>
          <cell r="D520" t="str">
            <v>Capability</v>
          </cell>
          <cell r="E520" t="str">
            <v>N</v>
          </cell>
          <cell r="F520" t="str">
            <v>LA</v>
          </cell>
          <cell r="H520" t="str">
            <v>RETREAD</v>
          </cell>
          <cell r="I520" t="str">
            <v>Other</v>
          </cell>
          <cell r="J520" t="str">
            <v>RET</v>
          </cell>
          <cell r="S520">
            <v>0</v>
          </cell>
          <cell r="T520">
            <v>0</v>
          </cell>
          <cell r="U520">
            <v>0</v>
          </cell>
          <cell r="V520">
            <v>400</v>
          </cell>
          <cell r="W520">
            <v>400</v>
          </cell>
        </row>
        <row r="521">
          <cell r="C521" t="str">
            <v>AER - SIO MH50 Press</v>
          </cell>
          <cell r="D521" t="str">
            <v>Capability</v>
          </cell>
          <cell r="E521" t="str">
            <v>N</v>
          </cell>
          <cell r="F521" t="str">
            <v>LA</v>
          </cell>
          <cell r="H521" t="str">
            <v>AVIATION</v>
          </cell>
          <cell r="I521" t="str">
            <v>Other</v>
          </cell>
          <cell r="J521" t="str">
            <v>SAO</v>
          </cell>
          <cell r="S521">
            <v>0</v>
          </cell>
          <cell r="T521">
            <v>0</v>
          </cell>
          <cell r="U521">
            <v>0</v>
          </cell>
          <cell r="V521">
            <v>133.5</v>
          </cell>
          <cell r="W521">
            <v>133.5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4745E-0A49-44D7-8783-C7109C020B62}">
  <sheetPr codeName="Planilha10"/>
  <dimension ref="B2:J139"/>
  <sheetViews>
    <sheetView showGridLines="0" topLeftCell="A34" zoomScale="80" zoomScaleNormal="80" workbookViewId="0">
      <selection activeCell="L13" sqref="L13"/>
    </sheetView>
  </sheetViews>
  <sheetFormatPr defaultColWidth="8.54296875" defaultRowHeight="14.5"/>
  <cols>
    <col min="1" max="1" width="8.54296875" style="54"/>
    <col min="2" max="2" width="16.453125" style="54" bestFit="1" customWidth="1"/>
    <col min="3" max="3" width="22.54296875" style="54" customWidth="1"/>
    <col min="4" max="4" width="16.54296875" style="54" bestFit="1" customWidth="1"/>
    <col min="5" max="5" width="61.453125" style="54" customWidth="1"/>
    <col min="6" max="6" width="14.54296875" style="54" customWidth="1"/>
    <col min="7" max="7" width="16.54296875" style="54" customWidth="1"/>
    <col min="8" max="8" width="13.54296875" style="54" bestFit="1" customWidth="1"/>
    <col min="9" max="9" width="8.54296875" style="54"/>
    <col min="10" max="10" width="11.453125" style="54" bestFit="1" customWidth="1"/>
    <col min="11" max="16384" width="8.54296875" style="54"/>
  </cols>
  <sheetData>
    <row r="2" spans="2:10" ht="26.9" customHeight="1">
      <c r="B2" s="321" t="s">
        <v>484</v>
      </c>
      <c r="C2" s="321"/>
      <c r="D2" s="321"/>
      <c r="E2" s="321"/>
      <c r="F2" s="321"/>
      <c r="G2" s="321"/>
      <c r="H2" s="321"/>
    </row>
    <row r="3" spans="2:10" ht="6.65" customHeight="1"/>
    <row r="5" spans="2:10">
      <c r="B5" s="86" t="s">
        <v>485</v>
      </c>
      <c r="C5" s="86" t="s">
        <v>486</v>
      </c>
      <c r="D5" s="86" t="s">
        <v>487</v>
      </c>
      <c r="E5" s="86" t="s">
        <v>488</v>
      </c>
      <c r="F5" s="86">
        <v>2020</v>
      </c>
      <c r="G5" s="86">
        <v>2021</v>
      </c>
      <c r="H5" s="86" t="s">
        <v>489</v>
      </c>
    </row>
    <row r="6" spans="2:10">
      <c r="B6" s="54" t="s">
        <v>490</v>
      </c>
      <c r="C6" s="54" t="s">
        <v>491</v>
      </c>
      <c r="D6" s="54" t="s">
        <v>88</v>
      </c>
      <c r="E6" s="54" t="s">
        <v>89</v>
      </c>
      <c r="F6" s="87">
        <v>378.7</v>
      </c>
      <c r="G6" s="87">
        <v>5.5678600000000529</v>
      </c>
      <c r="H6" s="88">
        <v>44256</v>
      </c>
      <c r="I6" s="87"/>
      <c r="J6" s="88"/>
    </row>
    <row r="7" spans="2:10">
      <c r="B7" s="94" t="s">
        <v>490</v>
      </c>
      <c r="C7" s="94" t="s">
        <v>491</v>
      </c>
      <c r="D7" s="94" t="s">
        <v>90</v>
      </c>
      <c r="E7" s="94" t="s">
        <v>91</v>
      </c>
      <c r="F7" s="95">
        <v>10.7</v>
      </c>
      <c r="G7" s="95">
        <v>0</v>
      </c>
      <c r="H7" s="96">
        <v>44136</v>
      </c>
      <c r="I7" s="87"/>
      <c r="J7" s="88"/>
    </row>
    <row r="8" spans="2:10">
      <c r="B8" s="94" t="s">
        <v>490</v>
      </c>
      <c r="C8" s="94" t="s">
        <v>491</v>
      </c>
      <c r="D8" s="94" t="s">
        <v>236</v>
      </c>
      <c r="E8" s="94" t="s">
        <v>237</v>
      </c>
      <c r="F8" s="95">
        <v>964.89999999999986</v>
      </c>
      <c r="G8" s="95">
        <v>50.6</v>
      </c>
      <c r="H8" s="96">
        <v>44256</v>
      </c>
      <c r="I8" s="87"/>
      <c r="J8" s="88"/>
    </row>
    <row r="9" spans="2:10">
      <c r="B9" s="97" t="s">
        <v>508</v>
      </c>
      <c r="C9" s="94" t="s">
        <v>491</v>
      </c>
      <c r="D9" s="94" t="s">
        <v>361</v>
      </c>
      <c r="E9" s="94" t="s">
        <v>321</v>
      </c>
      <c r="F9" s="95">
        <v>2.4</v>
      </c>
      <c r="G9" s="95">
        <v>0</v>
      </c>
      <c r="H9" s="96">
        <v>44166</v>
      </c>
      <c r="I9" s="87"/>
      <c r="J9" s="88"/>
    </row>
    <row r="10" spans="2:10">
      <c r="B10" s="94" t="s">
        <v>490</v>
      </c>
      <c r="C10" s="94" t="s">
        <v>491</v>
      </c>
      <c r="D10" s="94" t="s">
        <v>530</v>
      </c>
      <c r="E10" s="94" t="s">
        <v>532</v>
      </c>
      <c r="F10" s="95">
        <v>0</v>
      </c>
      <c r="G10" s="95">
        <v>492</v>
      </c>
      <c r="H10" s="96">
        <v>44440</v>
      </c>
      <c r="I10" s="87"/>
      <c r="J10" s="88"/>
    </row>
    <row r="11" spans="2:10">
      <c r="B11" s="94"/>
      <c r="C11" s="94"/>
      <c r="D11" s="94"/>
      <c r="E11" s="94"/>
      <c r="F11" s="95"/>
      <c r="G11" s="95"/>
      <c r="H11" s="96"/>
      <c r="I11" s="87"/>
      <c r="J11" s="88"/>
    </row>
    <row r="12" spans="2:10">
      <c r="B12" s="94"/>
      <c r="C12" s="94"/>
      <c r="D12" s="94"/>
      <c r="E12" s="94"/>
      <c r="F12" s="95"/>
      <c r="G12" s="95"/>
      <c r="H12" s="96"/>
      <c r="I12" s="87"/>
      <c r="J12" s="88"/>
    </row>
    <row r="13" spans="2:10">
      <c r="B13" s="99"/>
      <c r="C13" s="100"/>
      <c r="D13" s="100"/>
      <c r="E13" s="100"/>
      <c r="F13" s="101"/>
      <c r="G13" s="101"/>
      <c r="H13" s="102"/>
      <c r="I13" s="87"/>
      <c r="J13" s="88"/>
    </row>
    <row r="14" spans="2:10">
      <c r="B14" s="91"/>
      <c r="C14" s="91"/>
      <c r="D14" s="91"/>
      <c r="E14" s="92" t="s">
        <v>492</v>
      </c>
      <c r="F14" s="93">
        <f>SUM(F6:F9)</f>
        <v>1356.6999999999998</v>
      </c>
      <c r="G14" s="93">
        <f>SUM(G6:G9)</f>
        <v>56.167860000000054</v>
      </c>
      <c r="H14" s="92" t="s">
        <v>265</v>
      </c>
      <c r="I14" s="87"/>
      <c r="J14" s="88"/>
    </row>
    <row r="15" spans="2:10">
      <c r="B15" s="54" t="s">
        <v>490</v>
      </c>
      <c r="C15" s="54" t="s">
        <v>493</v>
      </c>
      <c r="D15" s="54" t="s">
        <v>138</v>
      </c>
      <c r="E15" s="54" t="s">
        <v>139</v>
      </c>
      <c r="F15" s="87">
        <v>4.9000000000000004</v>
      </c>
      <c r="G15" s="87">
        <v>0</v>
      </c>
      <c r="H15" s="88">
        <v>44166</v>
      </c>
      <c r="I15" s="87"/>
      <c r="J15" s="88"/>
    </row>
    <row r="16" spans="2:10">
      <c r="B16" s="94" t="s">
        <v>490</v>
      </c>
      <c r="C16" s="94" t="s">
        <v>493</v>
      </c>
      <c r="D16" s="94" t="s">
        <v>166</v>
      </c>
      <c r="E16" s="94" t="s">
        <v>167</v>
      </c>
      <c r="F16" s="95">
        <v>662.19999999999993</v>
      </c>
      <c r="G16" s="95">
        <v>608.9</v>
      </c>
      <c r="H16" s="96">
        <v>44287</v>
      </c>
      <c r="I16" s="87"/>
      <c r="J16" s="88"/>
    </row>
    <row r="17" spans="2:10">
      <c r="B17" s="94" t="s">
        <v>490</v>
      </c>
      <c r="C17" s="94" t="s">
        <v>493</v>
      </c>
      <c r="D17" s="94" t="s">
        <v>291</v>
      </c>
      <c r="E17" s="94" t="s">
        <v>244</v>
      </c>
      <c r="F17" s="95">
        <v>0</v>
      </c>
      <c r="G17" s="95">
        <v>804.62751999999989</v>
      </c>
      <c r="H17" s="96">
        <v>44348</v>
      </c>
      <c r="I17" s="87"/>
      <c r="J17" s="88"/>
    </row>
    <row r="18" spans="2:10">
      <c r="B18" s="94" t="s">
        <v>490</v>
      </c>
      <c r="C18" s="94" t="s">
        <v>493</v>
      </c>
      <c r="D18" s="94" t="s">
        <v>273</v>
      </c>
      <c r="E18" s="94" t="s">
        <v>274</v>
      </c>
      <c r="F18" s="95">
        <v>61.56</v>
      </c>
      <c r="G18" s="95">
        <v>0</v>
      </c>
      <c r="H18" s="96">
        <v>44136</v>
      </c>
      <c r="I18" s="87"/>
      <c r="J18" s="88"/>
    </row>
    <row r="19" spans="2:10">
      <c r="B19" s="94" t="s">
        <v>490</v>
      </c>
      <c r="C19" s="94" t="s">
        <v>493</v>
      </c>
      <c r="D19" s="94" t="s">
        <v>316</v>
      </c>
      <c r="E19" s="94" t="s">
        <v>312</v>
      </c>
      <c r="F19" s="95">
        <v>32.5</v>
      </c>
      <c r="G19" s="95">
        <v>237.89999999999998</v>
      </c>
      <c r="H19" s="96">
        <v>44256</v>
      </c>
      <c r="I19" s="87"/>
      <c r="J19" s="88"/>
    </row>
    <row r="20" spans="2:10">
      <c r="B20" s="94" t="s">
        <v>490</v>
      </c>
      <c r="C20" s="94" t="s">
        <v>493</v>
      </c>
      <c r="D20" s="94" t="s">
        <v>318</v>
      </c>
      <c r="E20" s="94" t="s">
        <v>319</v>
      </c>
      <c r="F20" s="95">
        <v>81.900000000000006</v>
      </c>
      <c r="G20" s="95">
        <v>0</v>
      </c>
      <c r="H20" s="96">
        <v>44075</v>
      </c>
      <c r="I20" s="87"/>
      <c r="J20" s="88"/>
    </row>
    <row r="21" spans="2:10">
      <c r="B21" s="94" t="s">
        <v>490</v>
      </c>
      <c r="C21" s="94" t="s">
        <v>493</v>
      </c>
      <c r="D21" s="94" t="s">
        <v>202</v>
      </c>
      <c r="E21" s="94" t="s">
        <v>201</v>
      </c>
      <c r="F21" s="95">
        <v>0</v>
      </c>
      <c r="G21" s="95">
        <v>88.931979999999996</v>
      </c>
      <c r="H21" s="96">
        <v>44256</v>
      </c>
      <c r="I21" s="87"/>
      <c r="J21" s="88"/>
    </row>
    <row r="22" spans="2:10">
      <c r="B22" s="94" t="s">
        <v>490</v>
      </c>
      <c r="C22" s="94" t="s">
        <v>493</v>
      </c>
      <c r="D22" s="94" t="s">
        <v>235</v>
      </c>
      <c r="E22" s="94" t="s">
        <v>230</v>
      </c>
      <c r="F22" s="95">
        <v>0</v>
      </c>
      <c r="G22" s="95">
        <v>132.4</v>
      </c>
      <c r="H22" s="96">
        <v>44287</v>
      </c>
      <c r="I22" s="87"/>
      <c r="J22" s="88"/>
    </row>
    <row r="23" spans="2:10">
      <c r="B23" s="94" t="s">
        <v>490</v>
      </c>
      <c r="C23" s="94" t="s">
        <v>493</v>
      </c>
      <c r="D23" s="94" t="s">
        <v>261</v>
      </c>
      <c r="E23" s="94" t="s">
        <v>242</v>
      </c>
      <c r="F23" s="95">
        <v>0</v>
      </c>
      <c r="G23" s="95">
        <v>1207.3428199999998</v>
      </c>
      <c r="H23" s="96">
        <v>44348</v>
      </c>
      <c r="I23" s="87"/>
      <c r="J23" s="88"/>
    </row>
    <row r="24" spans="2:10">
      <c r="B24" s="94" t="s">
        <v>490</v>
      </c>
      <c r="C24" s="94" t="s">
        <v>493</v>
      </c>
      <c r="D24" s="94" t="s">
        <v>290</v>
      </c>
      <c r="E24" s="94" t="s">
        <v>243</v>
      </c>
      <c r="F24" s="95">
        <v>0</v>
      </c>
      <c r="G24" s="95">
        <v>918.72072000000003</v>
      </c>
      <c r="H24" s="96">
        <v>44409</v>
      </c>
      <c r="I24" s="87"/>
      <c r="J24" s="88"/>
    </row>
    <row r="25" spans="2:10">
      <c r="B25" s="94" t="s">
        <v>490</v>
      </c>
      <c r="C25" s="94" t="s">
        <v>493</v>
      </c>
      <c r="D25" s="94" t="s">
        <v>339</v>
      </c>
      <c r="E25" s="94" t="s">
        <v>338</v>
      </c>
      <c r="F25" s="95">
        <v>0</v>
      </c>
      <c r="G25" s="95">
        <v>144.029</v>
      </c>
      <c r="H25" s="96">
        <v>44256</v>
      </c>
      <c r="I25" s="87"/>
      <c r="J25" s="88"/>
    </row>
    <row r="26" spans="2:10">
      <c r="B26" s="97" t="s">
        <v>494</v>
      </c>
      <c r="C26" s="94" t="s">
        <v>493</v>
      </c>
      <c r="D26" s="94" t="s">
        <v>355</v>
      </c>
      <c r="E26" s="94" t="s">
        <v>347</v>
      </c>
      <c r="F26" s="95">
        <v>49</v>
      </c>
      <c r="G26" s="95">
        <v>0</v>
      </c>
      <c r="H26" s="96">
        <v>44166</v>
      </c>
      <c r="I26" s="87"/>
      <c r="J26" s="88"/>
    </row>
    <row r="27" spans="2:10">
      <c r="B27" s="97" t="s">
        <v>508</v>
      </c>
      <c r="C27" s="94" t="s">
        <v>493</v>
      </c>
      <c r="D27" s="94" t="s">
        <v>512</v>
      </c>
      <c r="E27" s="94" t="s">
        <v>511</v>
      </c>
      <c r="F27" s="95">
        <f>18.7/5.4</f>
        <v>3.4629629629629628</v>
      </c>
      <c r="G27" s="95">
        <v>0</v>
      </c>
      <c r="H27" s="96">
        <v>44166</v>
      </c>
      <c r="I27" s="87"/>
      <c r="J27" s="88"/>
    </row>
    <row r="28" spans="2:10">
      <c r="B28" s="97" t="s">
        <v>508</v>
      </c>
      <c r="C28" s="94" t="s">
        <v>493</v>
      </c>
      <c r="D28" s="94" t="s">
        <v>363</v>
      </c>
      <c r="E28" s="94" t="s">
        <v>371</v>
      </c>
      <c r="F28" s="95">
        <v>2.5</v>
      </c>
      <c r="G28" s="95">
        <v>0</v>
      </c>
      <c r="H28" s="96">
        <v>44166</v>
      </c>
      <c r="I28" s="87"/>
      <c r="J28" s="88"/>
    </row>
    <row r="29" spans="2:10">
      <c r="B29" s="97" t="s">
        <v>508</v>
      </c>
      <c r="C29" s="94" t="s">
        <v>493</v>
      </c>
      <c r="D29" s="94" t="s">
        <v>364</v>
      </c>
      <c r="E29" s="94" t="s">
        <v>372</v>
      </c>
      <c r="F29" s="95">
        <v>14</v>
      </c>
      <c r="G29" s="95">
        <v>0</v>
      </c>
      <c r="H29" s="96">
        <v>44166</v>
      </c>
      <c r="I29" s="87"/>
      <c r="J29" s="88"/>
    </row>
    <row r="30" spans="2:10">
      <c r="B30" s="97"/>
      <c r="C30" s="94"/>
      <c r="D30" s="94"/>
      <c r="E30" s="94"/>
      <c r="F30" s="95"/>
      <c r="G30" s="95"/>
      <c r="H30" s="96"/>
      <c r="I30" s="87"/>
      <c r="J30" s="88"/>
    </row>
    <row r="31" spans="2:10">
      <c r="B31" s="97"/>
      <c r="C31" s="94"/>
      <c r="D31" s="94"/>
      <c r="E31" s="94"/>
      <c r="F31" s="95"/>
      <c r="G31" s="95"/>
      <c r="H31" s="96"/>
      <c r="I31" s="87"/>
      <c r="J31" s="88"/>
    </row>
    <row r="32" spans="2:10">
      <c r="B32" s="97"/>
      <c r="C32" s="94"/>
      <c r="D32" s="94"/>
      <c r="E32" s="94"/>
      <c r="F32" s="95"/>
      <c r="G32" s="95"/>
      <c r="H32" s="96"/>
      <c r="I32" s="87"/>
      <c r="J32" s="88"/>
    </row>
    <row r="33" spans="2:10">
      <c r="B33" s="89"/>
      <c r="F33" s="87"/>
      <c r="G33" s="87"/>
      <c r="H33" s="88"/>
      <c r="I33" s="87"/>
      <c r="J33" s="88"/>
    </row>
    <row r="34" spans="2:10">
      <c r="B34" s="91"/>
      <c r="C34" s="91"/>
      <c r="D34" s="91"/>
      <c r="E34" s="92" t="s">
        <v>492</v>
      </c>
      <c r="F34" s="93">
        <f>SUM(F15:F27)</f>
        <v>895.52296296296277</v>
      </c>
      <c r="G34" s="93">
        <f>SUM(G15:G27)</f>
        <v>4142.8520399999998</v>
      </c>
      <c r="H34" s="92" t="s">
        <v>265</v>
      </c>
      <c r="I34" s="87"/>
      <c r="J34" s="88"/>
    </row>
    <row r="35" spans="2:10">
      <c r="B35" s="54" t="s">
        <v>490</v>
      </c>
      <c r="C35" s="54" t="s">
        <v>495</v>
      </c>
      <c r="D35" s="54" t="s">
        <v>62</v>
      </c>
      <c r="E35" s="54" t="s">
        <v>63</v>
      </c>
      <c r="F35" s="87">
        <v>300</v>
      </c>
      <c r="G35" s="87">
        <v>0</v>
      </c>
      <c r="H35" s="88">
        <v>44166</v>
      </c>
      <c r="I35" s="87"/>
      <c r="J35" s="88"/>
    </row>
    <row r="36" spans="2:10">
      <c r="B36" s="94" t="s">
        <v>490</v>
      </c>
      <c r="C36" s="94" t="s">
        <v>495</v>
      </c>
      <c r="D36" s="94" t="s">
        <v>164</v>
      </c>
      <c r="E36" s="94" t="s">
        <v>165</v>
      </c>
      <c r="F36" s="95">
        <v>90.7</v>
      </c>
      <c r="G36" s="95">
        <v>0</v>
      </c>
      <c r="H36" s="96">
        <v>44136</v>
      </c>
      <c r="I36" s="87"/>
      <c r="J36" s="88"/>
    </row>
    <row r="37" spans="2:10">
      <c r="B37" s="94" t="s">
        <v>490</v>
      </c>
      <c r="C37" s="94" t="s">
        <v>495</v>
      </c>
      <c r="D37" s="94" t="s">
        <v>214</v>
      </c>
      <c r="E37" s="94" t="s">
        <v>213</v>
      </c>
      <c r="F37" s="95">
        <v>32</v>
      </c>
      <c r="G37" s="95">
        <v>30</v>
      </c>
      <c r="H37" s="96">
        <v>44228</v>
      </c>
      <c r="I37" s="87"/>
      <c r="J37" s="88"/>
    </row>
    <row r="38" spans="2:10">
      <c r="B38" s="94" t="s">
        <v>490</v>
      </c>
      <c r="C38" s="94" t="s">
        <v>495</v>
      </c>
      <c r="D38" s="94" t="s">
        <v>226</v>
      </c>
      <c r="E38" s="94" t="s">
        <v>249</v>
      </c>
      <c r="F38" s="95">
        <v>60</v>
      </c>
      <c r="G38" s="95">
        <v>0</v>
      </c>
      <c r="H38" s="96">
        <v>44166</v>
      </c>
      <c r="I38" s="87"/>
      <c r="J38" s="88"/>
    </row>
    <row r="39" spans="2:10">
      <c r="B39" s="94" t="s">
        <v>490</v>
      </c>
      <c r="C39" s="94" t="s">
        <v>495</v>
      </c>
      <c r="D39" s="94" t="s">
        <v>452</v>
      </c>
      <c r="E39" s="94" t="s">
        <v>376</v>
      </c>
      <c r="F39" s="95">
        <v>100</v>
      </c>
      <c r="G39" s="95">
        <v>145</v>
      </c>
      <c r="H39" s="96">
        <v>44256</v>
      </c>
      <c r="I39" s="87"/>
      <c r="J39" s="88"/>
    </row>
    <row r="40" spans="2:10">
      <c r="B40" s="94" t="s">
        <v>490</v>
      </c>
      <c r="C40" s="94" t="s">
        <v>495</v>
      </c>
      <c r="D40" s="94" t="s">
        <v>314</v>
      </c>
      <c r="E40" s="94" t="s">
        <v>313</v>
      </c>
      <c r="F40" s="95">
        <v>299.67</v>
      </c>
      <c r="G40" s="95">
        <v>0</v>
      </c>
      <c r="H40" s="96">
        <v>44166</v>
      </c>
      <c r="I40" s="87"/>
      <c r="J40" s="88"/>
    </row>
    <row r="41" spans="2:10">
      <c r="B41" s="94" t="s">
        <v>490</v>
      </c>
      <c r="C41" s="94" t="s">
        <v>495</v>
      </c>
      <c r="D41" s="94" t="s">
        <v>308</v>
      </c>
      <c r="E41" s="94" t="s">
        <v>309</v>
      </c>
      <c r="F41" s="95">
        <v>300</v>
      </c>
      <c r="G41" s="95">
        <v>86.004999999999995</v>
      </c>
      <c r="H41" s="96">
        <v>44228</v>
      </c>
      <c r="I41" s="87"/>
      <c r="J41" s="88"/>
    </row>
    <row r="42" spans="2:10">
      <c r="B42" s="94" t="s">
        <v>490</v>
      </c>
      <c r="C42" s="94" t="s">
        <v>495</v>
      </c>
      <c r="D42" s="94" t="s">
        <v>156</v>
      </c>
      <c r="E42" s="94" t="s">
        <v>157</v>
      </c>
      <c r="F42" s="95">
        <v>0</v>
      </c>
      <c r="G42" s="95">
        <v>372.80046999999996</v>
      </c>
      <c r="H42" s="96">
        <v>44348</v>
      </c>
      <c r="I42" s="87"/>
      <c r="J42" s="88"/>
    </row>
    <row r="43" spans="2:10">
      <c r="B43" s="97" t="s">
        <v>508</v>
      </c>
      <c r="C43" s="94" t="s">
        <v>495</v>
      </c>
      <c r="D43" s="94" t="s">
        <v>468</v>
      </c>
      <c r="E43" s="94" t="s">
        <v>469</v>
      </c>
      <c r="F43" s="95">
        <v>94</v>
      </c>
      <c r="G43" s="95">
        <v>0</v>
      </c>
      <c r="H43" s="96">
        <v>44166</v>
      </c>
      <c r="I43" s="87"/>
      <c r="J43" s="88"/>
    </row>
    <row r="44" spans="2:10">
      <c r="B44" s="97"/>
      <c r="C44" s="94"/>
      <c r="D44" s="94"/>
      <c r="E44" s="94"/>
      <c r="F44" s="95"/>
      <c r="G44" s="95"/>
      <c r="H44" s="96"/>
      <c r="I44" s="87"/>
      <c r="J44" s="88"/>
    </row>
    <row r="45" spans="2:10">
      <c r="B45" s="97"/>
      <c r="C45" s="94"/>
      <c r="D45" s="94"/>
      <c r="E45" s="94"/>
      <c r="F45" s="95"/>
      <c r="G45" s="95"/>
      <c r="H45" s="96"/>
      <c r="I45" s="87"/>
      <c r="J45" s="88"/>
    </row>
    <row r="46" spans="2:10">
      <c r="B46" s="89"/>
      <c r="F46" s="87"/>
      <c r="G46" s="87"/>
      <c r="H46" s="88"/>
      <c r="I46" s="87"/>
      <c r="J46" s="88"/>
    </row>
    <row r="47" spans="2:10">
      <c r="B47" s="91"/>
      <c r="C47" s="91"/>
      <c r="D47" s="91"/>
      <c r="E47" s="92" t="s">
        <v>492</v>
      </c>
      <c r="F47" s="93">
        <f>SUM(F35:F43)</f>
        <v>1276.3700000000001</v>
      </c>
      <c r="G47" s="93">
        <f>SUM(G35:G43)</f>
        <v>633.80547000000001</v>
      </c>
      <c r="H47" s="92" t="s">
        <v>265</v>
      </c>
      <c r="I47" s="87"/>
      <c r="J47" s="88"/>
    </row>
    <row r="48" spans="2:10">
      <c r="B48" s="54" t="s">
        <v>490</v>
      </c>
      <c r="C48" s="54" t="s">
        <v>496</v>
      </c>
      <c r="D48" s="54" t="s">
        <v>70</v>
      </c>
      <c r="E48" s="54" t="s">
        <v>71</v>
      </c>
      <c r="F48" s="87">
        <v>4</v>
      </c>
      <c r="G48" s="87">
        <v>0</v>
      </c>
      <c r="H48" s="88">
        <v>44075</v>
      </c>
      <c r="I48" s="87"/>
      <c r="J48" s="88"/>
    </row>
    <row r="49" spans="2:10">
      <c r="B49" s="94" t="s">
        <v>490</v>
      </c>
      <c r="C49" s="94" t="s">
        <v>496</v>
      </c>
      <c r="D49" s="94" t="s">
        <v>120</v>
      </c>
      <c r="E49" s="94" t="s">
        <v>121</v>
      </c>
      <c r="F49" s="95">
        <v>62.7</v>
      </c>
      <c r="G49" s="95">
        <v>0</v>
      </c>
      <c r="H49" s="96">
        <v>44136</v>
      </c>
      <c r="I49" s="87"/>
      <c r="J49" s="88"/>
    </row>
    <row r="50" spans="2:10">
      <c r="B50" s="94" t="s">
        <v>490</v>
      </c>
      <c r="C50" s="94" t="s">
        <v>496</v>
      </c>
      <c r="D50" s="94" t="s">
        <v>118</v>
      </c>
      <c r="E50" s="94" t="s">
        <v>119</v>
      </c>
      <c r="F50" s="95">
        <v>0</v>
      </c>
      <c r="G50" s="95">
        <v>50.7</v>
      </c>
      <c r="H50" s="96">
        <v>44256</v>
      </c>
      <c r="I50" s="87"/>
      <c r="J50" s="88"/>
    </row>
    <row r="51" spans="2:10">
      <c r="B51" s="94" t="s">
        <v>490</v>
      </c>
      <c r="C51" s="94" t="s">
        <v>496</v>
      </c>
      <c r="D51" s="94" t="s">
        <v>254</v>
      </c>
      <c r="E51" s="94" t="s">
        <v>253</v>
      </c>
      <c r="F51" s="95">
        <v>0</v>
      </c>
      <c r="G51" s="95">
        <v>23.3</v>
      </c>
      <c r="H51" s="96">
        <v>44287</v>
      </c>
      <c r="I51" s="87"/>
      <c r="J51" s="88"/>
    </row>
    <row r="52" spans="2:10">
      <c r="B52" s="97" t="s">
        <v>494</v>
      </c>
      <c r="C52" s="94" t="s">
        <v>496</v>
      </c>
      <c r="D52" s="94" t="s">
        <v>356</v>
      </c>
      <c r="E52" s="94" t="s">
        <v>348</v>
      </c>
      <c r="F52" s="95">
        <v>25</v>
      </c>
      <c r="G52" s="95">
        <v>0</v>
      </c>
      <c r="H52" s="96">
        <v>44166</v>
      </c>
      <c r="I52" s="87"/>
      <c r="J52" s="88"/>
    </row>
    <row r="53" spans="2:10">
      <c r="B53" s="97" t="s">
        <v>508</v>
      </c>
      <c r="C53" s="94" t="s">
        <v>496</v>
      </c>
      <c r="D53" s="94" t="s">
        <v>357</v>
      </c>
      <c r="E53" s="94" t="s">
        <v>358</v>
      </c>
      <c r="F53" s="95">
        <v>5</v>
      </c>
      <c r="G53" s="95">
        <v>0</v>
      </c>
      <c r="H53" s="96">
        <v>44166</v>
      </c>
      <c r="I53" s="87"/>
      <c r="J53" s="88"/>
    </row>
    <row r="54" spans="2:10">
      <c r="B54" s="97" t="s">
        <v>508</v>
      </c>
      <c r="C54" s="94" t="s">
        <v>496</v>
      </c>
      <c r="D54" s="94" t="s">
        <v>359</v>
      </c>
      <c r="E54" s="94" t="s">
        <v>368</v>
      </c>
      <c r="F54" s="95">
        <v>15</v>
      </c>
      <c r="G54" s="95">
        <v>0</v>
      </c>
      <c r="H54" s="96">
        <v>44166</v>
      </c>
      <c r="I54" s="87"/>
      <c r="J54" s="88"/>
    </row>
    <row r="55" spans="2:10">
      <c r="B55" s="97" t="s">
        <v>508</v>
      </c>
      <c r="C55" s="94" t="s">
        <v>496</v>
      </c>
      <c r="D55" s="94" t="s">
        <v>360</v>
      </c>
      <c r="E55" s="94" t="s">
        <v>369</v>
      </c>
      <c r="F55" s="95">
        <v>1.6</v>
      </c>
      <c r="G55" s="95">
        <v>0</v>
      </c>
      <c r="H55" s="96">
        <v>44166</v>
      </c>
      <c r="I55" s="87"/>
      <c r="J55" s="88"/>
    </row>
    <row r="56" spans="2:10">
      <c r="B56" s="97" t="s">
        <v>508</v>
      </c>
      <c r="C56" s="94" t="s">
        <v>496</v>
      </c>
      <c r="D56" s="94" t="s">
        <v>365</v>
      </c>
      <c r="E56" s="94" t="s">
        <v>373</v>
      </c>
      <c r="F56" s="95">
        <v>8</v>
      </c>
      <c r="G56" s="95">
        <v>0</v>
      </c>
      <c r="H56" s="96">
        <v>44166</v>
      </c>
      <c r="I56" s="87"/>
      <c r="J56" s="88"/>
    </row>
    <row r="57" spans="2:10">
      <c r="B57" s="97" t="s">
        <v>508</v>
      </c>
      <c r="C57" s="94" t="s">
        <v>496</v>
      </c>
      <c r="D57" s="94" t="s">
        <v>366</v>
      </c>
      <c r="E57" s="94" t="s">
        <v>374</v>
      </c>
      <c r="F57" s="95">
        <v>1.6</v>
      </c>
      <c r="G57" s="95">
        <v>0</v>
      </c>
      <c r="H57" s="96">
        <v>44166</v>
      </c>
      <c r="I57" s="87"/>
      <c r="J57" s="88"/>
    </row>
    <row r="58" spans="2:10">
      <c r="B58" s="97" t="s">
        <v>508</v>
      </c>
      <c r="C58" s="94" t="s">
        <v>496</v>
      </c>
      <c r="D58" s="94" t="s">
        <v>526</v>
      </c>
      <c r="E58" s="94" t="s">
        <v>525</v>
      </c>
      <c r="F58" s="95">
        <v>9.5</v>
      </c>
      <c r="G58" s="95">
        <v>0</v>
      </c>
      <c r="H58" s="96">
        <v>44166</v>
      </c>
      <c r="I58" s="87"/>
      <c r="J58" s="88"/>
    </row>
    <row r="59" spans="2:10">
      <c r="B59" s="97" t="s">
        <v>508</v>
      </c>
      <c r="C59" s="94" t="s">
        <v>496</v>
      </c>
      <c r="D59" s="94" t="s">
        <v>526</v>
      </c>
      <c r="E59" s="94" t="s">
        <v>527</v>
      </c>
      <c r="F59" s="95">
        <v>9.5</v>
      </c>
      <c r="G59" s="95">
        <v>0</v>
      </c>
      <c r="H59" s="96">
        <v>44166</v>
      </c>
      <c r="I59" s="87"/>
      <c r="J59" s="88"/>
    </row>
    <row r="60" spans="2:10">
      <c r="B60" s="97"/>
      <c r="C60" s="94"/>
      <c r="D60" s="94"/>
      <c r="E60" s="94"/>
      <c r="F60" s="95"/>
      <c r="G60" s="95"/>
      <c r="H60" s="96"/>
      <c r="I60" s="87"/>
      <c r="J60" s="88"/>
    </row>
    <row r="61" spans="2:10">
      <c r="B61" s="97"/>
      <c r="C61" s="94"/>
      <c r="D61" s="94"/>
      <c r="E61" s="94"/>
      <c r="F61" s="95"/>
      <c r="G61" s="95"/>
      <c r="H61" s="96"/>
      <c r="I61" s="87"/>
      <c r="J61" s="88"/>
    </row>
    <row r="62" spans="2:10">
      <c r="B62" s="89"/>
      <c r="F62" s="87"/>
      <c r="G62" s="87"/>
      <c r="H62" s="88"/>
      <c r="I62" s="87"/>
      <c r="J62" s="88"/>
    </row>
    <row r="63" spans="2:10">
      <c r="B63" s="91"/>
      <c r="C63" s="91"/>
      <c r="D63" s="91"/>
      <c r="E63" s="92" t="s">
        <v>492</v>
      </c>
      <c r="F63" s="93">
        <f>SUM(F48:F59)</f>
        <v>141.89999999999998</v>
      </c>
      <c r="G63" s="93">
        <f>SUM(G48:G57)</f>
        <v>74</v>
      </c>
      <c r="H63" s="92" t="s">
        <v>265</v>
      </c>
      <c r="I63" s="87"/>
      <c r="J63" s="88"/>
    </row>
    <row r="64" spans="2:10">
      <c r="B64" s="94" t="s">
        <v>490</v>
      </c>
      <c r="C64" s="94" t="s">
        <v>497</v>
      </c>
      <c r="D64" s="94" t="s">
        <v>260</v>
      </c>
      <c r="E64" s="94" t="s">
        <v>259</v>
      </c>
      <c r="F64" s="95">
        <v>17.2</v>
      </c>
      <c r="G64" s="95">
        <v>100</v>
      </c>
      <c r="H64" s="96">
        <v>44256</v>
      </c>
      <c r="I64" s="87"/>
      <c r="J64" s="88"/>
    </row>
    <row r="65" spans="2:10">
      <c r="B65" s="94" t="s">
        <v>490</v>
      </c>
      <c r="C65" s="94" t="s">
        <v>497</v>
      </c>
      <c r="D65" s="94" t="s">
        <v>172</v>
      </c>
      <c r="E65" s="94" t="s">
        <v>173</v>
      </c>
      <c r="F65" s="95">
        <v>0</v>
      </c>
      <c r="G65" s="95">
        <v>39</v>
      </c>
      <c r="H65" s="96">
        <v>43862</v>
      </c>
      <c r="I65" s="87"/>
      <c r="J65" s="88"/>
    </row>
    <row r="66" spans="2:10">
      <c r="B66" s="94" t="s">
        <v>490</v>
      </c>
      <c r="C66" s="94" t="s">
        <v>497</v>
      </c>
      <c r="D66" s="94" t="s">
        <v>268</v>
      </c>
      <c r="E66" s="94" t="s">
        <v>270</v>
      </c>
      <c r="F66" s="95">
        <v>60</v>
      </c>
      <c r="G66" s="95">
        <v>60</v>
      </c>
      <c r="H66" s="96">
        <v>44287</v>
      </c>
      <c r="I66" s="87"/>
      <c r="J66" s="88"/>
    </row>
    <row r="67" spans="2:10">
      <c r="B67" s="97" t="s">
        <v>494</v>
      </c>
      <c r="C67" s="94" t="s">
        <v>497</v>
      </c>
      <c r="D67" s="94" t="s">
        <v>336</v>
      </c>
      <c r="E67" s="94" t="s">
        <v>335</v>
      </c>
      <c r="F67" s="95">
        <v>50</v>
      </c>
      <c r="G67" s="95">
        <v>0</v>
      </c>
      <c r="H67" s="96">
        <v>44166</v>
      </c>
      <c r="I67" s="87"/>
      <c r="J67" s="88"/>
    </row>
    <row r="68" spans="2:10">
      <c r="B68" s="97" t="s">
        <v>494</v>
      </c>
      <c r="C68" s="94" t="s">
        <v>497</v>
      </c>
      <c r="D68" s="94" t="s">
        <v>349</v>
      </c>
      <c r="E68" s="94" t="s">
        <v>343</v>
      </c>
      <c r="F68" s="95">
        <v>43</v>
      </c>
      <c r="G68" s="95">
        <v>0</v>
      </c>
      <c r="H68" s="96">
        <v>44166</v>
      </c>
      <c r="I68" s="87"/>
      <c r="J68" s="88"/>
    </row>
    <row r="69" spans="2:10">
      <c r="B69" s="97" t="s">
        <v>494</v>
      </c>
      <c r="C69" s="94" t="s">
        <v>497</v>
      </c>
      <c r="D69" s="94" t="s">
        <v>351</v>
      </c>
      <c r="E69" s="94" t="s">
        <v>341</v>
      </c>
      <c r="F69" s="95">
        <v>48</v>
      </c>
      <c r="G69" s="95">
        <v>0</v>
      </c>
      <c r="H69" s="96">
        <v>44166</v>
      </c>
      <c r="I69" s="87"/>
      <c r="J69" s="88"/>
    </row>
    <row r="70" spans="2:10">
      <c r="B70" s="97" t="s">
        <v>494</v>
      </c>
      <c r="C70" s="94" t="s">
        <v>497</v>
      </c>
      <c r="D70" s="94" t="s">
        <v>337</v>
      </c>
      <c r="E70" s="94" t="s">
        <v>342</v>
      </c>
      <c r="F70" s="95">
        <v>50</v>
      </c>
      <c r="G70" s="95">
        <v>0</v>
      </c>
      <c r="H70" s="96">
        <v>44166</v>
      </c>
      <c r="I70" s="87"/>
      <c r="J70" s="88"/>
    </row>
    <row r="71" spans="2:10">
      <c r="B71" s="97" t="s">
        <v>494</v>
      </c>
      <c r="C71" s="94" t="s">
        <v>497</v>
      </c>
      <c r="D71" s="94" t="s">
        <v>354</v>
      </c>
      <c r="E71" s="94" t="s">
        <v>346</v>
      </c>
      <c r="F71" s="95">
        <v>18</v>
      </c>
      <c r="G71" s="95">
        <v>0</v>
      </c>
      <c r="H71" s="96">
        <v>44166</v>
      </c>
      <c r="I71" s="87"/>
      <c r="J71" s="88"/>
    </row>
    <row r="72" spans="2:10">
      <c r="B72" s="97" t="s">
        <v>494</v>
      </c>
      <c r="C72" s="94" t="s">
        <v>497</v>
      </c>
      <c r="D72" s="94" t="s">
        <v>502</v>
      </c>
      <c r="E72" s="94" t="s">
        <v>453</v>
      </c>
      <c r="F72" s="95">
        <v>30</v>
      </c>
      <c r="G72" s="95">
        <v>0</v>
      </c>
      <c r="H72" s="96">
        <v>44166</v>
      </c>
      <c r="I72" s="87"/>
      <c r="J72" s="88"/>
    </row>
    <row r="73" spans="2:10">
      <c r="B73" s="97" t="s">
        <v>494</v>
      </c>
      <c r="C73" s="94" t="s">
        <v>497</v>
      </c>
      <c r="D73" s="94" t="s">
        <v>350</v>
      </c>
      <c r="E73" s="94" t="s">
        <v>344</v>
      </c>
      <c r="F73" s="95">
        <v>38</v>
      </c>
      <c r="G73" s="95">
        <v>0</v>
      </c>
      <c r="H73" s="96">
        <v>44166</v>
      </c>
      <c r="I73" s="87"/>
      <c r="J73" s="88"/>
    </row>
    <row r="74" spans="2:10">
      <c r="B74" s="97" t="s">
        <v>494</v>
      </c>
      <c r="C74" s="94" t="s">
        <v>497</v>
      </c>
      <c r="D74" s="94" t="s">
        <v>352</v>
      </c>
      <c r="E74" s="94" t="s">
        <v>345</v>
      </c>
      <c r="F74" s="95">
        <v>47</v>
      </c>
      <c r="G74" s="95">
        <v>0</v>
      </c>
      <c r="H74" s="96">
        <v>44166</v>
      </c>
      <c r="I74" s="87"/>
      <c r="J74" s="88"/>
    </row>
    <row r="75" spans="2:10">
      <c r="B75" s="97" t="s">
        <v>508</v>
      </c>
      <c r="C75" s="94" t="s">
        <v>497</v>
      </c>
      <c r="D75" s="94" t="s">
        <v>322</v>
      </c>
      <c r="E75" s="94" t="s">
        <v>323</v>
      </c>
      <c r="F75" s="95">
        <v>28</v>
      </c>
      <c r="G75" s="95">
        <v>0</v>
      </c>
      <c r="H75" s="96">
        <v>44166</v>
      </c>
      <c r="I75" s="87"/>
      <c r="J75" s="88"/>
    </row>
    <row r="76" spans="2:10">
      <c r="B76" s="97" t="s">
        <v>508</v>
      </c>
      <c r="C76" s="94" t="s">
        <v>497</v>
      </c>
      <c r="D76" s="94" t="s">
        <v>362</v>
      </c>
      <c r="E76" s="94" t="s">
        <v>370</v>
      </c>
      <c r="F76" s="95">
        <v>6</v>
      </c>
      <c r="G76" s="95">
        <v>0</v>
      </c>
      <c r="H76" s="96">
        <v>44166</v>
      </c>
      <c r="I76" s="87"/>
      <c r="J76" s="88"/>
    </row>
    <row r="77" spans="2:10">
      <c r="B77" s="98" t="s">
        <v>490</v>
      </c>
      <c r="C77" s="94" t="s">
        <v>497</v>
      </c>
      <c r="D77" s="94" t="s">
        <v>528</v>
      </c>
      <c r="E77" s="94" t="s">
        <v>529</v>
      </c>
      <c r="F77" s="95">
        <v>0</v>
      </c>
      <c r="G77" s="95">
        <v>100</v>
      </c>
      <c r="H77" s="96">
        <v>44256</v>
      </c>
      <c r="I77" s="87"/>
      <c r="J77" s="88"/>
    </row>
    <row r="78" spans="2:10">
      <c r="B78" s="98" t="s">
        <v>490</v>
      </c>
      <c r="C78" s="94" t="s">
        <v>497</v>
      </c>
      <c r="D78" s="94" t="s">
        <v>533</v>
      </c>
      <c r="E78" s="94" t="s">
        <v>531</v>
      </c>
      <c r="F78" s="95">
        <v>96</v>
      </c>
      <c r="G78" s="95">
        <v>0</v>
      </c>
      <c r="H78" s="96">
        <v>44166</v>
      </c>
      <c r="I78" s="87"/>
      <c r="J78" s="88"/>
    </row>
    <row r="79" spans="2:10">
      <c r="B79" s="97"/>
      <c r="C79" s="94"/>
      <c r="D79" s="94"/>
      <c r="E79" s="94"/>
      <c r="F79" s="95"/>
      <c r="G79" s="95"/>
      <c r="H79" s="96"/>
      <c r="I79" s="87"/>
      <c r="J79" s="88"/>
    </row>
    <row r="80" spans="2:10">
      <c r="B80" s="97"/>
      <c r="C80" s="94"/>
      <c r="D80" s="94"/>
      <c r="E80" s="94"/>
      <c r="F80" s="95"/>
      <c r="G80" s="95"/>
      <c r="H80" s="96"/>
      <c r="I80" s="87"/>
      <c r="J80" s="88"/>
    </row>
    <row r="81" spans="2:10">
      <c r="B81" s="89"/>
      <c r="F81" s="87"/>
      <c r="G81" s="87"/>
      <c r="H81" s="88"/>
      <c r="I81" s="87"/>
      <c r="J81" s="88"/>
    </row>
    <row r="82" spans="2:10">
      <c r="B82" s="91"/>
      <c r="C82" s="91"/>
      <c r="D82" s="91"/>
      <c r="E82" s="92" t="s">
        <v>492</v>
      </c>
      <c r="F82" s="93">
        <f>SUM(F64:F78)</f>
        <v>531.20000000000005</v>
      </c>
      <c r="G82" s="93">
        <f>SUM(G64:G78)</f>
        <v>299</v>
      </c>
      <c r="H82" s="92" t="s">
        <v>265</v>
      </c>
      <c r="I82" s="87"/>
      <c r="J82" s="88"/>
    </row>
    <row r="83" spans="2:10">
      <c r="B83" s="54" t="s">
        <v>490</v>
      </c>
      <c r="C83" s="54" t="s">
        <v>498</v>
      </c>
      <c r="D83" s="54" t="s">
        <v>58</v>
      </c>
      <c r="E83" s="54" t="s">
        <v>59</v>
      </c>
      <c r="F83" s="87">
        <v>9.6403199999999991</v>
      </c>
      <c r="G83" s="87">
        <v>0</v>
      </c>
      <c r="H83" s="88">
        <v>44136</v>
      </c>
      <c r="I83" s="87"/>
      <c r="J83" s="88"/>
    </row>
    <row r="84" spans="2:10">
      <c r="B84" s="94" t="s">
        <v>490</v>
      </c>
      <c r="C84" s="94" t="s">
        <v>498</v>
      </c>
      <c r="D84" s="94" t="s">
        <v>78</v>
      </c>
      <c r="E84" s="94" t="s">
        <v>79</v>
      </c>
      <c r="F84" s="95">
        <v>15</v>
      </c>
      <c r="G84" s="95">
        <v>0</v>
      </c>
      <c r="H84" s="96">
        <v>44105</v>
      </c>
      <c r="I84" s="87"/>
      <c r="J84" s="88"/>
    </row>
    <row r="85" spans="2:10">
      <c r="B85" s="94" t="s">
        <v>490</v>
      </c>
      <c r="C85" s="94" t="s">
        <v>498</v>
      </c>
      <c r="D85" s="94" t="s">
        <v>114</v>
      </c>
      <c r="E85" s="94" t="s">
        <v>115</v>
      </c>
      <c r="F85" s="95">
        <v>0</v>
      </c>
      <c r="G85" s="95">
        <v>129</v>
      </c>
      <c r="H85" s="96">
        <v>44409</v>
      </c>
      <c r="I85" s="87"/>
      <c r="J85" s="88"/>
    </row>
    <row r="86" spans="2:10">
      <c r="B86" s="94" t="s">
        <v>490</v>
      </c>
      <c r="C86" s="94" t="s">
        <v>498</v>
      </c>
      <c r="D86" s="94" t="s">
        <v>128</v>
      </c>
      <c r="E86" s="94" t="s">
        <v>129</v>
      </c>
      <c r="F86" s="95">
        <v>317.39999999999998</v>
      </c>
      <c r="G86" s="95">
        <v>0</v>
      </c>
      <c r="H86" s="96">
        <v>44166</v>
      </c>
      <c r="I86" s="87"/>
      <c r="J86" s="88"/>
    </row>
    <row r="87" spans="2:10">
      <c r="B87" s="94" t="s">
        <v>490</v>
      </c>
      <c r="C87" s="94" t="s">
        <v>498</v>
      </c>
      <c r="D87" s="94" t="s">
        <v>134</v>
      </c>
      <c r="E87" s="94" t="s">
        <v>135</v>
      </c>
      <c r="F87" s="95">
        <v>5</v>
      </c>
      <c r="G87" s="95">
        <v>112.63531158217589</v>
      </c>
      <c r="H87" s="96">
        <v>44348</v>
      </c>
      <c r="I87" s="87"/>
      <c r="J87" s="88"/>
    </row>
    <row r="88" spans="2:10">
      <c r="B88" s="94" t="s">
        <v>490</v>
      </c>
      <c r="C88" s="94" t="s">
        <v>498</v>
      </c>
      <c r="D88" s="94" t="s">
        <v>76</v>
      </c>
      <c r="E88" s="94" t="s">
        <v>77</v>
      </c>
      <c r="F88" s="95">
        <v>123.4</v>
      </c>
      <c r="G88" s="95">
        <v>72</v>
      </c>
      <c r="H88" s="96">
        <v>44287</v>
      </c>
      <c r="I88" s="87"/>
      <c r="J88" s="88"/>
    </row>
    <row r="89" spans="2:10">
      <c r="B89" s="94" t="s">
        <v>490</v>
      </c>
      <c r="C89" s="94" t="s">
        <v>498</v>
      </c>
      <c r="D89" s="94" t="s">
        <v>154</v>
      </c>
      <c r="E89" s="94" t="s">
        <v>155</v>
      </c>
      <c r="F89" s="95">
        <v>4</v>
      </c>
      <c r="G89" s="95">
        <v>211.7</v>
      </c>
      <c r="H89" s="96">
        <v>44256</v>
      </c>
      <c r="I89" s="87"/>
      <c r="J89" s="88"/>
    </row>
    <row r="90" spans="2:10">
      <c r="B90" s="94" t="s">
        <v>490</v>
      </c>
      <c r="C90" s="94" t="s">
        <v>498</v>
      </c>
      <c r="D90" s="94" t="s">
        <v>200</v>
      </c>
      <c r="E90" s="94" t="s">
        <v>199</v>
      </c>
      <c r="F90" s="95">
        <v>120</v>
      </c>
      <c r="G90" s="95">
        <v>240.2</v>
      </c>
      <c r="H90" s="96">
        <v>44287</v>
      </c>
      <c r="I90" s="87"/>
      <c r="J90" s="88"/>
    </row>
    <row r="91" spans="2:10">
      <c r="B91" s="94" t="s">
        <v>490</v>
      </c>
      <c r="C91" s="94" t="s">
        <v>498</v>
      </c>
      <c r="D91" s="94" t="s">
        <v>209</v>
      </c>
      <c r="E91" s="94" t="s">
        <v>210</v>
      </c>
      <c r="F91" s="95">
        <v>19.3</v>
      </c>
      <c r="G91" s="95">
        <v>0</v>
      </c>
      <c r="H91" s="96">
        <v>44136</v>
      </c>
      <c r="I91" s="87"/>
      <c r="J91" s="88"/>
    </row>
    <row r="92" spans="2:10">
      <c r="B92" s="94" t="s">
        <v>490</v>
      </c>
      <c r="C92" s="94" t="s">
        <v>498</v>
      </c>
      <c r="D92" s="94" t="s">
        <v>251</v>
      </c>
      <c r="E92" s="94" t="s">
        <v>252</v>
      </c>
      <c r="F92" s="95">
        <v>1200</v>
      </c>
      <c r="G92" s="95">
        <v>231.3</v>
      </c>
      <c r="H92" s="96">
        <v>44287</v>
      </c>
      <c r="I92" s="87"/>
      <c r="J92" s="88"/>
    </row>
    <row r="93" spans="2:10">
      <c r="B93" s="94" t="s">
        <v>490</v>
      </c>
      <c r="C93" s="94" t="s">
        <v>498</v>
      </c>
      <c r="D93" s="94" t="s">
        <v>257</v>
      </c>
      <c r="E93" s="94" t="s">
        <v>142</v>
      </c>
      <c r="F93" s="95">
        <v>440.3</v>
      </c>
      <c r="G93" s="95">
        <v>120.2</v>
      </c>
      <c r="H93" s="96">
        <v>44256</v>
      </c>
      <c r="I93" s="87"/>
      <c r="J93" s="88"/>
    </row>
    <row r="94" spans="2:10">
      <c r="B94" s="94" t="s">
        <v>490</v>
      </c>
      <c r="C94" s="94" t="s">
        <v>498</v>
      </c>
      <c r="D94" s="94" t="s">
        <v>340</v>
      </c>
      <c r="E94" s="94" t="s">
        <v>334</v>
      </c>
      <c r="F94" s="95">
        <v>120</v>
      </c>
      <c r="G94" s="95">
        <v>73.900000000000006</v>
      </c>
      <c r="H94" s="96">
        <v>44256</v>
      </c>
      <c r="I94" s="87"/>
      <c r="J94" s="88"/>
    </row>
    <row r="95" spans="2:10">
      <c r="B95" s="94" t="s">
        <v>490</v>
      </c>
      <c r="C95" s="94" t="s">
        <v>498</v>
      </c>
      <c r="D95" s="94" t="s">
        <v>332</v>
      </c>
      <c r="E95" s="94" t="s">
        <v>331</v>
      </c>
      <c r="F95" s="95">
        <v>0</v>
      </c>
      <c r="G95" s="95">
        <v>1340</v>
      </c>
      <c r="H95" s="96">
        <v>44531</v>
      </c>
      <c r="I95" s="87"/>
      <c r="J95" s="88"/>
    </row>
    <row r="96" spans="2:10">
      <c r="B96" s="94" t="s">
        <v>490</v>
      </c>
      <c r="C96" s="94" t="s">
        <v>498</v>
      </c>
      <c r="D96" s="94" t="s">
        <v>377</v>
      </c>
      <c r="E96" s="94" t="s">
        <v>463</v>
      </c>
      <c r="F96" s="95">
        <v>50</v>
      </c>
      <c r="G96" s="95">
        <v>107.17</v>
      </c>
      <c r="H96" s="96">
        <v>44256</v>
      </c>
      <c r="I96" s="87"/>
      <c r="J96" s="88"/>
    </row>
    <row r="97" spans="2:10">
      <c r="B97" s="94" t="s">
        <v>490</v>
      </c>
      <c r="C97" s="94" t="s">
        <v>498</v>
      </c>
      <c r="D97" s="94" t="s">
        <v>377</v>
      </c>
      <c r="E97" s="94" t="s">
        <v>483</v>
      </c>
      <c r="F97" s="95">
        <v>30</v>
      </c>
      <c r="G97" s="95">
        <v>0</v>
      </c>
      <c r="H97" s="96">
        <v>44256</v>
      </c>
      <c r="I97" s="87"/>
      <c r="J97" s="88"/>
    </row>
    <row r="98" spans="2:10">
      <c r="B98" s="97" t="s">
        <v>508</v>
      </c>
      <c r="C98" s="94" t="s">
        <v>498</v>
      </c>
      <c r="D98" s="94" t="s">
        <v>466</v>
      </c>
      <c r="E98" s="94" t="s">
        <v>467</v>
      </c>
      <c r="F98" s="95">
        <v>3.7</v>
      </c>
      <c r="G98" s="95">
        <v>0</v>
      </c>
      <c r="H98" s="96">
        <v>44166</v>
      </c>
      <c r="I98" s="87"/>
      <c r="J98" s="88"/>
    </row>
    <row r="99" spans="2:10">
      <c r="B99" s="97"/>
      <c r="C99" s="94"/>
      <c r="D99" s="94"/>
      <c r="E99" s="94"/>
      <c r="F99" s="95"/>
      <c r="G99" s="95"/>
      <c r="H99" s="96"/>
      <c r="I99" s="87"/>
      <c r="J99" s="88"/>
    </row>
    <row r="100" spans="2:10">
      <c r="B100" s="97"/>
      <c r="C100" s="94"/>
      <c r="D100" s="94"/>
      <c r="E100" s="94"/>
      <c r="F100" s="95"/>
      <c r="G100" s="95"/>
      <c r="H100" s="96"/>
      <c r="I100" s="87"/>
      <c r="J100" s="88"/>
    </row>
    <row r="101" spans="2:10">
      <c r="B101" s="89"/>
      <c r="F101" s="87"/>
      <c r="G101" s="87"/>
      <c r="H101" s="88"/>
      <c r="I101" s="87"/>
      <c r="J101" s="88"/>
    </row>
    <row r="102" spans="2:10">
      <c r="B102" s="91"/>
      <c r="C102" s="91"/>
      <c r="D102" s="91"/>
      <c r="E102" s="92" t="s">
        <v>492</v>
      </c>
      <c r="F102" s="93">
        <f>SUM(F83:F97)</f>
        <v>2454.0403200000001</v>
      </c>
      <c r="G102" s="93">
        <f>SUM(G83:G97)</f>
        <v>2638.105311582176</v>
      </c>
      <c r="H102" s="92" t="s">
        <v>265</v>
      </c>
      <c r="I102" s="87"/>
      <c r="J102" s="88"/>
    </row>
    <row r="103" spans="2:10">
      <c r="B103" s="54" t="s">
        <v>490</v>
      </c>
      <c r="C103" s="54" t="s">
        <v>499</v>
      </c>
      <c r="D103" s="54" t="s">
        <v>32</v>
      </c>
      <c r="E103" s="54" t="s">
        <v>33</v>
      </c>
      <c r="F103" s="87">
        <v>42.1</v>
      </c>
      <c r="G103" s="87">
        <v>0</v>
      </c>
      <c r="H103" s="88">
        <v>44075</v>
      </c>
      <c r="I103" s="87"/>
      <c r="J103" s="88"/>
    </row>
    <row r="104" spans="2:10">
      <c r="B104" s="94" t="s">
        <v>490</v>
      </c>
      <c r="C104" s="94" t="s">
        <v>499</v>
      </c>
      <c r="D104" s="94" t="s">
        <v>44</v>
      </c>
      <c r="E104" s="94" t="s">
        <v>45</v>
      </c>
      <c r="F104" s="95">
        <v>4</v>
      </c>
      <c r="G104" s="95">
        <v>179</v>
      </c>
      <c r="H104" s="96">
        <v>44348</v>
      </c>
      <c r="I104" s="87"/>
      <c r="J104" s="88"/>
    </row>
    <row r="105" spans="2:10">
      <c r="B105" s="94" t="s">
        <v>490</v>
      </c>
      <c r="C105" s="94" t="s">
        <v>499</v>
      </c>
      <c r="D105" s="94" t="s">
        <v>136</v>
      </c>
      <c r="E105" s="94" t="s">
        <v>137</v>
      </c>
      <c r="F105" s="95">
        <v>35.1</v>
      </c>
      <c r="G105" s="95">
        <v>0</v>
      </c>
      <c r="H105" s="96">
        <v>44075</v>
      </c>
      <c r="I105" s="87"/>
      <c r="J105" s="88"/>
    </row>
    <row r="106" spans="2:10">
      <c r="B106" s="94" t="s">
        <v>490</v>
      </c>
      <c r="C106" s="94" t="s">
        <v>499</v>
      </c>
      <c r="D106" s="94" t="s">
        <v>52</v>
      </c>
      <c r="E106" s="94" t="s">
        <v>53</v>
      </c>
      <c r="F106" s="95">
        <v>20</v>
      </c>
      <c r="G106" s="95">
        <v>0</v>
      </c>
      <c r="H106" s="96">
        <v>44044</v>
      </c>
      <c r="I106" s="87"/>
      <c r="J106" s="88"/>
    </row>
    <row r="107" spans="2:10">
      <c r="B107" s="94" t="s">
        <v>490</v>
      </c>
      <c r="C107" s="94" t="s">
        <v>499</v>
      </c>
      <c r="D107" s="94" t="s">
        <v>262</v>
      </c>
      <c r="E107" s="94" t="s">
        <v>258</v>
      </c>
      <c r="F107" s="95">
        <v>0</v>
      </c>
      <c r="G107" s="95">
        <v>1244</v>
      </c>
      <c r="H107" s="96">
        <v>44531</v>
      </c>
      <c r="I107" s="87"/>
      <c r="J107" s="88"/>
    </row>
    <row r="108" spans="2:10">
      <c r="B108" s="94" t="s">
        <v>490</v>
      </c>
      <c r="C108" s="94" t="s">
        <v>499</v>
      </c>
      <c r="D108" s="94" t="s">
        <v>248</v>
      </c>
      <c r="E108" s="94" t="s">
        <v>247</v>
      </c>
      <c r="F108" s="95">
        <v>16.100000000000001</v>
      </c>
      <c r="G108" s="95">
        <v>0</v>
      </c>
      <c r="H108" s="96">
        <v>44136</v>
      </c>
      <c r="I108" s="87"/>
      <c r="J108" s="88"/>
    </row>
    <row r="109" spans="2:10">
      <c r="B109" s="94" t="s">
        <v>490</v>
      </c>
      <c r="C109" s="94" t="s">
        <v>499</v>
      </c>
      <c r="D109" s="94" t="s">
        <v>292</v>
      </c>
      <c r="E109" s="94" t="s">
        <v>289</v>
      </c>
      <c r="F109" s="95">
        <v>0</v>
      </c>
      <c r="G109" s="95">
        <v>774.09900000000005</v>
      </c>
      <c r="H109" s="96">
        <v>44287</v>
      </c>
      <c r="J109" s="88"/>
    </row>
    <row r="110" spans="2:10">
      <c r="B110" s="97" t="s">
        <v>503</v>
      </c>
      <c r="C110" s="94" t="s">
        <v>499</v>
      </c>
      <c r="D110" s="94" t="s">
        <v>377</v>
      </c>
      <c r="E110" s="94" t="s">
        <v>504</v>
      </c>
      <c r="F110" s="95">
        <v>10</v>
      </c>
      <c r="G110" s="95">
        <v>0</v>
      </c>
      <c r="H110" s="96">
        <v>44044</v>
      </c>
      <c r="I110" s="87"/>
      <c r="J110" s="88"/>
    </row>
    <row r="111" spans="2:10">
      <c r="B111" s="97" t="s">
        <v>503</v>
      </c>
      <c r="C111" s="94" t="s">
        <v>499</v>
      </c>
      <c r="D111" s="94" t="s">
        <v>377</v>
      </c>
      <c r="E111" s="94" t="s">
        <v>505</v>
      </c>
      <c r="F111" s="95">
        <v>10</v>
      </c>
      <c r="G111" s="95">
        <v>0</v>
      </c>
      <c r="H111" s="96">
        <v>44044</v>
      </c>
      <c r="I111" s="87"/>
      <c r="J111" s="88"/>
    </row>
    <row r="112" spans="2:10">
      <c r="B112" s="97" t="s">
        <v>503</v>
      </c>
      <c r="C112" s="94" t="s">
        <v>499</v>
      </c>
      <c r="D112" s="94" t="s">
        <v>377</v>
      </c>
      <c r="E112" s="94" t="s">
        <v>506</v>
      </c>
      <c r="F112" s="95">
        <v>10</v>
      </c>
      <c r="G112" s="95">
        <v>0</v>
      </c>
      <c r="H112" s="96">
        <v>44105</v>
      </c>
      <c r="I112" s="87"/>
      <c r="J112" s="88"/>
    </row>
    <row r="113" spans="2:10">
      <c r="B113" s="97" t="s">
        <v>508</v>
      </c>
      <c r="C113" s="94" t="s">
        <v>499</v>
      </c>
      <c r="D113" s="94" t="s">
        <v>328</v>
      </c>
      <c r="E113" s="94" t="s">
        <v>329</v>
      </c>
      <c r="F113" s="95">
        <v>5</v>
      </c>
      <c r="G113" s="95">
        <v>0</v>
      </c>
      <c r="H113" s="96">
        <v>44166</v>
      </c>
      <c r="I113" s="87"/>
      <c r="J113" s="88"/>
    </row>
    <row r="114" spans="2:10">
      <c r="B114" s="97" t="s">
        <v>508</v>
      </c>
      <c r="C114" s="94" t="s">
        <v>499</v>
      </c>
      <c r="D114" s="94" t="s">
        <v>510</v>
      </c>
      <c r="E114" s="94" t="s">
        <v>509</v>
      </c>
      <c r="F114" s="95">
        <f>15/5.4</f>
        <v>2.7777777777777777</v>
      </c>
      <c r="G114" s="95">
        <v>0</v>
      </c>
      <c r="H114" s="96">
        <v>44166</v>
      </c>
      <c r="I114" s="87"/>
      <c r="J114" s="88"/>
    </row>
    <row r="115" spans="2:10">
      <c r="B115" s="97"/>
      <c r="C115" s="94"/>
      <c r="D115" s="94"/>
      <c r="E115" s="94"/>
      <c r="F115" s="95"/>
      <c r="G115" s="95"/>
      <c r="H115" s="96"/>
      <c r="I115" s="87"/>
      <c r="J115" s="88"/>
    </row>
    <row r="116" spans="2:10">
      <c r="B116" s="97"/>
      <c r="C116" s="94"/>
      <c r="D116" s="94"/>
      <c r="E116" s="94"/>
      <c r="F116" s="95"/>
      <c r="G116" s="95"/>
      <c r="H116" s="96"/>
      <c r="I116" s="87"/>
      <c r="J116" s="88"/>
    </row>
    <row r="117" spans="2:10">
      <c r="B117" s="89"/>
      <c r="F117" s="87"/>
      <c r="G117" s="87"/>
      <c r="H117" s="88"/>
      <c r="I117" s="87"/>
      <c r="J117" s="88"/>
    </row>
    <row r="118" spans="2:10">
      <c r="B118" s="91"/>
      <c r="C118" s="91"/>
      <c r="D118" s="91"/>
      <c r="E118" s="92" t="s">
        <v>492</v>
      </c>
      <c r="F118" s="93">
        <f>SUM(F103:F114)</f>
        <v>155.07777777777778</v>
      </c>
      <c r="G118" s="93">
        <f>SUM(G103:G114)</f>
        <v>2197.0990000000002</v>
      </c>
      <c r="H118" s="92" t="s">
        <v>265</v>
      </c>
      <c r="I118" s="87"/>
      <c r="J118" s="88"/>
    </row>
    <row r="119" spans="2:10">
      <c r="B119" s="54" t="s">
        <v>490</v>
      </c>
      <c r="C119" s="54" t="s">
        <v>500</v>
      </c>
      <c r="D119" s="54" t="s">
        <v>46</v>
      </c>
      <c r="E119" s="54" t="s">
        <v>47</v>
      </c>
      <c r="F119" s="87">
        <v>74.099999999999994</v>
      </c>
      <c r="G119" s="87">
        <v>0</v>
      </c>
      <c r="H119" s="88">
        <v>44166</v>
      </c>
      <c r="J119" s="88"/>
    </row>
    <row r="120" spans="2:10">
      <c r="B120" s="94" t="s">
        <v>490</v>
      </c>
      <c r="C120" s="94" t="s">
        <v>500</v>
      </c>
      <c r="D120" s="94" t="s">
        <v>105</v>
      </c>
      <c r="E120" s="94" t="s">
        <v>106</v>
      </c>
      <c r="F120" s="95">
        <v>117.5</v>
      </c>
      <c r="G120" s="95">
        <v>0</v>
      </c>
      <c r="H120" s="96">
        <v>44166</v>
      </c>
      <c r="J120" s="88"/>
    </row>
    <row r="121" spans="2:10">
      <c r="B121" s="94" t="s">
        <v>490</v>
      </c>
      <c r="C121" s="94" t="s">
        <v>500</v>
      </c>
      <c r="D121" s="94" t="s">
        <v>207</v>
      </c>
      <c r="E121" s="94" t="s">
        <v>208</v>
      </c>
      <c r="F121" s="95">
        <v>88.5</v>
      </c>
      <c r="G121" s="95">
        <v>0</v>
      </c>
      <c r="H121" s="96">
        <v>44105</v>
      </c>
      <c r="I121" s="87"/>
      <c r="J121" s="88"/>
    </row>
    <row r="122" spans="2:10">
      <c r="B122" s="94" t="s">
        <v>490</v>
      </c>
      <c r="C122" s="94" t="s">
        <v>500</v>
      </c>
      <c r="D122" s="94" t="s">
        <v>205</v>
      </c>
      <c r="E122" s="94" t="s">
        <v>206</v>
      </c>
      <c r="F122" s="95">
        <v>213.5</v>
      </c>
      <c r="G122" s="95">
        <v>0</v>
      </c>
      <c r="H122" s="96">
        <v>44136</v>
      </c>
      <c r="I122" s="87"/>
      <c r="J122" s="88"/>
    </row>
    <row r="123" spans="2:10">
      <c r="B123" s="94" t="s">
        <v>490</v>
      </c>
      <c r="C123" s="94" t="s">
        <v>500</v>
      </c>
      <c r="D123" s="94" t="s">
        <v>377</v>
      </c>
      <c r="E123" s="94" t="s">
        <v>464</v>
      </c>
      <c r="F123" s="95">
        <v>40</v>
      </c>
      <c r="G123" s="95">
        <v>0</v>
      </c>
      <c r="H123" s="96">
        <v>44256</v>
      </c>
      <c r="I123" s="87"/>
      <c r="J123" s="88"/>
    </row>
    <row r="124" spans="2:10">
      <c r="B124" s="94"/>
      <c r="C124" s="94"/>
      <c r="D124" s="94"/>
      <c r="E124" s="94"/>
      <c r="F124" s="95"/>
      <c r="G124" s="95"/>
      <c r="H124" s="96"/>
      <c r="I124" s="87"/>
      <c r="J124" s="88"/>
    </row>
    <row r="125" spans="2:10">
      <c r="B125" s="94"/>
      <c r="C125" s="94"/>
      <c r="D125" s="94"/>
      <c r="E125" s="94"/>
      <c r="F125" s="95"/>
      <c r="G125" s="95"/>
      <c r="H125" s="96"/>
      <c r="I125" s="87"/>
      <c r="J125" s="88"/>
    </row>
    <row r="126" spans="2:10">
      <c r="F126" s="87"/>
      <c r="G126" s="87"/>
      <c r="H126" s="88"/>
      <c r="I126" s="87"/>
      <c r="J126" s="88"/>
    </row>
    <row r="127" spans="2:10">
      <c r="B127" s="91"/>
      <c r="C127" s="91"/>
      <c r="D127" s="91"/>
      <c r="E127" s="92" t="s">
        <v>492</v>
      </c>
      <c r="F127" s="93">
        <f>SUM(F119:F123)</f>
        <v>533.6</v>
      </c>
      <c r="G127" s="93">
        <f>SUM(G119:G123)</f>
        <v>0</v>
      </c>
      <c r="H127" s="92" t="s">
        <v>265</v>
      </c>
      <c r="I127" s="87"/>
      <c r="J127" s="88"/>
    </row>
    <row r="128" spans="2:10">
      <c r="B128" s="54" t="s">
        <v>490</v>
      </c>
      <c r="C128" s="54" t="s">
        <v>507</v>
      </c>
      <c r="D128" s="54" t="s">
        <v>126</v>
      </c>
      <c r="E128" s="54" t="s">
        <v>127</v>
      </c>
      <c r="F128" s="87">
        <v>35.5</v>
      </c>
      <c r="G128" s="87">
        <v>100.2</v>
      </c>
      <c r="H128" s="88">
        <v>44317</v>
      </c>
      <c r="I128" s="87"/>
      <c r="J128" s="88"/>
    </row>
    <row r="129" spans="2:10">
      <c r="B129" s="94" t="s">
        <v>490</v>
      </c>
      <c r="C129" s="94" t="s">
        <v>507</v>
      </c>
      <c r="D129" s="94" t="s">
        <v>168</v>
      </c>
      <c r="E129" s="94" t="s">
        <v>169</v>
      </c>
      <c r="F129" s="95">
        <v>1.3</v>
      </c>
      <c r="G129" s="95">
        <v>0</v>
      </c>
      <c r="H129" s="96">
        <v>44075</v>
      </c>
      <c r="I129" s="87"/>
      <c r="J129" s="88"/>
    </row>
    <row r="130" spans="2:10">
      <c r="B130" s="94" t="s">
        <v>490</v>
      </c>
      <c r="C130" s="94" t="s">
        <v>507</v>
      </c>
      <c r="D130" s="94" t="s">
        <v>255</v>
      </c>
      <c r="E130" s="94" t="s">
        <v>256</v>
      </c>
      <c r="F130" s="95">
        <v>85.5</v>
      </c>
      <c r="G130" s="95">
        <v>46.1</v>
      </c>
      <c r="H130" s="96">
        <v>44256</v>
      </c>
      <c r="I130" s="87"/>
      <c r="J130" s="88"/>
    </row>
    <row r="131" spans="2:10">
      <c r="B131" s="54" t="s">
        <v>490</v>
      </c>
      <c r="C131" s="54" t="s">
        <v>497</v>
      </c>
      <c r="D131" s="54" t="s">
        <v>132</v>
      </c>
      <c r="E131" s="54" t="s">
        <v>133</v>
      </c>
      <c r="F131" s="87">
        <v>33.4</v>
      </c>
      <c r="G131" s="87">
        <v>81.81388174289512</v>
      </c>
      <c r="H131" s="88">
        <v>44287</v>
      </c>
      <c r="I131" s="87"/>
      <c r="J131" s="88"/>
    </row>
    <row r="132" spans="2:10">
      <c r="B132" s="97" t="s">
        <v>508</v>
      </c>
      <c r="C132" s="94" t="s">
        <v>507</v>
      </c>
      <c r="D132" s="94" t="s">
        <v>367</v>
      </c>
      <c r="E132" s="94" t="s">
        <v>375</v>
      </c>
      <c r="F132" s="95">
        <v>1.2</v>
      </c>
      <c r="G132" s="95">
        <v>0</v>
      </c>
      <c r="H132" s="96">
        <v>44166</v>
      </c>
      <c r="I132" s="87"/>
      <c r="J132" s="88"/>
    </row>
    <row r="133" spans="2:10">
      <c r="B133" s="97" t="s">
        <v>508</v>
      </c>
      <c r="C133" s="94" t="s">
        <v>507</v>
      </c>
      <c r="D133" s="94" t="s">
        <v>324</v>
      </c>
      <c r="E133" s="94" t="s">
        <v>325</v>
      </c>
      <c r="F133" s="95">
        <v>1</v>
      </c>
      <c r="G133" s="95">
        <v>0</v>
      </c>
      <c r="H133" s="96">
        <v>44166</v>
      </c>
      <c r="I133" s="87"/>
      <c r="J133" s="88"/>
    </row>
    <row r="134" spans="2:10">
      <c r="B134" s="97" t="s">
        <v>508</v>
      </c>
      <c r="C134" s="94" t="s">
        <v>507</v>
      </c>
      <c r="D134" s="94" t="s">
        <v>326</v>
      </c>
      <c r="E134" s="94" t="s">
        <v>327</v>
      </c>
      <c r="F134" s="95">
        <v>4.3</v>
      </c>
      <c r="G134" s="95">
        <v>0</v>
      </c>
      <c r="H134" s="96">
        <v>44166</v>
      </c>
      <c r="I134" s="87"/>
      <c r="J134" s="88"/>
    </row>
    <row r="135" spans="2:10">
      <c r="B135" s="97" t="s">
        <v>494</v>
      </c>
      <c r="C135" s="94" t="s">
        <v>507</v>
      </c>
      <c r="D135" s="94" t="s">
        <v>353</v>
      </c>
      <c r="E135" s="94" t="s">
        <v>501</v>
      </c>
      <c r="F135" s="95">
        <v>48</v>
      </c>
      <c r="G135" s="95">
        <v>0</v>
      </c>
      <c r="H135" s="96">
        <v>44166</v>
      </c>
      <c r="I135" s="87"/>
      <c r="J135" s="88"/>
    </row>
    <row r="136" spans="2:10">
      <c r="B136" s="97"/>
      <c r="C136" s="94"/>
      <c r="D136" s="94"/>
      <c r="E136" s="94"/>
      <c r="F136" s="95"/>
      <c r="G136" s="95"/>
      <c r="H136" s="96"/>
      <c r="I136" s="87"/>
      <c r="J136" s="88"/>
    </row>
    <row r="137" spans="2:10">
      <c r="B137" s="97"/>
      <c r="C137" s="94"/>
      <c r="D137" s="94"/>
      <c r="E137" s="94"/>
      <c r="F137" s="95"/>
      <c r="G137" s="95"/>
      <c r="H137" s="96"/>
      <c r="I137" s="87"/>
      <c r="J137" s="88"/>
    </row>
    <row r="138" spans="2:10">
      <c r="B138" s="89"/>
      <c r="F138" s="87"/>
      <c r="G138" s="87"/>
      <c r="H138" s="88"/>
      <c r="I138" s="87"/>
      <c r="J138" s="88"/>
    </row>
    <row r="139" spans="2:10">
      <c r="B139" s="91"/>
      <c r="C139" s="91"/>
      <c r="D139" s="91"/>
      <c r="E139" s="92" t="s">
        <v>492</v>
      </c>
      <c r="F139" s="93">
        <f>SUM(F128:F134)</f>
        <v>162.19999999999999</v>
      </c>
      <c r="G139" s="93">
        <f>SUM(G128:G134)</f>
        <v>228.11388174289513</v>
      </c>
      <c r="H139" s="92" t="s">
        <v>265</v>
      </c>
      <c r="I139" s="87"/>
      <c r="J139" s="88"/>
    </row>
  </sheetData>
  <mergeCells count="1">
    <mergeCell ref="B2:H2"/>
  </mergeCells>
  <phoneticPr fontId="26" type="noConversion"/>
  <pageMargins left="4.3307086614173231" right="0" top="0.39370078740157483" bottom="0" header="0" footer="0"/>
  <pageSetup paperSize="262" scale="11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79662-A42B-4DE0-A8BF-5FD8F5A3711B}">
  <sheetPr codeName="Planilha37">
    <tabColor rgb="FFFFC000"/>
  </sheetPr>
  <dimension ref="A1:AF92"/>
  <sheetViews>
    <sheetView showGridLines="0" zoomScale="85" zoomScaleNormal="85" workbookViewId="0">
      <pane ySplit="9" topLeftCell="A10" activePane="bottomLeft" state="frozen"/>
      <selection activeCell="R1" sqref="R1"/>
      <selection pane="bottomLeft" activeCell="F13" sqref="F13"/>
    </sheetView>
  </sheetViews>
  <sheetFormatPr defaultRowHeight="14.5"/>
  <cols>
    <col min="1" max="1" width="9.453125" style="64" customWidth="1"/>
    <col min="2" max="2" width="1.54296875" style="64" customWidth="1"/>
    <col min="3" max="3" width="12.54296875" bestFit="1" customWidth="1"/>
    <col min="4" max="4" width="53.54296875" customWidth="1"/>
    <col min="5" max="5" width="18.54296875" style="54" bestFit="1" customWidth="1"/>
    <col min="6" max="8" width="10.54296875" customWidth="1"/>
    <col min="9" max="9" width="10" bestFit="1" customWidth="1"/>
    <col min="10" max="10" width="9.54296875" bestFit="1" customWidth="1"/>
    <col min="11" max="11" width="10.54296875" customWidth="1"/>
    <col min="12" max="12" width="5.54296875" customWidth="1"/>
    <col min="13" max="13" width="55" customWidth="1"/>
    <col min="14" max="14" width="35.54296875" customWidth="1"/>
    <col min="15" max="15" width="1.54296875" style="64" customWidth="1"/>
    <col min="17" max="17" width="61" customWidth="1"/>
  </cols>
  <sheetData>
    <row r="1" spans="3:14" ht="48" thickBot="1">
      <c r="C1" s="35" t="s">
        <v>445</v>
      </c>
      <c r="D1" s="35"/>
      <c r="E1" s="35"/>
      <c r="F1" s="64"/>
      <c r="G1" s="64"/>
      <c r="H1" s="64"/>
      <c r="I1" s="64"/>
      <c r="J1" s="64"/>
      <c r="K1" s="64"/>
      <c r="L1" s="64"/>
      <c r="M1" s="64"/>
      <c r="N1" s="64"/>
    </row>
    <row r="2" spans="3:14" ht="6" customHeight="1" thickTop="1" thickBot="1">
      <c r="C2" s="33"/>
      <c r="D2" s="33"/>
      <c r="E2" s="33"/>
      <c r="F2" s="64"/>
      <c r="G2" s="64"/>
      <c r="H2" s="64"/>
      <c r="I2" s="64"/>
      <c r="J2" s="64"/>
      <c r="K2" s="64"/>
      <c r="L2" s="64"/>
      <c r="M2" s="64"/>
      <c r="N2" s="64"/>
    </row>
    <row r="3" spans="3:14" ht="10.4" customHeight="1" thickTop="1">
      <c r="C3" s="34"/>
      <c r="D3" s="34"/>
      <c r="E3" s="34"/>
      <c r="F3" s="64"/>
      <c r="G3" s="64"/>
      <c r="H3" s="64"/>
      <c r="I3" s="64"/>
      <c r="J3" s="64"/>
      <c r="K3" s="64"/>
      <c r="L3" s="64"/>
      <c r="M3" s="64"/>
      <c r="N3" s="64"/>
    </row>
    <row r="4" spans="3:14">
      <c r="C4" s="64"/>
      <c r="D4" s="64"/>
      <c r="E4" s="65"/>
      <c r="F4" s="64"/>
      <c r="G4" s="64"/>
      <c r="H4" s="64"/>
      <c r="I4" s="64"/>
      <c r="J4" s="64"/>
      <c r="K4" s="64"/>
      <c r="L4" s="64"/>
      <c r="M4" s="64"/>
      <c r="N4" s="64"/>
    </row>
    <row r="5" spans="3:14">
      <c r="C5" s="64"/>
      <c r="D5" s="64"/>
      <c r="E5" s="65"/>
      <c r="F5" s="64"/>
      <c r="G5" s="64"/>
      <c r="H5" s="64"/>
      <c r="I5" s="64"/>
      <c r="J5" s="64"/>
      <c r="K5" s="64"/>
      <c r="L5" s="64"/>
      <c r="M5" s="64"/>
      <c r="N5" s="64"/>
    </row>
    <row r="6" spans="3:14">
      <c r="C6" s="64"/>
      <c r="D6" s="64"/>
      <c r="E6" s="65"/>
      <c r="F6" s="64"/>
      <c r="G6" s="64"/>
      <c r="H6" s="64"/>
      <c r="I6" s="64"/>
      <c r="J6" s="64"/>
      <c r="K6" s="64"/>
      <c r="L6" s="64"/>
      <c r="M6" s="64"/>
      <c r="N6" s="64"/>
    </row>
    <row r="7" spans="3:14">
      <c r="C7" s="64"/>
      <c r="D7" s="64"/>
      <c r="E7" s="65"/>
      <c r="F7" s="64"/>
      <c r="G7" s="64"/>
      <c r="H7" s="64"/>
      <c r="I7" s="64"/>
      <c r="J7" s="64"/>
      <c r="K7" s="64"/>
      <c r="L7" s="64"/>
      <c r="M7" s="64"/>
      <c r="N7" s="64"/>
    </row>
    <row r="8" spans="3:14" ht="19" thickBot="1">
      <c r="C8" s="64"/>
      <c r="D8" s="64"/>
      <c r="E8" s="65"/>
      <c r="F8" s="66"/>
      <c r="G8" s="75">
        <f>SUBTOTAL(9,G10:G81)</f>
        <v>3453.2830399999998</v>
      </c>
      <c r="H8" s="75">
        <f>SUBTOTAL(9,H10:H81)</f>
        <v>7907.111569419505</v>
      </c>
      <c r="I8" s="75">
        <f>SUBTOTAL(9,I10:I81)</f>
        <v>11360.394609419505</v>
      </c>
      <c r="J8" s="75">
        <f>SUBTOTAL(9,J10:J81)</f>
        <v>5469.2119823357025</v>
      </c>
      <c r="K8" s="75">
        <f>SUBTOTAL(9,K10:K81)</f>
        <v>2720.8854870838045</v>
      </c>
      <c r="L8" s="66"/>
      <c r="M8" s="66"/>
      <c r="N8" s="66"/>
    </row>
    <row r="9" spans="3:14" ht="39.5" thickBot="1">
      <c r="C9" s="1" t="s">
        <v>191</v>
      </c>
      <c r="D9" s="1" t="s">
        <v>3</v>
      </c>
      <c r="E9" s="1" t="s">
        <v>408</v>
      </c>
      <c r="F9" s="12" t="s">
        <v>444</v>
      </c>
      <c r="G9" s="69" t="s">
        <v>379</v>
      </c>
      <c r="H9" s="38" t="s">
        <v>380</v>
      </c>
      <c r="I9" s="38" t="s">
        <v>215</v>
      </c>
      <c r="J9" s="58" t="s">
        <v>382</v>
      </c>
      <c r="K9" s="38" t="s">
        <v>381</v>
      </c>
      <c r="L9" s="38" t="s">
        <v>450</v>
      </c>
      <c r="M9" s="72" t="s">
        <v>451</v>
      </c>
      <c r="N9" s="72" t="s">
        <v>449</v>
      </c>
    </row>
    <row r="10" spans="3:14" ht="26">
      <c r="C10" s="3" t="s">
        <v>62</v>
      </c>
      <c r="D10" s="7" t="s">
        <v>63</v>
      </c>
      <c r="E10" s="3" t="s">
        <v>182</v>
      </c>
      <c r="F10" s="67">
        <v>10188.98</v>
      </c>
      <c r="G10" s="70">
        <v>475.82691</v>
      </c>
      <c r="H10" s="56">
        <v>319</v>
      </c>
      <c r="I10" s="56">
        <v>794.82691</v>
      </c>
      <c r="J10" s="59">
        <v>319</v>
      </c>
      <c r="K10" s="56"/>
      <c r="L10" s="56"/>
      <c r="M10" s="73" t="s">
        <v>414</v>
      </c>
      <c r="N10" s="73" t="s">
        <v>415</v>
      </c>
    </row>
    <row r="11" spans="3:14">
      <c r="C11" s="3" t="s">
        <v>52</v>
      </c>
      <c r="D11" s="7" t="s">
        <v>53</v>
      </c>
      <c r="E11" s="3" t="s">
        <v>182</v>
      </c>
      <c r="F11" s="67">
        <v>2961.5</v>
      </c>
      <c r="G11" s="70">
        <v>150.75571000000002</v>
      </c>
      <c r="H11" s="56">
        <v>10</v>
      </c>
      <c r="I11" s="56">
        <v>160.75571000000002</v>
      </c>
      <c r="J11" s="59">
        <v>10</v>
      </c>
      <c r="K11" s="56"/>
      <c r="L11" s="56"/>
      <c r="M11" s="73" t="s">
        <v>385</v>
      </c>
      <c r="N11" s="73" t="s">
        <v>416</v>
      </c>
    </row>
    <row r="12" spans="3:14">
      <c r="C12" s="3" t="s">
        <v>44</v>
      </c>
      <c r="D12" s="8" t="s">
        <v>45</v>
      </c>
      <c r="E12" s="3" t="s">
        <v>185</v>
      </c>
      <c r="F12" s="67">
        <v>3492</v>
      </c>
      <c r="G12" s="70">
        <v>0.90293999999999386</v>
      </c>
      <c r="H12" s="56">
        <v>179</v>
      </c>
      <c r="I12" s="56">
        <v>179.90294</v>
      </c>
      <c r="J12" s="59"/>
      <c r="K12" s="56">
        <v>179</v>
      </c>
      <c r="L12" s="56"/>
      <c r="M12" s="73" t="s">
        <v>396</v>
      </c>
      <c r="N12" s="73" t="s">
        <v>417</v>
      </c>
    </row>
    <row r="13" spans="3:14">
      <c r="C13" s="3" t="s">
        <v>132</v>
      </c>
      <c r="D13" s="7" t="s">
        <v>133</v>
      </c>
      <c r="E13" s="3" t="s">
        <v>185</v>
      </c>
      <c r="F13" s="67">
        <v>242.75</v>
      </c>
      <c r="G13" s="70">
        <v>3.99586</v>
      </c>
      <c r="H13" s="56">
        <v>125.21388174289513</v>
      </c>
      <c r="I13" s="56">
        <v>129.20974174289512</v>
      </c>
      <c r="J13" s="59"/>
      <c r="K13" s="56">
        <v>125.21388174289513</v>
      </c>
      <c r="L13" s="56"/>
      <c r="M13" s="73" t="s">
        <v>399</v>
      </c>
      <c r="N13" s="73" t="s">
        <v>418</v>
      </c>
    </row>
    <row r="14" spans="3:14">
      <c r="C14" s="3" t="s">
        <v>126</v>
      </c>
      <c r="D14" s="7" t="s">
        <v>127</v>
      </c>
      <c r="E14" s="3" t="s">
        <v>185</v>
      </c>
      <c r="F14" s="67">
        <v>438.68</v>
      </c>
      <c r="G14" s="70">
        <v>66.691059999999993</v>
      </c>
      <c r="H14" s="56">
        <v>45.5</v>
      </c>
      <c r="I14" s="56">
        <v>112.19105999999999</v>
      </c>
      <c r="J14" s="59"/>
      <c r="K14" s="56">
        <v>45.5</v>
      </c>
      <c r="L14" s="56"/>
      <c r="M14" s="73" t="s">
        <v>400</v>
      </c>
      <c r="N14" s="73" t="s">
        <v>400</v>
      </c>
    </row>
    <row r="15" spans="3:14">
      <c r="C15" s="3" t="s">
        <v>136</v>
      </c>
      <c r="D15" s="7" t="s">
        <v>137</v>
      </c>
      <c r="E15" s="3" t="s">
        <v>185</v>
      </c>
      <c r="F15" s="67">
        <v>560.6</v>
      </c>
      <c r="G15" s="70">
        <v>9.7170400000000008</v>
      </c>
      <c r="H15" s="56">
        <v>73.900000000000006</v>
      </c>
      <c r="I15" s="56">
        <v>83.617040000000003</v>
      </c>
      <c r="J15" s="59">
        <v>73.900000000000006</v>
      </c>
      <c r="K15" s="56"/>
      <c r="L15" s="56"/>
      <c r="M15" s="73" t="s">
        <v>402</v>
      </c>
      <c r="N15" s="73" t="s">
        <v>418</v>
      </c>
    </row>
    <row r="16" spans="3:14">
      <c r="C16" s="3" t="s">
        <v>174</v>
      </c>
      <c r="D16" s="7" t="s">
        <v>123</v>
      </c>
      <c r="E16" s="3" t="s">
        <v>185</v>
      </c>
      <c r="F16" s="67">
        <v>96.3</v>
      </c>
      <c r="G16" s="70">
        <v>0.59535999999999945</v>
      </c>
      <c r="H16" s="56">
        <v>10</v>
      </c>
      <c r="I16" s="56">
        <v>10.595359999999999</v>
      </c>
      <c r="J16" s="59">
        <v>10</v>
      </c>
      <c r="K16" s="56"/>
      <c r="L16" s="56"/>
      <c r="M16" s="73" t="s">
        <v>419</v>
      </c>
      <c r="N16" s="73" t="s">
        <v>419</v>
      </c>
    </row>
    <row r="17" spans="3:14">
      <c r="C17" s="3" t="s">
        <v>168</v>
      </c>
      <c r="D17" s="7" t="s">
        <v>169</v>
      </c>
      <c r="E17" s="3" t="s">
        <v>185</v>
      </c>
      <c r="F17" s="67">
        <v>11.5</v>
      </c>
      <c r="G17" s="70">
        <v>9.2873099999999997</v>
      </c>
      <c r="H17" s="56">
        <v>1.3</v>
      </c>
      <c r="I17" s="56">
        <v>10.58731</v>
      </c>
      <c r="J17" s="59">
        <v>1</v>
      </c>
      <c r="K17" s="56"/>
      <c r="L17" s="56"/>
      <c r="M17" s="73" t="s">
        <v>416</v>
      </c>
      <c r="N17" s="73" t="s">
        <v>416</v>
      </c>
    </row>
    <row r="18" spans="3:14">
      <c r="C18" s="3" t="s">
        <v>122</v>
      </c>
      <c r="D18" s="7" t="s">
        <v>220</v>
      </c>
      <c r="E18" s="3" t="s">
        <v>185</v>
      </c>
      <c r="F18" s="67">
        <v>109</v>
      </c>
      <c r="G18" s="70">
        <v>1.0650200000000001</v>
      </c>
      <c r="H18" s="56">
        <v>0</v>
      </c>
      <c r="I18" s="56">
        <v>1.0650200000000001</v>
      </c>
      <c r="J18" s="59"/>
      <c r="K18" s="56"/>
      <c r="L18" s="56"/>
      <c r="M18" s="73" t="s">
        <v>419</v>
      </c>
      <c r="N18" s="73" t="s">
        <v>419</v>
      </c>
    </row>
    <row r="19" spans="3:14">
      <c r="C19" s="3" t="s">
        <v>120</v>
      </c>
      <c r="D19" s="7" t="s">
        <v>121</v>
      </c>
      <c r="E19" s="3" t="s">
        <v>184</v>
      </c>
      <c r="F19" s="67">
        <v>1326.87</v>
      </c>
      <c r="G19" s="70">
        <v>12.033239999999999</v>
      </c>
      <c r="H19" s="56">
        <v>69.660939999999997</v>
      </c>
      <c r="I19" s="56">
        <v>81.694179999999989</v>
      </c>
      <c r="J19" s="59">
        <v>69.660939999999997</v>
      </c>
      <c r="K19" s="56"/>
      <c r="L19" s="56" t="s">
        <v>409</v>
      </c>
      <c r="M19" s="73" t="s">
        <v>403</v>
      </c>
      <c r="N19" s="73" t="s">
        <v>420</v>
      </c>
    </row>
    <row r="20" spans="3:14">
      <c r="C20" s="3" t="s">
        <v>70</v>
      </c>
      <c r="D20" s="7" t="s">
        <v>71</v>
      </c>
      <c r="E20" s="3" t="s">
        <v>184</v>
      </c>
      <c r="F20" s="67">
        <v>320.64999999999998</v>
      </c>
      <c r="G20" s="70">
        <v>2.8366399999999996</v>
      </c>
      <c r="H20" s="56">
        <v>3.0647900000000003</v>
      </c>
      <c r="I20" s="56">
        <v>5.9014299999999995</v>
      </c>
      <c r="J20" s="59"/>
      <c r="K20" s="56">
        <v>3.0647900000000003</v>
      </c>
      <c r="L20" s="56"/>
      <c r="M20" s="73" t="s">
        <v>420</v>
      </c>
      <c r="N20" s="73" t="s">
        <v>420</v>
      </c>
    </row>
    <row r="21" spans="3:14">
      <c r="C21" s="3" t="s">
        <v>116</v>
      </c>
      <c r="D21" s="7" t="s">
        <v>117</v>
      </c>
      <c r="E21" s="3" t="s">
        <v>184</v>
      </c>
      <c r="F21" s="67">
        <v>332.2</v>
      </c>
      <c r="G21" s="70">
        <v>2.0255199999999998</v>
      </c>
      <c r="H21" s="56">
        <v>0</v>
      </c>
      <c r="I21" s="56">
        <v>2.0255199999999998</v>
      </c>
      <c r="J21" s="59"/>
      <c r="K21" s="56"/>
      <c r="L21" s="56"/>
      <c r="M21" s="73" t="s">
        <v>420</v>
      </c>
      <c r="N21" s="73" t="s">
        <v>420</v>
      </c>
    </row>
    <row r="22" spans="3:14">
      <c r="C22" s="3" t="s">
        <v>118</v>
      </c>
      <c r="D22" s="7" t="s">
        <v>119</v>
      </c>
      <c r="E22" s="3" t="s">
        <v>184</v>
      </c>
      <c r="F22" s="67">
        <v>213</v>
      </c>
      <c r="G22" s="70">
        <v>1.8244499999999999</v>
      </c>
      <c r="H22" s="56">
        <v>0</v>
      </c>
      <c r="I22" s="56">
        <v>1.8244499999999999</v>
      </c>
      <c r="J22" s="59"/>
      <c r="K22" s="56"/>
      <c r="L22" s="56"/>
      <c r="M22" s="73" t="s">
        <v>420</v>
      </c>
      <c r="N22" s="73" t="s">
        <v>420</v>
      </c>
    </row>
    <row r="23" spans="3:14">
      <c r="C23" s="3" t="s">
        <v>310</v>
      </c>
      <c r="D23" s="7" t="s">
        <v>311</v>
      </c>
      <c r="E23" s="3" t="s">
        <v>180</v>
      </c>
      <c r="F23" s="67">
        <v>1000</v>
      </c>
      <c r="G23" s="70">
        <v>34.703710000000001</v>
      </c>
      <c r="H23" s="56">
        <v>828.20681534090932</v>
      </c>
      <c r="I23" s="56">
        <v>862.91052534090932</v>
      </c>
      <c r="J23" s="59"/>
      <c r="K23" s="56">
        <v>828.20681534090932</v>
      </c>
      <c r="L23" s="56"/>
      <c r="M23" s="73" t="s">
        <v>421</v>
      </c>
      <c r="N23" s="73" t="s">
        <v>421</v>
      </c>
    </row>
    <row r="24" spans="3:14">
      <c r="C24" s="3" t="s">
        <v>205</v>
      </c>
      <c r="D24" s="7" t="s">
        <v>206</v>
      </c>
      <c r="E24" s="3" t="s">
        <v>180</v>
      </c>
      <c r="F24" s="67">
        <v>427.82</v>
      </c>
      <c r="G24" s="70">
        <v>29.731909999999999</v>
      </c>
      <c r="H24" s="56">
        <v>399.86924000000039</v>
      </c>
      <c r="I24" s="56">
        <v>429.60115000000042</v>
      </c>
      <c r="J24" s="59">
        <v>399.86924000000039</v>
      </c>
      <c r="K24" s="56"/>
      <c r="L24" s="56" t="s">
        <v>410</v>
      </c>
      <c r="M24" s="73" t="s">
        <v>390</v>
      </c>
      <c r="N24" s="73" t="s">
        <v>422</v>
      </c>
    </row>
    <row r="25" spans="3:14">
      <c r="C25" s="3" t="s">
        <v>166</v>
      </c>
      <c r="D25" s="7" t="s">
        <v>167</v>
      </c>
      <c r="E25" s="3" t="s">
        <v>180</v>
      </c>
      <c r="F25" s="67">
        <v>1675.63</v>
      </c>
      <c r="G25" s="70">
        <v>23.237459999999999</v>
      </c>
      <c r="H25" s="56">
        <v>360.14400000000001</v>
      </c>
      <c r="I25" s="56">
        <v>383.38146</v>
      </c>
      <c r="J25" s="62">
        <v>642.20000000000005</v>
      </c>
      <c r="K25" s="56"/>
      <c r="L25" s="56" t="s">
        <v>409</v>
      </c>
      <c r="M25" s="73" t="s">
        <v>383</v>
      </c>
      <c r="N25" s="73" t="s">
        <v>423</v>
      </c>
    </row>
    <row r="26" spans="3:14">
      <c r="C26" s="3" t="s">
        <v>88</v>
      </c>
      <c r="D26" s="7" t="s">
        <v>89</v>
      </c>
      <c r="E26" s="3" t="s">
        <v>180</v>
      </c>
      <c r="F26" s="67">
        <v>387.67</v>
      </c>
      <c r="G26" s="70">
        <v>2.214E-2</v>
      </c>
      <c r="H26" s="56">
        <v>378.7</v>
      </c>
      <c r="I26" s="56">
        <v>378.72213999999997</v>
      </c>
      <c r="J26" s="59">
        <v>378.7</v>
      </c>
      <c r="K26" s="56"/>
      <c r="L26" s="56" t="s">
        <v>409</v>
      </c>
      <c r="M26" s="73" t="s">
        <v>389</v>
      </c>
      <c r="N26" s="73" t="s">
        <v>423</v>
      </c>
    </row>
    <row r="27" spans="3:14">
      <c r="C27" s="3" t="s">
        <v>318</v>
      </c>
      <c r="D27" s="7" t="s">
        <v>319</v>
      </c>
      <c r="E27" s="3" t="s">
        <v>180</v>
      </c>
      <c r="F27" s="67">
        <v>312.81900000000002</v>
      </c>
      <c r="G27" s="70">
        <v>267.53424000000001</v>
      </c>
      <c r="H27" s="56">
        <v>81.900000000000006</v>
      </c>
      <c r="I27" s="56">
        <v>349.43424000000005</v>
      </c>
      <c r="J27" s="59">
        <v>81.900000000000006</v>
      </c>
      <c r="K27" s="56"/>
      <c r="L27" s="56"/>
      <c r="M27" s="73" t="s">
        <v>385</v>
      </c>
      <c r="N27" s="73" t="s">
        <v>424</v>
      </c>
    </row>
    <row r="28" spans="3:14">
      <c r="C28" s="3" t="s">
        <v>164</v>
      </c>
      <c r="D28" s="7" t="s">
        <v>165</v>
      </c>
      <c r="E28" s="3" t="s">
        <v>180</v>
      </c>
      <c r="F28" s="67">
        <v>385.7</v>
      </c>
      <c r="G28" s="70">
        <v>219.41082999999998</v>
      </c>
      <c r="H28" s="56">
        <v>115.7</v>
      </c>
      <c r="I28" s="56">
        <v>335.11082999999996</v>
      </c>
      <c r="J28" s="59">
        <v>115.7</v>
      </c>
      <c r="K28" s="56"/>
      <c r="L28" s="56"/>
      <c r="M28" s="73" t="s">
        <v>384</v>
      </c>
      <c r="N28" s="73" t="s">
        <v>425</v>
      </c>
    </row>
    <row r="29" spans="3:14">
      <c r="C29" s="3" t="s">
        <v>308</v>
      </c>
      <c r="D29" s="7" t="s">
        <v>309</v>
      </c>
      <c r="E29" s="3" t="s">
        <v>180</v>
      </c>
      <c r="F29" s="67">
        <v>505.31</v>
      </c>
      <c r="G29" s="70">
        <v>0</v>
      </c>
      <c r="H29" s="56">
        <v>313.0025</v>
      </c>
      <c r="I29" s="56">
        <v>313.0025</v>
      </c>
      <c r="J29" s="59">
        <v>200</v>
      </c>
      <c r="K29" s="56">
        <v>113</v>
      </c>
      <c r="L29" s="56" t="s">
        <v>409</v>
      </c>
      <c r="M29" s="73" t="s">
        <v>392</v>
      </c>
      <c r="N29" s="73" t="s">
        <v>425</v>
      </c>
    </row>
    <row r="30" spans="3:14" ht="39">
      <c r="C30" s="3" t="s">
        <v>251</v>
      </c>
      <c r="D30" s="7" t="s">
        <v>252</v>
      </c>
      <c r="E30" s="3" t="s">
        <v>180</v>
      </c>
      <c r="F30" s="67">
        <v>1431.34</v>
      </c>
      <c r="G30" s="70">
        <v>0</v>
      </c>
      <c r="H30" s="56">
        <v>300</v>
      </c>
      <c r="I30" s="56">
        <v>300</v>
      </c>
      <c r="J30" s="59">
        <v>300</v>
      </c>
      <c r="K30" s="56"/>
      <c r="L30" s="56" t="s">
        <v>409</v>
      </c>
      <c r="M30" s="73" t="s">
        <v>394</v>
      </c>
      <c r="N30" s="73" t="s">
        <v>426</v>
      </c>
    </row>
    <row r="31" spans="3:14">
      <c r="C31" s="3" t="s">
        <v>314</v>
      </c>
      <c r="D31" s="7" t="s">
        <v>313</v>
      </c>
      <c r="E31" s="3" t="s">
        <v>180</v>
      </c>
      <c r="F31" s="67">
        <v>299.66699999999997</v>
      </c>
      <c r="G31" s="70">
        <v>0</v>
      </c>
      <c r="H31" s="56">
        <v>299.66759999999999</v>
      </c>
      <c r="I31" s="56">
        <v>299.66759999999999</v>
      </c>
      <c r="J31" s="59">
        <v>240</v>
      </c>
      <c r="K31" s="56">
        <v>60</v>
      </c>
      <c r="L31" s="56" t="s">
        <v>409</v>
      </c>
      <c r="M31" s="73" t="s">
        <v>386</v>
      </c>
      <c r="N31" s="73" t="s">
        <v>425</v>
      </c>
    </row>
    <row r="32" spans="3:14">
      <c r="C32" s="3" t="s">
        <v>114</v>
      </c>
      <c r="D32" s="7" t="s">
        <v>115</v>
      </c>
      <c r="E32" s="3" t="s">
        <v>180</v>
      </c>
      <c r="F32" s="67">
        <v>267.8</v>
      </c>
      <c r="G32" s="70">
        <v>29.9817</v>
      </c>
      <c r="H32" s="56">
        <v>129</v>
      </c>
      <c r="I32" s="56">
        <v>158.98169999999999</v>
      </c>
      <c r="J32" s="59"/>
      <c r="K32" s="56">
        <v>129</v>
      </c>
      <c r="L32" s="56"/>
      <c r="M32" s="73" t="s">
        <v>427</v>
      </c>
      <c r="N32" s="73" t="s">
        <v>427</v>
      </c>
    </row>
    <row r="33" spans="3:14" ht="26">
      <c r="C33" s="3" t="s">
        <v>46</v>
      </c>
      <c r="D33" s="7" t="s">
        <v>47</v>
      </c>
      <c r="E33" s="3" t="s">
        <v>180</v>
      </c>
      <c r="F33" s="67">
        <v>3767.5</v>
      </c>
      <c r="G33" s="70">
        <v>66.641239999999996</v>
      </c>
      <c r="H33" s="56">
        <v>38.281802335701379</v>
      </c>
      <c r="I33" s="56">
        <v>104.92304233570138</v>
      </c>
      <c r="J33" s="59">
        <v>38.281802335701379</v>
      </c>
      <c r="K33" s="56"/>
      <c r="L33" s="56" t="s">
        <v>409</v>
      </c>
      <c r="M33" s="73" t="s">
        <v>428</v>
      </c>
      <c r="N33" s="73" t="s">
        <v>429</v>
      </c>
    </row>
    <row r="34" spans="3:14">
      <c r="C34" s="3" t="s">
        <v>316</v>
      </c>
      <c r="D34" s="7" t="s">
        <v>312</v>
      </c>
      <c r="E34" s="3" t="s">
        <v>180</v>
      </c>
      <c r="F34" s="67">
        <v>341.86599999999999</v>
      </c>
      <c r="G34" s="70">
        <v>36.067169999999997</v>
      </c>
      <c r="H34" s="56">
        <v>55</v>
      </c>
      <c r="I34" s="56">
        <v>91.067170000000004</v>
      </c>
      <c r="J34" s="59">
        <v>55</v>
      </c>
      <c r="K34" s="56"/>
      <c r="L34" s="56" t="s">
        <v>409</v>
      </c>
      <c r="M34" s="73" t="s">
        <v>401</v>
      </c>
      <c r="N34" s="73" t="s">
        <v>423</v>
      </c>
    </row>
    <row r="35" spans="3:14">
      <c r="C35" s="3" t="s">
        <v>255</v>
      </c>
      <c r="D35" s="7" t="s">
        <v>256</v>
      </c>
      <c r="E35" s="3" t="s">
        <v>180</v>
      </c>
      <c r="F35" s="67">
        <v>131.6</v>
      </c>
      <c r="G35" s="70">
        <v>0</v>
      </c>
      <c r="H35" s="56">
        <v>85.5</v>
      </c>
      <c r="I35" s="56">
        <v>85.5</v>
      </c>
      <c r="J35" s="59">
        <v>85.5</v>
      </c>
      <c r="K35" s="56"/>
      <c r="L35" s="56" t="s">
        <v>409</v>
      </c>
      <c r="M35" s="73" t="s">
        <v>388</v>
      </c>
      <c r="N35" s="73" t="s">
        <v>423</v>
      </c>
    </row>
    <row r="36" spans="3:14">
      <c r="C36" s="3" t="s">
        <v>134</v>
      </c>
      <c r="D36" s="7" t="s">
        <v>135</v>
      </c>
      <c r="E36" s="3" t="s">
        <v>180</v>
      </c>
      <c r="F36" s="67">
        <v>783.3</v>
      </c>
      <c r="G36" s="70">
        <v>75.586169999999996</v>
      </c>
      <c r="H36" s="56">
        <v>0</v>
      </c>
      <c r="I36" s="56">
        <v>75.586169999999996</v>
      </c>
      <c r="J36" s="59"/>
      <c r="K36" s="56"/>
      <c r="L36" s="56"/>
      <c r="M36" s="73" t="s">
        <v>443</v>
      </c>
      <c r="N36" s="73"/>
    </row>
    <row r="37" spans="3:14">
      <c r="C37" s="3" t="s">
        <v>273</v>
      </c>
      <c r="D37" s="7" t="s">
        <v>274</v>
      </c>
      <c r="E37" s="3" t="s">
        <v>180</v>
      </c>
      <c r="F37" s="67">
        <v>225</v>
      </c>
      <c r="G37" s="70">
        <v>3.2646299999999999</v>
      </c>
      <c r="H37" s="56">
        <v>71.5</v>
      </c>
      <c r="I37" s="56">
        <v>74.764629999999997</v>
      </c>
      <c r="J37" s="59">
        <v>71.5</v>
      </c>
      <c r="K37" s="56"/>
      <c r="L37" s="56"/>
      <c r="M37" s="73" t="s">
        <v>404</v>
      </c>
      <c r="N37" s="73" t="s">
        <v>315</v>
      </c>
    </row>
    <row r="38" spans="3:14">
      <c r="C38" s="3" t="s">
        <v>268</v>
      </c>
      <c r="D38" s="7" t="s">
        <v>270</v>
      </c>
      <c r="E38" s="3" t="s">
        <v>180</v>
      </c>
      <c r="F38" s="67">
        <v>120</v>
      </c>
      <c r="G38" s="70">
        <v>0</v>
      </c>
      <c r="H38" s="56">
        <v>60</v>
      </c>
      <c r="I38" s="56">
        <v>60</v>
      </c>
      <c r="J38" s="59">
        <v>60</v>
      </c>
      <c r="K38" s="56"/>
      <c r="L38" s="56" t="s">
        <v>409</v>
      </c>
      <c r="M38" s="73" t="s">
        <v>387</v>
      </c>
      <c r="N38" s="73" t="s">
        <v>423</v>
      </c>
    </row>
    <row r="39" spans="3:14">
      <c r="C39" s="3" t="s">
        <v>154</v>
      </c>
      <c r="D39" s="7" t="s">
        <v>155</v>
      </c>
      <c r="E39" s="3" t="s">
        <v>180</v>
      </c>
      <c r="F39" s="67">
        <v>375.72</v>
      </c>
      <c r="G39" s="70">
        <v>14.518269999999999</v>
      </c>
      <c r="H39" s="56">
        <v>40</v>
      </c>
      <c r="I39" s="56">
        <v>54.518270000000001</v>
      </c>
      <c r="J39" s="59">
        <v>20</v>
      </c>
      <c r="K39" s="56">
        <v>20</v>
      </c>
      <c r="L39" s="56" t="s">
        <v>409</v>
      </c>
      <c r="M39" s="73" t="s">
        <v>395</v>
      </c>
      <c r="N39" s="73" t="s">
        <v>423</v>
      </c>
    </row>
    <row r="40" spans="3:14">
      <c r="C40" s="3" t="s">
        <v>254</v>
      </c>
      <c r="D40" s="7" t="s">
        <v>253</v>
      </c>
      <c r="E40" s="3" t="s">
        <v>180</v>
      </c>
      <c r="F40" s="67">
        <v>72.099999999999994</v>
      </c>
      <c r="G40" s="70">
        <v>19.104610000000005</v>
      </c>
      <c r="H40" s="56">
        <v>23.3</v>
      </c>
      <c r="I40" s="56">
        <v>42.404610000000005</v>
      </c>
      <c r="J40" s="59"/>
      <c r="K40" s="56">
        <v>23.3</v>
      </c>
      <c r="L40" s="56"/>
      <c r="M40" s="73" t="s">
        <v>407</v>
      </c>
      <c r="N40" s="73" t="s">
        <v>407</v>
      </c>
    </row>
    <row r="41" spans="3:14">
      <c r="C41" s="3" t="s">
        <v>90</v>
      </c>
      <c r="D41" s="7" t="s">
        <v>91</v>
      </c>
      <c r="E41" s="3" t="s">
        <v>180</v>
      </c>
      <c r="F41" s="67">
        <v>77.8</v>
      </c>
      <c r="G41" s="70">
        <v>26.214960000000005</v>
      </c>
      <c r="H41" s="56">
        <v>10.7</v>
      </c>
      <c r="I41" s="56">
        <v>36.914960000000008</v>
      </c>
      <c r="J41" s="59">
        <v>10.7</v>
      </c>
      <c r="K41" s="56"/>
      <c r="L41" s="56"/>
      <c r="M41" s="73" t="s">
        <v>384</v>
      </c>
      <c r="N41" s="73" t="s">
        <v>433</v>
      </c>
    </row>
    <row r="42" spans="3:14">
      <c r="C42" s="3" t="s">
        <v>145</v>
      </c>
      <c r="D42" s="7" t="s">
        <v>73</v>
      </c>
      <c r="E42" s="3" t="s">
        <v>180</v>
      </c>
      <c r="F42" s="67">
        <v>1236</v>
      </c>
      <c r="G42" s="70">
        <v>36.197289999999995</v>
      </c>
      <c r="H42" s="56">
        <v>0</v>
      </c>
      <c r="I42" s="56">
        <v>36.197289999999995</v>
      </c>
      <c r="J42" s="59"/>
      <c r="K42" s="56"/>
      <c r="L42" s="56"/>
      <c r="M42" s="73" t="s">
        <v>443</v>
      </c>
      <c r="N42" s="73"/>
    </row>
    <row r="43" spans="3:14">
      <c r="C43" s="39" t="s">
        <v>152</v>
      </c>
      <c r="D43" s="42" t="s">
        <v>153</v>
      </c>
      <c r="E43" s="3" t="s">
        <v>180</v>
      </c>
      <c r="F43" s="67">
        <v>75</v>
      </c>
      <c r="G43" s="70">
        <v>28.5871</v>
      </c>
      <c r="H43" s="56">
        <v>0</v>
      </c>
      <c r="I43" s="56">
        <v>28.5871</v>
      </c>
      <c r="J43" s="59"/>
      <c r="K43" s="56"/>
      <c r="L43" s="56"/>
      <c r="M43" s="73" t="s">
        <v>443</v>
      </c>
      <c r="N43" s="73"/>
    </row>
    <row r="44" spans="3:14">
      <c r="C44" s="3" t="s">
        <v>111</v>
      </c>
      <c r="D44" s="7" t="s">
        <v>112</v>
      </c>
      <c r="E44" s="3" t="s">
        <v>180</v>
      </c>
      <c r="F44" s="67">
        <v>275.95999999999998</v>
      </c>
      <c r="G44" s="70">
        <v>19.769860000000001</v>
      </c>
      <c r="H44" s="56">
        <v>0</v>
      </c>
      <c r="I44" s="56">
        <v>19.769860000000001</v>
      </c>
      <c r="J44" s="59"/>
      <c r="K44" s="56"/>
      <c r="L44" s="56"/>
      <c r="M44" s="73" t="s">
        <v>443</v>
      </c>
      <c r="N44" s="73"/>
    </row>
    <row r="45" spans="3:14">
      <c r="C45" s="3" t="s">
        <v>248</v>
      </c>
      <c r="D45" s="7" t="s">
        <v>247</v>
      </c>
      <c r="E45" s="3" t="s">
        <v>180</v>
      </c>
      <c r="F45" s="67">
        <v>46</v>
      </c>
      <c r="G45" s="70">
        <v>5.5894500000000003</v>
      </c>
      <c r="H45" s="56">
        <v>14.1</v>
      </c>
      <c r="I45" s="56">
        <v>19.689450000000001</v>
      </c>
      <c r="J45" s="59"/>
      <c r="K45" s="56">
        <v>14.1</v>
      </c>
      <c r="L45" s="56"/>
      <c r="M45" s="73" t="s">
        <v>435</v>
      </c>
      <c r="N45" s="73" t="s">
        <v>435</v>
      </c>
    </row>
    <row r="46" spans="3:14">
      <c r="C46" s="3" t="s">
        <v>60</v>
      </c>
      <c r="D46" s="7" t="s">
        <v>61</v>
      </c>
      <c r="E46" s="3" t="s">
        <v>180</v>
      </c>
      <c r="F46" s="67">
        <v>454</v>
      </c>
      <c r="G46" s="70">
        <v>5.7301799999999998</v>
      </c>
      <c r="H46" s="56">
        <v>5.2</v>
      </c>
      <c r="I46" s="56">
        <v>10.93018</v>
      </c>
      <c r="J46" s="59">
        <v>5</v>
      </c>
      <c r="K46" s="56"/>
      <c r="L46" s="56"/>
      <c r="M46" s="73" t="s">
        <v>436</v>
      </c>
      <c r="N46" s="73" t="s">
        <v>417</v>
      </c>
    </row>
    <row r="47" spans="3:14">
      <c r="C47" s="3" t="s">
        <v>170</v>
      </c>
      <c r="D47" s="7" t="s">
        <v>171</v>
      </c>
      <c r="E47" s="3" t="s">
        <v>180</v>
      </c>
      <c r="F47" s="67">
        <v>85</v>
      </c>
      <c r="G47" s="70">
        <v>10.644819999999999</v>
      </c>
      <c r="H47" s="56">
        <v>0</v>
      </c>
      <c r="I47" s="56">
        <v>10.644819999999999</v>
      </c>
      <c r="J47" s="59"/>
      <c r="K47" s="56"/>
      <c r="L47" s="56"/>
      <c r="M47" s="73" t="s">
        <v>443</v>
      </c>
      <c r="N47" s="73"/>
    </row>
    <row r="48" spans="3:14">
      <c r="C48" s="3" t="s">
        <v>239</v>
      </c>
      <c r="D48" s="8" t="s">
        <v>147</v>
      </c>
      <c r="E48" s="3" t="s">
        <v>180</v>
      </c>
      <c r="F48" s="67">
        <v>10.5</v>
      </c>
      <c r="G48" s="70">
        <v>9.4718499999999999</v>
      </c>
      <c r="H48" s="56">
        <v>0</v>
      </c>
      <c r="I48" s="56">
        <v>9.4718499999999999</v>
      </c>
      <c r="J48" s="59"/>
      <c r="K48" s="56"/>
      <c r="L48" s="56"/>
      <c r="M48" s="73" t="s">
        <v>443</v>
      </c>
      <c r="N48" s="73"/>
    </row>
    <row r="49" spans="3:32">
      <c r="C49" s="3" t="s">
        <v>56</v>
      </c>
      <c r="D49" s="7" t="s">
        <v>57</v>
      </c>
      <c r="E49" s="3" t="s">
        <v>180</v>
      </c>
      <c r="F49" s="67">
        <v>1426.22</v>
      </c>
      <c r="G49" s="70">
        <v>7.0989399999999998</v>
      </c>
      <c r="H49" s="56">
        <v>0</v>
      </c>
      <c r="I49" s="56">
        <v>7.0989399999999998</v>
      </c>
      <c r="J49" s="59"/>
      <c r="K49" s="56"/>
      <c r="L49" s="56"/>
      <c r="M49" s="73" t="s">
        <v>443</v>
      </c>
      <c r="N49" s="73"/>
    </row>
    <row r="50" spans="3:32">
      <c r="C50" s="3" t="s">
        <v>30</v>
      </c>
      <c r="D50" s="7" t="s">
        <v>31</v>
      </c>
      <c r="E50" s="3" t="s">
        <v>180</v>
      </c>
      <c r="F50" s="67">
        <v>248</v>
      </c>
      <c r="G50" s="70">
        <v>1.10694</v>
      </c>
      <c r="H50" s="56">
        <v>0</v>
      </c>
      <c r="I50" s="56">
        <v>1.10694</v>
      </c>
      <c r="J50" s="59"/>
      <c r="K50" s="56"/>
      <c r="L50" s="56"/>
      <c r="M50" s="73" t="s">
        <v>443</v>
      </c>
      <c r="N50" s="73"/>
    </row>
    <row r="51" spans="3:32" s="64" customFormat="1">
      <c r="C51" s="3" t="s">
        <v>94</v>
      </c>
      <c r="D51" s="7" t="s">
        <v>95</v>
      </c>
      <c r="E51" s="3" t="s">
        <v>180</v>
      </c>
      <c r="F51" s="67">
        <v>211.9</v>
      </c>
      <c r="G51" s="70">
        <v>1.49E-3</v>
      </c>
      <c r="H51" s="56">
        <v>0</v>
      </c>
      <c r="I51" s="56">
        <v>1.49E-3</v>
      </c>
      <c r="J51" s="59"/>
      <c r="K51" s="56"/>
      <c r="L51" s="56"/>
      <c r="M51" s="73" t="s">
        <v>443</v>
      </c>
      <c r="N51" s="73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</row>
    <row r="52" spans="3:32" s="64" customFormat="1">
      <c r="C52" s="3" t="s">
        <v>234</v>
      </c>
      <c r="D52" s="7" t="s">
        <v>233</v>
      </c>
      <c r="E52" s="3" t="s">
        <v>180</v>
      </c>
      <c r="F52" s="67">
        <v>445.88</v>
      </c>
      <c r="G52" s="70">
        <v>-25.047710000000009</v>
      </c>
      <c r="H52" s="56"/>
      <c r="I52" s="56">
        <v>-25.047710000000009</v>
      </c>
      <c r="J52" s="59"/>
      <c r="K52" s="56"/>
      <c r="L52" s="56"/>
      <c r="M52" s="73"/>
      <c r="N52" s="73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</row>
    <row r="53" spans="3:32" s="64" customFormat="1">
      <c r="C53" s="3" t="s">
        <v>214</v>
      </c>
      <c r="D53" s="7" t="s">
        <v>213</v>
      </c>
      <c r="E53" s="3" t="s">
        <v>188</v>
      </c>
      <c r="F53" s="67">
        <v>304</v>
      </c>
      <c r="G53" s="70">
        <v>3.1180099999999995</v>
      </c>
      <c r="H53" s="56">
        <v>62</v>
      </c>
      <c r="I53" s="56">
        <v>65.118009999999998</v>
      </c>
      <c r="J53" s="59">
        <v>32</v>
      </c>
      <c r="K53" s="56">
        <v>30</v>
      </c>
      <c r="L53" s="56"/>
      <c r="M53" s="73" t="s">
        <v>405</v>
      </c>
      <c r="N53" s="73" t="s">
        <v>434</v>
      </c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</row>
    <row r="54" spans="3:32" s="64" customFormat="1">
      <c r="C54" s="3" t="s">
        <v>209</v>
      </c>
      <c r="D54" s="7" t="s">
        <v>210</v>
      </c>
      <c r="E54" s="3" t="s">
        <v>188</v>
      </c>
      <c r="F54" s="67">
        <v>157.19999999999999</v>
      </c>
      <c r="G54" s="70">
        <v>11.232329999999999</v>
      </c>
      <c r="H54" s="56">
        <v>37.6</v>
      </c>
      <c r="I54" s="56">
        <v>48.832329999999999</v>
      </c>
      <c r="J54" s="59">
        <v>28</v>
      </c>
      <c r="K54" s="56">
        <v>10</v>
      </c>
      <c r="L54" s="56" t="s">
        <v>409</v>
      </c>
      <c r="M54" s="73" t="s">
        <v>406</v>
      </c>
      <c r="N54" s="73" t="s">
        <v>423</v>
      </c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</row>
    <row r="55" spans="3:32" s="64" customFormat="1">
      <c r="C55" s="3" t="s">
        <v>76</v>
      </c>
      <c r="D55" s="7" t="s">
        <v>77</v>
      </c>
      <c r="E55" s="3" t="s">
        <v>186</v>
      </c>
      <c r="F55" s="67">
        <v>250</v>
      </c>
      <c r="G55" s="70">
        <v>5.5182900000000004</v>
      </c>
      <c r="H55" s="56">
        <v>195.4</v>
      </c>
      <c r="I55" s="56">
        <v>200.91829000000001</v>
      </c>
      <c r="J55" s="59"/>
      <c r="K55" s="56">
        <v>195.4</v>
      </c>
      <c r="L55" s="56"/>
      <c r="M55" s="73" t="s">
        <v>437</v>
      </c>
      <c r="N55" s="73" t="s">
        <v>437</v>
      </c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</row>
    <row r="56" spans="3:32" s="64" customFormat="1">
      <c r="C56" s="3" t="s">
        <v>260</v>
      </c>
      <c r="D56" s="7" t="s">
        <v>259</v>
      </c>
      <c r="E56" s="3" t="s">
        <v>186</v>
      </c>
      <c r="F56" s="67">
        <v>126.48</v>
      </c>
      <c r="G56" s="70">
        <v>9.3487600000000004</v>
      </c>
      <c r="H56" s="56">
        <v>17.2</v>
      </c>
      <c r="I56" s="56">
        <v>26.548760000000001</v>
      </c>
      <c r="J56" s="59"/>
      <c r="K56" s="56">
        <v>17.2</v>
      </c>
      <c r="L56" s="56"/>
      <c r="M56" s="73" t="s">
        <v>437</v>
      </c>
      <c r="N56" s="73" t="s">
        <v>437</v>
      </c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</row>
    <row r="57" spans="3:32" s="64" customFormat="1">
      <c r="C57" s="3" t="s">
        <v>58</v>
      </c>
      <c r="D57" s="7" t="s">
        <v>59</v>
      </c>
      <c r="E57" s="3" t="s">
        <v>186</v>
      </c>
      <c r="F57" s="67">
        <v>271</v>
      </c>
      <c r="G57" s="70">
        <v>0</v>
      </c>
      <c r="H57" s="56">
        <v>10</v>
      </c>
      <c r="I57" s="56">
        <v>10</v>
      </c>
      <c r="J57" s="59"/>
      <c r="K57" s="56">
        <v>10</v>
      </c>
      <c r="L57" s="56"/>
      <c r="M57" s="73" t="s">
        <v>437</v>
      </c>
      <c r="N57" s="73" t="s">
        <v>437</v>
      </c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</row>
    <row r="58" spans="3:32" s="64" customFormat="1">
      <c r="C58" s="3" t="s">
        <v>377</v>
      </c>
      <c r="D58" s="7" t="s">
        <v>376</v>
      </c>
      <c r="E58" s="3" t="s">
        <v>315</v>
      </c>
      <c r="F58" s="67">
        <v>150</v>
      </c>
      <c r="G58" s="70">
        <v>0</v>
      </c>
      <c r="H58" s="56">
        <v>150</v>
      </c>
      <c r="I58" s="56">
        <v>150</v>
      </c>
      <c r="J58" s="59"/>
      <c r="K58" s="56">
        <v>150</v>
      </c>
      <c r="L58" s="56"/>
      <c r="M58" s="73" t="s">
        <v>438</v>
      </c>
      <c r="N58" s="73" t="s">
        <v>398</v>
      </c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</row>
    <row r="59" spans="3:32" s="64" customFormat="1">
      <c r="C59" s="3" t="s">
        <v>138</v>
      </c>
      <c r="D59" s="7" t="s">
        <v>139</v>
      </c>
      <c r="E59" s="3" t="s">
        <v>183</v>
      </c>
      <c r="F59" s="67">
        <v>57</v>
      </c>
      <c r="G59" s="70">
        <v>13.725950000000001</v>
      </c>
      <c r="H59" s="56">
        <v>4.9000000000000004</v>
      </c>
      <c r="I59" s="56">
        <v>18.62595</v>
      </c>
      <c r="J59" s="59">
        <v>5</v>
      </c>
      <c r="K59" s="56"/>
      <c r="L59" s="56"/>
      <c r="M59" s="73" t="s">
        <v>437</v>
      </c>
      <c r="N59" s="73" t="s">
        <v>437</v>
      </c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</row>
    <row r="60" spans="3:32" s="64" customFormat="1">
      <c r="C60" s="3" t="s">
        <v>257</v>
      </c>
      <c r="D60" s="7" t="s">
        <v>142</v>
      </c>
      <c r="E60" s="3" t="s">
        <v>181</v>
      </c>
      <c r="F60" s="67">
        <v>560.5</v>
      </c>
      <c r="G60" s="70">
        <v>0</v>
      </c>
      <c r="H60" s="56">
        <v>500.5</v>
      </c>
      <c r="I60" s="56">
        <v>500.5</v>
      </c>
      <c r="J60" s="59">
        <v>330</v>
      </c>
      <c r="K60" s="56">
        <v>170.5</v>
      </c>
      <c r="L60" s="56" t="s">
        <v>409</v>
      </c>
      <c r="M60" s="73" t="s">
        <v>387</v>
      </c>
      <c r="N60" s="73" t="s">
        <v>423</v>
      </c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</row>
    <row r="61" spans="3:32" s="64" customFormat="1">
      <c r="C61" s="3" t="s">
        <v>128</v>
      </c>
      <c r="D61" s="7" t="s">
        <v>129</v>
      </c>
      <c r="E61" s="3" t="s">
        <v>181</v>
      </c>
      <c r="F61" s="67">
        <v>390.22</v>
      </c>
      <c r="G61" s="70">
        <v>4.5163400000000005</v>
      </c>
      <c r="H61" s="56">
        <v>317.39999999999998</v>
      </c>
      <c r="I61" s="56">
        <v>321.91633999999999</v>
      </c>
      <c r="J61" s="59">
        <v>141</v>
      </c>
      <c r="K61" s="56">
        <v>176.39999999999998</v>
      </c>
      <c r="L61" s="56" t="s">
        <v>409</v>
      </c>
      <c r="M61" s="73" t="s">
        <v>388</v>
      </c>
      <c r="N61" s="73" t="s">
        <v>423</v>
      </c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</row>
    <row r="62" spans="3:32" s="64" customFormat="1">
      <c r="C62" s="3" t="s">
        <v>226</v>
      </c>
      <c r="D62" s="7" t="s">
        <v>249</v>
      </c>
      <c r="E62" s="3" t="s">
        <v>181</v>
      </c>
      <c r="F62" s="67">
        <v>298.95999999999998</v>
      </c>
      <c r="G62" s="70">
        <v>148.28643</v>
      </c>
      <c r="H62" s="56">
        <v>158</v>
      </c>
      <c r="I62" s="56">
        <v>306.28643</v>
      </c>
      <c r="J62" s="59"/>
      <c r="K62" s="56">
        <v>158</v>
      </c>
      <c r="L62" s="56"/>
      <c r="M62" s="73" t="s">
        <v>393</v>
      </c>
      <c r="N62" s="73" t="s">
        <v>439</v>
      </c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</row>
    <row r="63" spans="3:32" s="64" customFormat="1" ht="26">
      <c r="C63" s="3" t="s">
        <v>200</v>
      </c>
      <c r="D63" s="7" t="s">
        <v>199</v>
      </c>
      <c r="E63" s="3" t="s">
        <v>181</v>
      </c>
      <c r="F63" s="67">
        <v>616.41</v>
      </c>
      <c r="G63" s="70">
        <v>50.468729999999994</v>
      </c>
      <c r="H63" s="56">
        <v>176.2</v>
      </c>
      <c r="I63" s="56">
        <v>226.66872999999998</v>
      </c>
      <c r="J63" s="59">
        <v>100</v>
      </c>
      <c r="K63" s="56">
        <v>76</v>
      </c>
      <c r="L63" s="56" t="s">
        <v>409</v>
      </c>
      <c r="M63" s="73" t="s">
        <v>413</v>
      </c>
      <c r="N63" s="73" t="s">
        <v>423</v>
      </c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</row>
    <row r="64" spans="3:32" s="64" customFormat="1">
      <c r="C64" s="3" t="s">
        <v>340</v>
      </c>
      <c r="D64" s="7" t="s">
        <v>334</v>
      </c>
      <c r="E64" s="3" t="s">
        <v>181</v>
      </c>
      <c r="F64" s="67">
        <v>213.85</v>
      </c>
      <c r="G64" s="70">
        <v>0</v>
      </c>
      <c r="H64" s="56">
        <v>170</v>
      </c>
      <c r="I64" s="56">
        <v>170</v>
      </c>
      <c r="J64" s="59"/>
      <c r="K64" s="56">
        <v>170</v>
      </c>
      <c r="L64" s="56"/>
      <c r="M64" s="73" t="s">
        <v>440</v>
      </c>
      <c r="N64" s="73" t="s">
        <v>441</v>
      </c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</row>
    <row r="65" spans="3:32" s="64" customFormat="1">
      <c r="C65" s="3" t="s">
        <v>290</v>
      </c>
      <c r="D65" s="7" t="s">
        <v>243</v>
      </c>
      <c r="E65" s="3" t="s">
        <v>181</v>
      </c>
      <c r="F65" s="67">
        <v>955.78200000000004</v>
      </c>
      <c r="G65" s="70">
        <v>33.212849999999996</v>
      </c>
      <c r="H65" s="56">
        <v>1.7</v>
      </c>
      <c r="I65" s="56">
        <v>34.912849999999999</v>
      </c>
      <c r="J65" s="59"/>
      <c r="K65" s="56">
        <v>2</v>
      </c>
      <c r="L65" s="56"/>
      <c r="M65" s="73" t="s">
        <v>442</v>
      </c>
      <c r="N65" s="73" t="s">
        <v>442</v>
      </c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</row>
    <row r="66" spans="3:32" s="64" customFormat="1">
      <c r="C66" s="3" t="s">
        <v>78</v>
      </c>
      <c r="D66" s="7" t="s">
        <v>79</v>
      </c>
      <c r="E66" s="3" t="s">
        <v>181</v>
      </c>
      <c r="F66" s="67">
        <v>247</v>
      </c>
      <c r="G66" s="70">
        <v>2.1102400000000001</v>
      </c>
      <c r="H66" s="56">
        <v>15</v>
      </c>
      <c r="I66" s="56">
        <v>17.110240000000001</v>
      </c>
      <c r="J66" s="59"/>
      <c r="K66" s="56">
        <v>15</v>
      </c>
      <c r="L66" s="56"/>
      <c r="M66" s="73" t="s">
        <v>438</v>
      </c>
      <c r="N66" s="73" t="s">
        <v>398</v>
      </c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</row>
    <row r="67" spans="3:32" s="64" customFormat="1">
      <c r="C67" s="3" t="s">
        <v>211</v>
      </c>
      <c r="D67" s="7" t="s">
        <v>212</v>
      </c>
      <c r="E67" s="3" t="s">
        <v>181</v>
      </c>
      <c r="F67" s="67">
        <v>79</v>
      </c>
      <c r="G67" s="70">
        <v>11.837</v>
      </c>
      <c r="H67" s="56">
        <v>0</v>
      </c>
      <c r="I67" s="56">
        <v>11.837</v>
      </c>
      <c r="J67" s="59"/>
      <c r="K67" s="56"/>
      <c r="L67" s="56"/>
      <c r="M67" s="73" t="s">
        <v>443</v>
      </c>
      <c r="N67" s="73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</row>
    <row r="68" spans="3:32" s="64" customFormat="1">
      <c r="C68" s="3" t="s">
        <v>291</v>
      </c>
      <c r="D68" s="7" t="s">
        <v>244</v>
      </c>
      <c r="E68" s="3" t="s">
        <v>181</v>
      </c>
      <c r="F68" s="67">
        <v>864.93799999999999</v>
      </c>
      <c r="G68" s="70">
        <v>9.1974799999999988</v>
      </c>
      <c r="H68" s="56">
        <v>0</v>
      </c>
      <c r="I68" s="56">
        <v>9.1974799999999988</v>
      </c>
      <c r="J68" s="59"/>
      <c r="K68" s="56"/>
      <c r="L68" s="56"/>
      <c r="M68" s="73" t="s">
        <v>443</v>
      </c>
      <c r="N68" s="73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</row>
    <row r="69" spans="3:32" s="64" customFormat="1">
      <c r="C69" s="3" t="s">
        <v>261</v>
      </c>
      <c r="D69" s="7" t="s">
        <v>242</v>
      </c>
      <c r="E69" s="3" t="s">
        <v>181</v>
      </c>
      <c r="F69" s="67">
        <v>1208.9570000000001</v>
      </c>
      <c r="G69" s="70">
        <v>5.9227000000000007</v>
      </c>
      <c r="H69" s="56">
        <v>0</v>
      </c>
      <c r="I69" s="56">
        <v>5.9227000000000007</v>
      </c>
      <c r="J69" s="59"/>
      <c r="K69" s="56"/>
      <c r="L69" s="56"/>
      <c r="M69" s="73" t="s">
        <v>443</v>
      </c>
      <c r="N69" s="73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</row>
    <row r="70" spans="3:32" s="64" customFormat="1">
      <c r="C70" s="3" t="s">
        <v>172</v>
      </c>
      <c r="D70" s="7" t="s">
        <v>173</v>
      </c>
      <c r="E70" s="3" t="s">
        <v>181</v>
      </c>
      <c r="F70" s="67">
        <v>67.5</v>
      </c>
      <c r="G70" s="70">
        <v>5.6005000000000003</v>
      </c>
      <c r="H70" s="56">
        <v>0</v>
      </c>
      <c r="I70" s="56">
        <v>5.6005000000000003</v>
      </c>
      <c r="J70" s="59"/>
      <c r="K70" s="56"/>
      <c r="L70" s="56"/>
      <c r="M70" s="73" t="s">
        <v>443</v>
      </c>
      <c r="N70" s="73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</row>
    <row r="71" spans="3:32" s="64" customFormat="1">
      <c r="C71" s="3" t="s">
        <v>236</v>
      </c>
      <c r="D71" s="7" t="s">
        <v>237</v>
      </c>
      <c r="E71" s="3" t="s">
        <v>187</v>
      </c>
      <c r="F71" s="67">
        <v>1490</v>
      </c>
      <c r="G71" s="70">
        <v>76.08247999999999</v>
      </c>
      <c r="H71" s="56">
        <v>1316.5518999999999</v>
      </c>
      <c r="I71" s="56">
        <v>1392.63438</v>
      </c>
      <c r="J71" s="59">
        <v>1316.5518999999999</v>
      </c>
      <c r="K71" s="56"/>
      <c r="L71" s="56" t="s">
        <v>410</v>
      </c>
      <c r="M71" s="73" t="s">
        <v>430</v>
      </c>
      <c r="N71" s="73" t="s">
        <v>430</v>
      </c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</row>
    <row r="72" spans="3:32" s="64" customFormat="1">
      <c r="C72" s="3" t="s">
        <v>207</v>
      </c>
      <c r="D72" s="7" t="s">
        <v>208</v>
      </c>
      <c r="E72" s="3" t="s">
        <v>187</v>
      </c>
      <c r="F72" s="67">
        <v>844.22299999999996</v>
      </c>
      <c r="G72" s="70">
        <v>569.53750000000002</v>
      </c>
      <c r="H72" s="56">
        <v>151.6</v>
      </c>
      <c r="I72" s="56">
        <v>721.13750000000005</v>
      </c>
      <c r="J72" s="59">
        <v>151.6</v>
      </c>
      <c r="K72" s="56"/>
      <c r="L72" s="56" t="s">
        <v>410</v>
      </c>
      <c r="M72" s="73" t="s">
        <v>430</v>
      </c>
      <c r="N72" s="73" t="s">
        <v>430</v>
      </c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</row>
    <row r="73" spans="3:32" s="64" customFormat="1">
      <c r="C73" s="3" t="s">
        <v>32</v>
      </c>
      <c r="D73" s="7" t="s">
        <v>33</v>
      </c>
      <c r="E73" s="3" t="s">
        <v>187</v>
      </c>
      <c r="F73" s="67">
        <v>2866.6</v>
      </c>
      <c r="G73" s="70">
        <v>123.41039000000001</v>
      </c>
      <c r="H73" s="56">
        <v>37.148099999999999</v>
      </c>
      <c r="I73" s="56">
        <v>160.55849000000001</v>
      </c>
      <c r="J73" s="59">
        <v>37.148099999999999</v>
      </c>
      <c r="K73" s="56"/>
      <c r="L73" s="56"/>
      <c r="M73" s="73" t="s">
        <v>397</v>
      </c>
      <c r="N73" s="73" t="s">
        <v>431</v>
      </c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</row>
    <row r="74" spans="3:32" s="64" customFormat="1">
      <c r="C74" s="3" t="s">
        <v>105</v>
      </c>
      <c r="D74" s="7" t="s">
        <v>106</v>
      </c>
      <c r="E74" s="3" t="s">
        <v>187</v>
      </c>
      <c r="F74" s="67">
        <v>5863</v>
      </c>
      <c r="G74" s="70">
        <v>-23.469560000000005</v>
      </c>
      <c r="H74" s="56">
        <v>100</v>
      </c>
      <c r="I74" s="56">
        <v>76.530439999999999</v>
      </c>
      <c r="J74" s="59">
        <v>100</v>
      </c>
      <c r="K74" s="56"/>
      <c r="L74" s="56" t="s">
        <v>409</v>
      </c>
      <c r="M74" s="73" t="s">
        <v>391</v>
      </c>
      <c r="N74" s="73" t="s">
        <v>432</v>
      </c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</row>
    <row r="75" spans="3:32" s="64" customFormat="1">
      <c r="C75" s="3" t="s">
        <v>232</v>
      </c>
      <c r="D75" s="7" t="s">
        <v>231</v>
      </c>
      <c r="E75" s="3" t="s">
        <v>187</v>
      </c>
      <c r="F75" s="67">
        <v>180.02</v>
      </c>
      <c r="G75" s="70">
        <v>13.678000000000003</v>
      </c>
      <c r="H75" s="56">
        <v>0</v>
      </c>
      <c r="I75" s="56">
        <v>13.678000000000003</v>
      </c>
      <c r="J75" s="59"/>
      <c r="K75" s="56"/>
      <c r="L75" s="56"/>
      <c r="M75" s="73" t="s">
        <v>443</v>
      </c>
      <c r="N75" s="73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</row>
    <row r="76" spans="3:32" s="64" customFormat="1">
      <c r="C76" s="3" t="s">
        <v>150</v>
      </c>
      <c r="D76" s="7" t="s">
        <v>151</v>
      </c>
      <c r="E76" s="3" t="s">
        <v>187</v>
      </c>
      <c r="F76" s="67">
        <v>140</v>
      </c>
      <c r="G76" s="70">
        <v>6.1553599999999999</v>
      </c>
      <c r="H76" s="56">
        <v>0</v>
      </c>
      <c r="I76" s="56">
        <v>6.1553599999999999</v>
      </c>
      <c r="J76" s="59"/>
      <c r="K76" s="56"/>
      <c r="L76" s="56"/>
      <c r="M76" s="73" t="s">
        <v>443</v>
      </c>
      <c r="N76" s="73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</row>
    <row r="77" spans="3:32" s="64" customFormat="1">
      <c r="C77" s="3" t="s">
        <v>140</v>
      </c>
      <c r="D77" s="7" t="s">
        <v>141</v>
      </c>
      <c r="E77" s="3" t="s">
        <v>187</v>
      </c>
      <c r="F77" s="67">
        <v>190.97</v>
      </c>
      <c r="G77" s="70">
        <v>3.1921100000000004</v>
      </c>
      <c r="H77" s="56">
        <v>0</v>
      </c>
      <c r="I77" s="56">
        <v>3.1921100000000004</v>
      </c>
      <c r="J77" s="59"/>
      <c r="K77" s="56"/>
      <c r="L77" s="56"/>
      <c r="M77" s="73" t="s">
        <v>443</v>
      </c>
      <c r="N77" s="73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</row>
    <row r="78" spans="3:32" s="64" customFormat="1">
      <c r="C78" s="3" t="s">
        <v>148</v>
      </c>
      <c r="D78" s="7" t="s">
        <v>149</v>
      </c>
      <c r="E78" s="3" t="s">
        <v>187</v>
      </c>
      <c r="F78" s="67">
        <v>26.2</v>
      </c>
      <c r="G78" s="70">
        <v>5.8299999999994467E-3</v>
      </c>
      <c r="H78" s="56">
        <v>0</v>
      </c>
      <c r="I78" s="56">
        <v>5.8299999999994467E-3</v>
      </c>
      <c r="J78" s="59"/>
      <c r="K78" s="56"/>
      <c r="L78" s="56"/>
      <c r="M78" s="73" t="s">
        <v>443</v>
      </c>
      <c r="N78" s="73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</row>
    <row r="79" spans="3:32" s="64" customFormat="1">
      <c r="C79" s="3"/>
      <c r="D79" s="7" t="s">
        <v>9</v>
      </c>
      <c r="E79" s="3" t="s">
        <v>446</v>
      </c>
      <c r="F79" s="67"/>
      <c r="G79" s="70">
        <v>652.86901</v>
      </c>
      <c r="H79" s="56"/>
      <c r="I79" s="56">
        <v>652.86901</v>
      </c>
      <c r="J79" s="59"/>
      <c r="K79" s="56"/>
      <c r="L79" s="56"/>
      <c r="M79" s="73" t="s">
        <v>447</v>
      </c>
      <c r="N79" s="73" t="s">
        <v>447</v>
      </c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</row>
    <row r="80" spans="3:32" s="64" customFormat="1">
      <c r="C80" s="3"/>
      <c r="D80" s="7" t="s">
        <v>98</v>
      </c>
      <c r="E80" s="3" t="s">
        <v>446</v>
      </c>
      <c r="F80" s="67"/>
      <c r="G80" s="70">
        <v>35</v>
      </c>
      <c r="H80" s="56">
        <v>39.5</v>
      </c>
      <c r="I80" s="56">
        <v>74.5</v>
      </c>
      <c r="J80" s="59">
        <v>40</v>
      </c>
      <c r="K80" s="56"/>
      <c r="L80" s="56"/>
      <c r="M80" s="73" t="s">
        <v>448</v>
      </c>
      <c r="N80" s="73" t="s">
        <v>448</v>
      </c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</row>
    <row r="81" spans="3:32" s="64" customFormat="1" ht="15" thickBot="1">
      <c r="C81" s="9"/>
      <c r="D81" s="10"/>
      <c r="E81" s="9"/>
      <c r="F81" s="68"/>
      <c r="G81" s="71"/>
      <c r="H81" s="57"/>
      <c r="I81" s="57"/>
      <c r="J81" s="60"/>
      <c r="K81" s="57"/>
      <c r="L81" s="57"/>
      <c r="M81" s="74"/>
      <c r="N81" s="74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</row>
    <row r="87" spans="3:32">
      <c r="J87" s="63">
        <f>J8/H8</f>
        <v>0.69168266241337739</v>
      </c>
    </row>
    <row r="89" spans="3:32">
      <c r="J89">
        <v>2788</v>
      </c>
      <c r="K89" t="s">
        <v>378</v>
      </c>
    </row>
    <row r="90" spans="3:32">
      <c r="J90">
        <v>1868</v>
      </c>
      <c r="K90" t="s">
        <v>411</v>
      </c>
    </row>
    <row r="91" spans="3:32">
      <c r="J91">
        <v>752</v>
      </c>
      <c r="K91" t="s">
        <v>412</v>
      </c>
    </row>
    <row r="92" spans="3:32">
      <c r="J92" s="61">
        <f>SUM(J89:J91)</f>
        <v>5408</v>
      </c>
    </row>
  </sheetData>
  <autoFilter ref="C9:M78" xr:uid="{99AF54EF-6B50-4AAB-B9F3-C98390350F22}"/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879D0-994B-48B3-9025-4994118DEC47}">
  <sheetPr codeName="Planilha12">
    <tabColor rgb="FFFFC000"/>
  </sheetPr>
  <dimension ref="B2:R23"/>
  <sheetViews>
    <sheetView showGridLines="0" workbookViewId="0">
      <selection activeCell="J14" sqref="J14:J16"/>
    </sheetView>
  </sheetViews>
  <sheetFormatPr defaultRowHeight="14.5"/>
  <cols>
    <col min="3" max="14" width="8.54296875" customWidth="1"/>
    <col min="15" max="15" width="10.54296875" bestFit="1" customWidth="1"/>
  </cols>
  <sheetData>
    <row r="2" spans="2:18" ht="32.25" customHeight="1" thickBot="1">
      <c r="C2" s="331" t="s">
        <v>563</v>
      </c>
      <c r="D2" s="332"/>
      <c r="E2" s="333"/>
      <c r="F2" s="331" t="s">
        <v>564</v>
      </c>
      <c r="G2" s="332"/>
      <c r="H2" s="333"/>
      <c r="I2" s="331" t="s">
        <v>565</v>
      </c>
      <c r="J2" s="332"/>
      <c r="K2" s="333"/>
      <c r="L2" s="331" t="s">
        <v>566</v>
      </c>
      <c r="M2" s="332"/>
      <c r="N2" s="333"/>
      <c r="O2" s="322" t="s">
        <v>567</v>
      </c>
    </row>
    <row r="3" spans="2:18" ht="16" thickBot="1">
      <c r="C3" s="82" t="s">
        <v>294</v>
      </c>
      <c r="D3" s="82" t="s">
        <v>295</v>
      </c>
      <c r="E3" s="82" t="s">
        <v>296</v>
      </c>
      <c r="F3" s="82" t="s">
        <v>297</v>
      </c>
      <c r="G3" s="82" t="s">
        <v>298</v>
      </c>
      <c r="H3" s="82" t="s">
        <v>299</v>
      </c>
      <c r="I3" s="82" t="s">
        <v>300</v>
      </c>
      <c r="J3" s="82" t="s">
        <v>301</v>
      </c>
      <c r="K3" s="82" t="s">
        <v>302</v>
      </c>
      <c r="L3" s="82" t="s">
        <v>303</v>
      </c>
      <c r="M3" s="82" t="s">
        <v>304</v>
      </c>
      <c r="N3" s="82" t="s">
        <v>305</v>
      </c>
      <c r="O3" s="323"/>
    </row>
    <row r="4" spans="2:18" ht="15.75" customHeight="1" thickBot="1">
      <c r="B4" s="324" t="s">
        <v>568</v>
      </c>
      <c r="C4" s="325">
        <v>2296.2831022281198</v>
      </c>
      <c r="D4" s="326"/>
      <c r="E4" s="326"/>
      <c r="F4" s="328">
        <v>1831.8922972494199</v>
      </c>
      <c r="G4" s="326"/>
      <c r="H4" s="326"/>
      <c r="I4" s="328">
        <v>2780.2243970070999</v>
      </c>
      <c r="J4" s="326"/>
      <c r="K4" s="326"/>
      <c r="L4" s="328">
        <v>4545.6947170070998</v>
      </c>
      <c r="M4" s="326"/>
      <c r="N4" s="326"/>
      <c r="O4" s="329">
        <f>SUM(C4:N5)</f>
        <v>11454.09451349174</v>
      </c>
    </row>
    <row r="5" spans="2:18" ht="15.75" customHeight="1" thickBot="1">
      <c r="B5" s="324"/>
      <c r="C5" s="327"/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26"/>
      <c r="O5" s="330"/>
    </row>
    <row r="6" spans="2:18" ht="15.75" customHeight="1" thickBot="1">
      <c r="B6" s="324" t="s">
        <v>543</v>
      </c>
      <c r="C6" s="325">
        <v>2296.2831022281198</v>
      </c>
      <c r="D6" s="326"/>
      <c r="E6" s="326"/>
      <c r="F6" s="328">
        <v>1836.4851738155201</v>
      </c>
      <c r="G6" s="326"/>
      <c r="H6" s="326"/>
      <c r="I6" s="328">
        <v>2711.6013670071102</v>
      </c>
      <c r="J6" s="326"/>
      <c r="K6" s="326"/>
      <c r="L6" s="328">
        <v>6607.5947170071004</v>
      </c>
      <c r="M6" s="326"/>
      <c r="N6" s="326"/>
      <c r="O6" s="329">
        <f>SUM(C6:N7)</f>
        <v>13451.964360057849</v>
      </c>
    </row>
    <row r="7" spans="2:18" ht="15.75" customHeight="1" thickBot="1">
      <c r="B7" s="324"/>
      <c r="C7" s="327"/>
      <c r="D7" s="326"/>
      <c r="E7" s="326"/>
      <c r="F7" s="326"/>
      <c r="G7" s="326"/>
      <c r="H7" s="326"/>
      <c r="I7" s="326"/>
      <c r="J7" s="326"/>
      <c r="K7" s="326"/>
      <c r="L7" s="326"/>
      <c r="M7" s="326"/>
      <c r="N7" s="326"/>
      <c r="O7" s="330"/>
      <c r="P7" s="105"/>
    </row>
    <row r="8" spans="2:18" ht="15.75" customHeight="1" thickBot="1">
      <c r="B8" s="324" t="s">
        <v>562</v>
      </c>
      <c r="C8" s="325">
        <v>2296.2831022281198</v>
      </c>
      <c r="D8" s="326"/>
      <c r="E8" s="326"/>
      <c r="F8" s="328">
        <v>1836.4851738155201</v>
      </c>
      <c r="G8" s="326"/>
      <c r="H8" s="326"/>
      <c r="I8" s="334">
        <v>2319.0695670071</v>
      </c>
      <c r="J8" s="335"/>
      <c r="K8" s="335"/>
      <c r="L8" s="328">
        <v>6594.8412845746698</v>
      </c>
      <c r="M8" s="326"/>
      <c r="N8" s="326"/>
      <c r="O8" s="329">
        <f>SUM(C8:N9)</f>
        <v>13046.67912762541</v>
      </c>
    </row>
    <row r="9" spans="2:18" ht="15" customHeight="1" thickBot="1">
      <c r="B9" s="324"/>
      <c r="C9" s="327"/>
      <c r="D9" s="326"/>
      <c r="E9" s="326"/>
      <c r="F9" s="326"/>
      <c r="G9" s="326"/>
      <c r="H9" s="326"/>
      <c r="I9" s="335"/>
      <c r="J9" s="335"/>
      <c r="K9" s="335"/>
      <c r="L9" s="326"/>
      <c r="M9" s="326"/>
      <c r="N9" s="326"/>
      <c r="O9" s="330"/>
      <c r="P9" s="105"/>
      <c r="Q9" s="105"/>
      <c r="R9" s="105"/>
    </row>
    <row r="10" spans="2:18">
      <c r="K10" s="105">
        <f>I8-I6</f>
        <v>-392.53180000001021</v>
      </c>
      <c r="N10" s="105">
        <f>L8-L6</f>
        <v>-12.7534324324306</v>
      </c>
      <c r="P10" s="105"/>
    </row>
    <row r="12" spans="2:18">
      <c r="B12" s="107" t="s">
        <v>569</v>
      </c>
      <c r="I12" s="106" t="s">
        <v>578</v>
      </c>
    </row>
    <row r="13" spans="2:18">
      <c r="B13">
        <v>100</v>
      </c>
      <c r="C13" t="s">
        <v>570</v>
      </c>
      <c r="I13" s="107" t="s">
        <v>579</v>
      </c>
      <c r="J13" s="107">
        <v>7.2</v>
      </c>
    </row>
    <row r="14" spans="2:18">
      <c r="B14">
        <v>10</v>
      </c>
      <c r="C14" t="s">
        <v>571</v>
      </c>
      <c r="I14" t="s">
        <v>378</v>
      </c>
      <c r="J14" s="110">
        <v>-3.7</v>
      </c>
    </row>
    <row r="15" spans="2:18">
      <c r="B15">
        <v>50</v>
      </c>
      <c r="C15" t="s">
        <v>572</v>
      </c>
      <c r="I15" t="s">
        <v>580</v>
      </c>
      <c r="J15" s="110">
        <v>-2.4</v>
      </c>
    </row>
    <row r="16" spans="2:18">
      <c r="B16" s="108">
        <f>SUM(B13:B15)</f>
        <v>160</v>
      </c>
      <c r="C16" s="108" t="s">
        <v>492</v>
      </c>
      <c r="I16" s="109" t="s">
        <v>581</v>
      </c>
      <c r="J16" s="110">
        <v>-1.8</v>
      </c>
    </row>
    <row r="18" spans="2:3">
      <c r="B18" s="107" t="s">
        <v>573</v>
      </c>
    </row>
    <row r="19" spans="2:3">
      <c r="B19">
        <v>60</v>
      </c>
      <c r="C19" t="s">
        <v>574</v>
      </c>
    </row>
    <row r="20" spans="2:3">
      <c r="B20">
        <v>27</v>
      </c>
      <c r="C20" t="s">
        <v>575</v>
      </c>
    </row>
    <row r="21" spans="2:3">
      <c r="B21">
        <v>45</v>
      </c>
      <c r="C21" t="s">
        <v>576</v>
      </c>
    </row>
    <row r="22" spans="2:3">
      <c r="B22">
        <v>159</v>
      </c>
      <c r="C22" t="s">
        <v>577</v>
      </c>
    </row>
    <row r="23" spans="2:3">
      <c r="B23" s="108">
        <f>SUM(B19:B22)</f>
        <v>291</v>
      </c>
      <c r="C23" s="108" t="s">
        <v>492</v>
      </c>
    </row>
  </sheetData>
  <mergeCells count="23">
    <mergeCell ref="O8:O9"/>
    <mergeCell ref="B4:B5"/>
    <mergeCell ref="C4:E5"/>
    <mergeCell ref="F4:H5"/>
    <mergeCell ref="I4:K5"/>
    <mergeCell ref="L4:N5"/>
    <mergeCell ref="O4:O5"/>
    <mergeCell ref="B8:B9"/>
    <mergeCell ref="I8:K9"/>
    <mergeCell ref="L8:N9"/>
    <mergeCell ref="C8:E9"/>
    <mergeCell ref="F8:H9"/>
    <mergeCell ref="O2:O3"/>
    <mergeCell ref="B6:B7"/>
    <mergeCell ref="C6:E7"/>
    <mergeCell ref="F6:H7"/>
    <mergeCell ref="I6:K7"/>
    <mergeCell ref="L6:N7"/>
    <mergeCell ref="O6:O7"/>
    <mergeCell ref="C2:E2"/>
    <mergeCell ref="F2:H2"/>
    <mergeCell ref="I2:K2"/>
    <mergeCell ref="L2:N2"/>
  </mergeCells>
  <phoneticPr fontId="26" type="noConversion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2FFC5-EFD7-4CBB-A725-C288466B2BCA}">
  <sheetPr codeName="Planilha13">
    <tabColor theme="9" tint="0.79998168889431442"/>
  </sheetPr>
  <dimension ref="B2:I21"/>
  <sheetViews>
    <sheetView showGridLines="0" zoomScaleNormal="100" workbookViewId="0">
      <selection activeCell="D20" sqref="D20"/>
    </sheetView>
  </sheetViews>
  <sheetFormatPr defaultRowHeight="14.5"/>
  <cols>
    <col min="1" max="1" width="2.26953125" customWidth="1"/>
    <col min="2" max="2" width="8.26953125" style="103" customWidth="1"/>
    <col min="3" max="3" width="12.453125" style="103" customWidth="1"/>
    <col min="4" max="4" width="42.54296875" style="103" customWidth="1"/>
    <col min="5" max="5" width="21.7265625" style="103" customWidth="1"/>
    <col min="6" max="6" width="10.7265625" style="103" customWidth="1"/>
    <col min="7" max="7" width="41.54296875" style="103" bestFit="1" customWidth="1"/>
    <col min="8" max="8" width="21.1796875" customWidth="1"/>
    <col min="10" max="14" width="9.26953125" customWidth="1"/>
  </cols>
  <sheetData>
    <row r="2" spans="2:9" ht="18.5">
      <c r="B2" s="336" t="s">
        <v>606</v>
      </c>
      <c r="C2" s="336"/>
      <c r="D2" s="336"/>
      <c r="E2" s="336"/>
      <c r="F2" s="336"/>
      <c r="G2" s="336"/>
    </row>
    <row r="5" spans="2:9">
      <c r="C5" s="121" t="s">
        <v>602</v>
      </c>
      <c r="D5" s="121" t="s">
        <v>603</v>
      </c>
      <c r="E5" s="121" t="s">
        <v>604</v>
      </c>
      <c r="F5" s="121" t="s">
        <v>605</v>
      </c>
      <c r="G5" s="121" t="s">
        <v>607</v>
      </c>
    </row>
    <row r="6" spans="2:9" ht="13.5" customHeight="1">
      <c r="C6" s="103" t="s">
        <v>540</v>
      </c>
      <c r="D6" s="103" t="s">
        <v>541</v>
      </c>
      <c r="E6" s="103" t="s">
        <v>475</v>
      </c>
      <c r="F6" s="122">
        <v>159</v>
      </c>
      <c r="G6" s="116"/>
    </row>
    <row r="7" spans="2:9" ht="13.5" customHeight="1">
      <c r="C7" s="103" t="s">
        <v>308</v>
      </c>
      <c r="D7" s="103" t="s">
        <v>309</v>
      </c>
      <c r="E7" s="103" t="s">
        <v>472</v>
      </c>
      <c r="F7" s="122">
        <v>300</v>
      </c>
      <c r="G7" s="116"/>
    </row>
    <row r="8" spans="2:9" ht="13.5" customHeight="1">
      <c r="C8" s="103" t="s">
        <v>290</v>
      </c>
      <c r="D8" s="103" t="s">
        <v>243</v>
      </c>
      <c r="E8" s="103" t="s">
        <v>477</v>
      </c>
      <c r="F8" s="139" t="s">
        <v>628</v>
      </c>
      <c r="G8" s="116" t="s">
        <v>608</v>
      </c>
      <c r="H8" s="103" t="s">
        <v>624</v>
      </c>
      <c r="I8" s="138" t="s">
        <v>623</v>
      </c>
    </row>
    <row r="9" spans="2:9" ht="13.5" customHeight="1">
      <c r="C9" s="103" t="s">
        <v>291</v>
      </c>
      <c r="D9" s="103" t="s">
        <v>244</v>
      </c>
      <c r="E9" s="103" t="s">
        <v>477</v>
      </c>
      <c r="F9" s="139" t="s">
        <v>625</v>
      </c>
      <c r="G9" s="116" t="s">
        <v>608</v>
      </c>
      <c r="H9" s="103" t="s">
        <v>624</v>
      </c>
      <c r="I9" s="138" t="s">
        <v>623</v>
      </c>
    </row>
    <row r="10" spans="2:9" ht="13.5" customHeight="1">
      <c r="C10" s="103" t="s">
        <v>261</v>
      </c>
      <c r="D10" s="103" t="s">
        <v>242</v>
      </c>
      <c r="E10" s="103" t="s">
        <v>477</v>
      </c>
      <c r="F10" s="139" t="s">
        <v>626</v>
      </c>
      <c r="G10" s="116" t="s">
        <v>608</v>
      </c>
      <c r="H10" s="103" t="s">
        <v>624</v>
      </c>
      <c r="I10" s="138" t="s">
        <v>623</v>
      </c>
    </row>
    <row r="11" spans="2:9" ht="13.5" customHeight="1">
      <c r="C11" s="103" t="s">
        <v>88</v>
      </c>
      <c r="D11" s="103" t="s">
        <v>89</v>
      </c>
      <c r="E11" s="103" t="s">
        <v>473</v>
      </c>
      <c r="F11" s="122">
        <v>378</v>
      </c>
      <c r="G11" s="116"/>
    </row>
    <row r="12" spans="2:9" ht="13.5" customHeight="1">
      <c r="D12" s="103" t="s">
        <v>619</v>
      </c>
      <c r="E12" s="103" t="s">
        <v>622</v>
      </c>
      <c r="F12" s="137">
        <v>300</v>
      </c>
      <c r="G12" s="116"/>
    </row>
    <row r="13" spans="2:9" ht="13.5" customHeight="1">
      <c r="D13" s="103" t="s">
        <v>620</v>
      </c>
      <c r="E13" s="103" t="s">
        <v>621</v>
      </c>
      <c r="F13" s="137">
        <v>170</v>
      </c>
      <c r="G13" s="116"/>
    </row>
    <row r="14" spans="2:9" ht="13.5" customHeight="1">
      <c r="D14" s="103" t="s">
        <v>627</v>
      </c>
      <c r="E14" s="103" t="s">
        <v>475</v>
      </c>
      <c r="F14" s="137"/>
      <c r="G14" s="116"/>
    </row>
    <row r="15" spans="2:9" ht="13.5" customHeight="1">
      <c r="C15" s="103" t="s">
        <v>551</v>
      </c>
      <c r="D15" s="103" t="s">
        <v>561</v>
      </c>
      <c r="E15" s="103" t="s">
        <v>480</v>
      </c>
      <c r="F15" s="137">
        <v>152</v>
      </c>
      <c r="G15" s="116"/>
    </row>
    <row r="16" spans="2:9" ht="13.5" customHeight="1">
      <c r="F16" s="137"/>
      <c r="G16" s="116"/>
    </row>
    <row r="17" spans="2:7">
      <c r="B17" s="123"/>
      <c r="C17" s="123" t="s">
        <v>492</v>
      </c>
      <c r="D17" s="123"/>
      <c r="E17" s="123"/>
      <c r="F17" s="124">
        <f>SUM(F6:F16)</f>
        <v>1459</v>
      </c>
      <c r="G17" s="123"/>
    </row>
    <row r="19" spans="2:7">
      <c r="C19" s="140" t="s">
        <v>629</v>
      </c>
    </row>
    <row r="21" spans="2:7">
      <c r="F21" s="131"/>
    </row>
  </sheetData>
  <mergeCells count="1">
    <mergeCell ref="B2:G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DD65C-F34D-4871-85D6-F994CBBEDB48}">
  <sheetPr codeName="Planilha4" filterMode="1">
    <tabColor rgb="FF00B050"/>
    <pageSetUpPr fitToPage="1"/>
  </sheetPr>
  <dimension ref="A1:DS274"/>
  <sheetViews>
    <sheetView showGridLines="0" zoomScale="70" zoomScaleNormal="70" zoomScaleSheetLayoutView="25" workbookViewId="0">
      <pane xSplit="28" ySplit="5" topLeftCell="AY6" activePane="bottomRight" state="frozen"/>
      <selection pane="topRight" activeCell="AC1" sqref="AC1"/>
      <selection pane="bottomLeft" activeCell="A6" sqref="A6"/>
      <selection pane="bottomRight" activeCell="BV11" sqref="BV11"/>
    </sheetView>
  </sheetViews>
  <sheetFormatPr defaultColWidth="9.453125" defaultRowHeight="13"/>
  <cols>
    <col min="1" max="1" width="2" style="17" customWidth="1"/>
    <col min="2" max="2" width="6.7265625" style="29" customWidth="1"/>
    <col min="3" max="3" width="12.81640625" style="29" customWidth="1"/>
    <col min="4" max="5" width="14.54296875" style="29" hidden="1" customWidth="1"/>
    <col min="6" max="6" width="9.54296875" style="29" hidden="1" customWidth="1"/>
    <col min="7" max="7" width="15.54296875" style="29" hidden="1" customWidth="1"/>
    <col min="8" max="8" width="12.453125" style="29" hidden="1" customWidth="1"/>
    <col min="9" max="9" width="13.81640625" style="29" hidden="1" customWidth="1"/>
    <col min="10" max="10" width="16.54296875" style="29" hidden="1" customWidth="1"/>
    <col min="11" max="11" width="13.7265625" style="29" hidden="1" customWidth="1"/>
    <col min="12" max="13" width="13.1796875" style="29" hidden="1" customWidth="1"/>
    <col min="14" max="14" width="7.1796875" style="29" hidden="1" customWidth="1"/>
    <col min="15" max="15" width="6" style="29" hidden="1" customWidth="1"/>
    <col min="16" max="17" width="9" style="29" hidden="1" customWidth="1"/>
    <col min="18" max="18" width="7.26953125" style="29" hidden="1" customWidth="1"/>
    <col min="19" max="19" width="13.7265625" style="29" hidden="1" customWidth="1"/>
    <col min="20" max="20" width="12.81640625" style="29" hidden="1" customWidth="1"/>
    <col min="21" max="22" width="17.453125" style="29" hidden="1" customWidth="1"/>
    <col min="23" max="23" width="12" style="29" customWidth="1"/>
    <col min="24" max="24" width="17.453125" style="29" customWidth="1"/>
    <col min="25" max="25" width="47" style="29" customWidth="1"/>
    <col min="26" max="26" width="20.453125" style="29" hidden="1" customWidth="1"/>
    <col min="27" max="27" width="10.453125" style="29" customWidth="1"/>
    <col min="28" max="28" width="39.7265625" style="29" customWidth="1"/>
    <col min="29" max="29" width="16.26953125" style="29" hidden="1" customWidth="1"/>
    <col min="30" max="31" width="13.453125" style="29" hidden="1" customWidth="1"/>
    <col min="32" max="32" width="21.54296875" style="29" hidden="1" customWidth="1"/>
    <col min="33" max="33" width="17.1796875" style="29" hidden="1" customWidth="1"/>
    <col min="34" max="34" width="16.54296875" style="29" hidden="1" customWidth="1"/>
    <col min="35" max="36" width="14.453125" style="29" hidden="1" customWidth="1"/>
    <col min="37" max="42" width="31.26953125" style="29" hidden="1" customWidth="1"/>
    <col min="43" max="43" width="27.81640625" style="29" hidden="1" customWidth="1"/>
    <col min="44" max="44" width="11.26953125" style="31" hidden="1" customWidth="1"/>
    <col min="45" max="45" width="10" style="29" hidden="1" customWidth="1"/>
    <col min="46" max="46" width="15.54296875" style="29" hidden="1" customWidth="1"/>
    <col min="47" max="47" width="10" style="29" hidden="1" customWidth="1"/>
    <col min="48" max="48" width="11.54296875" style="29" hidden="1" customWidth="1"/>
    <col min="49" max="49" width="13.453125" style="29" hidden="1" customWidth="1"/>
    <col min="50" max="50" width="12.453125" style="29" hidden="1" customWidth="1"/>
    <col min="51" max="51" width="13.26953125" style="31" customWidth="1"/>
    <col min="52" max="52" width="10.26953125" style="31" hidden="1" customWidth="1"/>
    <col min="53" max="53" width="9.453125" style="29" customWidth="1"/>
    <col min="54" max="54" width="9.453125" style="29" hidden="1" customWidth="1"/>
    <col min="55" max="55" width="9.453125" style="29" customWidth="1"/>
    <col min="56" max="56" width="9.453125" style="29" hidden="1" customWidth="1"/>
    <col min="57" max="57" width="9.453125" style="29" customWidth="1"/>
    <col min="58" max="58" width="9.453125" style="29" hidden="1" customWidth="1"/>
    <col min="59" max="59" width="9.453125" style="29" customWidth="1"/>
    <col min="60" max="60" width="9.453125" style="29" hidden="1" customWidth="1"/>
    <col min="61" max="61" width="9.453125" style="29" customWidth="1"/>
    <col min="62" max="62" width="9.453125" style="29" hidden="1" customWidth="1"/>
    <col min="63" max="63" width="11.26953125" style="29" customWidth="1"/>
    <col min="64" max="64" width="9.453125" style="29" hidden="1" customWidth="1"/>
    <col min="65" max="65" width="11" style="29" customWidth="1"/>
    <col min="66" max="66" width="9.453125" style="29" hidden="1" customWidth="1"/>
    <col min="67" max="67" width="9.453125" style="29" customWidth="1"/>
    <col min="68" max="68" width="9.453125" style="29" hidden="1" customWidth="1"/>
    <col min="69" max="69" width="9.453125" style="29" customWidth="1"/>
    <col min="70" max="70" width="9.453125" style="29" hidden="1" customWidth="1"/>
    <col min="71" max="71" width="9.453125" style="29" customWidth="1"/>
    <col min="72" max="72" width="9.453125" style="29" hidden="1" customWidth="1"/>
    <col min="73" max="73" width="9.453125" style="29" customWidth="1"/>
    <col min="74" max="74" width="9.26953125" style="29" customWidth="1"/>
    <col min="75" max="76" width="9.54296875" style="29" customWidth="1"/>
    <col min="77" max="77" width="15.81640625" style="29" hidden="1" customWidth="1"/>
    <col min="78" max="79" width="9.453125" style="29" hidden="1" customWidth="1"/>
    <col min="80" max="80" width="11.453125" style="29" hidden="1" customWidth="1"/>
    <col min="81" max="81" width="10.81640625" style="29" hidden="1" customWidth="1"/>
    <col min="82" max="82" width="11.1796875" style="29" hidden="1" customWidth="1"/>
    <col min="83" max="83" width="10.7265625" style="29" hidden="1" customWidth="1"/>
    <col min="84" max="84" width="10.1796875" style="29" hidden="1" customWidth="1"/>
    <col min="85" max="85" width="11.1796875" style="29" hidden="1" customWidth="1"/>
    <col min="86" max="86" width="10.54296875" style="29" hidden="1" customWidth="1"/>
    <col min="87" max="87" width="11.1796875" style="29" hidden="1" customWidth="1"/>
    <col min="88" max="88" width="11.26953125" style="29" hidden="1" customWidth="1"/>
    <col min="89" max="89" width="14.26953125" style="29" hidden="1" customWidth="1"/>
    <col min="90" max="90" width="15.1796875" style="29" hidden="1" customWidth="1"/>
    <col min="91" max="91" width="10.54296875" style="29" hidden="1" customWidth="1"/>
    <col min="92" max="92" width="10.81640625" style="29" hidden="1" customWidth="1"/>
    <col min="93" max="93" width="11.453125" style="29" hidden="1" customWidth="1"/>
    <col min="94" max="94" width="10.81640625" style="29" hidden="1" customWidth="1"/>
    <col min="95" max="95" width="11.1796875" style="29" hidden="1" customWidth="1"/>
    <col min="96" max="96" width="10.7265625" style="29" hidden="1" customWidth="1"/>
    <col min="97" max="97" width="10.1796875" style="29" hidden="1" customWidth="1"/>
    <col min="98" max="98" width="11.1796875" style="29" hidden="1" customWidth="1"/>
    <col min="99" max="99" width="10.54296875" style="29" hidden="1" customWidth="1"/>
    <col min="100" max="100" width="11.1796875" style="29" hidden="1" customWidth="1"/>
    <col min="101" max="101" width="11.26953125" style="29" hidden="1" customWidth="1"/>
    <col min="102" max="102" width="11.1796875" style="29" hidden="1" customWidth="1"/>
    <col min="103" max="103" width="17.1796875" style="29" hidden="1" customWidth="1"/>
    <col min="104" max="104" width="11.81640625" style="29" customWidth="1"/>
    <col min="105" max="105" width="14.453125" style="29" hidden="1" customWidth="1"/>
    <col min="106" max="106" width="17.26953125" style="29" hidden="1" customWidth="1"/>
    <col min="107" max="107" width="17.54296875" style="29" hidden="1" customWidth="1"/>
    <col min="108" max="108" width="18.81640625" style="29" hidden="1" customWidth="1"/>
    <col min="109" max="109" width="14.81640625" style="29" hidden="1" customWidth="1"/>
    <col min="110" max="110" width="20" style="29" hidden="1" customWidth="1"/>
    <col min="111" max="111" width="85.26953125" style="29" hidden="1" customWidth="1"/>
    <col min="112" max="115" width="8.81640625" style="29" hidden="1" customWidth="1"/>
    <col min="116" max="117" width="13.54296875" style="114" bestFit="1" customWidth="1"/>
    <col min="118" max="118" width="13.1796875" style="114" customWidth="1"/>
    <col min="119" max="119" width="13" style="29" customWidth="1"/>
    <col min="120" max="120" width="12.453125" style="29" customWidth="1"/>
    <col min="121" max="121" width="15.26953125" style="29" customWidth="1"/>
    <col min="122" max="122" width="11" style="29" hidden="1" customWidth="1"/>
    <col min="123" max="123" width="15" style="29" hidden="1" customWidth="1"/>
    <col min="124" max="16384" width="9.453125" style="29"/>
  </cols>
  <sheetData>
    <row r="1" spans="1:123" s="15" customFormat="1" ht="31.4" customHeight="1" thickBot="1">
      <c r="C1" s="55"/>
      <c r="D1" s="55"/>
      <c r="E1" s="55"/>
      <c r="I1" s="18"/>
      <c r="AB1" s="171"/>
      <c r="AC1" s="19"/>
      <c r="AH1" s="213">
        <f>AVERAGE(AH6:AH274)</f>
        <v>0.10035263157894737</v>
      </c>
      <c r="AK1" s="19" t="e">
        <f>SUBTOTAL(9,AK6:AK274)</f>
        <v>#REF!</v>
      </c>
      <c r="AL1" s="19">
        <f>SUBTOTAL(9,AL6:AL274)</f>
        <v>0</v>
      </c>
      <c r="AM1" s="19"/>
      <c r="AN1" s="19">
        <f>SUBTOTAL(9,AN6:AN274)</f>
        <v>0</v>
      </c>
      <c r="AO1" s="19"/>
      <c r="AP1" s="19"/>
      <c r="AQ1" s="19"/>
      <c r="AR1" s="19">
        <f t="shared" ref="AR1:DC1" si="0">SUBTOTAL(9,AR6:AR274)</f>
        <v>23280.184755174199</v>
      </c>
      <c r="AS1" s="19">
        <f t="shared" si="0"/>
        <v>18424.388299999995</v>
      </c>
      <c r="AT1" s="19">
        <f t="shared" si="0"/>
        <v>12796.522420000001</v>
      </c>
      <c r="AU1" s="19">
        <f t="shared" si="0"/>
        <v>18357.713644545456</v>
      </c>
      <c r="AV1" s="19">
        <f t="shared" si="0"/>
        <v>608403.87696999975</v>
      </c>
      <c r="AW1" s="19">
        <f t="shared" si="0"/>
        <v>10697.158170000002</v>
      </c>
      <c r="AX1" s="19">
        <f t="shared" si="0"/>
        <v>619101.0351399997</v>
      </c>
      <c r="AY1" s="19">
        <f t="shared" si="0"/>
        <v>17473.939399999992</v>
      </c>
      <c r="AZ1" s="19">
        <f t="shared" si="0"/>
        <v>483.79999999999995</v>
      </c>
      <c r="BA1" s="19">
        <f t="shared" si="0"/>
        <v>374.34207999999973</v>
      </c>
      <c r="BB1" s="19">
        <f t="shared" si="0"/>
        <v>222.57326999999998</v>
      </c>
      <c r="BC1" s="19">
        <f t="shared" si="0"/>
        <v>624.08024000000012</v>
      </c>
      <c r="BD1" s="19">
        <f t="shared" si="0"/>
        <v>422.40046999999993</v>
      </c>
      <c r="BE1" s="19">
        <f t="shared" si="0"/>
        <v>425.80976000000004</v>
      </c>
      <c r="BF1" s="19">
        <f t="shared" si="0"/>
        <v>277.90998999999999</v>
      </c>
      <c r="BG1" s="19">
        <f t="shared" si="0"/>
        <v>498.83113999999995</v>
      </c>
      <c r="BH1" s="19">
        <f t="shared" si="0"/>
        <v>603.78899000000001</v>
      </c>
      <c r="BI1" s="19">
        <f t="shared" si="0"/>
        <v>1582.61995</v>
      </c>
      <c r="BJ1" s="19">
        <f t="shared" si="0"/>
        <v>568.93615</v>
      </c>
      <c r="BK1" s="19">
        <f t="shared" si="0"/>
        <v>975.84845000000007</v>
      </c>
      <c r="BL1" s="19">
        <f t="shared" si="0"/>
        <v>1604.4886333333332</v>
      </c>
      <c r="BM1" s="19">
        <f t="shared" si="0"/>
        <v>1869.9286600000003</v>
      </c>
      <c r="BN1" s="19">
        <f t="shared" si="0"/>
        <v>875.98143041666674</v>
      </c>
      <c r="BO1" s="19">
        <f t="shared" si="0"/>
        <v>950.37592000000006</v>
      </c>
      <c r="BP1" s="19">
        <f t="shared" si="0"/>
        <v>1383.8806037499999</v>
      </c>
      <c r="BQ1" s="19">
        <f t="shared" si="0"/>
        <v>1495.1307400000005</v>
      </c>
      <c r="BR1" s="19">
        <f t="shared" si="0"/>
        <v>1904.0396470833339</v>
      </c>
      <c r="BS1" s="19">
        <f t="shared" si="0"/>
        <v>2338.3660199999999</v>
      </c>
      <c r="BT1" s="19">
        <f t="shared" si="0"/>
        <v>1819.79483375</v>
      </c>
      <c r="BU1" s="19">
        <f t="shared" si="0"/>
        <v>1948.0765199999994</v>
      </c>
      <c r="BV1" s="19">
        <f t="shared" si="0"/>
        <v>4559.8308033333333</v>
      </c>
      <c r="BW1" s="19">
        <f t="shared" si="0"/>
        <v>3882.80278</v>
      </c>
      <c r="BX1" s="19">
        <f t="shared" si="0"/>
        <v>4390.529919999999</v>
      </c>
      <c r="BY1" s="19">
        <f t="shared" si="0"/>
        <v>48577.229525555544</v>
      </c>
      <c r="BZ1" s="19">
        <f t="shared" si="0"/>
        <v>515.11117000000002</v>
      </c>
      <c r="CA1" s="19">
        <f t="shared" si="0"/>
        <v>1911.6336799999999</v>
      </c>
      <c r="CB1" s="19">
        <f t="shared" si="0"/>
        <v>1300.31756</v>
      </c>
      <c r="CC1" s="19">
        <f t="shared" si="0"/>
        <v>2324.0943888888892</v>
      </c>
      <c r="CD1" s="19">
        <f t="shared" si="0"/>
        <v>3386.8130200000001</v>
      </c>
      <c r="CE1" s="19">
        <f t="shared" si="0"/>
        <v>8649.0840714285714</v>
      </c>
      <c r="CF1" s="19">
        <f t="shared" si="0"/>
        <v>1834.780238095238</v>
      </c>
      <c r="CG1" s="19">
        <f t="shared" si="0"/>
        <v>11080.202751428571</v>
      </c>
      <c r="CH1" s="19">
        <f t="shared" si="0"/>
        <v>2236.6437514285712</v>
      </c>
      <c r="CI1" s="19">
        <f t="shared" si="0"/>
        <v>3583.5117514285716</v>
      </c>
      <c r="CJ1" s="19">
        <f t="shared" si="0"/>
        <v>1546.6685714285713</v>
      </c>
      <c r="CK1" s="19">
        <f t="shared" si="0"/>
        <v>10208.368571428571</v>
      </c>
      <c r="CL1" s="19">
        <f t="shared" si="0"/>
        <v>20289.036</v>
      </c>
      <c r="CM1" s="19">
        <f t="shared" si="0"/>
        <v>1745.6659999999999</v>
      </c>
      <c r="CN1" s="19">
        <f t="shared" si="0"/>
        <v>2207.5460000000003</v>
      </c>
      <c r="CO1" s="19">
        <f t="shared" si="0"/>
        <v>1807.5459999999998</v>
      </c>
      <c r="CP1" s="19">
        <f t="shared" si="0"/>
        <v>1686.8793333333333</v>
      </c>
      <c r="CQ1" s="19">
        <f t="shared" si="0"/>
        <v>1624.9993333333332</v>
      </c>
      <c r="CR1" s="19">
        <f t="shared" si="0"/>
        <v>1624.9993333333332</v>
      </c>
      <c r="CS1" s="19">
        <f t="shared" si="0"/>
        <v>1629.0333333333333</v>
      </c>
      <c r="CT1" s="19">
        <f t="shared" si="0"/>
        <v>1629.0333333333333</v>
      </c>
      <c r="CU1" s="19">
        <f t="shared" si="0"/>
        <v>1583.3333333333333</v>
      </c>
      <c r="CV1" s="19">
        <f t="shared" si="0"/>
        <v>1583.3333333333333</v>
      </c>
      <c r="CW1" s="19">
        <f t="shared" si="0"/>
        <v>1583.3333333333333</v>
      </c>
      <c r="CX1" s="19">
        <f t="shared" si="0"/>
        <v>1583.3333333333333</v>
      </c>
      <c r="CY1" s="19">
        <f t="shared" si="0"/>
        <v>169.30088333333322</v>
      </c>
      <c r="CZ1" s="19">
        <f t="shared" si="0"/>
        <v>-507.72714000000002</v>
      </c>
      <c r="DA1" s="19">
        <f t="shared" si="0"/>
        <v>13083.409479999989</v>
      </c>
      <c r="DB1" s="19">
        <f t="shared" si="0"/>
        <v>4390.529919999999</v>
      </c>
      <c r="DC1" s="19">
        <f t="shared" si="0"/>
        <v>65058.963925555545</v>
      </c>
      <c r="DD1" s="19">
        <f>SUBTOTAL(9,DD6:DD274)</f>
        <v>55379.146283749993</v>
      </c>
      <c r="DE1" s="19">
        <f>SUBTOTAL(9,DE6:DE274)</f>
        <v>9440.8176418055555</v>
      </c>
      <c r="DF1" s="19" t="e">
        <f>SUBTOTAL(9,DF6:DF274)</f>
        <v>#REF!</v>
      </c>
      <c r="DG1" s="19"/>
      <c r="DH1" s="19">
        <f t="shared" ref="DH1:DS1" si="1">SUBTOTAL(9,DH6:DH274)</f>
        <v>1424.2320800000002</v>
      </c>
      <c r="DI1" s="19">
        <f t="shared" si="1"/>
        <v>3057.29954</v>
      </c>
      <c r="DJ1" s="19">
        <f t="shared" si="1"/>
        <v>4315.4353200000014</v>
      </c>
      <c r="DK1" s="19" t="e">
        <f t="shared" si="1"/>
        <v>#REF!</v>
      </c>
      <c r="DL1" s="19">
        <f t="shared" si="1"/>
        <v>144563.31438000005</v>
      </c>
      <c r="DM1" s="19">
        <f t="shared" si="1"/>
        <v>86993.888679999975</v>
      </c>
      <c r="DN1" s="19">
        <f t="shared" si="1"/>
        <v>18566.059880000012</v>
      </c>
      <c r="DO1" s="19">
        <f t="shared" si="1"/>
        <v>1926.5549899999999</v>
      </c>
      <c r="DP1" s="19">
        <f t="shared" si="1"/>
        <v>107486.50354999994</v>
      </c>
      <c r="DQ1" s="19">
        <f t="shared" si="1"/>
        <v>37076.810830000017</v>
      </c>
      <c r="DR1" s="19" t="e">
        <f t="shared" si="1"/>
        <v>#N/A</v>
      </c>
      <c r="DS1" s="19" t="e">
        <f t="shared" si="1"/>
        <v>#N/A</v>
      </c>
    </row>
    <row r="2" spans="1:123" s="21" customFormat="1" ht="34.5" customHeight="1" thickBot="1">
      <c r="A2" s="16"/>
      <c r="B2" s="152" t="s">
        <v>702</v>
      </c>
      <c r="C2" s="179"/>
      <c r="D2" s="23"/>
      <c r="E2" s="23"/>
      <c r="F2" s="20"/>
      <c r="G2" s="20"/>
      <c r="H2" s="20"/>
      <c r="J2" s="20"/>
      <c r="K2" s="20"/>
      <c r="L2" s="20"/>
      <c r="M2" s="20"/>
      <c r="N2" s="20"/>
      <c r="O2" s="20"/>
      <c r="P2" s="20"/>
      <c r="Q2" s="20"/>
      <c r="R2" s="180"/>
      <c r="S2" s="20"/>
      <c r="T2" s="20"/>
      <c r="U2" s="20"/>
      <c r="V2" s="20"/>
      <c r="W2" s="20"/>
      <c r="X2" s="20"/>
      <c r="Y2" s="20"/>
      <c r="Z2" s="25"/>
      <c r="AA2" s="26"/>
      <c r="AB2" s="171">
        <v>1701.3099099999999</v>
      </c>
      <c r="AC2" s="171"/>
      <c r="AD2" s="27"/>
      <c r="AE2" s="27"/>
      <c r="AF2" s="171"/>
      <c r="AG2" s="171"/>
      <c r="AH2" s="171"/>
      <c r="AI2" s="26"/>
      <c r="AJ2" s="26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339">
        <v>2021</v>
      </c>
      <c r="AZ2" s="340"/>
      <c r="BA2" s="340"/>
      <c r="BB2" s="340"/>
      <c r="BC2" s="340"/>
      <c r="BD2" s="340"/>
      <c r="BE2" s="340"/>
      <c r="BF2" s="340"/>
      <c r="BG2" s="340"/>
      <c r="BH2" s="340"/>
      <c r="BI2" s="340"/>
      <c r="BJ2" s="340"/>
      <c r="BK2" s="340"/>
      <c r="BL2" s="340"/>
      <c r="BM2" s="340"/>
      <c r="BN2" s="340"/>
      <c r="BO2" s="340"/>
      <c r="BP2" s="340"/>
      <c r="BQ2" s="340"/>
      <c r="BR2" s="340"/>
      <c r="BS2" s="340"/>
      <c r="BT2" s="340"/>
      <c r="BU2" s="340"/>
      <c r="BV2" s="341"/>
      <c r="BW2" s="273"/>
      <c r="BX2" s="273"/>
      <c r="BY2" s="342">
        <v>2022</v>
      </c>
      <c r="BZ2" s="342"/>
      <c r="CA2" s="342"/>
      <c r="CB2" s="342"/>
      <c r="CC2" s="342"/>
      <c r="CD2" s="342"/>
      <c r="CE2" s="342"/>
      <c r="CF2" s="342"/>
      <c r="CG2" s="342"/>
      <c r="CH2" s="342"/>
      <c r="CI2" s="342"/>
      <c r="CJ2" s="342"/>
      <c r="CK2" s="342"/>
      <c r="CL2" s="343">
        <v>2023</v>
      </c>
      <c r="CM2" s="343"/>
      <c r="CN2" s="343"/>
      <c r="CO2" s="343"/>
      <c r="CP2" s="343"/>
      <c r="CQ2" s="343"/>
      <c r="CR2" s="343"/>
      <c r="CS2" s="343"/>
      <c r="CT2" s="343"/>
      <c r="CU2" s="343"/>
      <c r="CV2" s="343"/>
      <c r="CW2" s="343"/>
      <c r="CX2" s="343"/>
      <c r="DL2" s="111"/>
      <c r="DM2" s="111"/>
      <c r="DN2" s="111"/>
    </row>
    <row r="3" spans="1:123" s="21" customFormat="1" ht="8.15" customHeight="1" thickTop="1" thickBot="1">
      <c r="A3" s="16"/>
      <c r="B3" s="34"/>
      <c r="C3" s="34"/>
      <c r="D3" s="33"/>
      <c r="E3" s="33"/>
      <c r="F3" s="33"/>
      <c r="G3" s="33"/>
      <c r="H3" s="33"/>
      <c r="I3" s="33"/>
      <c r="J3" s="33"/>
      <c r="K3" s="53"/>
      <c r="L3" s="53"/>
      <c r="M3" s="33"/>
      <c r="N3" s="33"/>
      <c r="O3" s="33"/>
      <c r="P3" s="34"/>
      <c r="Q3" s="34"/>
      <c r="R3" s="53"/>
      <c r="S3" s="33"/>
      <c r="T3" s="33"/>
      <c r="U3" s="53"/>
      <c r="V3" s="34"/>
      <c r="W3" s="34"/>
      <c r="X3" s="34"/>
      <c r="Y3" s="34"/>
      <c r="Z3" s="25"/>
      <c r="AA3" s="26"/>
      <c r="AB3" s="26"/>
      <c r="AC3" s="26"/>
      <c r="AD3" s="49"/>
      <c r="AE3" s="49"/>
      <c r="AF3" s="34"/>
      <c r="AG3" s="34"/>
      <c r="AH3" s="34"/>
      <c r="AI3" s="26"/>
      <c r="AJ3" s="26"/>
      <c r="AK3" s="26"/>
      <c r="AL3" s="26"/>
      <c r="AM3" s="26"/>
      <c r="AN3" s="26"/>
      <c r="AO3" s="26"/>
      <c r="AP3" s="26"/>
      <c r="AQ3" s="26"/>
      <c r="AR3" s="49"/>
      <c r="AS3" s="27"/>
      <c r="AT3" s="27"/>
      <c r="AU3" s="27"/>
      <c r="AV3" s="27"/>
      <c r="AW3" s="27"/>
      <c r="AX3" s="27"/>
      <c r="AY3" s="329">
        <f>SUM(AZ3,BF3,BL3,BR3)</f>
        <v>17473.939399999996</v>
      </c>
      <c r="AZ3" s="344">
        <f>SUM(BA1,BC1,BE1)</f>
        <v>1424.23208</v>
      </c>
      <c r="BA3" s="345"/>
      <c r="BB3" s="345"/>
      <c r="BC3" s="345"/>
      <c r="BD3" s="345"/>
      <c r="BE3" s="346"/>
      <c r="BF3" s="344">
        <f>SUM(BG1,BI1,BK1)</f>
        <v>3057.29954</v>
      </c>
      <c r="BG3" s="345"/>
      <c r="BH3" s="345"/>
      <c r="BI3" s="345"/>
      <c r="BJ3" s="345"/>
      <c r="BK3" s="346"/>
      <c r="BL3" s="344">
        <f>SUM(BM1,BO1,BQ1)</f>
        <v>4315.4353200000005</v>
      </c>
      <c r="BM3" s="345"/>
      <c r="BN3" s="345"/>
      <c r="BO3" s="345"/>
      <c r="BP3" s="345"/>
      <c r="BQ3" s="345"/>
      <c r="BR3" s="344">
        <f>SUM(BS1,BU1,BX1)</f>
        <v>8676.9724599999972</v>
      </c>
      <c r="BS3" s="345"/>
      <c r="BT3" s="345"/>
      <c r="BU3" s="345"/>
      <c r="BV3" s="345"/>
      <c r="BW3" s="345"/>
      <c r="BX3" s="346"/>
      <c r="BY3" s="329">
        <f>BZ3+CC3+CF3+CI3</f>
        <v>48577.229525555551</v>
      </c>
      <c r="BZ3" s="328">
        <f>SUM(BZ1:CB1)</f>
        <v>3727.06241</v>
      </c>
      <c r="CA3" s="326"/>
      <c r="CB3" s="326"/>
      <c r="CC3" s="328">
        <f>SUM(CC1:CE1)</f>
        <v>14359.991480317462</v>
      </c>
      <c r="CD3" s="326"/>
      <c r="CE3" s="326"/>
      <c r="CF3" s="328">
        <f>SUM(CF1:CH1)</f>
        <v>15151.626740952381</v>
      </c>
      <c r="CG3" s="326"/>
      <c r="CH3" s="326"/>
      <c r="CI3" s="328">
        <f>SUM(CI1:CK1)</f>
        <v>15338.548894285714</v>
      </c>
      <c r="CJ3" s="326"/>
      <c r="CK3" s="326"/>
      <c r="CL3" s="329">
        <f>CM3+CP3+CS3+CV3</f>
        <v>20289.036</v>
      </c>
      <c r="CM3" s="328">
        <f>SUM(CM1:CO1)</f>
        <v>5760.7579999999998</v>
      </c>
      <c r="CN3" s="326"/>
      <c r="CO3" s="326"/>
      <c r="CP3" s="328">
        <f>SUM(CP1:CR1)</f>
        <v>4936.8779999999997</v>
      </c>
      <c r="CQ3" s="326"/>
      <c r="CR3" s="326"/>
      <c r="CS3" s="328">
        <f>SUM(CS1:CU1)</f>
        <v>4841.3999999999996</v>
      </c>
      <c r="CT3" s="326"/>
      <c r="CU3" s="326"/>
      <c r="CV3" s="328">
        <f>SUM(CV1:CX1)</f>
        <v>4750</v>
      </c>
      <c r="CW3" s="326"/>
      <c r="CX3" s="326"/>
      <c r="CY3" s="337">
        <f>SUBTOTAL(9,CY6:CY274)</f>
        <v>169.30088333333322</v>
      </c>
      <c r="DB3" s="337">
        <f>SUBTOTAL(9,DB6:DB274)</f>
        <v>4390.529919999999</v>
      </c>
      <c r="DC3" s="19"/>
      <c r="DD3" s="19"/>
      <c r="DE3" s="19"/>
      <c r="DF3" s="337" t="e">
        <f>SUBTOTAL(9,DF6:DF274)</f>
        <v>#REF!</v>
      </c>
      <c r="DG3" s="19"/>
      <c r="DH3" s="19"/>
      <c r="DI3" s="19"/>
      <c r="DJ3" s="19"/>
      <c r="DK3" s="19"/>
      <c r="DL3" s="337">
        <f t="shared" ref="DL3:DQ3" si="2">SUBTOTAL(9,DL6:DL274)</f>
        <v>144563.31438000005</v>
      </c>
      <c r="DM3" s="337">
        <f t="shared" si="2"/>
        <v>86993.888679999975</v>
      </c>
      <c r="DN3" s="337">
        <f t="shared" si="2"/>
        <v>18566.059880000012</v>
      </c>
      <c r="DO3" s="337">
        <f t="shared" si="2"/>
        <v>1926.5549899999999</v>
      </c>
      <c r="DP3" s="337">
        <f t="shared" si="2"/>
        <v>107486.50354999994</v>
      </c>
      <c r="DQ3" s="337">
        <f t="shared" si="2"/>
        <v>37076.810830000017</v>
      </c>
    </row>
    <row r="4" spans="1:123" s="21" customFormat="1" ht="15" customHeight="1" thickTop="1" thickBot="1">
      <c r="A4" s="16"/>
      <c r="B4" s="34"/>
      <c r="C4" s="23"/>
      <c r="D4" s="23"/>
      <c r="E4" s="23"/>
      <c r="F4" s="20"/>
      <c r="G4" s="20"/>
      <c r="H4" s="20"/>
      <c r="J4" s="20"/>
      <c r="K4" s="20"/>
      <c r="L4" s="20"/>
      <c r="M4" s="20"/>
      <c r="N4" s="20"/>
      <c r="O4" s="20"/>
      <c r="P4" s="20"/>
      <c r="Q4" s="20"/>
      <c r="S4" s="20"/>
      <c r="T4" s="20"/>
      <c r="U4" s="20"/>
      <c r="V4" s="20"/>
      <c r="W4" s="20"/>
      <c r="X4" s="20"/>
      <c r="Y4" s="20"/>
      <c r="Z4" s="25"/>
      <c r="AA4" s="26"/>
      <c r="AB4" s="26"/>
      <c r="AC4" s="26"/>
      <c r="AD4" s="177"/>
      <c r="AE4" s="177"/>
      <c r="AF4" s="22"/>
      <c r="AG4" s="22"/>
      <c r="AH4" s="22"/>
      <c r="AI4" s="26"/>
      <c r="AJ4" s="26"/>
      <c r="AK4" s="26"/>
      <c r="AL4" s="26"/>
      <c r="AM4" s="26"/>
      <c r="AN4" s="26"/>
      <c r="AO4" s="26"/>
      <c r="AP4" s="26"/>
      <c r="AQ4" s="26"/>
      <c r="AR4" s="49"/>
      <c r="AS4" s="27"/>
      <c r="AT4" s="27"/>
      <c r="AU4" s="27"/>
      <c r="AV4" s="27"/>
      <c r="AW4" s="27"/>
      <c r="AX4" s="27"/>
      <c r="AY4" s="330"/>
      <c r="AZ4" s="347"/>
      <c r="BA4" s="348"/>
      <c r="BB4" s="348"/>
      <c r="BC4" s="348"/>
      <c r="BD4" s="348"/>
      <c r="BE4" s="349"/>
      <c r="BF4" s="347"/>
      <c r="BG4" s="348"/>
      <c r="BH4" s="348"/>
      <c r="BI4" s="348"/>
      <c r="BJ4" s="348"/>
      <c r="BK4" s="349"/>
      <c r="BL4" s="347"/>
      <c r="BM4" s="348"/>
      <c r="BN4" s="348"/>
      <c r="BO4" s="348"/>
      <c r="BP4" s="348"/>
      <c r="BQ4" s="348"/>
      <c r="BR4" s="347"/>
      <c r="BS4" s="348"/>
      <c r="BT4" s="348"/>
      <c r="BU4" s="348"/>
      <c r="BV4" s="348"/>
      <c r="BW4" s="348"/>
      <c r="BX4" s="349"/>
      <c r="BY4" s="330"/>
      <c r="BZ4" s="326"/>
      <c r="CA4" s="326"/>
      <c r="CB4" s="326"/>
      <c r="CC4" s="326"/>
      <c r="CD4" s="326"/>
      <c r="CE4" s="326"/>
      <c r="CF4" s="326"/>
      <c r="CG4" s="326"/>
      <c r="CH4" s="326"/>
      <c r="CI4" s="326"/>
      <c r="CJ4" s="326"/>
      <c r="CK4" s="326"/>
      <c r="CL4" s="330"/>
      <c r="CM4" s="326"/>
      <c r="CN4" s="326"/>
      <c r="CO4" s="326"/>
      <c r="CP4" s="326"/>
      <c r="CQ4" s="326"/>
      <c r="CR4" s="326"/>
      <c r="CS4" s="326"/>
      <c r="CT4" s="326"/>
      <c r="CU4" s="326"/>
      <c r="CV4" s="326"/>
      <c r="CW4" s="326"/>
      <c r="CX4" s="326"/>
      <c r="CY4" s="338"/>
      <c r="DB4" s="338"/>
      <c r="DC4" s="272"/>
      <c r="DD4" s="272"/>
      <c r="DE4" s="272"/>
      <c r="DF4" s="338"/>
      <c r="DG4" s="19"/>
      <c r="DH4" s="19"/>
      <c r="DI4" s="19"/>
      <c r="DJ4" s="19"/>
      <c r="DK4" s="19"/>
      <c r="DL4" s="338"/>
      <c r="DM4" s="338"/>
      <c r="DN4" s="338"/>
      <c r="DO4" s="338"/>
      <c r="DP4" s="338"/>
      <c r="DQ4" s="338"/>
    </row>
    <row r="5" spans="1:123" s="28" customFormat="1" ht="71.150000000000006" customHeight="1" thickBot="1">
      <c r="A5" s="16"/>
      <c r="B5" s="1" t="s">
        <v>193</v>
      </c>
      <c r="C5" s="1" t="s">
        <v>1017</v>
      </c>
      <c r="D5" s="1" t="s">
        <v>710</v>
      </c>
      <c r="E5" s="1" t="s">
        <v>721</v>
      </c>
      <c r="F5" s="1" t="s">
        <v>459</v>
      </c>
      <c r="G5" s="1" t="s">
        <v>456</v>
      </c>
      <c r="H5" s="1" t="s">
        <v>457</v>
      </c>
      <c r="I5" s="1" t="s">
        <v>458</v>
      </c>
      <c r="J5" s="1" t="s">
        <v>688</v>
      </c>
      <c r="K5" s="1" t="s">
        <v>691</v>
      </c>
      <c r="L5" s="1" t="s">
        <v>690</v>
      </c>
      <c r="M5" s="1" t="s">
        <v>1194</v>
      </c>
      <c r="N5" s="1" t="s">
        <v>1264</v>
      </c>
      <c r="O5" s="1" t="s">
        <v>1020</v>
      </c>
      <c r="P5" s="1" t="s">
        <v>953</v>
      </c>
      <c r="Q5" s="1" t="s">
        <v>1241</v>
      </c>
      <c r="R5" s="1" t="s">
        <v>192</v>
      </c>
      <c r="S5" s="1" t="s">
        <v>219</v>
      </c>
      <c r="T5" s="1" t="s">
        <v>903</v>
      </c>
      <c r="U5" s="1" t="s">
        <v>190</v>
      </c>
      <c r="V5" s="1" t="s">
        <v>482</v>
      </c>
      <c r="W5" s="1" t="s">
        <v>674</v>
      </c>
      <c r="X5" s="1" t="s">
        <v>462</v>
      </c>
      <c r="Y5" s="1" t="s">
        <v>3</v>
      </c>
      <c r="Z5" s="1" t="s">
        <v>189</v>
      </c>
      <c r="AA5" s="1" t="s">
        <v>454</v>
      </c>
      <c r="AB5" s="1" t="s">
        <v>455</v>
      </c>
      <c r="AC5" s="169" t="s">
        <v>683</v>
      </c>
      <c r="AD5" s="164" t="s">
        <v>684</v>
      </c>
      <c r="AE5" s="185" t="s">
        <v>951</v>
      </c>
      <c r="AF5" s="1" t="s">
        <v>1034</v>
      </c>
      <c r="AG5" s="1" t="s">
        <v>1035</v>
      </c>
      <c r="AH5" s="1" t="s">
        <v>1036</v>
      </c>
      <c r="AI5" s="1" t="s">
        <v>1002</v>
      </c>
      <c r="AJ5" s="1" t="s">
        <v>1195</v>
      </c>
      <c r="AK5" s="163" t="s">
        <v>1073</v>
      </c>
      <c r="AL5" s="209" t="s">
        <v>1071</v>
      </c>
      <c r="AM5" s="209" t="s">
        <v>1078</v>
      </c>
      <c r="AN5" s="209" t="s">
        <v>1076</v>
      </c>
      <c r="AO5" s="209" t="s">
        <v>1074</v>
      </c>
      <c r="AP5" s="209" t="s">
        <v>1075</v>
      </c>
      <c r="AQ5" s="209" t="s">
        <v>1077</v>
      </c>
      <c r="AR5" s="50" t="s">
        <v>999</v>
      </c>
      <c r="AS5" s="50" t="s">
        <v>1000</v>
      </c>
      <c r="AT5" s="50" t="s">
        <v>215</v>
      </c>
      <c r="AU5" s="50" t="s">
        <v>1001</v>
      </c>
      <c r="AV5" s="12" t="s">
        <v>228</v>
      </c>
      <c r="AW5" s="12" t="s">
        <v>229</v>
      </c>
      <c r="AX5" s="12" t="s">
        <v>306</v>
      </c>
      <c r="AY5" s="160" t="s">
        <v>333</v>
      </c>
      <c r="AZ5" s="155" t="s">
        <v>982</v>
      </c>
      <c r="BA5" s="156" t="s">
        <v>692</v>
      </c>
      <c r="BB5" s="155" t="s">
        <v>983</v>
      </c>
      <c r="BC5" s="156" t="s">
        <v>708</v>
      </c>
      <c r="BD5" s="155" t="s">
        <v>984</v>
      </c>
      <c r="BE5" s="156" t="s">
        <v>765</v>
      </c>
      <c r="BF5" s="155" t="s">
        <v>985</v>
      </c>
      <c r="BG5" s="156" t="s">
        <v>815</v>
      </c>
      <c r="BH5" s="155" t="s">
        <v>986</v>
      </c>
      <c r="BI5" s="156" t="s">
        <v>939</v>
      </c>
      <c r="BJ5" s="155" t="s">
        <v>987</v>
      </c>
      <c r="BK5" s="156" t="s">
        <v>980</v>
      </c>
      <c r="BL5" s="155" t="s">
        <v>981</v>
      </c>
      <c r="BM5" s="156" t="s">
        <v>994</v>
      </c>
      <c r="BN5" s="155" t="s">
        <v>988</v>
      </c>
      <c r="BO5" s="156" t="s">
        <v>1018</v>
      </c>
      <c r="BP5" s="155" t="s">
        <v>989</v>
      </c>
      <c r="BQ5" s="156" t="s">
        <v>1047</v>
      </c>
      <c r="BR5" s="155" t="s">
        <v>990</v>
      </c>
      <c r="BS5" s="156" t="s">
        <v>1207</v>
      </c>
      <c r="BT5" s="236" t="s">
        <v>1208</v>
      </c>
      <c r="BU5" s="156" t="s">
        <v>1259</v>
      </c>
      <c r="BV5" s="155" t="s">
        <v>1260</v>
      </c>
      <c r="BW5" s="215" t="s">
        <v>1244</v>
      </c>
      <c r="BX5" s="189" t="s">
        <v>1245</v>
      </c>
      <c r="BY5" s="83" t="s">
        <v>682</v>
      </c>
      <c r="BZ5" s="84" t="s">
        <v>294</v>
      </c>
      <c r="CA5" s="84" t="s">
        <v>295</v>
      </c>
      <c r="CB5" s="84" t="s">
        <v>296</v>
      </c>
      <c r="CC5" s="84" t="s">
        <v>297</v>
      </c>
      <c r="CD5" s="84" t="s">
        <v>298</v>
      </c>
      <c r="CE5" s="84" t="s">
        <v>299</v>
      </c>
      <c r="CF5" s="84" t="s">
        <v>300</v>
      </c>
      <c r="CG5" s="84" t="s">
        <v>301</v>
      </c>
      <c r="CH5" s="84" t="s">
        <v>302</v>
      </c>
      <c r="CI5" s="84" t="s">
        <v>303</v>
      </c>
      <c r="CJ5" s="84" t="s">
        <v>304</v>
      </c>
      <c r="CK5" s="84" t="s">
        <v>305</v>
      </c>
      <c r="CL5" s="193">
        <v>2023</v>
      </c>
      <c r="CM5" s="194" t="s">
        <v>294</v>
      </c>
      <c r="CN5" s="194" t="s">
        <v>295</v>
      </c>
      <c r="CO5" s="194" t="s">
        <v>296</v>
      </c>
      <c r="CP5" s="194" t="s">
        <v>297</v>
      </c>
      <c r="CQ5" s="194" t="s">
        <v>298</v>
      </c>
      <c r="CR5" s="194" t="s">
        <v>299</v>
      </c>
      <c r="CS5" s="194" t="s">
        <v>300</v>
      </c>
      <c r="CT5" s="194" t="s">
        <v>301</v>
      </c>
      <c r="CU5" s="194" t="s">
        <v>302</v>
      </c>
      <c r="CV5" s="194" t="s">
        <v>303</v>
      </c>
      <c r="CW5" s="194" t="s">
        <v>304</v>
      </c>
      <c r="CX5" s="194" t="s">
        <v>305</v>
      </c>
      <c r="CY5" s="85" t="s">
        <v>1055</v>
      </c>
      <c r="CZ5" s="189" t="s">
        <v>1056</v>
      </c>
      <c r="DA5" s="202" t="s">
        <v>1330</v>
      </c>
      <c r="DB5" s="202" t="s">
        <v>1030</v>
      </c>
      <c r="DC5" s="202" t="s">
        <v>1218</v>
      </c>
      <c r="DD5" s="238" t="s">
        <v>1217</v>
      </c>
      <c r="DE5" s="202" t="s">
        <v>1064</v>
      </c>
      <c r="DF5" s="85" t="s">
        <v>1206</v>
      </c>
      <c r="DG5" s="85" t="s">
        <v>1029</v>
      </c>
      <c r="DH5" s="224" t="s">
        <v>631</v>
      </c>
      <c r="DI5" s="224" t="s">
        <v>632</v>
      </c>
      <c r="DJ5" s="224" t="s">
        <v>633</v>
      </c>
      <c r="DK5" s="224" t="s">
        <v>634</v>
      </c>
      <c r="DL5" s="204" t="s">
        <v>635</v>
      </c>
      <c r="DM5" s="204" t="s">
        <v>636</v>
      </c>
      <c r="DN5" s="204" t="s">
        <v>593</v>
      </c>
      <c r="DO5" s="204" t="s">
        <v>594</v>
      </c>
      <c r="DP5" s="204" t="s">
        <v>639</v>
      </c>
      <c r="DQ5" s="204" t="s">
        <v>640</v>
      </c>
      <c r="DR5" s="28" t="s">
        <v>1063</v>
      </c>
      <c r="DS5" s="28" t="s">
        <v>1064</v>
      </c>
    </row>
    <row r="6" spans="1:123" s="21" customFormat="1" ht="24" hidden="1" customHeight="1">
      <c r="A6" s="16"/>
      <c r="B6" s="2">
        <v>25</v>
      </c>
      <c r="C6" s="78" t="s">
        <v>679</v>
      </c>
      <c r="D6" s="78"/>
      <c r="E6" s="78"/>
      <c r="F6" s="3"/>
      <c r="G6" s="4"/>
      <c r="H6" s="4"/>
      <c r="I6" s="4"/>
      <c r="J6" s="13" t="str">
        <f ca="1">IF(H6="","",IF(I6&lt;&gt;"",I6-H6,EDATE(H6,18)-NOW()))</f>
        <v/>
      </c>
      <c r="K6" s="165" t="str">
        <f>IF(H6="","",H6+547)</f>
        <v/>
      </c>
      <c r="L6" s="165" t="str">
        <f>IF(H6="","",H6+730)</f>
        <v/>
      </c>
      <c r="M6" s="165"/>
      <c r="N6" s="165"/>
      <c r="O6" s="165"/>
      <c r="P6" s="165"/>
      <c r="Q6" s="165"/>
      <c r="R6" s="3" t="s">
        <v>175</v>
      </c>
      <c r="S6" s="11"/>
      <c r="T6" s="11"/>
      <c r="U6" s="5" t="s">
        <v>8</v>
      </c>
      <c r="V6" s="251"/>
      <c r="W6" s="5" t="s">
        <v>1279</v>
      </c>
      <c r="X6" s="5" t="s">
        <v>472</v>
      </c>
      <c r="Y6" s="5" t="s">
        <v>648</v>
      </c>
      <c r="Z6" s="3" t="s">
        <v>182</v>
      </c>
      <c r="AA6" s="6" t="s">
        <v>461</v>
      </c>
      <c r="AB6" s="141" t="s">
        <v>1370</v>
      </c>
      <c r="AC6" s="165"/>
      <c r="AD6" s="165"/>
      <c r="AE6" s="165" t="str">
        <f>IFERROR(EOMONTH(L6,-2),"")</f>
        <v/>
      </c>
      <c r="AF6" s="5"/>
      <c r="AG6" s="5"/>
      <c r="AH6" s="210"/>
      <c r="AI6" s="76" t="s">
        <v>673</v>
      </c>
      <c r="AJ6" s="76"/>
      <c r="AK6" s="221" t="e">
        <f>SUM(#REF!,BT6,BV6)</f>
        <v>#REF!</v>
      </c>
      <c r="AL6" s="161"/>
      <c r="AM6" s="161"/>
      <c r="AN6" s="161"/>
      <c r="AO6" s="161"/>
      <c r="AP6" s="161"/>
      <c r="AQ6" s="161"/>
      <c r="AR6" s="51"/>
      <c r="AS6" s="51">
        <v>0</v>
      </c>
      <c r="AT6" s="51">
        <v>2184.4436099999998</v>
      </c>
      <c r="AU6" s="51">
        <v>6.3028500000000012</v>
      </c>
      <c r="AV6" s="36">
        <v>14300</v>
      </c>
      <c r="AW6" s="36"/>
      <c r="AX6" s="90">
        <f>AW6+AV6</f>
        <v>14300</v>
      </c>
      <c r="AY6" s="157">
        <f t="shared" ref="AY6:AY69" si="3">BA6+BC6+BE6+BG6+BI6+BK6+BM6+BO6+BQ6+BS6+BU6+BX6</f>
        <v>1920.9260100000001</v>
      </c>
      <c r="AZ6" s="182">
        <v>0</v>
      </c>
      <c r="BA6" s="158">
        <v>6.3028500000000012</v>
      </c>
      <c r="BB6" s="158">
        <v>0</v>
      </c>
      <c r="BC6" s="158">
        <v>8.8713400000000018</v>
      </c>
      <c r="BD6" s="158">
        <v>0</v>
      </c>
      <c r="BE6" s="158">
        <v>9.777630000000002</v>
      </c>
      <c r="BF6" s="158">
        <v>0</v>
      </c>
      <c r="BG6" s="158">
        <v>16.659660000000002</v>
      </c>
      <c r="BH6" s="158">
        <v>0</v>
      </c>
      <c r="BI6" s="158">
        <v>18.063670000000002</v>
      </c>
      <c r="BJ6" s="158">
        <v>0</v>
      </c>
      <c r="BK6" s="158">
        <v>44.869409999999995</v>
      </c>
      <c r="BL6" s="182"/>
      <c r="BM6" s="158">
        <v>59.021999999999998</v>
      </c>
      <c r="BN6" s="182"/>
      <c r="BO6" s="158">
        <v>47.94166000000002</v>
      </c>
      <c r="BP6" s="182">
        <v>111.0783</v>
      </c>
      <c r="BQ6" s="158">
        <v>38.304660000000005</v>
      </c>
      <c r="BR6" s="182">
        <v>340</v>
      </c>
      <c r="BS6" s="158">
        <v>160.72946000000002</v>
      </c>
      <c r="BT6" s="182">
        <v>612.70000000000005</v>
      </c>
      <c r="BU6" s="158">
        <v>520.11966999999993</v>
      </c>
      <c r="BV6" s="218">
        <f>872+110+43+4+379+130.1+430-335.4</f>
        <v>1632.6999999999998</v>
      </c>
      <c r="BW6" s="234">
        <v>135.74869999999999</v>
      </c>
      <c r="BX6" s="218">
        <v>990.26400000000001</v>
      </c>
      <c r="BY6" s="81">
        <f t="shared" ref="BY6:BY69" si="4">SUM(BZ6:CK6)</f>
        <v>-4977.5</v>
      </c>
      <c r="BZ6" s="198"/>
      <c r="CA6" s="198">
        <f>-4745/5</f>
        <v>-949</v>
      </c>
      <c r="CB6" s="198">
        <f>-4745/5</f>
        <v>-949</v>
      </c>
      <c r="CC6" s="198">
        <f>-4745/5</f>
        <v>-949</v>
      </c>
      <c r="CD6" s="198">
        <f>-4745/5</f>
        <v>-949</v>
      </c>
      <c r="CE6" s="198">
        <f>(-4745/5)-229.7</f>
        <v>-1178.7</v>
      </c>
      <c r="CF6" s="198">
        <v>-2.8</v>
      </c>
      <c r="CG6" s="198"/>
      <c r="CH6" s="198"/>
      <c r="CI6" s="198"/>
      <c r="CJ6" s="198"/>
      <c r="CK6" s="198"/>
      <c r="CL6" s="195">
        <f>SUM(CM6:CX6)</f>
        <v>0</v>
      </c>
      <c r="CM6" s="196"/>
      <c r="CN6" s="196"/>
      <c r="CO6" s="196"/>
      <c r="CP6" s="196"/>
      <c r="CQ6" s="196"/>
      <c r="CR6" s="196"/>
      <c r="CS6" s="196"/>
      <c r="CT6" s="196"/>
      <c r="CU6" s="196"/>
      <c r="CV6" s="196"/>
      <c r="CW6" s="196"/>
      <c r="CX6" s="196"/>
      <c r="CY6" s="200">
        <f>BV6-BX6</f>
        <v>642.43599999999981</v>
      </c>
      <c r="CZ6" s="172">
        <f t="shared" ref="CZ6:CZ69" si="5">BW6-BX6</f>
        <v>-854.51530000000002</v>
      </c>
      <c r="DA6" s="201">
        <f>SUM(BA6,BC6,BE6,BG6,BI6,BK6,BM6,BO6,BQ6,BS6,BU6)</f>
        <v>930.66201000000001</v>
      </c>
      <c r="DB6" s="201">
        <f>SUM(BX6)</f>
        <v>990.26400000000001</v>
      </c>
      <c r="DC6" s="201">
        <f>SUM(AY6-BY6)</f>
        <v>6898.4260100000001</v>
      </c>
      <c r="DD6" s="239">
        <v>-2097.7576599999998</v>
      </c>
      <c r="DE6" s="201">
        <f>DC6-DD6</f>
        <v>8996.1836700000003</v>
      </c>
      <c r="DF6" s="172" t="e">
        <f>SUM(DN6:DO6)-SUM(#REF!,BV6)+BU6</f>
        <v>#REF!</v>
      </c>
      <c r="DG6" s="207"/>
      <c r="DH6" s="225">
        <f>SUM(BA6,BC6,BE6)</f>
        <v>24.951820000000005</v>
      </c>
      <c r="DI6" s="225">
        <f>SUM(BG6,BI6,BK6)</f>
        <v>79.592739999999992</v>
      </c>
      <c r="DJ6" s="225">
        <f>SUM(BM6,BO6,BQ6)</f>
        <v>145.26832000000002</v>
      </c>
      <c r="DK6" s="225" t="e">
        <f>SUM(BS6,#REF!,BV6)</f>
        <v>#REF!</v>
      </c>
      <c r="DL6" s="145"/>
      <c r="DM6" s="145"/>
      <c r="DN6" s="145">
        <v>10421.669079999994</v>
      </c>
      <c r="DO6" s="145">
        <v>0</v>
      </c>
      <c r="DP6" s="145"/>
      <c r="DQ6" s="145"/>
      <c r="DR6" s="21">
        <f>VLOOKUP(C6,[5]Database!$B$126:$AD$521,29,FALSE)</f>
        <v>-4587</v>
      </c>
      <c r="DS6" s="219">
        <f>DR6-BY6</f>
        <v>390.5</v>
      </c>
    </row>
    <row r="7" spans="1:123" s="21" customFormat="1" ht="24" customHeight="1">
      <c r="A7" s="16"/>
      <c r="B7" s="2">
        <v>203</v>
      </c>
      <c r="C7" s="78" t="s">
        <v>768</v>
      </c>
      <c r="D7" s="143" t="s">
        <v>1155</v>
      </c>
      <c r="E7" s="78"/>
      <c r="F7" s="3">
        <v>2021</v>
      </c>
      <c r="G7" s="4">
        <v>44294</v>
      </c>
      <c r="H7" s="4">
        <v>44368</v>
      </c>
      <c r="I7" s="4"/>
      <c r="J7" s="13">
        <f ca="1">IF(H7="","",IF(I7&lt;&gt;"",I7-H7,EDATE(H7,18)-NOW()))</f>
        <v>-933.33599710647832</v>
      </c>
      <c r="K7" s="165">
        <f>IF(H7="","",H7+547)</f>
        <v>44915</v>
      </c>
      <c r="L7" s="165">
        <f>IF(H7="","",H7+730)</f>
        <v>45098</v>
      </c>
      <c r="M7" s="165"/>
      <c r="N7" s="165"/>
      <c r="O7" s="165"/>
      <c r="P7" s="165"/>
      <c r="Q7" s="165"/>
      <c r="R7" s="3" t="s">
        <v>175</v>
      </c>
      <c r="S7" s="11" t="s">
        <v>221</v>
      </c>
      <c r="T7" s="45" t="s">
        <v>909</v>
      </c>
      <c r="U7" s="5" t="s">
        <v>7</v>
      </c>
      <c r="V7" s="251">
        <v>3981729</v>
      </c>
      <c r="W7" s="5" t="s">
        <v>602</v>
      </c>
      <c r="X7" s="5" t="s">
        <v>901</v>
      </c>
      <c r="Y7" s="5" t="s">
        <v>810</v>
      </c>
      <c r="Z7" s="78" t="s">
        <v>315</v>
      </c>
      <c r="AA7" s="6" t="s">
        <v>461</v>
      </c>
      <c r="AB7" s="141" t="s">
        <v>1360</v>
      </c>
      <c r="AC7" s="165">
        <v>44895</v>
      </c>
      <c r="AD7" s="165">
        <v>44742</v>
      </c>
      <c r="AE7" s="165">
        <f>IFERROR(EOMONTH(L7,-2),"")</f>
        <v>45046</v>
      </c>
      <c r="AF7" s="5"/>
      <c r="AG7" s="5"/>
      <c r="AH7" s="279"/>
      <c r="AI7" s="76" t="s">
        <v>952</v>
      </c>
      <c r="AJ7" s="76"/>
      <c r="AK7" s="221" t="e">
        <f>SUM(#REF!,BT7,BV7)</f>
        <v>#REF!</v>
      </c>
      <c r="AL7" s="48" t="s">
        <v>1118</v>
      </c>
      <c r="AM7" s="48" t="s">
        <v>1119</v>
      </c>
      <c r="AN7" s="48" t="s">
        <v>1079</v>
      </c>
      <c r="AO7" s="48" t="s">
        <v>1120</v>
      </c>
      <c r="AP7" s="48" t="s">
        <v>1113</v>
      </c>
      <c r="AQ7" s="48" t="s">
        <v>1114</v>
      </c>
      <c r="AR7" s="51"/>
      <c r="AS7" s="51"/>
      <c r="AT7" s="51"/>
      <c r="AU7" s="51">
        <v>999.7</v>
      </c>
      <c r="AV7" s="36">
        <v>1357.7249400000001</v>
      </c>
      <c r="AW7" s="36">
        <v>25</v>
      </c>
      <c r="AX7" s="90">
        <f>AW7+AV7</f>
        <v>1382.7249400000001</v>
      </c>
      <c r="AY7" s="157">
        <f t="shared" si="3"/>
        <v>483.92601999999999</v>
      </c>
      <c r="AZ7" s="182"/>
      <c r="BA7" s="158"/>
      <c r="BB7" s="182"/>
      <c r="BC7" s="158"/>
      <c r="BD7" s="182"/>
      <c r="BE7" s="158"/>
      <c r="BF7" s="182">
        <v>0</v>
      </c>
      <c r="BG7" s="158"/>
      <c r="BH7" s="182">
        <v>0</v>
      </c>
      <c r="BI7" s="158"/>
      <c r="BJ7" s="182">
        <v>0</v>
      </c>
      <c r="BK7" s="158"/>
      <c r="BL7" s="182">
        <v>0</v>
      </c>
      <c r="BM7" s="158"/>
      <c r="BN7" s="182">
        <v>0</v>
      </c>
      <c r="BO7" s="158"/>
      <c r="BP7" s="182">
        <v>0</v>
      </c>
      <c r="BQ7" s="158"/>
      <c r="BR7" s="182">
        <v>0.2</v>
      </c>
      <c r="BS7" s="158">
        <v>0.30802999999999997</v>
      </c>
      <c r="BT7" s="182">
        <v>0</v>
      </c>
      <c r="BU7" s="158">
        <v>0.61799000000000004</v>
      </c>
      <c r="BV7" s="182">
        <f>150-0.3+60+60-0.6</f>
        <v>269.09999999999997</v>
      </c>
      <c r="BW7" s="234"/>
      <c r="BX7" s="218">
        <v>483</v>
      </c>
      <c r="BY7" s="81">
        <f t="shared" si="4"/>
        <v>873.79444000000012</v>
      </c>
      <c r="BZ7" s="241"/>
      <c r="CA7" s="241">
        <f>598.4344+149.4-60-60-198.9-15</f>
        <v>413.93439999999998</v>
      </c>
      <c r="CB7" s="241">
        <v>30</v>
      </c>
      <c r="CC7" s="241">
        <v>30</v>
      </c>
      <c r="CD7" s="241">
        <v>104.2</v>
      </c>
      <c r="CE7" s="241">
        <f>328.461/2</f>
        <v>164.23050000000001</v>
      </c>
      <c r="CF7" s="241">
        <v>18</v>
      </c>
      <c r="CG7" s="241">
        <f>123.42954/3</f>
        <v>41.143180000000001</v>
      </c>
      <c r="CH7" s="241">
        <f>123.42954/3</f>
        <v>41.143180000000001</v>
      </c>
      <c r="CI7" s="241">
        <v>31.143180000000001</v>
      </c>
      <c r="CJ7" s="241"/>
      <c r="CK7" s="241"/>
      <c r="CL7" s="195">
        <f>SUM(CM7:CX7)</f>
        <v>0</v>
      </c>
      <c r="CM7" s="196"/>
      <c r="CN7" s="196"/>
      <c r="CO7" s="196"/>
      <c r="CP7" s="196"/>
      <c r="CQ7" s="196"/>
      <c r="CR7" s="196"/>
      <c r="CS7" s="196"/>
      <c r="CT7" s="196"/>
      <c r="CU7" s="196"/>
      <c r="CV7" s="196"/>
      <c r="CW7" s="196"/>
      <c r="CX7" s="196"/>
      <c r="CY7" s="200">
        <f>BV7-BX7</f>
        <v>-213.90000000000003</v>
      </c>
      <c r="CZ7" s="172">
        <f t="shared" si="5"/>
        <v>-483</v>
      </c>
      <c r="DA7" s="201">
        <f>SUM(BA7,BC7,BE7,BG7,BI7,BK7,BM7,BO7,BQ7,BS7,BU7)</f>
        <v>0.92602000000000007</v>
      </c>
      <c r="DB7" s="201">
        <f>SUM(BX7)</f>
        <v>483</v>
      </c>
      <c r="DC7" s="201">
        <f>SUM(AY7,BY7)</f>
        <v>1357.72046</v>
      </c>
      <c r="DD7" s="239">
        <v>1357.7024700000002</v>
      </c>
      <c r="DE7" s="201">
        <f>DC7-DD7</f>
        <v>1.7989999999826978E-2</v>
      </c>
      <c r="DF7" s="172" t="e">
        <f>SUM(DN7:DO7)-SUM(#REF!,BV7)+BU7</f>
        <v>#REF!</v>
      </c>
      <c r="DG7" s="207"/>
      <c r="DH7" s="225">
        <f>SUM(BA7,BC7,BE7)</f>
        <v>0</v>
      </c>
      <c r="DI7" s="225">
        <f>SUM(BG7,BI7,BK7)</f>
        <v>0</v>
      </c>
      <c r="DJ7" s="225">
        <f>SUM(BM7,BO7,BQ7)</f>
        <v>0</v>
      </c>
      <c r="DK7" s="225" t="e">
        <f>SUM(BS7,#REF!,BV7)</f>
        <v>#REF!</v>
      </c>
      <c r="DL7" s="145">
        <v>1369.7249399999998</v>
      </c>
      <c r="DM7" s="145">
        <v>0.92601999999999995</v>
      </c>
      <c r="DN7" s="145">
        <v>529.88702000000001</v>
      </c>
      <c r="DO7" s="145">
        <v>7.1988000000000003</v>
      </c>
      <c r="DP7" s="145">
        <v>538.01184000000001</v>
      </c>
      <c r="DQ7" s="145">
        <v>831.71309999999994</v>
      </c>
      <c r="DR7" s="21">
        <f>VLOOKUP(C7,[6]Database!$B$143:$AD$521,29,FALSE)</f>
        <v>1207.7249400000001</v>
      </c>
      <c r="DS7" s="219">
        <f>BY7-DR7</f>
        <v>-333.93049999999994</v>
      </c>
    </row>
    <row r="8" spans="1:123" s="21" customFormat="1" ht="24" hidden="1" customHeight="1">
      <c r="A8" s="16"/>
      <c r="B8" s="2"/>
      <c r="C8" s="78" t="s">
        <v>1377</v>
      </c>
      <c r="D8" s="78"/>
      <c r="E8" s="78"/>
      <c r="F8" s="3"/>
      <c r="G8" s="4"/>
      <c r="H8" s="4"/>
      <c r="I8" s="4"/>
      <c r="J8" s="13"/>
      <c r="K8" s="165"/>
      <c r="L8" s="165"/>
      <c r="M8" s="165"/>
      <c r="N8" s="165"/>
      <c r="O8" s="165"/>
      <c r="P8" s="165"/>
      <c r="Q8" s="165"/>
      <c r="R8" s="3" t="s">
        <v>175</v>
      </c>
      <c r="S8" s="11"/>
      <c r="T8" s="11"/>
      <c r="U8" s="5" t="s">
        <v>7</v>
      </c>
      <c r="V8" s="251"/>
      <c r="W8" s="5" t="s">
        <v>1279</v>
      </c>
      <c r="X8" s="5" t="s">
        <v>901</v>
      </c>
      <c r="Y8" s="5" t="s">
        <v>1378</v>
      </c>
      <c r="Z8" s="3" t="s">
        <v>180</v>
      </c>
      <c r="AA8" s="6" t="s">
        <v>461</v>
      </c>
      <c r="AB8" s="141"/>
      <c r="AC8" s="165"/>
      <c r="AD8" s="165"/>
      <c r="AE8" s="165"/>
      <c r="AF8" s="5"/>
      <c r="AG8" s="5"/>
      <c r="AH8" s="210"/>
      <c r="AI8" s="76" t="s">
        <v>1219</v>
      </c>
      <c r="AJ8" s="76"/>
      <c r="AK8" s="221"/>
      <c r="AL8" s="161"/>
      <c r="AM8" s="161"/>
      <c r="AN8" s="161"/>
      <c r="AO8" s="161"/>
      <c r="AP8" s="161"/>
      <c r="AQ8" s="161"/>
      <c r="AR8" s="51"/>
      <c r="AS8" s="51"/>
      <c r="AT8" s="51"/>
      <c r="AU8" s="51"/>
      <c r="AV8" s="36"/>
      <c r="AW8" s="36"/>
      <c r="AX8" s="90"/>
      <c r="AY8" s="157">
        <f t="shared" si="3"/>
        <v>100</v>
      </c>
      <c r="AZ8" s="182"/>
      <c r="BA8" s="158"/>
      <c r="BB8" s="158"/>
      <c r="BC8" s="158"/>
      <c r="BD8" s="158"/>
      <c r="BE8" s="158"/>
      <c r="BF8" s="158"/>
      <c r="BG8" s="158"/>
      <c r="BH8" s="158"/>
      <c r="BI8" s="158"/>
      <c r="BJ8" s="158"/>
      <c r="BK8" s="158"/>
      <c r="BL8" s="182"/>
      <c r="BM8" s="158"/>
      <c r="BN8" s="182"/>
      <c r="BO8" s="158"/>
      <c r="BP8" s="182"/>
      <c r="BQ8" s="158"/>
      <c r="BR8" s="182"/>
      <c r="BS8" s="158"/>
      <c r="BT8" s="182"/>
      <c r="BU8" s="158"/>
      <c r="BV8" s="182"/>
      <c r="BW8" s="234"/>
      <c r="BX8" s="218">
        <v>100</v>
      </c>
      <c r="BY8" s="81">
        <f t="shared" si="4"/>
        <v>-100</v>
      </c>
      <c r="BZ8" s="158"/>
      <c r="CA8" s="198"/>
      <c r="CB8" s="198"/>
      <c r="CC8" s="198"/>
      <c r="CD8" s="198">
        <v>-100</v>
      </c>
      <c r="CE8" s="198"/>
      <c r="CF8" s="198"/>
      <c r="CG8" s="198"/>
      <c r="CH8" s="198"/>
      <c r="CI8" s="198"/>
      <c r="CJ8" s="198"/>
      <c r="CK8" s="198"/>
      <c r="CL8" s="195"/>
      <c r="CM8" s="196"/>
      <c r="CN8" s="196"/>
      <c r="CO8" s="196"/>
      <c r="CP8" s="196"/>
      <c r="CQ8" s="196"/>
      <c r="CR8" s="196"/>
      <c r="CS8" s="196"/>
      <c r="CT8" s="196"/>
      <c r="CU8" s="196"/>
      <c r="CV8" s="196"/>
      <c r="CW8" s="196"/>
      <c r="CX8" s="196"/>
      <c r="CY8" s="200"/>
      <c r="CZ8" s="172">
        <f t="shared" si="5"/>
        <v>-100</v>
      </c>
      <c r="DA8" s="201"/>
      <c r="DB8" s="201"/>
      <c r="DC8" s="201"/>
      <c r="DD8" s="239"/>
      <c r="DE8" s="201"/>
      <c r="DF8" s="172"/>
      <c r="DG8" s="207"/>
      <c r="DH8" s="225"/>
      <c r="DI8" s="225"/>
      <c r="DJ8" s="225"/>
      <c r="DK8" s="225"/>
      <c r="DL8" s="145"/>
      <c r="DM8" s="145"/>
      <c r="DN8" s="145">
        <v>463.55400000000003</v>
      </c>
      <c r="DO8" s="145">
        <v>463.55400000000003</v>
      </c>
      <c r="DP8" s="145"/>
      <c r="DQ8" s="145"/>
      <c r="DS8" s="219"/>
    </row>
    <row r="9" spans="1:123" s="21" customFormat="1" ht="24" customHeight="1">
      <c r="A9" s="16"/>
      <c r="B9" s="2">
        <v>188</v>
      </c>
      <c r="C9" s="78" t="s">
        <v>706</v>
      </c>
      <c r="D9" s="268" t="s">
        <v>592</v>
      </c>
      <c r="E9" s="78"/>
      <c r="F9" s="3">
        <v>2021</v>
      </c>
      <c r="G9" s="4">
        <v>44181</v>
      </c>
      <c r="H9" s="174">
        <v>44239</v>
      </c>
      <c r="I9" s="4"/>
      <c r="J9" s="13">
        <f t="shared" ref="J9:J37" ca="1" si="6">IF(H9="","",IF(I9&lt;&gt;"",I9-H9,EDATE(H9,18)-NOW()))</f>
        <v>-1064.3359971064783</v>
      </c>
      <c r="K9" s="165">
        <v>44561</v>
      </c>
      <c r="L9" s="165">
        <v>44651</v>
      </c>
      <c r="M9" s="165"/>
      <c r="N9" s="165" t="s">
        <v>597</v>
      </c>
      <c r="O9" s="233" t="s">
        <v>597</v>
      </c>
      <c r="P9" s="206" t="s">
        <v>1267</v>
      </c>
      <c r="Q9" s="206" t="s">
        <v>1265</v>
      </c>
      <c r="R9" s="3" t="s">
        <v>175</v>
      </c>
      <c r="S9" s="11" t="s">
        <v>222</v>
      </c>
      <c r="T9" s="11" t="s">
        <v>601</v>
      </c>
      <c r="U9" s="5" t="s">
        <v>7</v>
      </c>
      <c r="V9" s="251">
        <v>3635316</v>
      </c>
      <c r="W9" s="5" t="s">
        <v>602</v>
      </c>
      <c r="X9" s="5" t="s">
        <v>799</v>
      </c>
      <c r="Y9" s="5" t="s">
        <v>700</v>
      </c>
      <c r="Z9" s="3" t="s">
        <v>180</v>
      </c>
      <c r="AA9" s="6" t="s">
        <v>461</v>
      </c>
      <c r="AB9" s="141" t="s">
        <v>1342</v>
      </c>
      <c r="AC9" s="165">
        <v>44561</v>
      </c>
      <c r="AD9" s="165">
        <v>44561</v>
      </c>
      <c r="AE9" s="165">
        <v>44561</v>
      </c>
      <c r="AF9" s="5" t="s">
        <v>1038</v>
      </c>
      <c r="AG9" s="5"/>
      <c r="AH9" s="279">
        <v>9.8699999999999996E-2</v>
      </c>
      <c r="AI9" s="76"/>
      <c r="AJ9" s="76"/>
      <c r="AK9" s="221" t="e">
        <f>SUM(#REF!,BT9,BV9)</f>
        <v>#REF!</v>
      </c>
      <c r="AL9" s="48"/>
      <c r="AM9" s="48"/>
      <c r="AN9" s="48"/>
      <c r="AO9" s="48"/>
      <c r="AP9" s="48"/>
      <c r="AQ9" s="48"/>
      <c r="AR9" s="51"/>
      <c r="AS9" s="51"/>
      <c r="AT9" s="51"/>
      <c r="AU9" s="51">
        <v>800.0454545454545</v>
      </c>
      <c r="AV9" s="36">
        <v>878.96</v>
      </c>
      <c r="AW9" s="36"/>
      <c r="AX9" s="90">
        <f t="shared" ref="AX9:AX33" si="7">AW9+AV9</f>
        <v>878.96</v>
      </c>
      <c r="AY9" s="157">
        <f t="shared" si="3"/>
        <v>845.89149000000009</v>
      </c>
      <c r="AZ9" s="182"/>
      <c r="BA9" s="158"/>
      <c r="BB9" s="182">
        <v>0</v>
      </c>
      <c r="BC9" s="158"/>
      <c r="BD9" s="182">
        <v>0</v>
      </c>
      <c r="BE9" s="158">
        <v>0</v>
      </c>
      <c r="BF9" s="182">
        <v>0</v>
      </c>
      <c r="BG9" s="158">
        <v>9.2802699999999998</v>
      </c>
      <c r="BH9" s="182">
        <v>0</v>
      </c>
      <c r="BI9" s="158">
        <v>38.738540000000008</v>
      </c>
      <c r="BJ9" s="182">
        <v>0</v>
      </c>
      <c r="BK9" s="158">
        <v>79.836040000000011</v>
      </c>
      <c r="BL9" s="182">
        <v>71.36163333333333</v>
      </c>
      <c r="BM9" s="158">
        <v>57.96502000000001</v>
      </c>
      <c r="BN9" s="182">
        <v>82.854430416666659</v>
      </c>
      <c r="BO9" s="158">
        <v>46.265050000000002</v>
      </c>
      <c r="BP9" s="182">
        <v>203.96702374999998</v>
      </c>
      <c r="BQ9" s="158">
        <v>154.58381999999997</v>
      </c>
      <c r="BR9" s="182">
        <v>103.27087708333335</v>
      </c>
      <c r="BS9" s="158">
        <v>92.279730000000001</v>
      </c>
      <c r="BT9" s="182">
        <v>213.40042374999999</v>
      </c>
      <c r="BU9" s="158">
        <v>145.14102</v>
      </c>
      <c r="BV9" s="182">
        <f>258.453223333333+1.3-8+3.4</f>
        <v>255.15322333333305</v>
      </c>
      <c r="BW9" s="234">
        <v>197.07485999999997</v>
      </c>
      <c r="BX9" s="218">
        <v>221.80199999999999</v>
      </c>
      <c r="BY9" s="81">
        <f t="shared" si="4"/>
        <v>33.105999999999995</v>
      </c>
      <c r="BZ9" s="241">
        <f>22.4+10.706</f>
        <v>33.105999999999995</v>
      </c>
      <c r="CA9" s="241"/>
      <c r="CB9" s="241"/>
      <c r="CC9" s="241"/>
      <c r="CD9" s="241"/>
      <c r="CE9" s="241"/>
      <c r="CF9" s="241"/>
      <c r="CG9" s="241"/>
      <c r="CH9" s="241"/>
      <c r="CI9" s="241"/>
      <c r="CJ9" s="241"/>
      <c r="CK9" s="241"/>
      <c r="CL9" s="195">
        <f t="shared" ref="CL9:CL44" si="8">SUM(CM9:CX9)</f>
        <v>0</v>
      </c>
      <c r="CM9" s="196"/>
      <c r="CN9" s="196"/>
      <c r="CO9" s="196"/>
      <c r="CP9" s="196"/>
      <c r="CQ9" s="196"/>
      <c r="CR9" s="196"/>
      <c r="CS9" s="196"/>
      <c r="CT9" s="196"/>
      <c r="CU9" s="196"/>
      <c r="CV9" s="196"/>
      <c r="CW9" s="196"/>
      <c r="CX9" s="196"/>
      <c r="CY9" s="200">
        <f t="shared" ref="CY9:CY44" si="9">BV9-BX9</f>
        <v>33.351223333333053</v>
      </c>
      <c r="CZ9" s="172">
        <f t="shared" si="5"/>
        <v>-24.72714000000002</v>
      </c>
      <c r="DA9" s="201">
        <f t="shared" ref="DA9:DA44" si="10">SUM(BA9,BC9,BE9,BG9,BI9,BK9,BM9,BO9,BQ9,BS9,BU9)</f>
        <v>624.08949000000007</v>
      </c>
      <c r="DB9" s="201">
        <f t="shared" ref="DB9:DB44" si="11">SUM(BX9)</f>
        <v>221.80199999999999</v>
      </c>
      <c r="DC9" s="201">
        <f>SUM(AY9,BY9)</f>
        <v>878.99749000000008</v>
      </c>
      <c r="DD9" s="239">
        <v>878.86520375000009</v>
      </c>
      <c r="DE9" s="201">
        <f t="shared" ref="DE9:DE44" si="12">DC9-DD9</f>
        <v>0.13228624999999283</v>
      </c>
      <c r="DF9" s="172" t="e">
        <f>SUM(DN9:DO9)-SUM(#REF!,BV9)+BU9</f>
        <v>#REF!</v>
      </c>
      <c r="DG9" s="207"/>
      <c r="DH9" s="225">
        <f t="shared" ref="DH9:DH44" si="13">SUM(BA9,BC9,BE9)</f>
        <v>0</v>
      </c>
      <c r="DI9" s="225">
        <f t="shared" ref="DI9:DI44" si="14">SUM(BG9,BI9,BK9)</f>
        <v>127.85485000000003</v>
      </c>
      <c r="DJ9" s="225">
        <f t="shared" ref="DJ9:DJ44" si="15">SUM(BM9,BO9,BQ9)</f>
        <v>258.81389000000001</v>
      </c>
      <c r="DK9" s="225" t="e">
        <f>SUM(BS9,#REF!,BV9)</f>
        <v>#REF!</v>
      </c>
      <c r="DL9" s="145">
        <v>878.96</v>
      </c>
      <c r="DM9" s="145">
        <v>821.2056</v>
      </c>
      <c r="DN9" s="145">
        <v>53.91733</v>
      </c>
      <c r="DO9" s="145">
        <v>7.34328</v>
      </c>
      <c r="DP9" s="145">
        <v>882.46620999999993</v>
      </c>
      <c r="DQ9" s="145">
        <v>-3.5062099999999998</v>
      </c>
      <c r="DR9" s="21">
        <f>VLOOKUP(C9,[6]Database!$B$143:$AD$521,29,FALSE)</f>
        <v>0</v>
      </c>
      <c r="DS9" s="219">
        <f>BY9-DR9</f>
        <v>33.105999999999995</v>
      </c>
    </row>
    <row r="10" spans="1:123" s="21" customFormat="1" ht="24" hidden="1" customHeight="1">
      <c r="A10" s="16"/>
      <c r="B10" s="2">
        <v>1</v>
      </c>
      <c r="C10" s="78" t="s">
        <v>652</v>
      </c>
      <c r="D10" s="78"/>
      <c r="E10" s="78"/>
      <c r="F10" s="3"/>
      <c r="G10" s="4"/>
      <c r="H10" s="4"/>
      <c r="I10" s="4"/>
      <c r="J10" s="13" t="str">
        <f t="shared" ca="1" si="6"/>
        <v/>
      </c>
      <c r="K10" s="165" t="str">
        <f t="shared" ref="K10:K37" si="16">IF(H10="","",H10+547)</f>
        <v/>
      </c>
      <c r="L10" s="165" t="str">
        <f t="shared" ref="L10:L37" si="17">IF(H10="","",H10+730)</f>
        <v/>
      </c>
      <c r="M10" s="165"/>
      <c r="N10" s="165"/>
      <c r="O10" s="165"/>
      <c r="P10" s="165"/>
      <c r="Q10" s="165"/>
      <c r="R10" s="3" t="s">
        <v>175</v>
      </c>
      <c r="S10" s="11"/>
      <c r="T10" s="11"/>
      <c r="U10" s="5" t="s">
        <v>8</v>
      </c>
      <c r="V10" s="251"/>
      <c r="W10" s="5" t="s">
        <v>1279</v>
      </c>
      <c r="X10" s="5" t="s">
        <v>681</v>
      </c>
      <c r="Y10" s="5" t="s">
        <v>1280</v>
      </c>
      <c r="Z10" s="3" t="s">
        <v>180</v>
      </c>
      <c r="AA10" s="6" t="s">
        <v>217</v>
      </c>
      <c r="AB10" s="141"/>
      <c r="AC10" s="184"/>
      <c r="AD10" s="165"/>
      <c r="AE10" s="165" t="s">
        <v>5</v>
      </c>
      <c r="AF10" s="5"/>
      <c r="AG10" s="5"/>
      <c r="AH10" s="210"/>
      <c r="AI10" s="76"/>
      <c r="AJ10" s="76"/>
      <c r="AK10" s="221" t="e">
        <f>SUM(#REF!,BT10,BV10)</f>
        <v>#REF!</v>
      </c>
      <c r="AL10" s="161"/>
      <c r="AM10" s="161"/>
      <c r="AN10" s="161"/>
      <c r="AO10" s="161"/>
      <c r="AP10" s="161"/>
      <c r="AQ10" s="161"/>
      <c r="AR10" s="51"/>
      <c r="AS10" s="51">
        <v>0</v>
      </c>
      <c r="AT10" s="51">
        <v>0</v>
      </c>
      <c r="AU10" s="51"/>
      <c r="AV10" s="36"/>
      <c r="AW10" s="36"/>
      <c r="AX10" s="90">
        <f t="shared" si="7"/>
        <v>0</v>
      </c>
      <c r="AY10" s="157">
        <f t="shared" si="3"/>
        <v>0</v>
      </c>
      <c r="AZ10" s="182">
        <v>0</v>
      </c>
      <c r="BA10" s="158"/>
      <c r="BB10" s="158">
        <v>0</v>
      </c>
      <c r="BC10" s="158"/>
      <c r="BD10" s="158">
        <v>0</v>
      </c>
      <c r="BE10" s="158"/>
      <c r="BF10" s="158">
        <v>0</v>
      </c>
      <c r="BG10" s="158"/>
      <c r="BH10" s="158">
        <v>0</v>
      </c>
      <c r="BI10" s="158"/>
      <c r="BJ10" s="158">
        <v>0</v>
      </c>
      <c r="BK10" s="158"/>
      <c r="BL10" s="182"/>
      <c r="BM10" s="158"/>
      <c r="BN10" s="182"/>
      <c r="BO10" s="158"/>
      <c r="BP10" s="182"/>
      <c r="BQ10" s="158"/>
      <c r="BR10" s="182"/>
      <c r="BS10" s="158"/>
      <c r="BT10" s="182"/>
      <c r="BU10" s="158"/>
      <c r="BV10" s="182"/>
      <c r="BW10" s="234"/>
      <c r="BX10" s="237"/>
      <c r="BY10" s="81">
        <f t="shared" si="4"/>
        <v>0</v>
      </c>
      <c r="BZ10" s="198"/>
      <c r="CA10" s="198"/>
      <c r="CB10" s="198"/>
      <c r="CC10" s="198"/>
      <c r="CD10" s="198"/>
      <c r="CE10" s="198"/>
      <c r="CF10" s="198"/>
      <c r="CG10" s="198"/>
      <c r="CH10" s="198"/>
      <c r="CI10" s="198"/>
      <c r="CJ10" s="198"/>
      <c r="CK10" s="198"/>
      <c r="CL10" s="195">
        <f t="shared" si="8"/>
        <v>0</v>
      </c>
      <c r="CM10" s="196"/>
      <c r="CN10" s="196"/>
      <c r="CO10" s="196"/>
      <c r="CP10" s="196"/>
      <c r="CQ10" s="196"/>
      <c r="CR10" s="196"/>
      <c r="CS10" s="196"/>
      <c r="CT10" s="196"/>
      <c r="CU10" s="196"/>
      <c r="CV10" s="196"/>
      <c r="CW10" s="196"/>
      <c r="CX10" s="196"/>
      <c r="CY10" s="200">
        <f t="shared" si="9"/>
        <v>0</v>
      </c>
      <c r="CZ10" s="172">
        <f t="shared" si="5"/>
        <v>0</v>
      </c>
      <c r="DA10" s="201">
        <f t="shared" si="10"/>
        <v>0</v>
      </c>
      <c r="DB10" s="201">
        <f t="shared" si="11"/>
        <v>0</v>
      </c>
      <c r="DC10" s="201">
        <f t="shared" ref="DC10:DC44" si="18">SUM(AY10-BY10)</f>
        <v>0</v>
      </c>
      <c r="DD10" s="239">
        <v>0</v>
      </c>
      <c r="DE10" s="201">
        <f t="shared" si="12"/>
        <v>0</v>
      </c>
      <c r="DF10" s="172" t="e">
        <f>SUM(DN10:DO10)-SUM(#REF!,BV10)+BU10</f>
        <v>#REF!</v>
      </c>
      <c r="DG10" s="207"/>
      <c r="DH10" s="225">
        <f t="shared" si="13"/>
        <v>0</v>
      </c>
      <c r="DI10" s="225">
        <f t="shared" si="14"/>
        <v>0</v>
      </c>
      <c r="DJ10" s="225">
        <f t="shared" si="15"/>
        <v>0</v>
      </c>
      <c r="DK10" s="225" t="e">
        <f>SUM(BS10,#REF!,BV10)</f>
        <v>#REF!</v>
      </c>
      <c r="DL10" s="145"/>
      <c r="DM10" s="145"/>
      <c r="DN10" s="145"/>
      <c r="DO10" s="145"/>
      <c r="DP10" s="145"/>
      <c r="DQ10" s="145"/>
      <c r="DS10" s="219">
        <f t="shared" ref="DS10:DS44" si="19">DR10-BY10</f>
        <v>0</v>
      </c>
    </row>
    <row r="11" spans="1:123" s="21" customFormat="1" ht="24" hidden="1" customHeight="1">
      <c r="A11" s="16"/>
      <c r="B11" s="2">
        <v>2</v>
      </c>
      <c r="C11" s="78" t="s">
        <v>653</v>
      </c>
      <c r="D11" s="78"/>
      <c r="E11" s="78"/>
      <c r="F11" s="3"/>
      <c r="G11" s="4"/>
      <c r="H11" s="4"/>
      <c r="I11" s="4"/>
      <c r="J11" s="13" t="str">
        <f t="shared" ca="1" si="6"/>
        <v/>
      </c>
      <c r="K11" s="165" t="str">
        <f t="shared" si="16"/>
        <v/>
      </c>
      <c r="L11" s="165" t="str">
        <f t="shared" si="17"/>
        <v/>
      </c>
      <c r="M11" s="165"/>
      <c r="N11" s="165"/>
      <c r="O11" s="165"/>
      <c r="P11" s="165"/>
      <c r="Q11" s="165"/>
      <c r="R11" s="3" t="s">
        <v>175</v>
      </c>
      <c r="S11" s="11"/>
      <c r="T11" s="11"/>
      <c r="U11" s="5" t="s">
        <v>8</v>
      </c>
      <c r="V11" s="251"/>
      <c r="W11" s="5" t="s">
        <v>1279</v>
      </c>
      <c r="X11" s="5" t="s">
        <v>681</v>
      </c>
      <c r="Y11" s="5" t="s">
        <v>1281</v>
      </c>
      <c r="Z11" s="3" t="s">
        <v>180</v>
      </c>
      <c r="AA11" s="6" t="s">
        <v>217</v>
      </c>
      <c r="AB11" s="141"/>
      <c r="AC11" s="165"/>
      <c r="AD11" s="165"/>
      <c r="AE11" s="165" t="str">
        <f>IFERROR(EOMONTH(L11,-2),"")</f>
        <v/>
      </c>
      <c r="AF11" s="5"/>
      <c r="AG11" s="5"/>
      <c r="AH11" s="210"/>
      <c r="AI11" s="76"/>
      <c r="AJ11" s="76"/>
      <c r="AK11" s="221" t="e">
        <f>SUM(#REF!,BT11,BV11)</f>
        <v>#REF!</v>
      </c>
      <c r="AL11" s="161"/>
      <c r="AM11" s="161"/>
      <c r="AN11" s="161"/>
      <c r="AO11" s="161"/>
      <c r="AP11" s="161"/>
      <c r="AQ11" s="161"/>
      <c r="AR11" s="51"/>
      <c r="AS11" s="51">
        <v>0</v>
      </c>
      <c r="AT11" s="51">
        <v>0</v>
      </c>
      <c r="AU11" s="51">
        <v>0</v>
      </c>
      <c r="AV11" s="36"/>
      <c r="AW11" s="36"/>
      <c r="AX11" s="90">
        <f t="shared" si="7"/>
        <v>0</v>
      </c>
      <c r="AY11" s="157">
        <f t="shared" si="3"/>
        <v>0</v>
      </c>
      <c r="AZ11" s="182">
        <v>0</v>
      </c>
      <c r="BA11" s="158">
        <v>0</v>
      </c>
      <c r="BB11" s="158">
        <v>0</v>
      </c>
      <c r="BC11" s="158">
        <v>0</v>
      </c>
      <c r="BD11" s="158">
        <v>0</v>
      </c>
      <c r="BE11" s="158">
        <v>0</v>
      </c>
      <c r="BF11" s="158">
        <v>0</v>
      </c>
      <c r="BG11" s="158">
        <v>0</v>
      </c>
      <c r="BH11" s="158">
        <v>0</v>
      </c>
      <c r="BI11" s="158">
        <v>0</v>
      </c>
      <c r="BJ11" s="158">
        <v>0</v>
      </c>
      <c r="BK11" s="158">
        <v>0</v>
      </c>
      <c r="BL11" s="182"/>
      <c r="BM11" s="158">
        <v>0</v>
      </c>
      <c r="BN11" s="182"/>
      <c r="BO11" s="158">
        <v>0</v>
      </c>
      <c r="BP11" s="182"/>
      <c r="BQ11" s="158">
        <v>0</v>
      </c>
      <c r="BR11" s="182"/>
      <c r="BS11" s="158">
        <v>0</v>
      </c>
      <c r="BT11" s="182"/>
      <c r="BU11" s="158">
        <v>0</v>
      </c>
      <c r="BV11" s="182"/>
      <c r="BW11" s="234"/>
      <c r="BX11" s="237"/>
      <c r="BY11" s="81">
        <f t="shared" si="4"/>
        <v>0</v>
      </c>
      <c r="BZ11" s="198"/>
      <c r="CA11" s="198"/>
      <c r="CB11" s="198"/>
      <c r="CC11" s="198"/>
      <c r="CD11" s="198"/>
      <c r="CE11" s="198"/>
      <c r="CF11" s="198"/>
      <c r="CG11" s="198"/>
      <c r="CH11" s="198"/>
      <c r="CI11" s="198"/>
      <c r="CJ11" s="198"/>
      <c r="CK11" s="198"/>
      <c r="CL11" s="195">
        <f t="shared" si="8"/>
        <v>0</v>
      </c>
      <c r="CM11" s="196"/>
      <c r="CN11" s="196"/>
      <c r="CO11" s="196"/>
      <c r="CP11" s="196"/>
      <c r="CQ11" s="196"/>
      <c r="CR11" s="196"/>
      <c r="CS11" s="196"/>
      <c r="CT11" s="196"/>
      <c r="CU11" s="196"/>
      <c r="CV11" s="196"/>
      <c r="CW11" s="196"/>
      <c r="CX11" s="196"/>
      <c r="CY11" s="200">
        <f t="shared" si="9"/>
        <v>0</v>
      </c>
      <c r="CZ11" s="172">
        <f t="shared" si="5"/>
        <v>0</v>
      </c>
      <c r="DA11" s="201">
        <f t="shared" si="10"/>
        <v>0</v>
      </c>
      <c r="DB11" s="201">
        <f t="shared" si="11"/>
        <v>0</v>
      </c>
      <c r="DC11" s="201">
        <f t="shared" si="18"/>
        <v>0</v>
      </c>
      <c r="DD11" s="239">
        <v>0</v>
      </c>
      <c r="DE11" s="201">
        <f t="shared" si="12"/>
        <v>0</v>
      </c>
      <c r="DF11" s="172" t="e">
        <f>SUM(DN11:DO11)-SUM(#REF!,BV11)+BU11</f>
        <v>#REF!</v>
      </c>
      <c r="DG11" s="207"/>
      <c r="DH11" s="225">
        <f t="shared" si="13"/>
        <v>0</v>
      </c>
      <c r="DI11" s="225">
        <f t="shared" si="14"/>
        <v>0</v>
      </c>
      <c r="DJ11" s="225">
        <f t="shared" si="15"/>
        <v>0</v>
      </c>
      <c r="DK11" s="225" t="e">
        <f>SUM(BS11,#REF!,BV11)</f>
        <v>#REF!</v>
      </c>
      <c r="DL11" s="145"/>
      <c r="DM11" s="145"/>
      <c r="DN11" s="145"/>
      <c r="DO11" s="145"/>
      <c r="DP11" s="145"/>
      <c r="DQ11" s="145"/>
      <c r="DS11" s="219">
        <f t="shared" si="19"/>
        <v>0</v>
      </c>
    </row>
    <row r="12" spans="1:123" s="21" customFormat="1" ht="24" hidden="1" customHeight="1">
      <c r="A12" s="16"/>
      <c r="B12" s="2">
        <v>3</v>
      </c>
      <c r="C12" s="78" t="s">
        <v>654</v>
      </c>
      <c r="D12" s="78"/>
      <c r="E12" s="78"/>
      <c r="F12" s="3"/>
      <c r="G12" s="4"/>
      <c r="H12" s="4"/>
      <c r="I12" s="4"/>
      <c r="J12" s="13" t="str">
        <f t="shared" ca="1" si="6"/>
        <v/>
      </c>
      <c r="K12" s="165" t="str">
        <f t="shared" si="16"/>
        <v/>
      </c>
      <c r="L12" s="165" t="str">
        <f t="shared" si="17"/>
        <v/>
      </c>
      <c r="M12" s="165"/>
      <c r="N12" s="165"/>
      <c r="O12" s="165"/>
      <c r="P12" s="165"/>
      <c r="Q12" s="165"/>
      <c r="R12" s="3" t="s">
        <v>175</v>
      </c>
      <c r="S12" s="11"/>
      <c r="T12" s="11"/>
      <c r="U12" s="5" t="s">
        <v>8</v>
      </c>
      <c r="V12" s="251"/>
      <c r="W12" s="5" t="s">
        <v>1279</v>
      </c>
      <c r="X12" s="5" t="s">
        <v>681</v>
      </c>
      <c r="Y12" s="5" t="s">
        <v>1282</v>
      </c>
      <c r="Z12" s="3" t="s">
        <v>180</v>
      </c>
      <c r="AA12" s="6" t="s">
        <v>217</v>
      </c>
      <c r="AB12" s="141"/>
      <c r="AC12" s="165"/>
      <c r="AD12" s="165"/>
      <c r="AE12" s="165" t="str">
        <f>IFERROR(EOMONTH(L12,-2),"")</f>
        <v/>
      </c>
      <c r="AF12" s="5"/>
      <c r="AG12" s="5"/>
      <c r="AH12" s="210"/>
      <c r="AI12" s="76"/>
      <c r="AJ12" s="76"/>
      <c r="AK12" s="221" t="e">
        <f>SUM(#REF!,BT12,BV12)</f>
        <v>#REF!</v>
      </c>
      <c r="AL12" s="161"/>
      <c r="AM12" s="161"/>
      <c r="AN12" s="161"/>
      <c r="AO12" s="161"/>
      <c r="AP12" s="161"/>
      <c r="AQ12" s="161"/>
      <c r="AR12" s="51"/>
      <c r="AS12" s="51">
        <v>0</v>
      </c>
      <c r="AT12" s="51">
        <v>0</v>
      </c>
      <c r="AU12" s="51">
        <v>0</v>
      </c>
      <c r="AV12" s="36"/>
      <c r="AW12" s="36"/>
      <c r="AX12" s="90">
        <f t="shared" si="7"/>
        <v>0</v>
      </c>
      <c r="AY12" s="157">
        <f t="shared" si="3"/>
        <v>0</v>
      </c>
      <c r="AZ12" s="182">
        <v>0</v>
      </c>
      <c r="BA12" s="158">
        <v>0</v>
      </c>
      <c r="BB12" s="158">
        <v>0</v>
      </c>
      <c r="BC12" s="158">
        <v>0</v>
      </c>
      <c r="BD12" s="158">
        <v>0</v>
      </c>
      <c r="BE12" s="158">
        <v>0</v>
      </c>
      <c r="BF12" s="158">
        <v>0</v>
      </c>
      <c r="BG12" s="158">
        <v>0</v>
      </c>
      <c r="BH12" s="158">
        <v>0</v>
      </c>
      <c r="BI12" s="158">
        <v>0</v>
      </c>
      <c r="BJ12" s="158">
        <v>0</v>
      </c>
      <c r="BK12" s="158">
        <v>0</v>
      </c>
      <c r="BL12" s="182"/>
      <c r="BM12" s="158">
        <v>0</v>
      </c>
      <c r="BN12" s="182"/>
      <c r="BO12" s="158">
        <v>0</v>
      </c>
      <c r="BP12" s="182"/>
      <c r="BQ12" s="158">
        <v>0</v>
      </c>
      <c r="BR12" s="182"/>
      <c r="BS12" s="158">
        <v>0</v>
      </c>
      <c r="BT12" s="182"/>
      <c r="BU12" s="158">
        <v>0</v>
      </c>
      <c r="BV12" s="182"/>
      <c r="BW12" s="234"/>
      <c r="BX12" s="237"/>
      <c r="BY12" s="81">
        <f t="shared" si="4"/>
        <v>0</v>
      </c>
      <c r="BZ12" s="198"/>
      <c r="CA12" s="198"/>
      <c r="CB12" s="198"/>
      <c r="CC12" s="198"/>
      <c r="CD12" s="198"/>
      <c r="CE12" s="198"/>
      <c r="CF12" s="198"/>
      <c r="CG12" s="198"/>
      <c r="CH12" s="198"/>
      <c r="CI12" s="198"/>
      <c r="CJ12" s="198"/>
      <c r="CK12" s="198"/>
      <c r="CL12" s="195">
        <f t="shared" si="8"/>
        <v>0</v>
      </c>
      <c r="CM12" s="196"/>
      <c r="CN12" s="196"/>
      <c r="CO12" s="196"/>
      <c r="CP12" s="196"/>
      <c r="CQ12" s="196"/>
      <c r="CR12" s="196"/>
      <c r="CS12" s="196"/>
      <c r="CT12" s="196"/>
      <c r="CU12" s="196"/>
      <c r="CV12" s="196"/>
      <c r="CW12" s="196"/>
      <c r="CX12" s="196"/>
      <c r="CY12" s="200">
        <f t="shared" si="9"/>
        <v>0</v>
      </c>
      <c r="CZ12" s="172">
        <f t="shared" si="5"/>
        <v>0</v>
      </c>
      <c r="DA12" s="201">
        <f t="shared" si="10"/>
        <v>0</v>
      </c>
      <c r="DB12" s="201">
        <f t="shared" si="11"/>
        <v>0</v>
      </c>
      <c r="DC12" s="201">
        <f t="shared" si="18"/>
        <v>0</v>
      </c>
      <c r="DD12" s="239">
        <v>0</v>
      </c>
      <c r="DE12" s="201">
        <f t="shared" si="12"/>
        <v>0</v>
      </c>
      <c r="DF12" s="172" t="e">
        <f>SUM(DN12:DO12)-SUM(#REF!,BV12)+BU12</f>
        <v>#REF!</v>
      </c>
      <c r="DG12" s="207"/>
      <c r="DH12" s="225">
        <f t="shared" si="13"/>
        <v>0</v>
      </c>
      <c r="DI12" s="225">
        <f t="shared" si="14"/>
        <v>0</v>
      </c>
      <c r="DJ12" s="225">
        <f t="shared" si="15"/>
        <v>0</v>
      </c>
      <c r="DK12" s="225" t="e">
        <f>SUM(BS12,#REF!,BV12)</f>
        <v>#REF!</v>
      </c>
      <c r="DL12" s="145"/>
      <c r="DM12" s="145"/>
      <c r="DN12" s="145"/>
      <c r="DO12" s="145"/>
      <c r="DP12" s="145"/>
      <c r="DQ12" s="145"/>
      <c r="DS12" s="219">
        <f t="shared" si="19"/>
        <v>0</v>
      </c>
    </row>
    <row r="13" spans="1:123" s="21" customFormat="1" ht="24" hidden="1" customHeight="1">
      <c r="A13" s="16"/>
      <c r="B13" s="2">
        <v>4</v>
      </c>
      <c r="C13" s="78" t="s">
        <v>655</v>
      </c>
      <c r="D13" s="78"/>
      <c r="E13" s="78"/>
      <c r="F13" s="3"/>
      <c r="G13" s="4"/>
      <c r="H13" s="4"/>
      <c r="I13" s="4"/>
      <c r="J13" s="13" t="str">
        <f t="shared" ca="1" si="6"/>
        <v/>
      </c>
      <c r="K13" s="165" t="str">
        <f t="shared" si="16"/>
        <v/>
      </c>
      <c r="L13" s="165" t="str">
        <f t="shared" si="17"/>
        <v/>
      </c>
      <c r="M13" s="165"/>
      <c r="N13" s="165"/>
      <c r="O13" s="165"/>
      <c r="P13" s="165"/>
      <c r="Q13" s="165"/>
      <c r="R13" s="3" t="s">
        <v>175</v>
      </c>
      <c r="S13" s="11"/>
      <c r="T13" s="11"/>
      <c r="U13" s="5" t="s">
        <v>8</v>
      </c>
      <c r="V13" s="251"/>
      <c r="W13" s="5" t="s">
        <v>1279</v>
      </c>
      <c r="X13" s="5" t="s">
        <v>681</v>
      </c>
      <c r="Y13" s="5" t="s">
        <v>1283</v>
      </c>
      <c r="Z13" s="3" t="s">
        <v>180</v>
      </c>
      <c r="AA13" s="6" t="s">
        <v>217</v>
      </c>
      <c r="AB13" s="141"/>
      <c r="AC13" s="165"/>
      <c r="AD13" s="165"/>
      <c r="AE13" s="165" t="str">
        <f>IFERROR(EOMONTH(L13,-2),"")</f>
        <v/>
      </c>
      <c r="AF13" s="5"/>
      <c r="AG13" s="5"/>
      <c r="AH13" s="210"/>
      <c r="AI13" s="76"/>
      <c r="AJ13" s="76"/>
      <c r="AK13" s="221" t="e">
        <f>SUM(#REF!,BT13,BV13)</f>
        <v>#REF!</v>
      </c>
      <c r="AL13" s="161"/>
      <c r="AM13" s="161"/>
      <c r="AN13" s="161"/>
      <c r="AO13" s="161"/>
      <c r="AP13" s="161"/>
      <c r="AQ13" s="161"/>
      <c r="AR13" s="51"/>
      <c r="AS13" s="51">
        <v>0</v>
      </c>
      <c r="AT13" s="51">
        <v>0</v>
      </c>
      <c r="AU13" s="51">
        <v>0</v>
      </c>
      <c r="AV13" s="36"/>
      <c r="AW13" s="36"/>
      <c r="AX13" s="90">
        <f t="shared" si="7"/>
        <v>0</v>
      </c>
      <c r="AY13" s="157">
        <f t="shared" si="3"/>
        <v>0</v>
      </c>
      <c r="AZ13" s="182">
        <v>0</v>
      </c>
      <c r="BA13" s="158">
        <v>0</v>
      </c>
      <c r="BB13" s="158">
        <v>0</v>
      </c>
      <c r="BC13" s="158">
        <v>0</v>
      </c>
      <c r="BD13" s="158">
        <v>0</v>
      </c>
      <c r="BE13" s="158">
        <v>0</v>
      </c>
      <c r="BF13" s="158">
        <v>0</v>
      </c>
      <c r="BG13" s="158">
        <v>0</v>
      </c>
      <c r="BH13" s="158">
        <v>0</v>
      </c>
      <c r="BI13" s="158">
        <v>0</v>
      </c>
      <c r="BJ13" s="158">
        <v>0</v>
      </c>
      <c r="BK13" s="158">
        <v>0</v>
      </c>
      <c r="BL13" s="182"/>
      <c r="BM13" s="158">
        <v>0</v>
      </c>
      <c r="BN13" s="182"/>
      <c r="BO13" s="158">
        <v>0</v>
      </c>
      <c r="BP13" s="182"/>
      <c r="BQ13" s="158">
        <v>0</v>
      </c>
      <c r="BR13" s="182"/>
      <c r="BS13" s="158">
        <v>0</v>
      </c>
      <c r="BT13" s="182"/>
      <c r="BU13" s="158">
        <v>0</v>
      </c>
      <c r="BV13" s="182"/>
      <c r="BW13" s="234"/>
      <c r="BX13" s="237"/>
      <c r="BY13" s="81">
        <f t="shared" si="4"/>
        <v>0</v>
      </c>
      <c r="BZ13" s="198"/>
      <c r="CA13" s="198"/>
      <c r="CB13" s="198"/>
      <c r="CC13" s="198"/>
      <c r="CD13" s="198"/>
      <c r="CE13" s="198"/>
      <c r="CF13" s="198"/>
      <c r="CG13" s="198"/>
      <c r="CH13" s="198"/>
      <c r="CI13" s="198"/>
      <c r="CJ13" s="198"/>
      <c r="CK13" s="198"/>
      <c r="CL13" s="195">
        <f t="shared" si="8"/>
        <v>0</v>
      </c>
      <c r="CM13" s="196"/>
      <c r="CN13" s="196"/>
      <c r="CO13" s="196"/>
      <c r="CP13" s="196"/>
      <c r="CQ13" s="196"/>
      <c r="CR13" s="196"/>
      <c r="CS13" s="196"/>
      <c r="CT13" s="196"/>
      <c r="CU13" s="196"/>
      <c r="CV13" s="196"/>
      <c r="CW13" s="196"/>
      <c r="CX13" s="196"/>
      <c r="CY13" s="200">
        <f t="shared" si="9"/>
        <v>0</v>
      </c>
      <c r="CZ13" s="172">
        <f t="shared" si="5"/>
        <v>0</v>
      </c>
      <c r="DA13" s="201">
        <f t="shared" si="10"/>
        <v>0</v>
      </c>
      <c r="DB13" s="201">
        <f t="shared" si="11"/>
        <v>0</v>
      </c>
      <c r="DC13" s="201">
        <f t="shared" si="18"/>
        <v>0</v>
      </c>
      <c r="DD13" s="239">
        <v>0</v>
      </c>
      <c r="DE13" s="201">
        <f t="shared" si="12"/>
        <v>0</v>
      </c>
      <c r="DF13" s="172" t="e">
        <f>SUM(DN13:DO13)-SUM(#REF!,BV13)+BU13</f>
        <v>#REF!</v>
      </c>
      <c r="DG13" s="207"/>
      <c r="DH13" s="225">
        <f t="shared" si="13"/>
        <v>0</v>
      </c>
      <c r="DI13" s="225">
        <f t="shared" si="14"/>
        <v>0</v>
      </c>
      <c r="DJ13" s="225">
        <f t="shared" si="15"/>
        <v>0</v>
      </c>
      <c r="DK13" s="225" t="e">
        <f>SUM(BS13,#REF!,BV13)</f>
        <v>#REF!</v>
      </c>
      <c r="DL13" s="145"/>
      <c r="DM13" s="145"/>
      <c r="DN13" s="145"/>
      <c r="DO13" s="145"/>
      <c r="DP13" s="145"/>
      <c r="DQ13" s="145"/>
      <c r="DS13" s="219">
        <f t="shared" si="19"/>
        <v>0</v>
      </c>
    </row>
    <row r="14" spans="1:123" s="21" customFormat="1" ht="24" hidden="1" customHeight="1">
      <c r="A14" s="16"/>
      <c r="B14" s="2">
        <v>5</v>
      </c>
      <c r="C14" s="78" t="s">
        <v>661</v>
      </c>
      <c r="D14" s="78"/>
      <c r="E14" s="78"/>
      <c r="F14" s="3"/>
      <c r="G14" s="4"/>
      <c r="H14" s="4"/>
      <c r="I14" s="4"/>
      <c r="J14" s="13" t="str">
        <f t="shared" ca="1" si="6"/>
        <v/>
      </c>
      <c r="K14" s="165" t="str">
        <f t="shared" si="16"/>
        <v/>
      </c>
      <c r="L14" s="165" t="str">
        <f t="shared" si="17"/>
        <v/>
      </c>
      <c r="M14" s="165"/>
      <c r="N14" s="165"/>
      <c r="O14" s="165"/>
      <c r="P14" s="165"/>
      <c r="Q14" s="165"/>
      <c r="R14" s="3" t="s">
        <v>177</v>
      </c>
      <c r="S14" s="11"/>
      <c r="T14" s="11"/>
      <c r="U14" s="5" t="s">
        <v>8</v>
      </c>
      <c r="V14" s="251"/>
      <c r="W14" s="5" t="s">
        <v>1279</v>
      </c>
      <c r="X14" s="5" t="s">
        <v>681</v>
      </c>
      <c r="Y14" s="5" t="s">
        <v>1284</v>
      </c>
      <c r="Z14" s="3" t="s">
        <v>187</v>
      </c>
      <c r="AA14" s="6" t="s">
        <v>217</v>
      </c>
      <c r="AB14" s="141"/>
      <c r="AC14" s="165"/>
      <c r="AD14" s="165"/>
      <c r="AE14" s="165" t="str">
        <f>IFERROR(EOMONTH(L14,-2),"")</f>
        <v/>
      </c>
      <c r="AF14" s="5"/>
      <c r="AG14" s="5"/>
      <c r="AH14" s="210"/>
      <c r="AI14" s="76"/>
      <c r="AJ14" s="76"/>
      <c r="AK14" s="221" t="e">
        <f>SUM(#REF!,BT14,BV14)</f>
        <v>#REF!</v>
      </c>
      <c r="AL14" s="161"/>
      <c r="AM14" s="161"/>
      <c r="AN14" s="161"/>
      <c r="AO14" s="161"/>
      <c r="AP14" s="161"/>
      <c r="AQ14" s="161"/>
      <c r="AR14" s="51"/>
      <c r="AS14" s="51">
        <v>0</v>
      </c>
      <c r="AT14" s="51">
        <v>0</v>
      </c>
      <c r="AU14" s="51">
        <v>0</v>
      </c>
      <c r="AV14" s="36"/>
      <c r="AW14" s="36"/>
      <c r="AX14" s="90">
        <f t="shared" si="7"/>
        <v>0</v>
      </c>
      <c r="AY14" s="157">
        <f t="shared" si="3"/>
        <v>0</v>
      </c>
      <c r="AZ14" s="182">
        <v>0</v>
      </c>
      <c r="BA14" s="158">
        <v>0</v>
      </c>
      <c r="BB14" s="158">
        <v>0</v>
      </c>
      <c r="BC14" s="158">
        <v>0</v>
      </c>
      <c r="BD14" s="158">
        <v>0</v>
      </c>
      <c r="BE14" s="158">
        <v>0</v>
      </c>
      <c r="BF14" s="158">
        <v>0</v>
      </c>
      <c r="BG14" s="158">
        <v>0</v>
      </c>
      <c r="BH14" s="158">
        <v>0</v>
      </c>
      <c r="BI14" s="158">
        <v>0</v>
      </c>
      <c r="BJ14" s="158">
        <v>0</v>
      </c>
      <c r="BK14" s="158">
        <v>0</v>
      </c>
      <c r="BL14" s="182"/>
      <c r="BM14" s="158">
        <v>0</v>
      </c>
      <c r="BN14" s="182"/>
      <c r="BO14" s="158">
        <v>0</v>
      </c>
      <c r="BP14" s="182"/>
      <c r="BQ14" s="158">
        <v>0</v>
      </c>
      <c r="BR14" s="182"/>
      <c r="BS14" s="158">
        <v>0</v>
      </c>
      <c r="BT14" s="182"/>
      <c r="BU14" s="158">
        <v>0</v>
      </c>
      <c r="BV14" s="182"/>
      <c r="BW14" s="234"/>
      <c r="BX14" s="237"/>
      <c r="BY14" s="81">
        <f t="shared" si="4"/>
        <v>0</v>
      </c>
      <c r="BZ14" s="198"/>
      <c r="CA14" s="198"/>
      <c r="CB14" s="198"/>
      <c r="CC14" s="198"/>
      <c r="CD14" s="198"/>
      <c r="CE14" s="198"/>
      <c r="CF14" s="198"/>
      <c r="CG14" s="198"/>
      <c r="CH14" s="198"/>
      <c r="CI14" s="198"/>
      <c r="CJ14" s="198"/>
      <c r="CK14" s="198"/>
      <c r="CL14" s="195">
        <f t="shared" si="8"/>
        <v>0</v>
      </c>
      <c r="CM14" s="196"/>
      <c r="CN14" s="196"/>
      <c r="CO14" s="196"/>
      <c r="CP14" s="196"/>
      <c r="CQ14" s="196"/>
      <c r="CR14" s="196"/>
      <c r="CS14" s="196"/>
      <c r="CT14" s="196"/>
      <c r="CU14" s="196"/>
      <c r="CV14" s="196"/>
      <c r="CW14" s="196"/>
      <c r="CX14" s="196"/>
      <c r="CY14" s="200">
        <f t="shared" si="9"/>
        <v>0</v>
      </c>
      <c r="CZ14" s="172">
        <f t="shared" si="5"/>
        <v>0</v>
      </c>
      <c r="DA14" s="201">
        <f t="shared" si="10"/>
        <v>0</v>
      </c>
      <c r="DB14" s="201">
        <f t="shared" si="11"/>
        <v>0</v>
      </c>
      <c r="DC14" s="201">
        <f t="shared" si="18"/>
        <v>0</v>
      </c>
      <c r="DD14" s="239">
        <v>0</v>
      </c>
      <c r="DE14" s="201">
        <f t="shared" si="12"/>
        <v>0</v>
      </c>
      <c r="DF14" s="172" t="e">
        <f>SUM(DN14:DO14)-SUM(#REF!,BV14)+BU14</f>
        <v>#REF!</v>
      </c>
      <c r="DG14" s="207"/>
      <c r="DH14" s="225">
        <f t="shared" si="13"/>
        <v>0</v>
      </c>
      <c r="DI14" s="225">
        <f t="shared" si="14"/>
        <v>0</v>
      </c>
      <c r="DJ14" s="225">
        <f t="shared" si="15"/>
        <v>0</v>
      </c>
      <c r="DK14" s="225" t="e">
        <f>SUM(BS14,#REF!,BV14)</f>
        <v>#REF!</v>
      </c>
      <c r="DL14" s="145"/>
      <c r="DM14" s="145"/>
      <c r="DN14" s="145"/>
      <c r="DO14" s="145"/>
      <c r="DP14" s="145"/>
      <c r="DQ14" s="145"/>
      <c r="DS14" s="219">
        <f t="shared" si="19"/>
        <v>0</v>
      </c>
    </row>
    <row r="15" spans="1:123" s="21" customFormat="1" ht="24" hidden="1" customHeight="1">
      <c r="A15" s="16"/>
      <c r="B15" s="2">
        <v>6</v>
      </c>
      <c r="C15" s="78" t="s">
        <v>649</v>
      </c>
      <c r="D15" s="78"/>
      <c r="E15" s="78"/>
      <c r="F15" s="3"/>
      <c r="G15" s="4"/>
      <c r="H15" s="4"/>
      <c r="I15" s="4"/>
      <c r="J15" s="13" t="str">
        <f t="shared" ca="1" si="6"/>
        <v/>
      </c>
      <c r="K15" s="165" t="str">
        <f t="shared" si="16"/>
        <v/>
      </c>
      <c r="L15" s="165" t="str">
        <f t="shared" si="17"/>
        <v/>
      </c>
      <c r="M15" s="165"/>
      <c r="N15" s="165"/>
      <c r="O15" s="165"/>
      <c r="P15" s="165"/>
      <c r="Q15" s="165"/>
      <c r="R15" s="3" t="s">
        <v>175</v>
      </c>
      <c r="S15" s="11"/>
      <c r="T15" s="11"/>
      <c r="U15" s="5" t="s">
        <v>8</v>
      </c>
      <c r="V15" s="251"/>
      <c r="W15" s="5" t="s">
        <v>1279</v>
      </c>
      <c r="X15" s="5" t="s">
        <v>681</v>
      </c>
      <c r="Y15" s="5" t="s">
        <v>1285</v>
      </c>
      <c r="Z15" s="3" t="s">
        <v>182</v>
      </c>
      <c r="AA15" s="6" t="s">
        <v>217</v>
      </c>
      <c r="AB15" s="141"/>
      <c r="AC15" s="165"/>
      <c r="AD15" s="165"/>
      <c r="AE15" s="165" t="str">
        <f>IFERROR(EOMONTH(L15,-2),"")</f>
        <v/>
      </c>
      <c r="AF15" s="5"/>
      <c r="AG15" s="5"/>
      <c r="AH15" s="210"/>
      <c r="AI15" s="76" t="s">
        <v>52</v>
      </c>
      <c r="AJ15" s="203"/>
      <c r="AK15" s="221" t="e">
        <f>SUM(#REF!,BT15,BV15)</f>
        <v>#REF!</v>
      </c>
      <c r="AL15" s="161"/>
      <c r="AM15" s="161"/>
      <c r="AN15" s="161"/>
      <c r="AO15" s="161"/>
      <c r="AP15" s="161"/>
      <c r="AQ15" s="161"/>
      <c r="AR15" s="51"/>
      <c r="AS15" s="51">
        <v>0</v>
      </c>
      <c r="AT15" s="51">
        <v>115.64185999999999</v>
      </c>
      <c r="AU15" s="51">
        <v>0</v>
      </c>
      <c r="AV15" s="36"/>
      <c r="AW15" s="36"/>
      <c r="AX15" s="90">
        <f t="shared" si="7"/>
        <v>0</v>
      </c>
      <c r="AY15" s="157">
        <f t="shared" si="3"/>
        <v>0</v>
      </c>
      <c r="AZ15" s="182">
        <v>0</v>
      </c>
      <c r="BA15" s="158">
        <v>0</v>
      </c>
      <c r="BB15" s="158">
        <v>0</v>
      </c>
      <c r="BC15" s="158">
        <v>0</v>
      </c>
      <c r="BD15" s="158">
        <v>0</v>
      </c>
      <c r="BE15" s="158">
        <v>0</v>
      </c>
      <c r="BF15" s="158">
        <v>0</v>
      </c>
      <c r="BG15" s="158">
        <v>0</v>
      </c>
      <c r="BH15" s="158">
        <v>0</v>
      </c>
      <c r="BI15" s="158">
        <v>0</v>
      </c>
      <c r="BJ15" s="158">
        <v>0</v>
      </c>
      <c r="BK15" s="158">
        <v>0</v>
      </c>
      <c r="BL15" s="182"/>
      <c r="BM15" s="158">
        <v>0</v>
      </c>
      <c r="BN15" s="182"/>
      <c r="BO15" s="158">
        <v>0</v>
      </c>
      <c r="BP15" s="182"/>
      <c r="BQ15" s="158">
        <v>0</v>
      </c>
      <c r="BR15" s="182"/>
      <c r="BS15" s="158">
        <v>0</v>
      </c>
      <c r="BT15" s="182"/>
      <c r="BU15" s="158">
        <v>0</v>
      </c>
      <c r="BV15" s="182"/>
      <c r="BW15" s="234"/>
      <c r="BX15" s="237"/>
      <c r="BY15" s="81">
        <f t="shared" si="4"/>
        <v>0</v>
      </c>
      <c r="BZ15" s="198"/>
      <c r="CA15" s="198"/>
      <c r="CB15" s="198"/>
      <c r="CC15" s="198"/>
      <c r="CD15" s="198"/>
      <c r="CE15" s="198"/>
      <c r="CF15" s="198"/>
      <c r="CG15" s="198"/>
      <c r="CH15" s="198"/>
      <c r="CI15" s="198"/>
      <c r="CJ15" s="198"/>
      <c r="CK15" s="198"/>
      <c r="CL15" s="195">
        <f t="shared" si="8"/>
        <v>0</v>
      </c>
      <c r="CM15" s="196"/>
      <c r="CN15" s="196"/>
      <c r="CO15" s="196"/>
      <c r="CP15" s="196"/>
      <c r="CQ15" s="196"/>
      <c r="CR15" s="196"/>
      <c r="CS15" s="196"/>
      <c r="CT15" s="196"/>
      <c r="CU15" s="196"/>
      <c r="CV15" s="196"/>
      <c r="CW15" s="196"/>
      <c r="CX15" s="196"/>
      <c r="CY15" s="200">
        <f t="shared" si="9"/>
        <v>0</v>
      </c>
      <c r="CZ15" s="172">
        <f t="shared" si="5"/>
        <v>0</v>
      </c>
      <c r="DA15" s="201">
        <f t="shared" si="10"/>
        <v>0</v>
      </c>
      <c r="DB15" s="201">
        <f t="shared" si="11"/>
        <v>0</v>
      </c>
      <c r="DC15" s="201">
        <f t="shared" si="18"/>
        <v>0</v>
      </c>
      <c r="DD15" s="239">
        <v>0</v>
      </c>
      <c r="DE15" s="201">
        <f t="shared" si="12"/>
        <v>0</v>
      </c>
      <c r="DF15" s="172" t="e">
        <f>SUM(DN15:DO15)-SUM(#REF!,BV15)+BU15</f>
        <v>#REF!</v>
      </c>
      <c r="DG15" s="207"/>
      <c r="DH15" s="225">
        <f t="shared" si="13"/>
        <v>0</v>
      </c>
      <c r="DI15" s="225">
        <f t="shared" si="14"/>
        <v>0</v>
      </c>
      <c r="DJ15" s="225">
        <f t="shared" si="15"/>
        <v>0</v>
      </c>
      <c r="DK15" s="225" t="e">
        <f>SUM(BS15,#REF!,BV15)</f>
        <v>#REF!</v>
      </c>
      <c r="DL15" s="145"/>
      <c r="DM15" s="145"/>
      <c r="DN15" s="145"/>
      <c r="DO15" s="145"/>
      <c r="DP15" s="145"/>
      <c r="DQ15" s="145"/>
      <c r="DS15" s="219">
        <f t="shared" si="19"/>
        <v>0</v>
      </c>
    </row>
    <row r="16" spans="1:123" s="21" customFormat="1" ht="24" hidden="1" customHeight="1">
      <c r="A16" s="16"/>
      <c r="B16" s="2">
        <v>7</v>
      </c>
      <c r="C16" s="78" t="s">
        <v>650</v>
      </c>
      <c r="D16" s="78"/>
      <c r="E16" s="78"/>
      <c r="F16" s="3"/>
      <c r="G16" s="4"/>
      <c r="H16" s="4"/>
      <c r="I16" s="4"/>
      <c r="J16" s="13" t="str">
        <f t="shared" ca="1" si="6"/>
        <v/>
      </c>
      <c r="K16" s="165" t="str">
        <f t="shared" si="16"/>
        <v/>
      </c>
      <c r="L16" s="165" t="str">
        <f t="shared" si="17"/>
        <v/>
      </c>
      <c r="M16" s="165"/>
      <c r="N16" s="165"/>
      <c r="O16" s="165"/>
      <c r="P16" s="165"/>
      <c r="Q16" s="165"/>
      <c r="R16" s="3" t="s">
        <v>175</v>
      </c>
      <c r="S16" s="11"/>
      <c r="T16" s="11"/>
      <c r="U16" s="5" t="s">
        <v>8</v>
      </c>
      <c r="V16" s="251"/>
      <c r="W16" s="5" t="s">
        <v>1279</v>
      </c>
      <c r="X16" s="5" t="s">
        <v>681</v>
      </c>
      <c r="Y16" s="5" t="s">
        <v>1286</v>
      </c>
      <c r="Z16" s="3" t="s">
        <v>182</v>
      </c>
      <c r="AA16" s="6" t="s">
        <v>217</v>
      </c>
      <c r="AB16" s="141"/>
      <c r="AC16" s="165"/>
      <c r="AD16" s="165"/>
      <c r="AE16" s="165" t="s">
        <v>5</v>
      </c>
      <c r="AF16" s="5"/>
      <c r="AG16" s="5"/>
      <c r="AH16" s="210"/>
      <c r="AI16" s="76" t="s">
        <v>62</v>
      </c>
      <c r="AJ16" s="203"/>
      <c r="AK16" s="221" t="e">
        <f>SUM(#REF!,BT16,BV16)</f>
        <v>#REF!</v>
      </c>
      <c r="AL16" s="161"/>
      <c r="AM16" s="161"/>
      <c r="AN16" s="161"/>
      <c r="AO16" s="161"/>
      <c r="AP16" s="161"/>
      <c r="AQ16" s="161"/>
      <c r="AR16" s="51"/>
      <c r="AS16" s="51">
        <v>0</v>
      </c>
      <c r="AT16" s="51">
        <v>214.97536999999983</v>
      </c>
      <c r="AU16" s="51">
        <v>-418.03419000000002</v>
      </c>
      <c r="AV16" s="36"/>
      <c r="AW16" s="36"/>
      <c r="AX16" s="90">
        <f t="shared" si="7"/>
        <v>0</v>
      </c>
      <c r="AY16" s="157">
        <f t="shared" si="3"/>
        <v>-418.03419000000002</v>
      </c>
      <c r="AZ16" s="182">
        <v>0</v>
      </c>
      <c r="BA16" s="158">
        <v>-418.03419000000002</v>
      </c>
      <c r="BB16" s="158">
        <v>0</v>
      </c>
      <c r="BC16" s="158">
        <v>0</v>
      </c>
      <c r="BD16" s="158">
        <v>0</v>
      </c>
      <c r="BE16" s="158">
        <v>0</v>
      </c>
      <c r="BF16" s="158">
        <v>0</v>
      </c>
      <c r="BG16" s="158">
        <v>0</v>
      </c>
      <c r="BH16" s="158">
        <v>0</v>
      </c>
      <c r="BI16" s="158">
        <v>0</v>
      </c>
      <c r="BJ16" s="158">
        <v>0</v>
      </c>
      <c r="BK16" s="158">
        <v>0</v>
      </c>
      <c r="BL16" s="182"/>
      <c r="BM16" s="158">
        <v>0</v>
      </c>
      <c r="BN16" s="182"/>
      <c r="BO16" s="158">
        <v>0</v>
      </c>
      <c r="BP16" s="182"/>
      <c r="BQ16" s="158">
        <v>0</v>
      </c>
      <c r="BR16" s="182"/>
      <c r="BS16" s="158">
        <v>0</v>
      </c>
      <c r="BT16" s="182"/>
      <c r="BU16" s="158">
        <v>0</v>
      </c>
      <c r="BV16" s="182"/>
      <c r="BW16" s="234"/>
      <c r="BX16" s="237"/>
      <c r="BY16" s="81">
        <f t="shared" si="4"/>
        <v>0</v>
      </c>
      <c r="BZ16" s="198"/>
      <c r="CA16" s="198"/>
      <c r="CB16" s="198"/>
      <c r="CC16" s="198"/>
      <c r="CD16" s="198"/>
      <c r="CE16" s="198"/>
      <c r="CF16" s="198"/>
      <c r="CG16" s="198"/>
      <c r="CH16" s="198"/>
      <c r="CI16" s="198"/>
      <c r="CJ16" s="198"/>
      <c r="CK16" s="198"/>
      <c r="CL16" s="195">
        <f t="shared" si="8"/>
        <v>0</v>
      </c>
      <c r="CM16" s="196"/>
      <c r="CN16" s="196"/>
      <c r="CO16" s="196"/>
      <c r="CP16" s="196"/>
      <c r="CQ16" s="196"/>
      <c r="CR16" s="196"/>
      <c r="CS16" s="196"/>
      <c r="CT16" s="196"/>
      <c r="CU16" s="196"/>
      <c r="CV16" s="196"/>
      <c r="CW16" s="196"/>
      <c r="CX16" s="196"/>
      <c r="CY16" s="200">
        <f t="shared" si="9"/>
        <v>0</v>
      </c>
      <c r="CZ16" s="172">
        <f t="shared" si="5"/>
        <v>0</v>
      </c>
      <c r="DA16" s="201">
        <f t="shared" si="10"/>
        <v>-418.03419000000002</v>
      </c>
      <c r="DB16" s="201">
        <f t="shared" si="11"/>
        <v>0</v>
      </c>
      <c r="DC16" s="201">
        <f t="shared" si="18"/>
        <v>-418.03419000000002</v>
      </c>
      <c r="DD16" s="239">
        <v>-418.03419000000002</v>
      </c>
      <c r="DE16" s="201">
        <f t="shared" si="12"/>
        <v>0</v>
      </c>
      <c r="DF16" s="172" t="e">
        <f>SUM(DN16:DO16)-SUM(#REF!,BV16)+BU16</f>
        <v>#REF!</v>
      </c>
      <c r="DG16" s="207"/>
      <c r="DH16" s="225">
        <f t="shared" si="13"/>
        <v>-418.03419000000002</v>
      </c>
      <c r="DI16" s="225">
        <f t="shared" si="14"/>
        <v>0</v>
      </c>
      <c r="DJ16" s="225">
        <f t="shared" si="15"/>
        <v>0</v>
      </c>
      <c r="DK16" s="225" t="e">
        <f>SUM(BS16,#REF!,BV16)</f>
        <v>#REF!</v>
      </c>
      <c r="DL16" s="145"/>
      <c r="DM16" s="145"/>
      <c r="DN16" s="145"/>
      <c r="DO16" s="145"/>
      <c r="DP16" s="145"/>
      <c r="DQ16" s="145"/>
      <c r="DS16" s="219">
        <f t="shared" si="19"/>
        <v>0</v>
      </c>
    </row>
    <row r="17" spans="1:123" s="21" customFormat="1" ht="24" hidden="1" customHeight="1">
      <c r="A17" s="16"/>
      <c r="B17" s="2">
        <v>8</v>
      </c>
      <c r="C17" s="78" t="s">
        <v>656</v>
      </c>
      <c r="D17" s="78"/>
      <c r="E17" s="78"/>
      <c r="F17" s="3"/>
      <c r="G17" s="4"/>
      <c r="H17" s="4"/>
      <c r="I17" s="4"/>
      <c r="J17" s="13" t="str">
        <f t="shared" ca="1" si="6"/>
        <v/>
      </c>
      <c r="K17" s="165" t="str">
        <f t="shared" si="16"/>
        <v/>
      </c>
      <c r="L17" s="165" t="str">
        <f t="shared" si="17"/>
        <v/>
      </c>
      <c r="M17" s="165"/>
      <c r="N17" s="165"/>
      <c r="O17" s="165"/>
      <c r="P17" s="165"/>
      <c r="Q17" s="165"/>
      <c r="R17" s="3" t="s">
        <v>175</v>
      </c>
      <c r="S17" s="11"/>
      <c r="T17" s="11"/>
      <c r="U17" s="5" t="s">
        <v>8</v>
      </c>
      <c r="V17" s="251"/>
      <c r="W17" s="5" t="s">
        <v>1279</v>
      </c>
      <c r="X17" s="5" t="s">
        <v>681</v>
      </c>
      <c r="Y17" s="5" t="s">
        <v>1287</v>
      </c>
      <c r="Z17" s="3" t="s">
        <v>180</v>
      </c>
      <c r="AA17" s="6" t="s">
        <v>217</v>
      </c>
      <c r="AB17" s="141"/>
      <c r="AC17" s="165"/>
      <c r="AD17" s="165"/>
      <c r="AE17" s="165" t="s">
        <v>5</v>
      </c>
      <c r="AF17" s="5"/>
      <c r="AG17" s="5"/>
      <c r="AH17" s="210"/>
      <c r="AI17" s="76"/>
      <c r="AJ17" s="76"/>
      <c r="AK17" s="221" t="e">
        <f>SUM(#REF!,BT17,BV17)</f>
        <v>#REF!</v>
      </c>
      <c r="AL17" s="161"/>
      <c r="AM17" s="161"/>
      <c r="AN17" s="161"/>
      <c r="AO17" s="161"/>
      <c r="AP17" s="161"/>
      <c r="AQ17" s="161"/>
      <c r="AR17" s="51"/>
      <c r="AS17" s="51">
        <v>0</v>
      </c>
      <c r="AT17" s="51">
        <v>0</v>
      </c>
      <c r="AU17" s="51"/>
      <c r="AV17" s="36"/>
      <c r="AW17" s="36"/>
      <c r="AX17" s="90">
        <f t="shared" si="7"/>
        <v>0</v>
      </c>
      <c r="AY17" s="157">
        <f t="shared" si="3"/>
        <v>0</v>
      </c>
      <c r="AZ17" s="182">
        <v>0</v>
      </c>
      <c r="BA17" s="158"/>
      <c r="BB17" s="158">
        <v>0</v>
      </c>
      <c r="BC17" s="158"/>
      <c r="BD17" s="158">
        <v>0</v>
      </c>
      <c r="BE17" s="158"/>
      <c r="BF17" s="158">
        <v>0</v>
      </c>
      <c r="BG17" s="158"/>
      <c r="BH17" s="158">
        <v>0</v>
      </c>
      <c r="BI17" s="158"/>
      <c r="BJ17" s="158">
        <v>0</v>
      </c>
      <c r="BK17" s="158"/>
      <c r="BL17" s="182"/>
      <c r="BM17" s="158"/>
      <c r="BN17" s="182"/>
      <c r="BO17" s="158"/>
      <c r="BP17" s="182"/>
      <c r="BQ17" s="158"/>
      <c r="BR17" s="182"/>
      <c r="BS17" s="158"/>
      <c r="BT17" s="182"/>
      <c r="BU17" s="158"/>
      <c r="BV17" s="182"/>
      <c r="BW17" s="234"/>
      <c r="BX17" s="237"/>
      <c r="BY17" s="81">
        <f t="shared" si="4"/>
        <v>0</v>
      </c>
      <c r="BZ17" s="198"/>
      <c r="CA17" s="198"/>
      <c r="CB17" s="198"/>
      <c r="CC17" s="198"/>
      <c r="CD17" s="198"/>
      <c r="CE17" s="198"/>
      <c r="CF17" s="198"/>
      <c r="CG17" s="198"/>
      <c r="CH17" s="198"/>
      <c r="CI17" s="198"/>
      <c r="CJ17" s="198"/>
      <c r="CK17" s="198"/>
      <c r="CL17" s="195">
        <f t="shared" si="8"/>
        <v>0</v>
      </c>
      <c r="CM17" s="196"/>
      <c r="CN17" s="196"/>
      <c r="CO17" s="196"/>
      <c r="CP17" s="196"/>
      <c r="CQ17" s="196"/>
      <c r="CR17" s="196"/>
      <c r="CS17" s="196"/>
      <c r="CT17" s="196"/>
      <c r="CU17" s="196"/>
      <c r="CV17" s="196"/>
      <c r="CW17" s="196"/>
      <c r="CX17" s="196"/>
      <c r="CY17" s="200">
        <f t="shared" si="9"/>
        <v>0</v>
      </c>
      <c r="CZ17" s="172">
        <f t="shared" si="5"/>
        <v>0</v>
      </c>
      <c r="DA17" s="201">
        <f t="shared" si="10"/>
        <v>0</v>
      </c>
      <c r="DB17" s="201">
        <f t="shared" si="11"/>
        <v>0</v>
      </c>
      <c r="DC17" s="201">
        <f t="shared" si="18"/>
        <v>0</v>
      </c>
      <c r="DD17" s="239">
        <v>0</v>
      </c>
      <c r="DE17" s="201">
        <f t="shared" si="12"/>
        <v>0</v>
      </c>
      <c r="DF17" s="172" t="e">
        <f>SUM(DN17:DO17)-SUM(#REF!,BV17)+BU17</f>
        <v>#REF!</v>
      </c>
      <c r="DG17" s="207"/>
      <c r="DH17" s="225">
        <f t="shared" si="13"/>
        <v>0</v>
      </c>
      <c r="DI17" s="225">
        <f t="shared" si="14"/>
        <v>0</v>
      </c>
      <c r="DJ17" s="225">
        <f t="shared" si="15"/>
        <v>0</v>
      </c>
      <c r="DK17" s="225" t="e">
        <f>SUM(BS17,#REF!,BV17)</f>
        <v>#REF!</v>
      </c>
      <c r="DL17" s="145"/>
      <c r="DM17" s="145"/>
      <c r="DN17" s="145"/>
      <c r="DO17" s="145"/>
      <c r="DP17" s="145"/>
      <c r="DQ17" s="145"/>
      <c r="DS17" s="219">
        <f t="shared" si="19"/>
        <v>0</v>
      </c>
    </row>
    <row r="18" spans="1:123" s="21" customFormat="1" ht="24" hidden="1" customHeight="1">
      <c r="A18" s="16"/>
      <c r="B18" s="2">
        <v>9</v>
      </c>
      <c r="C18" s="78" t="s">
        <v>662</v>
      </c>
      <c r="D18" s="78"/>
      <c r="E18" s="78"/>
      <c r="F18" s="3"/>
      <c r="G18" s="4"/>
      <c r="H18" s="4"/>
      <c r="I18" s="4"/>
      <c r="J18" s="13" t="str">
        <f t="shared" ca="1" si="6"/>
        <v/>
      </c>
      <c r="K18" s="165" t="str">
        <f t="shared" si="16"/>
        <v/>
      </c>
      <c r="L18" s="165" t="str">
        <f t="shared" si="17"/>
        <v/>
      </c>
      <c r="M18" s="165"/>
      <c r="N18" s="165"/>
      <c r="O18" s="165"/>
      <c r="P18" s="165"/>
      <c r="Q18" s="165"/>
      <c r="R18" s="3" t="s">
        <v>178</v>
      </c>
      <c r="S18" s="11"/>
      <c r="T18" s="11"/>
      <c r="U18" s="5" t="s">
        <v>8</v>
      </c>
      <c r="V18" s="251"/>
      <c r="W18" s="5" t="s">
        <v>1279</v>
      </c>
      <c r="X18" s="5" t="s">
        <v>681</v>
      </c>
      <c r="Y18" s="5" t="s">
        <v>1288</v>
      </c>
      <c r="Z18" s="3" t="s">
        <v>187</v>
      </c>
      <c r="AA18" s="6" t="s">
        <v>217</v>
      </c>
      <c r="AB18" s="141"/>
      <c r="AC18" s="165"/>
      <c r="AD18" s="165"/>
      <c r="AE18" s="165" t="str">
        <f>IFERROR(EOMONTH(L18,-2),"")</f>
        <v/>
      </c>
      <c r="AF18" s="5"/>
      <c r="AG18" s="5"/>
      <c r="AH18" s="210"/>
      <c r="AI18" s="76"/>
      <c r="AJ18" s="76"/>
      <c r="AK18" s="221" t="e">
        <f>SUM(#REF!,BT18,BV18)</f>
        <v>#REF!</v>
      </c>
      <c r="AL18" s="161"/>
      <c r="AM18" s="161"/>
      <c r="AN18" s="161"/>
      <c r="AO18" s="161"/>
      <c r="AP18" s="161"/>
      <c r="AQ18" s="161"/>
      <c r="AR18" s="51"/>
      <c r="AS18" s="51">
        <v>0</v>
      </c>
      <c r="AT18" s="51">
        <v>0</v>
      </c>
      <c r="AU18" s="51">
        <v>0</v>
      </c>
      <c r="AV18" s="36"/>
      <c r="AW18" s="36"/>
      <c r="AX18" s="90">
        <f t="shared" si="7"/>
        <v>0</v>
      </c>
      <c r="AY18" s="157">
        <f t="shared" si="3"/>
        <v>0</v>
      </c>
      <c r="AZ18" s="182">
        <v>0</v>
      </c>
      <c r="BA18" s="158">
        <v>0</v>
      </c>
      <c r="BB18" s="158">
        <v>0</v>
      </c>
      <c r="BC18" s="158">
        <v>0</v>
      </c>
      <c r="BD18" s="158">
        <v>0</v>
      </c>
      <c r="BE18" s="158">
        <v>0</v>
      </c>
      <c r="BF18" s="158">
        <v>0</v>
      </c>
      <c r="BG18" s="158">
        <v>0</v>
      </c>
      <c r="BH18" s="158">
        <v>0</v>
      </c>
      <c r="BI18" s="158">
        <v>0</v>
      </c>
      <c r="BJ18" s="158">
        <v>0</v>
      </c>
      <c r="BK18" s="158">
        <v>0</v>
      </c>
      <c r="BL18" s="182"/>
      <c r="BM18" s="158">
        <v>0</v>
      </c>
      <c r="BN18" s="182"/>
      <c r="BO18" s="158">
        <v>0</v>
      </c>
      <c r="BP18" s="182"/>
      <c r="BQ18" s="158">
        <v>0</v>
      </c>
      <c r="BR18" s="182"/>
      <c r="BS18" s="158">
        <v>0</v>
      </c>
      <c r="BT18" s="182"/>
      <c r="BU18" s="158">
        <v>0</v>
      </c>
      <c r="BV18" s="182"/>
      <c r="BW18" s="234"/>
      <c r="BX18" s="237"/>
      <c r="BY18" s="81">
        <f t="shared" si="4"/>
        <v>0</v>
      </c>
      <c r="BZ18" s="198"/>
      <c r="CA18" s="198"/>
      <c r="CB18" s="198"/>
      <c r="CC18" s="198"/>
      <c r="CD18" s="198"/>
      <c r="CE18" s="198"/>
      <c r="CF18" s="198"/>
      <c r="CG18" s="198"/>
      <c r="CH18" s="198"/>
      <c r="CI18" s="198"/>
      <c r="CJ18" s="198"/>
      <c r="CK18" s="198"/>
      <c r="CL18" s="195">
        <f t="shared" si="8"/>
        <v>0</v>
      </c>
      <c r="CM18" s="196"/>
      <c r="CN18" s="196"/>
      <c r="CO18" s="196"/>
      <c r="CP18" s="196"/>
      <c r="CQ18" s="196"/>
      <c r="CR18" s="196"/>
      <c r="CS18" s="196"/>
      <c r="CT18" s="196"/>
      <c r="CU18" s="196"/>
      <c r="CV18" s="196"/>
      <c r="CW18" s="196"/>
      <c r="CX18" s="196"/>
      <c r="CY18" s="200">
        <f t="shared" si="9"/>
        <v>0</v>
      </c>
      <c r="CZ18" s="172">
        <f t="shared" si="5"/>
        <v>0</v>
      </c>
      <c r="DA18" s="201">
        <f t="shared" si="10"/>
        <v>0</v>
      </c>
      <c r="DB18" s="201">
        <f t="shared" si="11"/>
        <v>0</v>
      </c>
      <c r="DC18" s="201">
        <f t="shared" si="18"/>
        <v>0</v>
      </c>
      <c r="DD18" s="239">
        <v>0</v>
      </c>
      <c r="DE18" s="201">
        <f t="shared" si="12"/>
        <v>0</v>
      </c>
      <c r="DF18" s="172" t="e">
        <f>SUM(DN18:DO18)-SUM(#REF!,BV18)+BU18</f>
        <v>#REF!</v>
      </c>
      <c r="DG18" s="207"/>
      <c r="DH18" s="225">
        <f t="shared" si="13"/>
        <v>0</v>
      </c>
      <c r="DI18" s="225">
        <f t="shared" si="14"/>
        <v>0</v>
      </c>
      <c r="DJ18" s="225">
        <f t="shared" si="15"/>
        <v>0</v>
      </c>
      <c r="DK18" s="225" t="e">
        <f>SUM(BS18,#REF!,BV18)</f>
        <v>#REF!</v>
      </c>
      <c r="DL18" s="145"/>
      <c r="DM18" s="145"/>
      <c r="DN18" s="145"/>
      <c r="DO18" s="145"/>
      <c r="DP18" s="145"/>
      <c r="DQ18" s="145"/>
      <c r="DS18" s="219">
        <f t="shared" si="19"/>
        <v>0</v>
      </c>
    </row>
    <row r="19" spans="1:123" s="21" customFormat="1" ht="24" hidden="1" customHeight="1">
      <c r="A19" s="16"/>
      <c r="B19" s="2">
        <v>10</v>
      </c>
      <c r="C19" s="78" t="s">
        <v>651</v>
      </c>
      <c r="D19" s="78"/>
      <c r="E19" s="78"/>
      <c r="F19" s="3"/>
      <c r="G19" s="4"/>
      <c r="H19" s="4"/>
      <c r="I19" s="4"/>
      <c r="J19" s="13" t="str">
        <f t="shared" ca="1" si="6"/>
        <v/>
      </c>
      <c r="K19" s="165" t="str">
        <f t="shared" si="16"/>
        <v/>
      </c>
      <c r="L19" s="165" t="str">
        <f t="shared" si="17"/>
        <v/>
      </c>
      <c r="M19" s="165"/>
      <c r="N19" s="165"/>
      <c r="O19" s="165"/>
      <c r="P19" s="165"/>
      <c r="Q19" s="165"/>
      <c r="R19" s="3" t="s">
        <v>175</v>
      </c>
      <c r="S19" s="11"/>
      <c r="T19" s="11"/>
      <c r="U19" s="5" t="s">
        <v>8</v>
      </c>
      <c r="V19" s="251"/>
      <c r="W19" s="5" t="s">
        <v>1279</v>
      </c>
      <c r="X19" s="5" t="s">
        <v>681</v>
      </c>
      <c r="Y19" s="5" t="s">
        <v>1289</v>
      </c>
      <c r="Z19" s="3" t="s">
        <v>184</v>
      </c>
      <c r="AA19" s="6" t="s">
        <v>217</v>
      </c>
      <c r="AB19" s="141"/>
      <c r="AC19" s="165"/>
      <c r="AD19" s="165"/>
      <c r="AE19" s="165" t="s">
        <v>5</v>
      </c>
      <c r="AF19" s="5"/>
      <c r="AG19" s="5"/>
      <c r="AH19" s="210"/>
      <c r="AI19" s="76"/>
      <c r="AJ19" s="76"/>
      <c r="AK19" s="221" t="e">
        <f>SUM(#REF!,BT19,BV19)</f>
        <v>#REF!</v>
      </c>
      <c r="AL19" s="161"/>
      <c r="AM19" s="161"/>
      <c r="AN19" s="161"/>
      <c r="AO19" s="161"/>
      <c r="AP19" s="161"/>
      <c r="AQ19" s="161"/>
      <c r="AR19" s="51"/>
      <c r="AS19" s="51">
        <v>0</v>
      </c>
      <c r="AT19" s="51">
        <v>-5.5511151231257827E-17</v>
      </c>
      <c r="AU19" s="51"/>
      <c r="AV19" s="36"/>
      <c r="AW19" s="36"/>
      <c r="AX19" s="90">
        <f t="shared" si="7"/>
        <v>0</v>
      </c>
      <c r="AY19" s="157">
        <f t="shared" si="3"/>
        <v>0</v>
      </c>
      <c r="AZ19" s="182">
        <v>0</v>
      </c>
      <c r="BA19" s="158"/>
      <c r="BB19" s="158">
        <v>0</v>
      </c>
      <c r="BC19" s="158"/>
      <c r="BD19" s="158">
        <v>0</v>
      </c>
      <c r="BE19" s="158"/>
      <c r="BF19" s="158">
        <v>0</v>
      </c>
      <c r="BG19" s="158"/>
      <c r="BH19" s="158">
        <v>0</v>
      </c>
      <c r="BI19" s="158"/>
      <c r="BJ19" s="158">
        <v>0</v>
      </c>
      <c r="BK19" s="158"/>
      <c r="BL19" s="182"/>
      <c r="BM19" s="158"/>
      <c r="BN19" s="182"/>
      <c r="BO19" s="158"/>
      <c r="BP19" s="182"/>
      <c r="BQ19" s="158"/>
      <c r="BR19" s="182"/>
      <c r="BS19" s="158"/>
      <c r="BT19" s="182"/>
      <c r="BU19" s="158"/>
      <c r="BV19" s="182"/>
      <c r="BW19" s="234"/>
      <c r="BX19" s="237"/>
      <c r="BY19" s="81">
        <f t="shared" si="4"/>
        <v>0</v>
      </c>
      <c r="BZ19" s="198"/>
      <c r="CA19" s="198"/>
      <c r="CB19" s="198"/>
      <c r="CC19" s="198"/>
      <c r="CD19" s="198"/>
      <c r="CE19" s="198"/>
      <c r="CF19" s="198"/>
      <c r="CG19" s="198"/>
      <c r="CH19" s="198"/>
      <c r="CI19" s="198"/>
      <c r="CJ19" s="198"/>
      <c r="CK19" s="198"/>
      <c r="CL19" s="195">
        <f t="shared" si="8"/>
        <v>0</v>
      </c>
      <c r="CM19" s="196"/>
      <c r="CN19" s="196"/>
      <c r="CO19" s="196"/>
      <c r="CP19" s="196"/>
      <c r="CQ19" s="196"/>
      <c r="CR19" s="196"/>
      <c r="CS19" s="196"/>
      <c r="CT19" s="196"/>
      <c r="CU19" s="196"/>
      <c r="CV19" s="196"/>
      <c r="CW19" s="196"/>
      <c r="CX19" s="196"/>
      <c r="CY19" s="200">
        <f t="shared" si="9"/>
        <v>0</v>
      </c>
      <c r="CZ19" s="172">
        <f t="shared" si="5"/>
        <v>0</v>
      </c>
      <c r="DA19" s="201">
        <f t="shared" si="10"/>
        <v>0</v>
      </c>
      <c r="DB19" s="201">
        <f t="shared" si="11"/>
        <v>0</v>
      </c>
      <c r="DC19" s="201">
        <f t="shared" si="18"/>
        <v>0</v>
      </c>
      <c r="DD19" s="239">
        <v>0</v>
      </c>
      <c r="DE19" s="201">
        <f t="shared" si="12"/>
        <v>0</v>
      </c>
      <c r="DF19" s="172" t="e">
        <f>SUM(DN19:DO19)-SUM(#REF!,BV19)+BU19</f>
        <v>#REF!</v>
      </c>
      <c r="DG19" s="207"/>
      <c r="DH19" s="225">
        <f t="shared" si="13"/>
        <v>0</v>
      </c>
      <c r="DI19" s="225">
        <f t="shared" si="14"/>
        <v>0</v>
      </c>
      <c r="DJ19" s="225">
        <f t="shared" si="15"/>
        <v>0</v>
      </c>
      <c r="DK19" s="225" t="e">
        <f>SUM(BS19,#REF!,BV19)</f>
        <v>#REF!</v>
      </c>
      <c r="DL19" s="145"/>
      <c r="DM19" s="145"/>
      <c r="DN19" s="145"/>
      <c r="DO19" s="145"/>
      <c r="DP19" s="145"/>
      <c r="DQ19" s="145"/>
      <c r="DS19" s="219">
        <f t="shared" si="19"/>
        <v>0</v>
      </c>
    </row>
    <row r="20" spans="1:123" s="21" customFormat="1" ht="24" hidden="1" customHeight="1">
      <c r="A20" s="16"/>
      <c r="B20" s="2">
        <v>11</v>
      </c>
      <c r="C20" s="78" t="s">
        <v>668</v>
      </c>
      <c r="D20" s="78"/>
      <c r="E20" s="78"/>
      <c r="F20" s="3"/>
      <c r="G20" s="4"/>
      <c r="H20" s="4"/>
      <c r="I20" s="4"/>
      <c r="J20" s="13" t="str">
        <f t="shared" ca="1" si="6"/>
        <v/>
      </c>
      <c r="K20" s="165" t="str">
        <f t="shared" si="16"/>
        <v/>
      </c>
      <c r="L20" s="165" t="str">
        <f t="shared" si="17"/>
        <v/>
      </c>
      <c r="M20" s="165"/>
      <c r="N20" s="165"/>
      <c r="O20" s="165"/>
      <c r="P20" s="165"/>
      <c r="Q20" s="165"/>
      <c r="R20" s="3" t="s">
        <v>178</v>
      </c>
      <c r="S20" s="11"/>
      <c r="T20" s="11"/>
      <c r="U20" s="5" t="s">
        <v>8</v>
      </c>
      <c r="V20" s="251"/>
      <c r="W20" s="5" t="s">
        <v>1279</v>
      </c>
      <c r="X20" s="5" t="s">
        <v>681</v>
      </c>
      <c r="Y20" s="5" t="s">
        <v>1290</v>
      </c>
      <c r="Z20" s="3" t="s">
        <v>187</v>
      </c>
      <c r="AA20" s="6" t="s">
        <v>217</v>
      </c>
      <c r="AB20" s="141"/>
      <c r="AC20" s="165"/>
      <c r="AD20" s="165"/>
      <c r="AE20" s="165" t="str">
        <f>IFERROR(EOMONTH(L20,-2),"")</f>
        <v/>
      </c>
      <c r="AF20" s="5"/>
      <c r="AG20" s="5"/>
      <c r="AH20" s="210"/>
      <c r="AI20" s="76"/>
      <c r="AJ20" s="76"/>
      <c r="AK20" s="221" t="e">
        <f>SUM(#REF!,BT20,BV20)</f>
        <v>#REF!</v>
      </c>
      <c r="AL20" s="161"/>
      <c r="AM20" s="161"/>
      <c r="AN20" s="161"/>
      <c r="AO20" s="161"/>
      <c r="AP20" s="161"/>
      <c r="AQ20" s="161"/>
      <c r="AR20" s="51"/>
      <c r="AS20" s="51">
        <v>0</v>
      </c>
      <c r="AT20" s="51">
        <v>0</v>
      </c>
      <c r="AU20" s="51">
        <v>0</v>
      </c>
      <c r="AV20" s="36"/>
      <c r="AW20" s="36"/>
      <c r="AX20" s="90">
        <f t="shared" si="7"/>
        <v>0</v>
      </c>
      <c r="AY20" s="157">
        <f t="shared" si="3"/>
        <v>0</v>
      </c>
      <c r="AZ20" s="182">
        <v>0</v>
      </c>
      <c r="BA20" s="158">
        <v>0</v>
      </c>
      <c r="BB20" s="158">
        <v>0</v>
      </c>
      <c r="BC20" s="158">
        <v>0</v>
      </c>
      <c r="BD20" s="158">
        <v>0</v>
      </c>
      <c r="BE20" s="158">
        <v>0</v>
      </c>
      <c r="BF20" s="158">
        <v>0</v>
      </c>
      <c r="BG20" s="158">
        <v>0</v>
      </c>
      <c r="BH20" s="158">
        <v>0</v>
      </c>
      <c r="BI20" s="158">
        <v>0</v>
      </c>
      <c r="BJ20" s="158">
        <v>0</v>
      </c>
      <c r="BK20" s="158">
        <v>0</v>
      </c>
      <c r="BL20" s="182"/>
      <c r="BM20" s="158">
        <v>0</v>
      </c>
      <c r="BN20" s="182"/>
      <c r="BO20" s="158">
        <v>0</v>
      </c>
      <c r="BP20" s="182"/>
      <c r="BQ20" s="158">
        <v>0</v>
      </c>
      <c r="BR20" s="182"/>
      <c r="BS20" s="158">
        <v>0</v>
      </c>
      <c r="BT20" s="182"/>
      <c r="BU20" s="158">
        <v>0</v>
      </c>
      <c r="BV20" s="182"/>
      <c r="BW20" s="234"/>
      <c r="BX20" s="237"/>
      <c r="BY20" s="81">
        <f t="shared" si="4"/>
        <v>0</v>
      </c>
      <c r="BZ20" s="198"/>
      <c r="CA20" s="198"/>
      <c r="CB20" s="198"/>
      <c r="CC20" s="198"/>
      <c r="CD20" s="198"/>
      <c r="CE20" s="198"/>
      <c r="CF20" s="198"/>
      <c r="CG20" s="198"/>
      <c r="CH20" s="198"/>
      <c r="CI20" s="198"/>
      <c r="CJ20" s="198"/>
      <c r="CK20" s="198"/>
      <c r="CL20" s="195">
        <f t="shared" si="8"/>
        <v>0</v>
      </c>
      <c r="CM20" s="196"/>
      <c r="CN20" s="196"/>
      <c r="CO20" s="196"/>
      <c r="CP20" s="196"/>
      <c r="CQ20" s="196"/>
      <c r="CR20" s="196"/>
      <c r="CS20" s="196"/>
      <c r="CT20" s="196"/>
      <c r="CU20" s="196"/>
      <c r="CV20" s="196"/>
      <c r="CW20" s="196"/>
      <c r="CX20" s="196"/>
      <c r="CY20" s="200">
        <f t="shared" si="9"/>
        <v>0</v>
      </c>
      <c r="CZ20" s="172">
        <f t="shared" si="5"/>
        <v>0</v>
      </c>
      <c r="DA20" s="201">
        <f t="shared" si="10"/>
        <v>0</v>
      </c>
      <c r="DB20" s="201">
        <f t="shared" si="11"/>
        <v>0</v>
      </c>
      <c r="DC20" s="201">
        <f t="shared" si="18"/>
        <v>0</v>
      </c>
      <c r="DD20" s="239">
        <v>0</v>
      </c>
      <c r="DE20" s="201">
        <f t="shared" si="12"/>
        <v>0</v>
      </c>
      <c r="DF20" s="172" t="e">
        <f>SUM(DN20:DO20)-SUM(#REF!,BV20)+BU20</f>
        <v>#REF!</v>
      </c>
      <c r="DG20" s="207"/>
      <c r="DH20" s="225">
        <f t="shared" si="13"/>
        <v>0</v>
      </c>
      <c r="DI20" s="225">
        <f t="shared" si="14"/>
        <v>0</v>
      </c>
      <c r="DJ20" s="225">
        <f t="shared" si="15"/>
        <v>0</v>
      </c>
      <c r="DK20" s="225" t="e">
        <f>SUM(BS20,#REF!,BV20)</f>
        <v>#REF!</v>
      </c>
      <c r="DL20" s="145"/>
      <c r="DM20" s="145"/>
      <c r="DN20" s="145"/>
      <c r="DO20" s="145"/>
      <c r="DP20" s="145"/>
      <c r="DQ20" s="145"/>
      <c r="DS20" s="219">
        <f t="shared" si="19"/>
        <v>0</v>
      </c>
    </row>
    <row r="21" spans="1:123" s="21" customFormat="1" ht="24" hidden="1" customHeight="1">
      <c r="A21" s="16"/>
      <c r="B21" s="2">
        <v>12</v>
      </c>
      <c r="C21" s="78" t="s">
        <v>657</v>
      </c>
      <c r="D21" s="78"/>
      <c r="E21" s="78"/>
      <c r="F21" s="3"/>
      <c r="G21" s="4"/>
      <c r="H21" s="4"/>
      <c r="I21" s="4"/>
      <c r="J21" s="13" t="str">
        <f t="shared" ca="1" si="6"/>
        <v/>
      </c>
      <c r="K21" s="165" t="str">
        <f t="shared" si="16"/>
        <v/>
      </c>
      <c r="L21" s="165" t="str">
        <f t="shared" si="17"/>
        <v/>
      </c>
      <c r="M21" s="165"/>
      <c r="N21" s="165"/>
      <c r="O21" s="165"/>
      <c r="P21" s="165"/>
      <c r="Q21" s="165"/>
      <c r="R21" s="3" t="s">
        <v>175</v>
      </c>
      <c r="S21" s="11"/>
      <c r="T21" s="11"/>
      <c r="U21" s="5" t="s">
        <v>8</v>
      </c>
      <c r="V21" s="251"/>
      <c r="W21" s="5" t="s">
        <v>1279</v>
      </c>
      <c r="X21" s="5" t="s">
        <v>681</v>
      </c>
      <c r="Y21" s="5" t="s">
        <v>1291</v>
      </c>
      <c r="Z21" s="3" t="s">
        <v>180</v>
      </c>
      <c r="AA21" s="6" t="s">
        <v>217</v>
      </c>
      <c r="AB21" s="141"/>
      <c r="AC21" s="165"/>
      <c r="AD21" s="165"/>
      <c r="AE21" s="165" t="s">
        <v>5</v>
      </c>
      <c r="AF21" s="5"/>
      <c r="AG21" s="5"/>
      <c r="AH21" s="210"/>
      <c r="AI21" s="76"/>
      <c r="AJ21" s="76"/>
      <c r="AK21" s="221" t="e">
        <f>SUM(#REF!,BT21,BV21)</f>
        <v>#REF!</v>
      </c>
      <c r="AL21" s="161"/>
      <c r="AM21" s="161"/>
      <c r="AN21" s="161"/>
      <c r="AO21" s="161"/>
      <c r="AP21" s="161"/>
      <c r="AQ21" s="161"/>
      <c r="AR21" s="51"/>
      <c r="AS21" s="51">
        <v>0</v>
      </c>
      <c r="AT21" s="51">
        <v>0</v>
      </c>
      <c r="AU21" s="51"/>
      <c r="AV21" s="36"/>
      <c r="AW21" s="36"/>
      <c r="AX21" s="90">
        <f t="shared" si="7"/>
        <v>0</v>
      </c>
      <c r="AY21" s="157">
        <f t="shared" si="3"/>
        <v>0</v>
      </c>
      <c r="AZ21" s="182">
        <v>0</v>
      </c>
      <c r="BA21" s="158"/>
      <c r="BB21" s="158">
        <v>0</v>
      </c>
      <c r="BC21" s="158"/>
      <c r="BD21" s="158">
        <v>0</v>
      </c>
      <c r="BE21" s="158"/>
      <c r="BF21" s="158">
        <v>0</v>
      </c>
      <c r="BG21" s="158"/>
      <c r="BH21" s="158">
        <v>0</v>
      </c>
      <c r="BI21" s="158"/>
      <c r="BJ21" s="158">
        <v>0</v>
      </c>
      <c r="BK21" s="158"/>
      <c r="BL21" s="182"/>
      <c r="BM21" s="158"/>
      <c r="BN21" s="182"/>
      <c r="BO21" s="158"/>
      <c r="BP21" s="182"/>
      <c r="BQ21" s="158"/>
      <c r="BR21" s="182"/>
      <c r="BS21" s="158"/>
      <c r="BT21" s="182"/>
      <c r="BU21" s="158"/>
      <c r="BV21" s="182"/>
      <c r="BW21" s="234"/>
      <c r="BX21" s="237"/>
      <c r="BY21" s="81">
        <f t="shared" si="4"/>
        <v>0</v>
      </c>
      <c r="BZ21" s="198"/>
      <c r="CA21" s="198"/>
      <c r="CB21" s="198"/>
      <c r="CC21" s="198"/>
      <c r="CD21" s="198"/>
      <c r="CE21" s="198"/>
      <c r="CF21" s="198"/>
      <c r="CG21" s="198"/>
      <c r="CH21" s="198"/>
      <c r="CI21" s="198"/>
      <c r="CJ21" s="198"/>
      <c r="CK21" s="198"/>
      <c r="CL21" s="195">
        <f t="shared" si="8"/>
        <v>0</v>
      </c>
      <c r="CM21" s="196"/>
      <c r="CN21" s="196"/>
      <c r="CO21" s="196"/>
      <c r="CP21" s="196"/>
      <c r="CQ21" s="196"/>
      <c r="CR21" s="196"/>
      <c r="CS21" s="196"/>
      <c r="CT21" s="196"/>
      <c r="CU21" s="196"/>
      <c r="CV21" s="196"/>
      <c r="CW21" s="196"/>
      <c r="CX21" s="196"/>
      <c r="CY21" s="200">
        <f t="shared" si="9"/>
        <v>0</v>
      </c>
      <c r="CZ21" s="172">
        <f t="shared" si="5"/>
        <v>0</v>
      </c>
      <c r="DA21" s="201">
        <f t="shared" si="10"/>
        <v>0</v>
      </c>
      <c r="DB21" s="201">
        <f t="shared" si="11"/>
        <v>0</v>
      </c>
      <c r="DC21" s="201">
        <f t="shared" si="18"/>
        <v>0</v>
      </c>
      <c r="DD21" s="239">
        <v>0</v>
      </c>
      <c r="DE21" s="201">
        <f t="shared" si="12"/>
        <v>0</v>
      </c>
      <c r="DF21" s="172" t="e">
        <f>SUM(DN21:DO21)-SUM(#REF!,BV21)+BU21</f>
        <v>#REF!</v>
      </c>
      <c r="DG21" s="207"/>
      <c r="DH21" s="225">
        <f t="shared" si="13"/>
        <v>0</v>
      </c>
      <c r="DI21" s="225">
        <f t="shared" si="14"/>
        <v>0</v>
      </c>
      <c r="DJ21" s="225">
        <f t="shared" si="15"/>
        <v>0</v>
      </c>
      <c r="DK21" s="225" t="e">
        <f>SUM(BS21,#REF!,BV21)</f>
        <v>#REF!</v>
      </c>
      <c r="DL21" s="145"/>
      <c r="DM21" s="145"/>
      <c r="DN21" s="145"/>
      <c r="DO21" s="145"/>
      <c r="DP21" s="145"/>
      <c r="DQ21" s="145"/>
      <c r="DS21" s="219">
        <f t="shared" si="19"/>
        <v>0</v>
      </c>
    </row>
    <row r="22" spans="1:123" s="21" customFormat="1" ht="24" hidden="1" customHeight="1">
      <c r="A22" s="16"/>
      <c r="B22" s="2">
        <v>13</v>
      </c>
      <c r="C22" s="78" t="s">
        <v>658</v>
      </c>
      <c r="D22" s="78"/>
      <c r="E22" s="78"/>
      <c r="F22" s="3"/>
      <c r="G22" s="4"/>
      <c r="H22" s="4"/>
      <c r="I22" s="4"/>
      <c r="J22" s="13" t="str">
        <f t="shared" ca="1" si="6"/>
        <v/>
      </c>
      <c r="K22" s="165" t="str">
        <f t="shared" si="16"/>
        <v/>
      </c>
      <c r="L22" s="165" t="str">
        <f t="shared" si="17"/>
        <v/>
      </c>
      <c r="M22" s="165"/>
      <c r="N22" s="165"/>
      <c r="O22" s="165"/>
      <c r="P22" s="165"/>
      <c r="Q22" s="165"/>
      <c r="R22" s="3" t="s">
        <v>175</v>
      </c>
      <c r="S22" s="11"/>
      <c r="T22" s="11"/>
      <c r="U22" s="5" t="s">
        <v>8</v>
      </c>
      <c r="V22" s="251"/>
      <c r="W22" s="5" t="s">
        <v>1279</v>
      </c>
      <c r="X22" s="5" t="s">
        <v>681</v>
      </c>
      <c r="Y22" s="5" t="s">
        <v>1292</v>
      </c>
      <c r="Z22" s="3" t="s">
        <v>180</v>
      </c>
      <c r="AA22" s="6" t="s">
        <v>217</v>
      </c>
      <c r="AB22" s="141"/>
      <c r="AC22" s="165"/>
      <c r="AD22" s="165"/>
      <c r="AE22" s="165" t="s">
        <v>5</v>
      </c>
      <c r="AF22" s="5"/>
      <c r="AG22" s="5"/>
      <c r="AH22" s="210"/>
      <c r="AI22" s="76"/>
      <c r="AJ22" s="76"/>
      <c r="AK22" s="221" t="e">
        <f>SUM(#REF!,BT22,BV22)</f>
        <v>#REF!</v>
      </c>
      <c r="AL22" s="161"/>
      <c r="AM22" s="161"/>
      <c r="AN22" s="161"/>
      <c r="AO22" s="161"/>
      <c r="AP22" s="161"/>
      <c r="AQ22" s="161"/>
      <c r="AR22" s="51"/>
      <c r="AS22" s="51">
        <v>0</v>
      </c>
      <c r="AT22" s="51">
        <v>0</v>
      </c>
      <c r="AU22" s="51"/>
      <c r="AV22" s="36"/>
      <c r="AW22" s="36"/>
      <c r="AX22" s="90">
        <f t="shared" si="7"/>
        <v>0</v>
      </c>
      <c r="AY22" s="157">
        <f t="shared" si="3"/>
        <v>0</v>
      </c>
      <c r="AZ22" s="182">
        <v>0</v>
      </c>
      <c r="BA22" s="158"/>
      <c r="BB22" s="158">
        <v>0</v>
      </c>
      <c r="BC22" s="158"/>
      <c r="BD22" s="158">
        <v>0</v>
      </c>
      <c r="BE22" s="158"/>
      <c r="BF22" s="158">
        <v>0</v>
      </c>
      <c r="BG22" s="158"/>
      <c r="BH22" s="158">
        <v>0</v>
      </c>
      <c r="BI22" s="158"/>
      <c r="BJ22" s="158">
        <v>0</v>
      </c>
      <c r="BK22" s="158"/>
      <c r="BL22" s="182"/>
      <c r="BM22" s="158"/>
      <c r="BN22" s="182"/>
      <c r="BO22" s="158"/>
      <c r="BP22" s="182"/>
      <c r="BQ22" s="158"/>
      <c r="BR22" s="182"/>
      <c r="BS22" s="158"/>
      <c r="BT22" s="182"/>
      <c r="BU22" s="158"/>
      <c r="BV22" s="182"/>
      <c r="BW22" s="234"/>
      <c r="BX22" s="237"/>
      <c r="BY22" s="81">
        <f t="shared" si="4"/>
        <v>0</v>
      </c>
      <c r="BZ22" s="198"/>
      <c r="CA22" s="198"/>
      <c r="CB22" s="198"/>
      <c r="CC22" s="198"/>
      <c r="CD22" s="198"/>
      <c r="CE22" s="198"/>
      <c r="CF22" s="198"/>
      <c r="CG22" s="198"/>
      <c r="CH22" s="198"/>
      <c r="CI22" s="198"/>
      <c r="CJ22" s="198"/>
      <c r="CK22" s="198"/>
      <c r="CL22" s="195">
        <f t="shared" si="8"/>
        <v>0</v>
      </c>
      <c r="CM22" s="196"/>
      <c r="CN22" s="196"/>
      <c r="CO22" s="196"/>
      <c r="CP22" s="196"/>
      <c r="CQ22" s="196"/>
      <c r="CR22" s="196"/>
      <c r="CS22" s="196"/>
      <c r="CT22" s="196"/>
      <c r="CU22" s="196"/>
      <c r="CV22" s="196"/>
      <c r="CW22" s="196"/>
      <c r="CX22" s="196"/>
      <c r="CY22" s="200">
        <f t="shared" si="9"/>
        <v>0</v>
      </c>
      <c r="CZ22" s="172">
        <f t="shared" si="5"/>
        <v>0</v>
      </c>
      <c r="DA22" s="201">
        <f t="shared" si="10"/>
        <v>0</v>
      </c>
      <c r="DB22" s="201">
        <f t="shared" si="11"/>
        <v>0</v>
      </c>
      <c r="DC22" s="201">
        <f t="shared" si="18"/>
        <v>0</v>
      </c>
      <c r="DD22" s="239">
        <v>0</v>
      </c>
      <c r="DE22" s="201">
        <f t="shared" si="12"/>
        <v>0</v>
      </c>
      <c r="DF22" s="172" t="e">
        <f>SUM(DN22:DO22)-SUM(#REF!,BV22)+BU22</f>
        <v>#REF!</v>
      </c>
      <c r="DG22" s="207"/>
      <c r="DH22" s="225">
        <f t="shared" si="13"/>
        <v>0</v>
      </c>
      <c r="DI22" s="225">
        <f t="shared" si="14"/>
        <v>0</v>
      </c>
      <c r="DJ22" s="225">
        <f t="shared" si="15"/>
        <v>0</v>
      </c>
      <c r="DK22" s="225" t="e">
        <f>SUM(BS22,#REF!,BV22)</f>
        <v>#REF!</v>
      </c>
      <c r="DL22" s="145"/>
      <c r="DM22" s="145"/>
      <c r="DN22" s="145"/>
      <c r="DO22" s="145"/>
      <c r="DP22" s="145"/>
      <c r="DQ22" s="145"/>
      <c r="DS22" s="219">
        <f t="shared" si="19"/>
        <v>0</v>
      </c>
    </row>
    <row r="23" spans="1:123" s="21" customFormat="1" ht="24" hidden="1" customHeight="1">
      <c r="A23" s="16"/>
      <c r="B23" s="2">
        <v>14</v>
      </c>
      <c r="C23" s="78" t="s">
        <v>667</v>
      </c>
      <c r="D23" s="78"/>
      <c r="E23" s="78"/>
      <c r="F23" s="3"/>
      <c r="G23" s="4"/>
      <c r="H23" s="4"/>
      <c r="I23" s="4"/>
      <c r="J23" s="13" t="str">
        <f t="shared" ca="1" si="6"/>
        <v/>
      </c>
      <c r="K23" s="165" t="str">
        <f t="shared" si="16"/>
        <v/>
      </c>
      <c r="L23" s="165" t="str">
        <f t="shared" si="17"/>
        <v/>
      </c>
      <c r="M23" s="165"/>
      <c r="N23" s="165"/>
      <c r="O23" s="165"/>
      <c r="P23" s="165"/>
      <c r="Q23" s="165"/>
      <c r="R23" s="3" t="s">
        <v>175</v>
      </c>
      <c r="S23" s="11"/>
      <c r="T23" s="11"/>
      <c r="U23" s="5" t="s">
        <v>8</v>
      </c>
      <c r="V23" s="251"/>
      <c r="W23" s="5" t="s">
        <v>1279</v>
      </c>
      <c r="X23" s="5" t="s">
        <v>681</v>
      </c>
      <c r="Y23" s="5" t="s">
        <v>1293</v>
      </c>
      <c r="Z23" s="3" t="s">
        <v>672</v>
      </c>
      <c r="AA23" s="6" t="s">
        <v>217</v>
      </c>
      <c r="AB23" s="141"/>
      <c r="AC23" s="165"/>
      <c r="AD23" s="165"/>
      <c r="AE23" s="165" t="s">
        <v>5</v>
      </c>
      <c r="AF23" s="5"/>
      <c r="AG23" s="5"/>
      <c r="AH23" s="210"/>
      <c r="AI23" s="76"/>
      <c r="AJ23" s="76"/>
      <c r="AK23" s="221" t="e">
        <f>SUM(#REF!,BT23,BV23)</f>
        <v>#REF!</v>
      </c>
      <c r="AL23" s="161"/>
      <c r="AM23" s="161"/>
      <c r="AN23" s="161"/>
      <c r="AO23" s="161"/>
      <c r="AP23" s="161"/>
      <c r="AQ23" s="161"/>
      <c r="AR23" s="51"/>
      <c r="AS23" s="51">
        <v>0</v>
      </c>
      <c r="AT23" s="51">
        <v>0</v>
      </c>
      <c r="AU23" s="51"/>
      <c r="AV23" s="36"/>
      <c r="AW23" s="36"/>
      <c r="AX23" s="90">
        <f t="shared" si="7"/>
        <v>0</v>
      </c>
      <c r="AY23" s="157">
        <f t="shared" si="3"/>
        <v>0</v>
      </c>
      <c r="AZ23" s="182">
        <v>0</v>
      </c>
      <c r="BA23" s="158"/>
      <c r="BB23" s="158">
        <v>0</v>
      </c>
      <c r="BC23" s="158"/>
      <c r="BD23" s="158">
        <v>0</v>
      </c>
      <c r="BE23" s="158"/>
      <c r="BF23" s="158">
        <v>0</v>
      </c>
      <c r="BG23" s="158"/>
      <c r="BH23" s="158">
        <v>0</v>
      </c>
      <c r="BI23" s="158"/>
      <c r="BJ23" s="158">
        <v>0</v>
      </c>
      <c r="BK23" s="158"/>
      <c r="BL23" s="182"/>
      <c r="BM23" s="158"/>
      <c r="BN23" s="182"/>
      <c r="BO23" s="158"/>
      <c r="BP23" s="182"/>
      <c r="BQ23" s="158"/>
      <c r="BR23" s="182"/>
      <c r="BS23" s="158"/>
      <c r="BT23" s="182"/>
      <c r="BU23" s="158"/>
      <c r="BV23" s="182"/>
      <c r="BW23" s="234"/>
      <c r="BX23" s="237"/>
      <c r="BY23" s="81">
        <f t="shared" si="4"/>
        <v>0</v>
      </c>
      <c r="BZ23" s="198"/>
      <c r="CA23" s="198"/>
      <c r="CB23" s="198"/>
      <c r="CC23" s="198"/>
      <c r="CD23" s="198"/>
      <c r="CE23" s="198"/>
      <c r="CF23" s="198"/>
      <c r="CG23" s="198"/>
      <c r="CH23" s="198"/>
      <c r="CI23" s="198"/>
      <c r="CJ23" s="198"/>
      <c r="CK23" s="198"/>
      <c r="CL23" s="195">
        <f t="shared" si="8"/>
        <v>0</v>
      </c>
      <c r="CM23" s="196"/>
      <c r="CN23" s="196"/>
      <c r="CO23" s="196"/>
      <c r="CP23" s="196"/>
      <c r="CQ23" s="196"/>
      <c r="CR23" s="196"/>
      <c r="CS23" s="196"/>
      <c r="CT23" s="196"/>
      <c r="CU23" s="196"/>
      <c r="CV23" s="196"/>
      <c r="CW23" s="196"/>
      <c r="CX23" s="196"/>
      <c r="CY23" s="200">
        <f t="shared" si="9"/>
        <v>0</v>
      </c>
      <c r="CZ23" s="172">
        <f t="shared" si="5"/>
        <v>0</v>
      </c>
      <c r="DA23" s="201">
        <f t="shared" si="10"/>
        <v>0</v>
      </c>
      <c r="DB23" s="201">
        <f t="shared" si="11"/>
        <v>0</v>
      </c>
      <c r="DC23" s="201">
        <f t="shared" si="18"/>
        <v>0</v>
      </c>
      <c r="DD23" s="239">
        <v>0</v>
      </c>
      <c r="DE23" s="201">
        <f t="shared" si="12"/>
        <v>0</v>
      </c>
      <c r="DF23" s="172" t="e">
        <f>SUM(DN23:DO23)-SUM(#REF!,BV23)+BU23</f>
        <v>#REF!</v>
      </c>
      <c r="DG23" s="207"/>
      <c r="DH23" s="225">
        <f t="shared" si="13"/>
        <v>0</v>
      </c>
      <c r="DI23" s="225">
        <f t="shared" si="14"/>
        <v>0</v>
      </c>
      <c r="DJ23" s="225">
        <f t="shared" si="15"/>
        <v>0</v>
      </c>
      <c r="DK23" s="225" t="e">
        <f>SUM(BS23,#REF!,BV23)</f>
        <v>#REF!</v>
      </c>
      <c r="DL23" s="145"/>
      <c r="DM23" s="145"/>
      <c r="DN23" s="145"/>
      <c r="DO23" s="145"/>
      <c r="DP23" s="145"/>
      <c r="DQ23" s="145"/>
      <c r="DS23" s="219">
        <f t="shared" si="19"/>
        <v>0</v>
      </c>
    </row>
    <row r="24" spans="1:123" s="21" customFormat="1" ht="24" hidden="1" customHeight="1">
      <c r="A24" s="16"/>
      <c r="B24" s="2">
        <v>15</v>
      </c>
      <c r="C24" s="78" t="s">
        <v>659</v>
      </c>
      <c r="D24" s="78"/>
      <c r="E24" s="78"/>
      <c r="F24" s="3"/>
      <c r="G24" s="4"/>
      <c r="H24" s="4"/>
      <c r="I24" s="4"/>
      <c r="J24" s="13" t="str">
        <f t="shared" ca="1" si="6"/>
        <v/>
      </c>
      <c r="K24" s="165" t="str">
        <f t="shared" si="16"/>
        <v/>
      </c>
      <c r="L24" s="165" t="str">
        <f t="shared" si="17"/>
        <v/>
      </c>
      <c r="M24" s="165"/>
      <c r="N24" s="165"/>
      <c r="O24" s="165"/>
      <c r="P24" s="165"/>
      <c r="Q24" s="165"/>
      <c r="R24" s="3" t="s">
        <v>175</v>
      </c>
      <c r="S24" s="11"/>
      <c r="T24" s="11"/>
      <c r="U24" s="5" t="s">
        <v>8</v>
      </c>
      <c r="V24" s="251"/>
      <c r="W24" s="5" t="s">
        <v>1279</v>
      </c>
      <c r="X24" s="5" t="s">
        <v>681</v>
      </c>
      <c r="Y24" s="5" t="s">
        <v>1294</v>
      </c>
      <c r="Z24" s="3" t="s">
        <v>180</v>
      </c>
      <c r="AA24" s="6" t="s">
        <v>461</v>
      </c>
      <c r="AB24" s="267" t="s">
        <v>1390</v>
      </c>
      <c r="AC24" s="165"/>
      <c r="AD24" s="165"/>
      <c r="AE24" s="165" t="str">
        <f t="shared" ref="AE24:AE37" si="20">IFERROR(EOMONTH(L24,-2),"")</f>
        <v/>
      </c>
      <c r="AF24" s="5"/>
      <c r="AG24" s="5"/>
      <c r="AH24" s="210"/>
      <c r="AI24" s="76" t="s">
        <v>164</v>
      </c>
      <c r="AJ24" s="203"/>
      <c r="AK24" s="221" t="e">
        <f>SUM(#REF!,BT24,BV24)</f>
        <v>#REF!</v>
      </c>
      <c r="AL24" s="161"/>
      <c r="AM24" s="161"/>
      <c r="AN24" s="161"/>
      <c r="AO24" s="161"/>
      <c r="AP24" s="161"/>
      <c r="AQ24" s="161"/>
      <c r="AR24" s="51"/>
      <c r="AS24" s="51">
        <v>0</v>
      </c>
      <c r="AT24" s="51">
        <v>174.20511999999999</v>
      </c>
      <c r="AU24" s="51">
        <v>0</v>
      </c>
      <c r="AV24" s="36"/>
      <c r="AW24" s="36"/>
      <c r="AX24" s="90">
        <f t="shared" si="7"/>
        <v>0</v>
      </c>
      <c r="AY24" s="157">
        <f t="shared" si="3"/>
        <v>0</v>
      </c>
      <c r="AZ24" s="182">
        <v>0</v>
      </c>
      <c r="BA24" s="158">
        <v>0</v>
      </c>
      <c r="BB24" s="158">
        <v>0</v>
      </c>
      <c r="BC24" s="158">
        <v>0</v>
      </c>
      <c r="BD24" s="158">
        <v>0</v>
      </c>
      <c r="BE24" s="158">
        <v>0</v>
      </c>
      <c r="BF24" s="158">
        <v>0</v>
      </c>
      <c r="BG24" s="158">
        <v>0</v>
      </c>
      <c r="BH24" s="158">
        <v>0</v>
      </c>
      <c r="BI24" s="158">
        <v>0</v>
      </c>
      <c r="BJ24" s="158">
        <v>0</v>
      </c>
      <c r="BK24" s="158">
        <v>0</v>
      </c>
      <c r="BL24" s="182"/>
      <c r="BM24" s="158">
        <v>0</v>
      </c>
      <c r="BN24" s="182"/>
      <c r="BO24" s="158">
        <v>0</v>
      </c>
      <c r="BP24" s="182"/>
      <c r="BQ24" s="158">
        <v>0</v>
      </c>
      <c r="BR24" s="182"/>
      <c r="BS24" s="158">
        <v>0</v>
      </c>
      <c r="BT24" s="182"/>
      <c r="BU24" s="158">
        <v>0</v>
      </c>
      <c r="BV24" s="182"/>
      <c r="BW24" s="234"/>
      <c r="BX24" s="237"/>
      <c r="BY24" s="81">
        <f t="shared" si="4"/>
        <v>0</v>
      </c>
      <c r="BZ24" s="198"/>
      <c r="CA24" s="198"/>
      <c r="CB24" s="198"/>
      <c r="CC24" s="198"/>
      <c r="CD24" s="198"/>
      <c r="CE24" s="198"/>
      <c r="CF24" s="198"/>
      <c r="CG24" s="198"/>
      <c r="CH24" s="198"/>
      <c r="CI24" s="198"/>
      <c r="CJ24" s="198"/>
      <c r="CK24" s="198"/>
      <c r="CL24" s="195">
        <f t="shared" si="8"/>
        <v>0</v>
      </c>
      <c r="CM24" s="196"/>
      <c r="CN24" s="196"/>
      <c r="CO24" s="196"/>
      <c r="CP24" s="196"/>
      <c r="CQ24" s="196"/>
      <c r="CR24" s="196"/>
      <c r="CS24" s="196"/>
      <c r="CT24" s="196"/>
      <c r="CU24" s="196"/>
      <c r="CV24" s="196"/>
      <c r="CW24" s="196"/>
      <c r="CX24" s="196"/>
      <c r="CY24" s="200">
        <f t="shared" si="9"/>
        <v>0</v>
      </c>
      <c r="CZ24" s="172">
        <f t="shared" si="5"/>
        <v>0</v>
      </c>
      <c r="DA24" s="201">
        <f t="shared" si="10"/>
        <v>0</v>
      </c>
      <c r="DB24" s="201">
        <f t="shared" si="11"/>
        <v>0</v>
      </c>
      <c r="DC24" s="201">
        <f t="shared" si="18"/>
        <v>0</v>
      </c>
      <c r="DD24" s="239">
        <v>0</v>
      </c>
      <c r="DE24" s="201">
        <f t="shared" si="12"/>
        <v>0</v>
      </c>
      <c r="DF24" s="172" t="e">
        <f>SUM(DN24:DO24)-SUM(#REF!,BV24)+BU24</f>
        <v>#REF!</v>
      </c>
      <c r="DG24" s="207"/>
      <c r="DH24" s="225">
        <f t="shared" si="13"/>
        <v>0</v>
      </c>
      <c r="DI24" s="225">
        <f t="shared" si="14"/>
        <v>0</v>
      </c>
      <c r="DJ24" s="225">
        <f t="shared" si="15"/>
        <v>0</v>
      </c>
      <c r="DK24" s="225" t="e">
        <f>SUM(BS24,#REF!,BV24)</f>
        <v>#REF!</v>
      </c>
      <c r="DL24" s="145"/>
      <c r="DM24" s="145"/>
      <c r="DN24" s="145">
        <v>30.804950000000002</v>
      </c>
      <c r="DO24" s="145">
        <v>0</v>
      </c>
      <c r="DP24" s="145"/>
      <c r="DQ24" s="145"/>
      <c r="DS24" s="219">
        <f t="shared" si="19"/>
        <v>0</v>
      </c>
    </row>
    <row r="25" spans="1:123" s="21" customFormat="1" ht="24" hidden="1" customHeight="1">
      <c r="A25" s="16"/>
      <c r="B25" s="2">
        <v>16</v>
      </c>
      <c r="C25" s="78" t="s">
        <v>666</v>
      </c>
      <c r="D25" s="78"/>
      <c r="E25" s="78"/>
      <c r="F25" s="3"/>
      <c r="G25" s="4"/>
      <c r="H25" s="4"/>
      <c r="I25" s="4"/>
      <c r="J25" s="13" t="str">
        <f t="shared" ca="1" si="6"/>
        <v/>
      </c>
      <c r="K25" s="165" t="str">
        <f t="shared" si="16"/>
        <v/>
      </c>
      <c r="L25" s="165" t="str">
        <f t="shared" si="17"/>
        <v/>
      </c>
      <c r="M25" s="165"/>
      <c r="N25" s="165"/>
      <c r="O25" s="165"/>
      <c r="P25" s="165"/>
      <c r="Q25" s="165"/>
      <c r="R25" s="3" t="s">
        <v>179</v>
      </c>
      <c r="S25" s="11"/>
      <c r="T25" s="11"/>
      <c r="U25" s="5" t="s">
        <v>8</v>
      </c>
      <c r="V25" s="251"/>
      <c r="W25" s="5" t="s">
        <v>1279</v>
      </c>
      <c r="X25" s="5" t="s">
        <v>681</v>
      </c>
      <c r="Y25" s="5" t="s">
        <v>1295</v>
      </c>
      <c r="Z25" s="3" t="s">
        <v>187</v>
      </c>
      <c r="AA25" s="6" t="s">
        <v>217</v>
      </c>
      <c r="AB25" s="141"/>
      <c r="AC25" s="165"/>
      <c r="AD25" s="165"/>
      <c r="AE25" s="165" t="str">
        <f t="shared" si="20"/>
        <v/>
      </c>
      <c r="AF25" s="5"/>
      <c r="AG25" s="5"/>
      <c r="AH25" s="210"/>
      <c r="AI25" s="76" t="s">
        <v>236</v>
      </c>
      <c r="AJ25" s="203"/>
      <c r="AK25" s="221" t="e">
        <f>SUM(#REF!,BT25,BV25)</f>
        <v>#REF!</v>
      </c>
      <c r="AL25" s="161"/>
      <c r="AM25" s="161"/>
      <c r="AN25" s="161"/>
      <c r="AO25" s="161"/>
      <c r="AP25" s="161"/>
      <c r="AQ25" s="161"/>
      <c r="AR25" s="51"/>
      <c r="AS25" s="51">
        <v>0</v>
      </c>
      <c r="AT25" s="51">
        <v>0</v>
      </c>
      <c r="AU25" s="51">
        <v>0</v>
      </c>
      <c r="AV25" s="36"/>
      <c r="AW25" s="36"/>
      <c r="AX25" s="90">
        <f t="shared" si="7"/>
        <v>0</v>
      </c>
      <c r="AY25" s="157">
        <f t="shared" si="3"/>
        <v>0</v>
      </c>
      <c r="AZ25" s="182">
        <v>0</v>
      </c>
      <c r="BA25" s="158">
        <v>0</v>
      </c>
      <c r="BB25" s="158">
        <v>0</v>
      </c>
      <c r="BC25" s="158">
        <v>0</v>
      </c>
      <c r="BD25" s="158">
        <v>0</v>
      </c>
      <c r="BE25" s="158">
        <v>0</v>
      </c>
      <c r="BF25" s="158">
        <v>0</v>
      </c>
      <c r="BG25" s="158">
        <v>0</v>
      </c>
      <c r="BH25" s="158">
        <v>0</v>
      </c>
      <c r="BI25" s="158">
        <v>0</v>
      </c>
      <c r="BJ25" s="158">
        <v>0</v>
      </c>
      <c r="BK25" s="158">
        <v>0</v>
      </c>
      <c r="BL25" s="182"/>
      <c r="BM25" s="158">
        <v>0</v>
      </c>
      <c r="BN25" s="182"/>
      <c r="BO25" s="158">
        <v>0</v>
      </c>
      <c r="BP25" s="182"/>
      <c r="BQ25" s="158">
        <v>0</v>
      </c>
      <c r="BR25" s="182"/>
      <c r="BS25" s="158">
        <v>0</v>
      </c>
      <c r="BT25" s="182"/>
      <c r="BU25" s="158">
        <v>0</v>
      </c>
      <c r="BV25" s="182"/>
      <c r="BW25" s="234"/>
      <c r="BX25" s="237"/>
      <c r="BY25" s="81">
        <f t="shared" si="4"/>
        <v>0</v>
      </c>
      <c r="BZ25" s="198"/>
      <c r="CA25" s="198"/>
      <c r="CB25" s="198"/>
      <c r="CC25" s="198"/>
      <c r="CD25" s="198"/>
      <c r="CE25" s="198"/>
      <c r="CF25" s="198"/>
      <c r="CG25" s="198"/>
      <c r="CH25" s="198"/>
      <c r="CI25" s="198"/>
      <c r="CJ25" s="198"/>
      <c r="CK25" s="198"/>
      <c r="CL25" s="195">
        <f t="shared" si="8"/>
        <v>0</v>
      </c>
      <c r="CM25" s="196"/>
      <c r="CN25" s="196"/>
      <c r="CO25" s="196"/>
      <c r="CP25" s="196"/>
      <c r="CQ25" s="196"/>
      <c r="CR25" s="196"/>
      <c r="CS25" s="196"/>
      <c r="CT25" s="196"/>
      <c r="CU25" s="196"/>
      <c r="CV25" s="196"/>
      <c r="CW25" s="196"/>
      <c r="CX25" s="196"/>
      <c r="CY25" s="200">
        <f t="shared" si="9"/>
        <v>0</v>
      </c>
      <c r="CZ25" s="172">
        <f t="shared" si="5"/>
        <v>0</v>
      </c>
      <c r="DA25" s="201">
        <f t="shared" si="10"/>
        <v>0</v>
      </c>
      <c r="DB25" s="201">
        <f t="shared" si="11"/>
        <v>0</v>
      </c>
      <c r="DC25" s="201">
        <f t="shared" si="18"/>
        <v>0</v>
      </c>
      <c r="DD25" s="239">
        <v>0</v>
      </c>
      <c r="DE25" s="201">
        <f t="shared" si="12"/>
        <v>0</v>
      </c>
      <c r="DF25" s="172" t="e">
        <f>SUM(DN25:DO25)-SUM(#REF!,BV25)+BU25</f>
        <v>#REF!</v>
      </c>
      <c r="DG25" s="207"/>
      <c r="DH25" s="225">
        <f t="shared" si="13"/>
        <v>0</v>
      </c>
      <c r="DI25" s="225">
        <f t="shared" si="14"/>
        <v>0</v>
      </c>
      <c r="DJ25" s="225">
        <f t="shared" si="15"/>
        <v>0</v>
      </c>
      <c r="DK25" s="225" t="e">
        <f>SUM(BS25,#REF!,BV25)</f>
        <v>#REF!</v>
      </c>
      <c r="DL25" s="145"/>
      <c r="DM25" s="145"/>
      <c r="DN25" s="145"/>
      <c r="DO25" s="145"/>
      <c r="DP25" s="145"/>
      <c r="DQ25" s="145"/>
      <c r="DS25" s="219">
        <f t="shared" si="19"/>
        <v>0</v>
      </c>
    </row>
    <row r="26" spans="1:123" s="21" customFormat="1" ht="24" hidden="1" customHeight="1">
      <c r="A26" s="16"/>
      <c r="B26" s="2">
        <v>17</v>
      </c>
      <c r="C26" s="78" t="s">
        <v>660</v>
      </c>
      <c r="D26" s="78"/>
      <c r="E26" s="78"/>
      <c r="F26" s="3"/>
      <c r="G26" s="4"/>
      <c r="H26" s="4"/>
      <c r="I26" s="4"/>
      <c r="J26" s="13" t="str">
        <f t="shared" ca="1" si="6"/>
        <v/>
      </c>
      <c r="K26" s="165" t="str">
        <f t="shared" si="16"/>
        <v/>
      </c>
      <c r="L26" s="165" t="str">
        <f t="shared" si="17"/>
        <v/>
      </c>
      <c r="M26" s="165"/>
      <c r="N26" s="165"/>
      <c r="O26" s="165"/>
      <c r="P26" s="165"/>
      <c r="Q26" s="165"/>
      <c r="R26" s="3" t="s">
        <v>175</v>
      </c>
      <c r="S26" s="11"/>
      <c r="T26" s="11"/>
      <c r="U26" s="5" t="s">
        <v>8</v>
      </c>
      <c r="V26" s="251"/>
      <c r="W26" s="5" t="s">
        <v>1279</v>
      </c>
      <c r="X26" s="5" t="s">
        <v>681</v>
      </c>
      <c r="Y26" s="5" t="s">
        <v>1296</v>
      </c>
      <c r="Z26" s="3" t="s">
        <v>315</v>
      </c>
      <c r="AA26" s="6" t="s">
        <v>217</v>
      </c>
      <c r="AB26" s="141"/>
      <c r="AC26" s="165"/>
      <c r="AD26" s="165"/>
      <c r="AE26" s="165" t="str">
        <f t="shared" si="20"/>
        <v/>
      </c>
      <c r="AF26" s="5"/>
      <c r="AG26" s="5"/>
      <c r="AH26" s="210"/>
      <c r="AI26" s="76" t="s">
        <v>226</v>
      </c>
      <c r="AJ26" s="203"/>
      <c r="AK26" s="221" t="e">
        <f>SUM(#REF!,BT26,BV26)</f>
        <v>#REF!</v>
      </c>
      <c r="AL26" s="161"/>
      <c r="AM26" s="161"/>
      <c r="AN26" s="161"/>
      <c r="AO26" s="161"/>
      <c r="AP26" s="161"/>
      <c r="AQ26" s="161"/>
      <c r="AR26" s="51"/>
      <c r="AS26" s="51">
        <v>0</v>
      </c>
      <c r="AT26" s="51">
        <v>-4.6519999999993011E-2</v>
      </c>
      <c r="AU26" s="51">
        <v>0</v>
      </c>
      <c r="AV26" s="36"/>
      <c r="AW26" s="36"/>
      <c r="AX26" s="90">
        <f t="shared" si="7"/>
        <v>0</v>
      </c>
      <c r="AY26" s="157">
        <f t="shared" si="3"/>
        <v>0</v>
      </c>
      <c r="AZ26" s="182">
        <v>0</v>
      </c>
      <c r="BA26" s="158">
        <v>0</v>
      </c>
      <c r="BB26" s="158">
        <v>0</v>
      </c>
      <c r="BC26" s="158">
        <v>0</v>
      </c>
      <c r="BD26" s="158">
        <v>0</v>
      </c>
      <c r="BE26" s="158">
        <v>0</v>
      </c>
      <c r="BF26" s="158">
        <v>0</v>
      </c>
      <c r="BG26" s="158">
        <v>0</v>
      </c>
      <c r="BH26" s="158">
        <v>0</v>
      </c>
      <c r="BI26" s="158">
        <v>0</v>
      </c>
      <c r="BJ26" s="158">
        <v>0</v>
      </c>
      <c r="BK26" s="158">
        <v>0</v>
      </c>
      <c r="BL26" s="182"/>
      <c r="BM26" s="158">
        <v>0</v>
      </c>
      <c r="BN26" s="182"/>
      <c r="BO26" s="158">
        <v>0</v>
      </c>
      <c r="BP26" s="182"/>
      <c r="BQ26" s="158">
        <v>0</v>
      </c>
      <c r="BR26" s="182"/>
      <c r="BS26" s="158">
        <v>0</v>
      </c>
      <c r="BT26" s="182"/>
      <c r="BU26" s="158">
        <v>0</v>
      </c>
      <c r="BV26" s="182"/>
      <c r="BW26" s="234"/>
      <c r="BX26" s="237"/>
      <c r="BY26" s="81">
        <f t="shared" si="4"/>
        <v>0</v>
      </c>
      <c r="BZ26" s="198"/>
      <c r="CA26" s="198"/>
      <c r="CB26" s="198"/>
      <c r="CC26" s="198"/>
      <c r="CD26" s="198"/>
      <c r="CE26" s="198"/>
      <c r="CF26" s="198"/>
      <c r="CG26" s="198"/>
      <c r="CH26" s="198"/>
      <c r="CI26" s="198"/>
      <c r="CJ26" s="198"/>
      <c r="CK26" s="198"/>
      <c r="CL26" s="195">
        <f t="shared" si="8"/>
        <v>0</v>
      </c>
      <c r="CM26" s="196"/>
      <c r="CN26" s="196"/>
      <c r="CO26" s="196"/>
      <c r="CP26" s="196"/>
      <c r="CQ26" s="196"/>
      <c r="CR26" s="196"/>
      <c r="CS26" s="196"/>
      <c r="CT26" s="196"/>
      <c r="CU26" s="196"/>
      <c r="CV26" s="196"/>
      <c r="CW26" s="196"/>
      <c r="CX26" s="196"/>
      <c r="CY26" s="200">
        <f t="shared" si="9"/>
        <v>0</v>
      </c>
      <c r="CZ26" s="172">
        <f t="shared" si="5"/>
        <v>0</v>
      </c>
      <c r="DA26" s="201">
        <f t="shared" si="10"/>
        <v>0</v>
      </c>
      <c r="DB26" s="201">
        <f t="shared" si="11"/>
        <v>0</v>
      </c>
      <c r="DC26" s="201">
        <f t="shared" si="18"/>
        <v>0</v>
      </c>
      <c r="DD26" s="239">
        <v>0</v>
      </c>
      <c r="DE26" s="201">
        <f t="shared" si="12"/>
        <v>0</v>
      </c>
      <c r="DF26" s="172" t="e">
        <f>SUM(DN26:DO26)-SUM(#REF!,BV26)+BU26</f>
        <v>#REF!</v>
      </c>
      <c r="DG26" s="207"/>
      <c r="DH26" s="225">
        <f t="shared" si="13"/>
        <v>0</v>
      </c>
      <c r="DI26" s="225">
        <f t="shared" si="14"/>
        <v>0</v>
      </c>
      <c r="DJ26" s="225">
        <f t="shared" si="15"/>
        <v>0</v>
      </c>
      <c r="DK26" s="225" t="e">
        <f>SUM(BS26,#REF!,BV26)</f>
        <v>#REF!</v>
      </c>
      <c r="DL26" s="145"/>
      <c r="DM26" s="145"/>
      <c r="DN26" s="145"/>
      <c r="DO26" s="145"/>
      <c r="DP26" s="145"/>
      <c r="DQ26" s="145"/>
      <c r="DS26" s="219">
        <f t="shared" si="19"/>
        <v>0</v>
      </c>
    </row>
    <row r="27" spans="1:123" s="21" customFormat="1" ht="24" hidden="1" customHeight="1">
      <c r="A27" s="16"/>
      <c r="B27" s="2">
        <v>18</v>
      </c>
      <c r="C27" s="78" t="s">
        <v>663</v>
      </c>
      <c r="D27" s="78"/>
      <c r="E27" s="78"/>
      <c r="F27" s="3"/>
      <c r="G27" s="4"/>
      <c r="H27" s="4"/>
      <c r="I27" s="4"/>
      <c r="J27" s="13" t="str">
        <f t="shared" ca="1" si="6"/>
        <v/>
      </c>
      <c r="K27" s="165" t="str">
        <f t="shared" si="16"/>
        <v/>
      </c>
      <c r="L27" s="165" t="str">
        <f t="shared" si="17"/>
        <v/>
      </c>
      <c r="M27" s="165"/>
      <c r="N27" s="165"/>
      <c r="O27" s="165"/>
      <c r="P27" s="165"/>
      <c r="Q27" s="165"/>
      <c r="R27" s="3" t="s">
        <v>175</v>
      </c>
      <c r="S27" s="11"/>
      <c r="T27" s="11"/>
      <c r="U27" s="5" t="s">
        <v>8</v>
      </c>
      <c r="V27" s="251"/>
      <c r="W27" s="5" t="s">
        <v>1279</v>
      </c>
      <c r="X27" s="5" t="s">
        <v>475</v>
      </c>
      <c r="Y27" s="5" t="s">
        <v>1297</v>
      </c>
      <c r="Z27" s="3" t="s">
        <v>315</v>
      </c>
      <c r="AA27" s="6" t="s">
        <v>217</v>
      </c>
      <c r="AB27" s="141"/>
      <c r="AC27" s="165"/>
      <c r="AD27" s="165"/>
      <c r="AE27" s="165" t="str">
        <f t="shared" si="20"/>
        <v/>
      </c>
      <c r="AF27" s="5"/>
      <c r="AG27" s="5"/>
      <c r="AH27" s="210"/>
      <c r="AI27" s="76" t="s">
        <v>257</v>
      </c>
      <c r="AJ27" s="76"/>
      <c r="AK27" s="221" t="e">
        <f>SUM(#REF!,BT27,BV27)</f>
        <v>#REF!</v>
      </c>
      <c r="AL27" s="161"/>
      <c r="AM27" s="161"/>
      <c r="AN27" s="161"/>
      <c r="AO27" s="161"/>
      <c r="AP27" s="161"/>
      <c r="AQ27" s="161"/>
      <c r="AR27" s="51"/>
      <c r="AS27" s="51">
        <v>0</v>
      </c>
      <c r="AT27" s="51">
        <v>33.18416000000002</v>
      </c>
      <c r="AU27" s="51">
        <v>-31.679000000000002</v>
      </c>
      <c r="AV27" s="36"/>
      <c r="AW27" s="36"/>
      <c r="AX27" s="90">
        <f t="shared" si="7"/>
        <v>0</v>
      </c>
      <c r="AY27" s="157">
        <f t="shared" si="3"/>
        <v>-33.18415999999997</v>
      </c>
      <c r="AZ27" s="182">
        <v>0</v>
      </c>
      <c r="BA27" s="158">
        <v>-31.679000000000002</v>
      </c>
      <c r="BB27" s="158">
        <v>0</v>
      </c>
      <c r="BC27" s="158">
        <v>186.88516999999999</v>
      </c>
      <c r="BD27" s="158">
        <v>0</v>
      </c>
      <c r="BE27" s="158">
        <v>-216.99410999999995</v>
      </c>
      <c r="BF27" s="158">
        <v>0</v>
      </c>
      <c r="BG27" s="158">
        <v>-2.2812199999999998</v>
      </c>
      <c r="BH27" s="158">
        <v>0</v>
      </c>
      <c r="BI27" s="158">
        <v>31.944009999999999</v>
      </c>
      <c r="BJ27" s="158">
        <v>0</v>
      </c>
      <c r="BK27" s="158">
        <v>12.49502</v>
      </c>
      <c r="BL27" s="182"/>
      <c r="BM27" s="158">
        <v>-0.14102999999999999</v>
      </c>
      <c r="BN27" s="182">
        <v>-14.5</v>
      </c>
      <c r="BO27" s="158">
        <v>-13.413</v>
      </c>
      <c r="BP27" s="182"/>
      <c r="BQ27" s="158">
        <v>0</v>
      </c>
      <c r="BR27" s="182"/>
      <c r="BS27" s="158">
        <v>0</v>
      </c>
      <c r="BT27" s="182"/>
      <c r="BU27" s="158">
        <v>0</v>
      </c>
      <c r="BV27" s="182"/>
      <c r="BW27" s="234"/>
      <c r="BX27" s="237"/>
      <c r="BY27" s="81">
        <f t="shared" si="4"/>
        <v>0</v>
      </c>
      <c r="BZ27" s="198"/>
      <c r="CA27" s="198"/>
      <c r="CB27" s="198"/>
      <c r="CC27" s="198"/>
      <c r="CD27" s="198"/>
      <c r="CE27" s="198"/>
      <c r="CF27" s="198"/>
      <c r="CG27" s="198"/>
      <c r="CH27" s="198"/>
      <c r="CI27" s="198"/>
      <c r="CJ27" s="198"/>
      <c r="CK27" s="198"/>
      <c r="CL27" s="195">
        <f t="shared" si="8"/>
        <v>0</v>
      </c>
      <c r="CM27" s="196"/>
      <c r="CN27" s="196"/>
      <c r="CO27" s="196"/>
      <c r="CP27" s="196"/>
      <c r="CQ27" s="196"/>
      <c r="CR27" s="196"/>
      <c r="CS27" s="196"/>
      <c r="CT27" s="196"/>
      <c r="CU27" s="196"/>
      <c r="CV27" s="196"/>
      <c r="CW27" s="196"/>
      <c r="CX27" s="196"/>
      <c r="CY27" s="200">
        <f t="shared" si="9"/>
        <v>0</v>
      </c>
      <c r="CZ27" s="172">
        <f t="shared" si="5"/>
        <v>0</v>
      </c>
      <c r="DA27" s="201">
        <f t="shared" si="10"/>
        <v>-33.18415999999997</v>
      </c>
      <c r="DB27" s="201">
        <f t="shared" si="11"/>
        <v>0</v>
      </c>
      <c r="DC27" s="201">
        <f t="shared" si="18"/>
        <v>-33.18415999999997</v>
      </c>
      <c r="DD27" s="239">
        <v>-33.18415999999997</v>
      </c>
      <c r="DE27" s="201">
        <f t="shared" si="12"/>
        <v>0</v>
      </c>
      <c r="DF27" s="172" t="e">
        <f>SUM(DN27:DO27)-SUM(#REF!,BV27)+BU27</f>
        <v>#REF!</v>
      </c>
      <c r="DG27" s="207"/>
      <c r="DH27" s="225">
        <f t="shared" si="13"/>
        <v>-61.787939999999963</v>
      </c>
      <c r="DI27" s="225">
        <f t="shared" si="14"/>
        <v>42.157809999999998</v>
      </c>
      <c r="DJ27" s="225">
        <f t="shared" si="15"/>
        <v>-13.554030000000001</v>
      </c>
      <c r="DK27" s="225" t="e">
        <f>SUM(BS27,#REF!,BV27)</f>
        <v>#REF!</v>
      </c>
      <c r="DL27" s="145"/>
      <c r="DM27" s="145"/>
      <c r="DN27" s="145"/>
      <c r="DO27" s="145"/>
      <c r="DP27" s="145"/>
      <c r="DQ27" s="145"/>
      <c r="DS27" s="219">
        <f t="shared" si="19"/>
        <v>0</v>
      </c>
    </row>
    <row r="28" spans="1:123" s="21" customFormat="1" ht="24" hidden="1" customHeight="1">
      <c r="A28" s="16"/>
      <c r="B28" s="2">
        <v>19</v>
      </c>
      <c r="C28" s="78" t="s">
        <v>664</v>
      </c>
      <c r="D28" s="78"/>
      <c r="E28" s="78"/>
      <c r="F28" s="3"/>
      <c r="G28" s="4"/>
      <c r="H28" s="4"/>
      <c r="I28" s="4"/>
      <c r="J28" s="13" t="str">
        <f t="shared" ca="1" si="6"/>
        <v/>
      </c>
      <c r="K28" s="165" t="str">
        <f t="shared" si="16"/>
        <v/>
      </c>
      <c r="L28" s="165" t="str">
        <f t="shared" si="17"/>
        <v/>
      </c>
      <c r="M28" s="165"/>
      <c r="N28" s="165"/>
      <c r="O28" s="165"/>
      <c r="P28" s="165"/>
      <c r="Q28" s="165"/>
      <c r="R28" s="3" t="s">
        <v>175</v>
      </c>
      <c r="S28" s="11"/>
      <c r="T28" s="11"/>
      <c r="U28" s="5" t="s">
        <v>8</v>
      </c>
      <c r="V28" s="251"/>
      <c r="W28" s="5" t="s">
        <v>1279</v>
      </c>
      <c r="X28" s="5" t="s">
        <v>478</v>
      </c>
      <c r="Y28" s="5" t="s">
        <v>1298</v>
      </c>
      <c r="Z28" s="3" t="s">
        <v>315</v>
      </c>
      <c r="AA28" s="6" t="s">
        <v>217</v>
      </c>
      <c r="AB28" s="141"/>
      <c r="AC28" s="165"/>
      <c r="AD28" s="165"/>
      <c r="AE28" s="165" t="str">
        <f t="shared" si="20"/>
        <v/>
      </c>
      <c r="AF28" s="5"/>
      <c r="AG28" s="5"/>
      <c r="AH28" s="210"/>
      <c r="AI28" s="76" t="s">
        <v>255</v>
      </c>
      <c r="AJ28" s="76"/>
      <c r="AK28" s="221" t="e">
        <f>SUM(#REF!,BT28,BV28)</f>
        <v>#REF!</v>
      </c>
      <c r="AL28" s="161"/>
      <c r="AM28" s="161"/>
      <c r="AN28" s="161"/>
      <c r="AO28" s="161"/>
      <c r="AP28" s="161"/>
      <c r="AQ28" s="161"/>
      <c r="AR28" s="51"/>
      <c r="AS28" s="51">
        <v>0</v>
      </c>
      <c r="AT28" s="51">
        <v>12.011569999999992</v>
      </c>
      <c r="AU28" s="51">
        <v>-12.011569999999999</v>
      </c>
      <c r="AV28" s="36"/>
      <c r="AW28" s="36"/>
      <c r="AX28" s="90">
        <f t="shared" si="7"/>
        <v>0</v>
      </c>
      <c r="AY28" s="157">
        <f t="shared" si="3"/>
        <v>-12.011569999999999</v>
      </c>
      <c r="AZ28" s="182">
        <v>0</v>
      </c>
      <c r="BA28" s="158">
        <v>-12.011569999999999</v>
      </c>
      <c r="BB28" s="158">
        <v>0</v>
      </c>
      <c r="BC28" s="158">
        <v>0</v>
      </c>
      <c r="BD28" s="158">
        <v>0</v>
      </c>
      <c r="BE28" s="158">
        <v>0</v>
      </c>
      <c r="BF28" s="158">
        <v>0</v>
      </c>
      <c r="BG28" s="158">
        <v>0</v>
      </c>
      <c r="BH28" s="158">
        <v>0</v>
      </c>
      <c r="BI28" s="158">
        <v>0</v>
      </c>
      <c r="BJ28" s="158">
        <v>0</v>
      </c>
      <c r="BK28" s="158">
        <v>0</v>
      </c>
      <c r="BL28" s="182"/>
      <c r="BM28" s="158">
        <v>0</v>
      </c>
      <c r="BN28" s="182"/>
      <c r="BO28" s="158">
        <v>0</v>
      </c>
      <c r="BP28" s="182"/>
      <c r="BQ28" s="158">
        <v>0</v>
      </c>
      <c r="BR28" s="182"/>
      <c r="BS28" s="158">
        <v>0</v>
      </c>
      <c r="BT28" s="182"/>
      <c r="BU28" s="158">
        <v>0</v>
      </c>
      <c r="BV28" s="182"/>
      <c r="BW28" s="234"/>
      <c r="BX28" s="237"/>
      <c r="BY28" s="81">
        <f t="shared" si="4"/>
        <v>0</v>
      </c>
      <c r="BZ28" s="198"/>
      <c r="CA28" s="198"/>
      <c r="CB28" s="198"/>
      <c r="CC28" s="198"/>
      <c r="CD28" s="198"/>
      <c r="CE28" s="198"/>
      <c r="CF28" s="198"/>
      <c r="CG28" s="198"/>
      <c r="CH28" s="198"/>
      <c r="CI28" s="198"/>
      <c r="CJ28" s="198"/>
      <c r="CK28" s="198"/>
      <c r="CL28" s="195">
        <f t="shared" si="8"/>
        <v>0</v>
      </c>
      <c r="CM28" s="196"/>
      <c r="CN28" s="196"/>
      <c r="CO28" s="196"/>
      <c r="CP28" s="196"/>
      <c r="CQ28" s="196"/>
      <c r="CR28" s="196"/>
      <c r="CS28" s="196"/>
      <c r="CT28" s="196"/>
      <c r="CU28" s="196"/>
      <c r="CV28" s="196"/>
      <c r="CW28" s="196"/>
      <c r="CX28" s="196"/>
      <c r="CY28" s="200">
        <f t="shared" si="9"/>
        <v>0</v>
      </c>
      <c r="CZ28" s="172">
        <f t="shared" si="5"/>
        <v>0</v>
      </c>
      <c r="DA28" s="201">
        <f t="shared" si="10"/>
        <v>-12.011569999999999</v>
      </c>
      <c r="DB28" s="201">
        <f t="shared" si="11"/>
        <v>0</v>
      </c>
      <c r="DC28" s="201">
        <f t="shared" si="18"/>
        <v>-12.011569999999999</v>
      </c>
      <c r="DD28" s="239">
        <v>-12.011569999999999</v>
      </c>
      <c r="DE28" s="201">
        <f t="shared" si="12"/>
        <v>0</v>
      </c>
      <c r="DF28" s="172" t="e">
        <f>SUM(DN28:DO28)-SUM(#REF!,BV28)+BU28</f>
        <v>#REF!</v>
      </c>
      <c r="DG28" s="207"/>
      <c r="DH28" s="225">
        <f t="shared" si="13"/>
        <v>-12.011569999999999</v>
      </c>
      <c r="DI28" s="225">
        <f t="shared" si="14"/>
        <v>0</v>
      </c>
      <c r="DJ28" s="225">
        <f t="shared" si="15"/>
        <v>0</v>
      </c>
      <c r="DK28" s="225" t="e">
        <f>SUM(BS28,#REF!,BV28)</f>
        <v>#REF!</v>
      </c>
      <c r="DL28" s="145"/>
      <c r="DM28" s="145"/>
      <c r="DN28" s="145"/>
      <c r="DO28" s="145"/>
      <c r="DP28" s="145"/>
      <c r="DQ28" s="145"/>
      <c r="DS28" s="219">
        <f t="shared" si="19"/>
        <v>0</v>
      </c>
    </row>
    <row r="29" spans="1:123" s="21" customFormat="1" ht="24" hidden="1" customHeight="1">
      <c r="A29" s="16"/>
      <c r="B29" s="2">
        <v>20</v>
      </c>
      <c r="C29" s="78" t="s">
        <v>665</v>
      </c>
      <c r="D29" s="78"/>
      <c r="E29" s="78"/>
      <c r="F29" s="3"/>
      <c r="G29" s="4"/>
      <c r="H29" s="4"/>
      <c r="I29" s="4"/>
      <c r="J29" s="13" t="str">
        <f t="shared" ca="1" si="6"/>
        <v/>
      </c>
      <c r="K29" s="165" t="str">
        <f t="shared" si="16"/>
        <v/>
      </c>
      <c r="L29" s="165" t="str">
        <f t="shared" si="17"/>
        <v/>
      </c>
      <c r="M29" s="165"/>
      <c r="N29" s="165"/>
      <c r="O29" s="165"/>
      <c r="P29" s="165"/>
      <c r="Q29" s="165"/>
      <c r="R29" s="3" t="s">
        <v>175</v>
      </c>
      <c r="S29" s="11"/>
      <c r="T29" s="11"/>
      <c r="U29" s="5" t="s">
        <v>8</v>
      </c>
      <c r="V29" s="251"/>
      <c r="W29" s="5" t="s">
        <v>1279</v>
      </c>
      <c r="X29" s="5" t="s">
        <v>472</v>
      </c>
      <c r="Y29" s="5" t="s">
        <v>1299</v>
      </c>
      <c r="Z29" s="3" t="s">
        <v>180</v>
      </c>
      <c r="AA29" s="6" t="s">
        <v>461</v>
      </c>
      <c r="AB29" s="141" t="s">
        <v>1331</v>
      </c>
      <c r="AC29" s="165"/>
      <c r="AD29" s="165"/>
      <c r="AE29" s="165" t="str">
        <f t="shared" si="20"/>
        <v/>
      </c>
      <c r="AF29" s="5"/>
      <c r="AG29" s="5"/>
      <c r="AH29" s="210"/>
      <c r="AI29" s="76" t="s">
        <v>308</v>
      </c>
      <c r="AJ29" s="76"/>
      <c r="AK29" s="221" t="e">
        <f>SUM(#REF!,BT29,BV29)</f>
        <v>#REF!</v>
      </c>
      <c r="AL29" s="161"/>
      <c r="AM29" s="161"/>
      <c r="AN29" s="161"/>
      <c r="AO29" s="161"/>
      <c r="AP29" s="161"/>
      <c r="AQ29" s="161"/>
      <c r="AR29" s="51"/>
      <c r="AS29" s="51">
        <v>0</v>
      </c>
      <c r="AT29" s="51">
        <v>155.01553999999999</v>
      </c>
      <c r="AU29" s="51">
        <v>-154.07482000000002</v>
      </c>
      <c r="AV29" s="36"/>
      <c r="AW29" s="36"/>
      <c r="AX29" s="90">
        <f t="shared" si="7"/>
        <v>0</v>
      </c>
      <c r="AY29" s="157">
        <f t="shared" si="3"/>
        <v>-155.01554000000002</v>
      </c>
      <c r="AZ29" s="182">
        <v>0</v>
      </c>
      <c r="BA29" s="158">
        <v>-154.07482000000002</v>
      </c>
      <c r="BB29" s="158">
        <v>0</v>
      </c>
      <c r="BC29" s="158">
        <v>3.7698899999999997</v>
      </c>
      <c r="BD29" s="158">
        <v>0</v>
      </c>
      <c r="BE29" s="158">
        <v>-0.42056999999999944</v>
      </c>
      <c r="BF29" s="158">
        <v>0</v>
      </c>
      <c r="BG29" s="158">
        <v>0.10481000000000006</v>
      </c>
      <c r="BH29" s="158">
        <v>0</v>
      </c>
      <c r="BI29" s="158">
        <v>-3.2854100000000002</v>
      </c>
      <c r="BJ29" s="158">
        <v>0</v>
      </c>
      <c r="BK29" s="158">
        <v>36.562609999999999</v>
      </c>
      <c r="BL29" s="182"/>
      <c r="BM29" s="158">
        <v>-37.137740000000008</v>
      </c>
      <c r="BN29" s="182"/>
      <c r="BO29" s="158">
        <v>-0.29813999999999763</v>
      </c>
      <c r="BP29" s="182"/>
      <c r="BQ29" s="158">
        <v>-4.3289999999999988E-2</v>
      </c>
      <c r="BR29" s="182"/>
      <c r="BS29" s="158">
        <v>0.87100999999999995</v>
      </c>
      <c r="BT29" s="182"/>
      <c r="BU29" s="158">
        <v>-0.79897999999999991</v>
      </c>
      <c r="BV29" s="182"/>
      <c r="BW29" s="234">
        <v>-0.26491000000000003</v>
      </c>
      <c r="BX29" s="237">
        <v>-0.26491000000000003</v>
      </c>
      <c r="BY29" s="81">
        <f t="shared" si="4"/>
        <v>0</v>
      </c>
      <c r="BZ29" s="198"/>
      <c r="CA29" s="198"/>
      <c r="CB29" s="198"/>
      <c r="CC29" s="198"/>
      <c r="CD29" s="198"/>
      <c r="CE29" s="198"/>
      <c r="CF29" s="198"/>
      <c r="CG29" s="198"/>
      <c r="CH29" s="198"/>
      <c r="CI29" s="198"/>
      <c r="CJ29" s="198"/>
      <c r="CK29" s="198"/>
      <c r="CL29" s="195">
        <f t="shared" si="8"/>
        <v>0</v>
      </c>
      <c r="CM29" s="196"/>
      <c r="CN29" s="196"/>
      <c r="CO29" s="196"/>
      <c r="CP29" s="196"/>
      <c r="CQ29" s="196"/>
      <c r="CR29" s="196"/>
      <c r="CS29" s="196"/>
      <c r="CT29" s="196"/>
      <c r="CU29" s="196"/>
      <c r="CV29" s="196"/>
      <c r="CW29" s="196"/>
      <c r="CX29" s="196"/>
      <c r="CY29" s="200">
        <f t="shared" si="9"/>
        <v>0.26491000000000003</v>
      </c>
      <c r="CZ29" s="172">
        <f t="shared" si="5"/>
        <v>0</v>
      </c>
      <c r="DA29" s="201">
        <f t="shared" si="10"/>
        <v>-154.75063000000003</v>
      </c>
      <c r="DB29" s="201">
        <f t="shared" si="11"/>
        <v>-0.26491000000000003</v>
      </c>
      <c r="DC29" s="201">
        <f t="shared" si="18"/>
        <v>-155.01554000000002</v>
      </c>
      <c r="DD29" s="239">
        <v>-153.95165000000003</v>
      </c>
      <c r="DE29" s="201">
        <f t="shared" si="12"/>
        <v>-1.0638899999999865</v>
      </c>
      <c r="DF29" s="172" t="e">
        <f>SUM(DN29:DO29)-SUM(#REF!,BV29)+BU29</f>
        <v>#REF!</v>
      </c>
      <c r="DG29" s="207"/>
      <c r="DH29" s="225">
        <f t="shared" si="13"/>
        <v>-150.72550000000001</v>
      </c>
      <c r="DI29" s="225">
        <f t="shared" si="14"/>
        <v>33.382010000000001</v>
      </c>
      <c r="DJ29" s="225">
        <f t="shared" si="15"/>
        <v>-37.479170000000003</v>
      </c>
      <c r="DK29" s="225" t="e">
        <f>SUM(BS29,#REF!,BV29)</f>
        <v>#REF!</v>
      </c>
      <c r="DL29" s="145"/>
      <c r="DM29" s="145"/>
      <c r="DN29" s="145">
        <v>17.545000000000002</v>
      </c>
      <c r="DO29" s="145">
        <v>0</v>
      </c>
      <c r="DP29" s="145"/>
      <c r="DQ29" s="145"/>
      <c r="DS29" s="219">
        <f t="shared" si="19"/>
        <v>0</v>
      </c>
    </row>
    <row r="30" spans="1:123" s="21" customFormat="1" ht="24" hidden="1" customHeight="1">
      <c r="A30" s="16"/>
      <c r="B30" s="2">
        <v>21</v>
      </c>
      <c r="C30" s="78" t="s">
        <v>669</v>
      </c>
      <c r="D30" s="78"/>
      <c r="E30" s="78"/>
      <c r="F30" s="3"/>
      <c r="G30" s="4"/>
      <c r="H30" s="4"/>
      <c r="I30" s="4"/>
      <c r="J30" s="13" t="str">
        <f t="shared" ca="1" si="6"/>
        <v/>
      </c>
      <c r="K30" s="165" t="str">
        <f t="shared" si="16"/>
        <v/>
      </c>
      <c r="L30" s="165" t="str">
        <f t="shared" si="17"/>
        <v/>
      </c>
      <c r="M30" s="165"/>
      <c r="N30" s="165"/>
      <c r="O30" s="165"/>
      <c r="P30" s="165"/>
      <c r="Q30" s="165"/>
      <c r="R30" s="3" t="s">
        <v>175</v>
      </c>
      <c r="S30" s="11"/>
      <c r="T30" s="11"/>
      <c r="U30" s="5" t="s">
        <v>8</v>
      </c>
      <c r="V30" s="251"/>
      <c r="W30" s="5" t="s">
        <v>1279</v>
      </c>
      <c r="X30" s="5" t="s">
        <v>681</v>
      </c>
      <c r="Y30" s="5" t="s">
        <v>1300</v>
      </c>
      <c r="Z30" s="3" t="s">
        <v>180</v>
      </c>
      <c r="AA30" s="6" t="s">
        <v>217</v>
      </c>
      <c r="AB30" s="141"/>
      <c r="AC30" s="165"/>
      <c r="AD30" s="165"/>
      <c r="AE30" s="165" t="str">
        <f t="shared" si="20"/>
        <v/>
      </c>
      <c r="AF30" s="5"/>
      <c r="AG30" s="5"/>
      <c r="AH30" s="210"/>
      <c r="AI30" s="76" t="s">
        <v>528</v>
      </c>
      <c r="AJ30" s="203"/>
      <c r="AK30" s="221" t="e">
        <f>SUM(#REF!,BT30,BV30)</f>
        <v>#REF!</v>
      </c>
      <c r="AL30" s="161"/>
      <c r="AM30" s="161"/>
      <c r="AN30" s="161"/>
      <c r="AO30" s="161"/>
      <c r="AP30" s="161"/>
      <c r="AQ30" s="161"/>
      <c r="AR30" s="51"/>
      <c r="AS30" s="51">
        <v>0</v>
      </c>
      <c r="AT30" s="51">
        <v>1.3934300000000002</v>
      </c>
      <c r="AU30" s="51">
        <v>-1.3934300000000002</v>
      </c>
      <c r="AV30" s="36"/>
      <c r="AW30" s="36"/>
      <c r="AX30" s="90">
        <f t="shared" si="7"/>
        <v>0</v>
      </c>
      <c r="AY30" s="157">
        <f t="shared" si="3"/>
        <v>-1.3934300000000002</v>
      </c>
      <c r="AZ30" s="182">
        <v>0</v>
      </c>
      <c r="BA30" s="158">
        <v>-1.3934300000000002</v>
      </c>
      <c r="BB30" s="158">
        <v>0</v>
      </c>
      <c r="BC30" s="158">
        <v>0</v>
      </c>
      <c r="BD30" s="158">
        <v>0</v>
      </c>
      <c r="BE30" s="158">
        <v>0</v>
      </c>
      <c r="BF30" s="158">
        <v>0</v>
      </c>
      <c r="BG30" s="158">
        <v>0</v>
      </c>
      <c r="BH30" s="158">
        <v>0</v>
      </c>
      <c r="BI30" s="158">
        <v>0</v>
      </c>
      <c r="BJ30" s="158">
        <v>0</v>
      </c>
      <c r="BK30" s="158">
        <v>0</v>
      </c>
      <c r="BL30" s="182"/>
      <c r="BM30" s="158">
        <v>0</v>
      </c>
      <c r="BN30" s="182"/>
      <c r="BO30" s="158">
        <v>0</v>
      </c>
      <c r="BP30" s="182"/>
      <c r="BQ30" s="158">
        <v>0</v>
      </c>
      <c r="BR30" s="182"/>
      <c r="BS30" s="158">
        <v>0</v>
      </c>
      <c r="BT30" s="182"/>
      <c r="BU30" s="158">
        <v>0</v>
      </c>
      <c r="BV30" s="182"/>
      <c r="BW30" s="234"/>
      <c r="BX30" s="237"/>
      <c r="BY30" s="81">
        <f t="shared" si="4"/>
        <v>0</v>
      </c>
      <c r="BZ30" s="198"/>
      <c r="CA30" s="198"/>
      <c r="CB30" s="198"/>
      <c r="CC30" s="198"/>
      <c r="CD30" s="198"/>
      <c r="CE30" s="198"/>
      <c r="CF30" s="198"/>
      <c r="CG30" s="198"/>
      <c r="CH30" s="198"/>
      <c r="CI30" s="198"/>
      <c r="CJ30" s="198"/>
      <c r="CK30" s="198"/>
      <c r="CL30" s="195">
        <f t="shared" si="8"/>
        <v>0</v>
      </c>
      <c r="CM30" s="196"/>
      <c r="CN30" s="196"/>
      <c r="CO30" s="196"/>
      <c r="CP30" s="196"/>
      <c r="CQ30" s="196"/>
      <c r="CR30" s="196"/>
      <c r="CS30" s="196"/>
      <c r="CT30" s="196"/>
      <c r="CU30" s="196"/>
      <c r="CV30" s="196"/>
      <c r="CW30" s="196"/>
      <c r="CX30" s="196"/>
      <c r="CY30" s="200">
        <f t="shared" si="9"/>
        <v>0</v>
      </c>
      <c r="CZ30" s="172">
        <f t="shared" si="5"/>
        <v>0</v>
      </c>
      <c r="DA30" s="201">
        <f t="shared" si="10"/>
        <v>-1.3934300000000002</v>
      </c>
      <c r="DB30" s="201">
        <f t="shared" si="11"/>
        <v>0</v>
      </c>
      <c r="DC30" s="201">
        <f t="shared" si="18"/>
        <v>-1.3934300000000002</v>
      </c>
      <c r="DD30" s="239">
        <v>-1.3934300000000002</v>
      </c>
      <c r="DE30" s="201">
        <f t="shared" si="12"/>
        <v>0</v>
      </c>
      <c r="DF30" s="172" t="e">
        <f>SUM(DN30:DO30)-SUM(#REF!,BV30)+BU30</f>
        <v>#REF!</v>
      </c>
      <c r="DG30" s="207"/>
      <c r="DH30" s="225">
        <f t="shared" si="13"/>
        <v>-1.3934300000000002</v>
      </c>
      <c r="DI30" s="225">
        <f t="shared" si="14"/>
        <v>0</v>
      </c>
      <c r="DJ30" s="225">
        <f t="shared" si="15"/>
        <v>0</v>
      </c>
      <c r="DK30" s="225" t="e">
        <f>SUM(BS30,#REF!,BV30)</f>
        <v>#REF!</v>
      </c>
      <c r="DL30" s="145"/>
      <c r="DM30" s="145"/>
      <c r="DN30" s="145"/>
      <c r="DO30" s="145"/>
      <c r="DP30" s="145"/>
      <c r="DQ30" s="145"/>
      <c r="DS30" s="219">
        <f t="shared" si="19"/>
        <v>0</v>
      </c>
    </row>
    <row r="31" spans="1:123" s="21" customFormat="1" ht="24" hidden="1" customHeight="1">
      <c r="A31" s="16"/>
      <c r="B31" s="2">
        <v>22</v>
      </c>
      <c r="C31" s="78" t="s">
        <v>670</v>
      </c>
      <c r="D31" s="78"/>
      <c r="E31" s="78"/>
      <c r="F31" s="3"/>
      <c r="G31" s="4"/>
      <c r="H31" s="4"/>
      <c r="I31" s="4"/>
      <c r="J31" s="13" t="str">
        <f t="shared" ca="1" si="6"/>
        <v/>
      </c>
      <c r="K31" s="165" t="str">
        <f t="shared" si="16"/>
        <v/>
      </c>
      <c r="L31" s="165" t="str">
        <f t="shared" si="17"/>
        <v/>
      </c>
      <c r="M31" s="165"/>
      <c r="N31" s="165"/>
      <c r="O31" s="165"/>
      <c r="P31" s="165"/>
      <c r="Q31" s="165"/>
      <c r="R31" s="3" t="s">
        <v>175</v>
      </c>
      <c r="S31" s="11"/>
      <c r="T31" s="11"/>
      <c r="U31" s="5" t="s">
        <v>8</v>
      </c>
      <c r="V31" s="251"/>
      <c r="W31" s="5" t="s">
        <v>1279</v>
      </c>
      <c r="X31" s="5" t="s">
        <v>472</v>
      </c>
      <c r="Y31" s="5" t="s">
        <v>1301</v>
      </c>
      <c r="Z31" s="3" t="s">
        <v>180</v>
      </c>
      <c r="AA31" s="6" t="s">
        <v>461</v>
      </c>
      <c r="AB31" s="267" t="s">
        <v>1391</v>
      </c>
      <c r="AC31" s="165"/>
      <c r="AD31" s="165"/>
      <c r="AE31" s="165" t="str">
        <f t="shared" si="20"/>
        <v/>
      </c>
      <c r="AF31" s="5"/>
      <c r="AG31" s="5"/>
      <c r="AH31" s="210"/>
      <c r="AI31" s="76" t="s">
        <v>533</v>
      </c>
      <c r="AJ31" s="76"/>
      <c r="AK31" s="221" t="e">
        <f>SUM(#REF!,BT31,BV31)</f>
        <v>#REF!</v>
      </c>
      <c r="AL31" s="161"/>
      <c r="AM31" s="161"/>
      <c r="AN31" s="161"/>
      <c r="AO31" s="161"/>
      <c r="AP31" s="161"/>
      <c r="AQ31" s="161"/>
      <c r="AR31" s="51"/>
      <c r="AS31" s="51">
        <v>0</v>
      </c>
      <c r="AT31" s="51">
        <v>0</v>
      </c>
      <c r="AU31" s="51">
        <v>0</v>
      </c>
      <c r="AV31" s="36"/>
      <c r="AW31" s="36"/>
      <c r="AX31" s="90">
        <f t="shared" si="7"/>
        <v>0</v>
      </c>
      <c r="AY31" s="157">
        <f t="shared" si="3"/>
        <v>1.1102230246251565E-16</v>
      </c>
      <c r="AZ31" s="182">
        <v>0</v>
      </c>
      <c r="BA31" s="158">
        <v>0</v>
      </c>
      <c r="BB31" s="158">
        <v>0</v>
      </c>
      <c r="BC31" s="158">
        <v>0</v>
      </c>
      <c r="BD31" s="158">
        <v>0</v>
      </c>
      <c r="BE31" s="158">
        <v>0</v>
      </c>
      <c r="BF31" s="158">
        <v>0</v>
      </c>
      <c r="BG31" s="158">
        <v>0.17405000000000001</v>
      </c>
      <c r="BH31" s="158">
        <v>0</v>
      </c>
      <c r="BI31" s="158">
        <v>0.22938</v>
      </c>
      <c r="BJ31" s="158">
        <v>0</v>
      </c>
      <c r="BK31" s="158">
        <v>1.75898</v>
      </c>
      <c r="BL31" s="158"/>
      <c r="BM31" s="158">
        <v>-1.7349599999999998</v>
      </c>
      <c r="BN31" s="158"/>
      <c r="BO31" s="158">
        <v>-0.42745</v>
      </c>
      <c r="BP31" s="182">
        <v>73.2</v>
      </c>
      <c r="BQ31" s="243">
        <v>0</v>
      </c>
      <c r="BR31" s="182"/>
      <c r="BS31" s="243">
        <v>0</v>
      </c>
      <c r="BT31" s="182"/>
      <c r="BU31" s="158">
        <v>0</v>
      </c>
      <c r="BV31" s="182"/>
      <c r="BW31" s="234"/>
      <c r="BX31" s="237"/>
      <c r="BY31" s="81">
        <f t="shared" si="4"/>
        <v>0</v>
      </c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5">
        <f t="shared" si="8"/>
        <v>0</v>
      </c>
      <c r="CM31" s="196"/>
      <c r="CN31" s="196"/>
      <c r="CO31" s="196"/>
      <c r="CP31" s="196"/>
      <c r="CQ31" s="196"/>
      <c r="CR31" s="196"/>
      <c r="CS31" s="196"/>
      <c r="CT31" s="196"/>
      <c r="CU31" s="196"/>
      <c r="CV31" s="196"/>
      <c r="CW31" s="196"/>
      <c r="CX31" s="196"/>
      <c r="CY31" s="200">
        <f t="shared" si="9"/>
        <v>0</v>
      </c>
      <c r="CZ31" s="172">
        <f t="shared" si="5"/>
        <v>0</v>
      </c>
      <c r="DA31" s="201">
        <f t="shared" si="10"/>
        <v>1.1102230246251565E-16</v>
      </c>
      <c r="DB31" s="201">
        <f t="shared" si="11"/>
        <v>0</v>
      </c>
      <c r="DC31" s="201">
        <f t="shared" si="18"/>
        <v>1.1102230246251565E-16</v>
      </c>
      <c r="DD31" s="239">
        <v>1.1102230246251565E-16</v>
      </c>
      <c r="DE31" s="201">
        <f t="shared" si="12"/>
        <v>0</v>
      </c>
      <c r="DF31" s="172" t="e">
        <f>SUM(DN31:DO31)-SUM(#REF!,BV31)+BU31</f>
        <v>#REF!</v>
      </c>
      <c r="DG31" s="207"/>
      <c r="DH31" s="225">
        <f t="shared" si="13"/>
        <v>0</v>
      </c>
      <c r="DI31" s="225">
        <f t="shared" si="14"/>
        <v>2.1624099999999999</v>
      </c>
      <c r="DJ31" s="225">
        <f t="shared" si="15"/>
        <v>-2.1624099999999999</v>
      </c>
      <c r="DK31" s="225" t="e">
        <f>SUM(BS31,#REF!,BV31)</f>
        <v>#REF!</v>
      </c>
      <c r="DL31" s="145"/>
      <c r="DM31" s="145"/>
      <c r="DN31" s="145"/>
      <c r="DO31" s="145"/>
      <c r="DP31" s="145"/>
      <c r="DQ31" s="145"/>
      <c r="DS31" s="219">
        <f t="shared" si="19"/>
        <v>0</v>
      </c>
    </row>
    <row r="32" spans="1:123" s="21" customFormat="1" ht="24" hidden="1" customHeight="1">
      <c r="A32" s="16"/>
      <c r="B32" s="2">
        <v>23</v>
      </c>
      <c r="C32" s="78" t="s">
        <v>680</v>
      </c>
      <c r="D32" s="78"/>
      <c r="E32" s="78"/>
      <c r="F32" s="3"/>
      <c r="G32" s="4"/>
      <c r="H32" s="4"/>
      <c r="I32" s="4"/>
      <c r="J32" s="13" t="str">
        <f t="shared" ca="1" si="6"/>
        <v/>
      </c>
      <c r="K32" s="165" t="str">
        <f t="shared" si="16"/>
        <v/>
      </c>
      <c r="L32" s="165" t="str">
        <f t="shared" si="17"/>
        <v/>
      </c>
      <c r="M32" s="165"/>
      <c r="N32" s="165"/>
      <c r="O32" s="165"/>
      <c r="P32" s="165"/>
      <c r="Q32" s="165"/>
      <c r="R32" s="3" t="s">
        <v>175</v>
      </c>
      <c r="S32" s="11"/>
      <c r="T32" s="11"/>
      <c r="U32" s="5" t="s">
        <v>8</v>
      </c>
      <c r="V32" s="251"/>
      <c r="W32" s="5" t="s">
        <v>1279</v>
      </c>
      <c r="X32" s="5" t="s">
        <v>475</v>
      </c>
      <c r="Y32" s="5" t="s">
        <v>1302</v>
      </c>
      <c r="Z32" s="3" t="s">
        <v>180</v>
      </c>
      <c r="AA32" s="6" t="s">
        <v>194</v>
      </c>
      <c r="AB32" s="267" t="s">
        <v>1391</v>
      </c>
      <c r="AC32" s="165"/>
      <c r="AD32" s="165"/>
      <c r="AE32" s="165" t="str">
        <f t="shared" si="20"/>
        <v/>
      </c>
      <c r="AF32" s="5"/>
      <c r="AG32" s="5"/>
      <c r="AH32" s="210"/>
      <c r="AI32" s="76" t="s">
        <v>251</v>
      </c>
      <c r="AJ32" s="76"/>
      <c r="AK32" s="221" t="e">
        <f>SUM(#REF!,BT32,BV32)</f>
        <v>#REF!</v>
      </c>
      <c r="AL32" s="161"/>
      <c r="AM32" s="161"/>
      <c r="AN32" s="161"/>
      <c r="AO32" s="161"/>
      <c r="AP32" s="161"/>
      <c r="AQ32" s="161"/>
      <c r="AR32" s="51"/>
      <c r="AS32" s="51">
        <v>0</v>
      </c>
      <c r="AT32" s="51">
        <v>1.0731199999999035</v>
      </c>
      <c r="AU32" s="51">
        <v>-1.2540899999999999</v>
      </c>
      <c r="AV32" s="36"/>
      <c r="AW32" s="36"/>
      <c r="AX32" s="90">
        <f t="shared" si="7"/>
        <v>0</v>
      </c>
      <c r="AY32" s="157">
        <f t="shared" si="3"/>
        <v>-1.2540899999999999</v>
      </c>
      <c r="AZ32" s="182">
        <v>0</v>
      </c>
      <c r="BA32" s="158">
        <v>-1.2540899999999999</v>
      </c>
      <c r="BB32" s="158">
        <v>0</v>
      </c>
      <c r="BC32" s="158">
        <v>0</v>
      </c>
      <c r="BD32" s="158">
        <v>0</v>
      </c>
      <c r="BE32" s="158">
        <v>0</v>
      </c>
      <c r="BF32" s="158">
        <v>0</v>
      </c>
      <c r="BG32" s="158">
        <v>0</v>
      </c>
      <c r="BH32" s="158">
        <v>0</v>
      </c>
      <c r="BI32" s="158">
        <v>0</v>
      </c>
      <c r="BJ32" s="158">
        <v>0</v>
      </c>
      <c r="BK32" s="158">
        <v>0</v>
      </c>
      <c r="BL32" s="182"/>
      <c r="BM32" s="158">
        <v>0</v>
      </c>
      <c r="BN32" s="182"/>
      <c r="BO32" s="158">
        <v>0</v>
      </c>
      <c r="BP32" s="182"/>
      <c r="BQ32" s="158">
        <v>0</v>
      </c>
      <c r="BR32" s="182"/>
      <c r="BS32" s="158">
        <v>0</v>
      </c>
      <c r="BT32" s="182"/>
      <c r="BU32" s="158">
        <v>0</v>
      </c>
      <c r="BV32" s="182"/>
      <c r="BW32" s="234"/>
      <c r="BX32" s="237"/>
      <c r="BY32" s="81">
        <f t="shared" si="4"/>
        <v>0</v>
      </c>
      <c r="BZ32" s="198"/>
      <c r="CA32" s="198"/>
      <c r="CB32" s="198"/>
      <c r="CC32" s="198"/>
      <c r="CD32" s="198"/>
      <c r="CE32" s="198"/>
      <c r="CF32" s="198"/>
      <c r="CG32" s="198"/>
      <c r="CH32" s="198"/>
      <c r="CI32" s="198"/>
      <c r="CJ32" s="198"/>
      <c r="CK32" s="198"/>
      <c r="CL32" s="195">
        <f t="shared" si="8"/>
        <v>0</v>
      </c>
      <c r="CM32" s="196"/>
      <c r="CN32" s="196"/>
      <c r="CO32" s="196"/>
      <c r="CP32" s="196"/>
      <c r="CQ32" s="196"/>
      <c r="CR32" s="196"/>
      <c r="CS32" s="196"/>
      <c r="CT32" s="196"/>
      <c r="CU32" s="196"/>
      <c r="CV32" s="196"/>
      <c r="CW32" s="196"/>
      <c r="CX32" s="196"/>
      <c r="CY32" s="200">
        <f t="shared" si="9"/>
        <v>0</v>
      </c>
      <c r="CZ32" s="172">
        <f t="shared" si="5"/>
        <v>0</v>
      </c>
      <c r="DA32" s="201">
        <f t="shared" si="10"/>
        <v>-1.2540899999999999</v>
      </c>
      <c r="DB32" s="201">
        <f t="shared" si="11"/>
        <v>0</v>
      </c>
      <c r="DC32" s="201">
        <f t="shared" si="18"/>
        <v>-1.2540899999999999</v>
      </c>
      <c r="DD32" s="239">
        <v>-1.2540899999999999</v>
      </c>
      <c r="DE32" s="201">
        <f t="shared" si="12"/>
        <v>0</v>
      </c>
      <c r="DF32" s="172" t="e">
        <f>SUM(DN32:DO32)-SUM(#REF!,BV32)+BU32</f>
        <v>#REF!</v>
      </c>
      <c r="DG32" s="207"/>
      <c r="DH32" s="225">
        <f t="shared" si="13"/>
        <v>-1.2540899999999999</v>
      </c>
      <c r="DI32" s="225">
        <f t="shared" si="14"/>
        <v>0</v>
      </c>
      <c r="DJ32" s="225">
        <f t="shared" si="15"/>
        <v>0</v>
      </c>
      <c r="DK32" s="225" t="e">
        <f>SUM(BS32,#REF!,BV32)</f>
        <v>#REF!</v>
      </c>
      <c r="DL32" s="145"/>
      <c r="DM32" s="145"/>
      <c r="DN32" s="145"/>
      <c r="DO32" s="145"/>
      <c r="DP32" s="145"/>
      <c r="DQ32" s="145"/>
      <c r="DS32" s="219">
        <f t="shared" si="19"/>
        <v>0</v>
      </c>
    </row>
    <row r="33" spans="1:123" s="21" customFormat="1" ht="24" hidden="1" customHeight="1">
      <c r="A33" s="16"/>
      <c r="B33" s="2">
        <v>24</v>
      </c>
      <c r="C33" s="78" t="s">
        <v>671</v>
      </c>
      <c r="D33" s="78"/>
      <c r="E33" s="78"/>
      <c r="F33" s="3"/>
      <c r="G33" s="4"/>
      <c r="H33" s="4"/>
      <c r="I33" s="4"/>
      <c r="J33" s="13" t="str">
        <f t="shared" ca="1" si="6"/>
        <v/>
      </c>
      <c r="K33" s="165" t="str">
        <f t="shared" si="16"/>
        <v/>
      </c>
      <c r="L33" s="165" t="str">
        <f t="shared" si="17"/>
        <v/>
      </c>
      <c r="M33" s="165"/>
      <c r="N33" s="165"/>
      <c r="O33" s="165"/>
      <c r="P33" s="165"/>
      <c r="Q33" s="165"/>
      <c r="R33" s="3" t="s">
        <v>175</v>
      </c>
      <c r="S33" s="11"/>
      <c r="T33" s="11"/>
      <c r="U33" s="5" t="s">
        <v>8</v>
      </c>
      <c r="V33" s="251"/>
      <c r="W33" s="5" t="s">
        <v>1279</v>
      </c>
      <c r="X33" s="5" t="s">
        <v>901</v>
      </c>
      <c r="Y33" s="5" t="s">
        <v>1303</v>
      </c>
      <c r="Z33" s="3" t="s">
        <v>182</v>
      </c>
      <c r="AA33" s="6" t="s">
        <v>461</v>
      </c>
      <c r="AB33" s="141"/>
      <c r="AC33" s="165"/>
      <c r="AD33" s="165"/>
      <c r="AE33" s="165" t="str">
        <f t="shared" si="20"/>
        <v/>
      </c>
      <c r="AF33" s="5"/>
      <c r="AG33" s="5"/>
      <c r="AH33" s="210"/>
      <c r="AI33" s="76" t="s">
        <v>292</v>
      </c>
      <c r="AJ33" s="76"/>
      <c r="AK33" s="221" t="e">
        <f>SUM(#REF!,BT33,BV33)</f>
        <v>#REF!</v>
      </c>
      <c r="AL33" s="161"/>
      <c r="AM33" s="161"/>
      <c r="AN33" s="161"/>
      <c r="AO33" s="161"/>
      <c r="AP33" s="161"/>
      <c r="AQ33" s="161"/>
      <c r="AR33" s="51"/>
      <c r="AS33" s="51">
        <v>0</v>
      </c>
      <c r="AT33" s="51">
        <v>132.95400000000001</v>
      </c>
      <c r="AU33" s="51">
        <v>0</v>
      </c>
      <c r="AV33" s="36"/>
      <c r="AW33" s="36"/>
      <c r="AX33" s="90">
        <f t="shared" si="7"/>
        <v>0</v>
      </c>
      <c r="AY33" s="157">
        <f t="shared" si="3"/>
        <v>307.63879999999995</v>
      </c>
      <c r="AZ33" s="182">
        <v>0</v>
      </c>
      <c r="BA33" s="158">
        <v>0</v>
      </c>
      <c r="BB33" s="158">
        <v>0</v>
      </c>
      <c r="BC33" s="158">
        <v>0</v>
      </c>
      <c r="BD33" s="158">
        <v>0</v>
      </c>
      <c r="BE33" s="158">
        <v>0</v>
      </c>
      <c r="BF33" s="158">
        <v>0</v>
      </c>
      <c r="BG33" s="158">
        <v>0</v>
      </c>
      <c r="BH33" s="158">
        <v>0</v>
      </c>
      <c r="BI33" s="158">
        <v>0</v>
      </c>
      <c r="BJ33" s="158">
        <v>0</v>
      </c>
      <c r="BK33" s="158">
        <v>292.49879999999996</v>
      </c>
      <c r="BL33" s="182"/>
      <c r="BM33" s="158">
        <v>0.21371999999999999</v>
      </c>
      <c r="BN33" s="182"/>
      <c r="BO33" s="158">
        <v>-0.11924999999999999</v>
      </c>
      <c r="BP33" s="182"/>
      <c r="BQ33" s="158">
        <v>-9.4469999999999998E-2</v>
      </c>
      <c r="BR33" s="182"/>
      <c r="BS33" s="158">
        <v>0</v>
      </c>
      <c r="BT33" s="182"/>
      <c r="BU33" s="158">
        <v>0.37087999999999999</v>
      </c>
      <c r="BV33" s="182">
        <f>-425.5-0.3</f>
        <v>-425.8</v>
      </c>
      <c r="BW33" s="234">
        <v>14.769120000000001</v>
      </c>
      <c r="BX33" s="237">
        <v>14.769120000000001</v>
      </c>
      <c r="BY33" s="81">
        <f t="shared" si="4"/>
        <v>-440.6</v>
      </c>
      <c r="BZ33" s="198">
        <v>-440.6</v>
      </c>
      <c r="CA33" s="198"/>
      <c r="CB33" s="198"/>
      <c r="CC33" s="198"/>
      <c r="CD33" s="198"/>
      <c r="CE33" s="198"/>
      <c r="CF33" s="198"/>
      <c r="CG33" s="198"/>
      <c r="CH33" s="198"/>
      <c r="CI33" s="198"/>
      <c r="CJ33" s="198"/>
      <c r="CK33" s="198"/>
      <c r="CL33" s="195">
        <f t="shared" si="8"/>
        <v>0</v>
      </c>
      <c r="CM33" s="196"/>
      <c r="CN33" s="196"/>
      <c r="CO33" s="196"/>
      <c r="CP33" s="196"/>
      <c r="CQ33" s="196"/>
      <c r="CR33" s="196"/>
      <c r="CS33" s="196"/>
      <c r="CT33" s="196"/>
      <c r="CU33" s="196"/>
      <c r="CV33" s="196"/>
      <c r="CW33" s="196"/>
      <c r="CX33" s="196"/>
      <c r="CY33" s="200">
        <f t="shared" si="9"/>
        <v>-440.56912</v>
      </c>
      <c r="CZ33" s="172">
        <f t="shared" si="5"/>
        <v>0</v>
      </c>
      <c r="DA33" s="201">
        <f t="shared" si="10"/>
        <v>292.86967999999996</v>
      </c>
      <c r="DB33" s="201">
        <f t="shared" si="11"/>
        <v>14.769120000000001</v>
      </c>
      <c r="DC33" s="201">
        <f t="shared" si="18"/>
        <v>748.23879999999997</v>
      </c>
      <c r="DD33" s="239">
        <v>-133.00120000000004</v>
      </c>
      <c r="DE33" s="201">
        <f t="shared" si="12"/>
        <v>881.24</v>
      </c>
      <c r="DF33" s="172" t="e">
        <f>SUM(DN33:DO33)-SUM(#REF!,BV33)+BU33</f>
        <v>#REF!</v>
      </c>
      <c r="DG33" s="207"/>
      <c r="DH33" s="225">
        <f t="shared" si="13"/>
        <v>0</v>
      </c>
      <c r="DI33" s="225">
        <f t="shared" si="14"/>
        <v>292.49879999999996</v>
      </c>
      <c r="DJ33" s="225">
        <f t="shared" si="15"/>
        <v>0</v>
      </c>
      <c r="DK33" s="225" t="e">
        <f>SUM(BS33,#REF!,BV33)</f>
        <v>#REF!</v>
      </c>
      <c r="DL33" s="145"/>
      <c r="DM33" s="145"/>
      <c r="DN33" s="145">
        <v>106.36319999999999</v>
      </c>
      <c r="DO33" s="145">
        <v>0</v>
      </c>
      <c r="DP33" s="145"/>
      <c r="DQ33" s="145"/>
      <c r="DS33" s="219">
        <f t="shared" si="19"/>
        <v>440.6</v>
      </c>
    </row>
    <row r="34" spans="1:123" s="21" customFormat="1" ht="24" hidden="1" customHeight="1">
      <c r="A34" s="16"/>
      <c r="B34" s="2">
        <v>26</v>
      </c>
      <c r="C34" s="78" t="s">
        <v>938</v>
      </c>
      <c r="D34" s="78"/>
      <c r="E34" s="78"/>
      <c r="F34" s="3"/>
      <c r="G34" s="4"/>
      <c r="H34" s="4"/>
      <c r="I34" s="4"/>
      <c r="J34" s="13" t="str">
        <f t="shared" ca="1" si="6"/>
        <v/>
      </c>
      <c r="K34" s="165" t="str">
        <f t="shared" si="16"/>
        <v/>
      </c>
      <c r="L34" s="165" t="str">
        <f t="shared" si="17"/>
        <v/>
      </c>
      <c r="M34" s="165"/>
      <c r="N34" s="165"/>
      <c r="O34" s="165"/>
      <c r="P34" s="165"/>
      <c r="Q34" s="165"/>
      <c r="R34" s="3" t="s">
        <v>175</v>
      </c>
      <c r="S34" s="11"/>
      <c r="T34" s="11"/>
      <c r="U34" s="5" t="s">
        <v>8</v>
      </c>
      <c r="V34" s="251"/>
      <c r="W34" s="5" t="s">
        <v>1279</v>
      </c>
      <c r="X34" s="5" t="s">
        <v>475</v>
      </c>
      <c r="Y34" s="5" t="s">
        <v>1304</v>
      </c>
      <c r="Z34" s="3" t="s">
        <v>180</v>
      </c>
      <c r="AA34" s="6" t="s">
        <v>461</v>
      </c>
      <c r="AB34" s="141" t="s">
        <v>1392</v>
      </c>
      <c r="AC34" s="165"/>
      <c r="AD34" s="165"/>
      <c r="AE34" s="165" t="str">
        <f t="shared" si="20"/>
        <v/>
      </c>
      <c r="AF34" s="5"/>
      <c r="AG34" s="5"/>
      <c r="AH34" s="210"/>
      <c r="AI34" s="76" t="s">
        <v>332</v>
      </c>
      <c r="AJ34" s="76"/>
      <c r="AK34" s="221" t="e">
        <f>SUM(#REF!,BT34,BV34)</f>
        <v>#REF!</v>
      </c>
      <c r="AL34" s="161"/>
      <c r="AM34" s="161"/>
      <c r="AN34" s="161"/>
      <c r="AO34" s="161"/>
      <c r="AP34" s="161"/>
      <c r="AQ34" s="161"/>
      <c r="AR34" s="51"/>
      <c r="AS34" s="51"/>
      <c r="AT34" s="51"/>
      <c r="AU34" s="51">
        <v>0</v>
      </c>
      <c r="AV34" s="36"/>
      <c r="AW34" s="36"/>
      <c r="AX34" s="90"/>
      <c r="AY34" s="157">
        <f t="shared" si="3"/>
        <v>14.162470000000166</v>
      </c>
      <c r="AZ34" s="182"/>
      <c r="BA34" s="158">
        <v>0</v>
      </c>
      <c r="BB34" s="158"/>
      <c r="BC34" s="158">
        <v>0</v>
      </c>
      <c r="BD34" s="158"/>
      <c r="BE34" s="158">
        <v>0</v>
      </c>
      <c r="BF34" s="158"/>
      <c r="BG34" s="158">
        <v>0</v>
      </c>
      <c r="BH34" s="158">
        <v>0</v>
      </c>
      <c r="BI34" s="158">
        <v>2.16845</v>
      </c>
      <c r="BJ34" s="158">
        <v>0</v>
      </c>
      <c r="BK34" s="158">
        <v>757.75022000000013</v>
      </c>
      <c r="BL34" s="182">
        <v>-772.78367000000003</v>
      </c>
      <c r="BM34" s="158">
        <v>-750.57205999999996</v>
      </c>
      <c r="BN34" s="182">
        <v>-772.8</v>
      </c>
      <c r="BO34" s="158">
        <v>-4.4004899999999996</v>
      </c>
      <c r="BP34" s="182">
        <v>-772.8</v>
      </c>
      <c r="BQ34" s="158">
        <v>-1.0651000000000002</v>
      </c>
      <c r="BR34" s="182">
        <f>-759.793-10.3</f>
        <v>-770.09299999999996</v>
      </c>
      <c r="BS34" s="158">
        <v>25.565279999999998</v>
      </c>
      <c r="BT34" s="182"/>
      <c r="BU34" s="158">
        <v>-28.285700000000002</v>
      </c>
      <c r="BV34" s="182"/>
      <c r="BW34" s="234">
        <v>13.00187</v>
      </c>
      <c r="BX34" s="237">
        <v>13.00187</v>
      </c>
      <c r="BY34" s="81">
        <f t="shared" si="4"/>
        <v>-14.2</v>
      </c>
      <c r="BZ34" s="198">
        <v>-14.2</v>
      </c>
      <c r="CA34" s="198"/>
      <c r="CB34" s="198"/>
      <c r="CC34" s="198"/>
      <c r="CD34" s="198"/>
      <c r="CE34" s="198"/>
      <c r="CF34" s="198"/>
      <c r="CG34" s="198"/>
      <c r="CH34" s="198"/>
      <c r="CI34" s="198"/>
      <c r="CJ34" s="198"/>
      <c r="CK34" s="198"/>
      <c r="CL34" s="195">
        <f t="shared" si="8"/>
        <v>0</v>
      </c>
      <c r="CM34" s="196"/>
      <c r="CN34" s="196"/>
      <c r="CO34" s="196"/>
      <c r="CP34" s="196"/>
      <c r="CQ34" s="196"/>
      <c r="CR34" s="196"/>
      <c r="CS34" s="196"/>
      <c r="CT34" s="196"/>
      <c r="CU34" s="196"/>
      <c r="CV34" s="196"/>
      <c r="CW34" s="196"/>
      <c r="CX34" s="196"/>
      <c r="CY34" s="200">
        <f t="shared" si="9"/>
        <v>-13.00187</v>
      </c>
      <c r="CZ34" s="172">
        <f t="shared" si="5"/>
        <v>0</v>
      </c>
      <c r="DA34" s="201">
        <f t="shared" si="10"/>
        <v>1.1606000000001657</v>
      </c>
      <c r="DB34" s="201">
        <f t="shared" si="11"/>
        <v>13.00187</v>
      </c>
      <c r="DC34" s="201">
        <f t="shared" si="18"/>
        <v>28.362470000000165</v>
      </c>
      <c r="DD34" s="239">
        <v>29.446300000000168</v>
      </c>
      <c r="DE34" s="201">
        <f t="shared" si="12"/>
        <v>-1.0838300000000025</v>
      </c>
      <c r="DF34" s="172" t="e">
        <f>SUM(DN34:DO34)-SUM(#REF!,BV34)+BU34</f>
        <v>#REF!</v>
      </c>
      <c r="DG34" s="207"/>
      <c r="DH34" s="225">
        <f t="shared" si="13"/>
        <v>0</v>
      </c>
      <c r="DI34" s="225">
        <f t="shared" si="14"/>
        <v>759.91867000000013</v>
      </c>
      <c r="DJ34" s="225">
        <f t="shared" si="15"/>
        <v>-756.03764999999999</v>
      </c>
      <c r="DK34" s="225" t="e">
        <f>SUM(BS34,#REF!,BV34)</f>
        <v>#REF!</v>
      </c>
      <c r="DL34" s="145"/>
      <c r="DM34" s="145"/>
      <c r="DN34" s="145"/>
      <c r="DO34" s="145"/>
      <c r="DP34" s="145"/>
      <c r="DQ34" s="145"/>
      <c r="DR34" s="21">
        <f>VLOOKUP(C34,[5]Database!$B$126:$AD$521,29,FALSE)</f>
        <v>0</v>
      </c>
      <c r="DS34" s="219">
        <f t="shared" si="19"/>
        <v>14.2</v>
      </c>
    </row>
    <row r="35" spans="1:123" s="21" customFormat="1" ht="24" hidden="1" customHeight="1">
      <c r="A35" s="16"/>
      <c r="B35" s="2">
        <v>27</v>
      </c>
      <c r="C35" s="78" t="s">
        <v>771</v>
      </c>
      <c r="D35" s="78"/>
      <c r="E35" s="78"/>
      <c r="F35" s="3"/>
      <c r="G35" s="4"/>
      <c r="H35" s="4"/>
      <c r="I35" s="4"/>
      <c r="J35" s="13" t="str">
        <f t="shared" ca="1" si="6"/>
        <v/>
      </c>
      <c r="K35" s="165" t="str">
        <f t="shared" si="16"/>
        <v/>
      </c>
      <c r="L35" s="165" t="str">
        <f t="shared" si="17"/>
        <v/>
      </c>
      <c r="M35" s="165"/>
      <c r="N35" s="165"/>
      <c r="O35" s="165"/>
      <c r="P35" s="165"/>
      <c r="Q35" s="165"/>
      <c r="R35" s="3" t="s">
        <v>175</v>
      </c>
      <c r="S35" s="11"/>
      <c r="T35" s="11"/>
      <c r="U35" s="5" t="s">
        <v>8</v>
      </c>
      <c r="V35" s="251"/>
      <c r="W35" s="5" t="s">
        <v>1279</v>
      </c>
      <c r="X35" s="5" t="s">
        <v>475</v>
      </c>
      <c r="Y35" s="5" t="s">
        <v>1305</v>
      </c>
      <c r="Z35" s="3" t="s">
        <v>315</v>
      </c>
      <c r="AA35" s="6" t="s">
        <v>461</v>
      </c>
      <c r="AB35" s="141" t="s">
        <v>1003</v>
      </c>
      <c r="AC35" s="165"/>
      <c r="AD35" s="165"/>
      <c r="AE35" s="165" t="str">
        <f t="shared" si="20"/>
        <v/>
      </c>
      <c r="AF35" s="5"/>
      <c r="AG35" s="5"/>
      <c r="AH35" s="210"/>
      <c r="AI35" s="76" t="s">
        <v>262</v>
      </c>
      <c r="AJ35" s="76"/>
      <c r="AK35" s="221" t="e">
        <f>SUM(#REF!,BT35,BV35)</f>
        <v>#REF!</v>
      </c>
      <c r="AL35" s="161"/>
      <c r="AM35" s="161"/>
      <c r="AN35" s="161"/>
      <c r="AO35" s="161"/>
      <c r="AP35" s="161"/>
      <c r="AQ35" s="161"/>
      <c r="AR35" s="51"/>
      <c r="AS35" s="51"/>
      <c r="AT35" s="51"/>
      <c r="AU35" s="51">
        <v>0</v>
      </c>
      <c r="AV35" s="36"/>
      <c r="AW35" s="36"/>
      <c r="AX35" s="90"/>
      <c r="AY35" s="157">
        <f t="shared" si="3"/>
        <v>234.46706999999998</v>
      </c>
      <c r="AZ35" s="182"/>
      <c r="BA35" s="158">
        <v>0</v>
      </c>
      <c r="BB35" s="158"/>
      <c r="BC35" s="158">
        <v>0</v>
      </c>
      <c r="BD35" s="158">
        <v>0</v>
      </c>
      <c r="BE35" s="158">
        <v>0.98028999999999999</v>
      </c>
      <c r="BF35" s="158">
        <v>0</v>
      </c>
      <c r="BG35" s="158">
        <v>3.25678</v>
      </c>
      <c r="BH35" s="158">
        <v>0</v>
      </c>
      <c r="BI35" s="158">
        <v>0.46365999999999985</v>
      </c>
      <c r="BJ35" s="158">
        <v>0</v>
      </c>
      <c r="BK35" s="158">
        <v>-0.14721000000000001</v>
      </c>
      <c r="BL35" s="182">
        <v>180</v>
      </c>
      <c r="BM35" s="158">
        <v>4.1021999999999998</v>
      </c>
      <c r="BN35" s="182"/>
      <c r="BO35" s="158">
        <v>-9.7273499999999977</v>
      </c>
      <c r="BP35" s="182">
        <v>180</v>
      </c>
      <c r="BQ35" s="158">
        <v>178.49250999999998</v>
      </c>
      <c r="BR35" s="182"/>
      <c r="BS35" s="158">
        <v>-3.3103800000000003</v>
      </c>
      <c r="BT35" s="182"/>
      <c r="BU35" s="158">
        <v>30.01857</v>
      </c>
      <c r="BV35" s="182"/>
      <c r="BW35" s="234">
        <v>30.338000000000001</v>
      </c>
      <c r="BX35" s="237">
        <v>30.338000000000001</v>
      </c>
      <c r="BY35" s="81">
        <f t="shared" si="4"/>
        <v>-234.5</v>
      </c>
      <c r="BZ35" s="198"/>
      <c r="CA35" s="198"/>
      <c r="CB35" s="198">
        <v>-234.5</v>
      </c>
      <c r="CC35" s="198"/>
      <c r="CD35" s="198">
        <v>417</v>
      </c>
      <c r="CE35" s="198"/>
      <c r="CF35" s="198">
        <v>-417</v>
      </c>
      <c r="CG35" s="198"/>
      <c r="CH35" s="198"/>
      <c r="CI35" s="198"/>
      <c r="CJ35" s="198"/>
      <c r="CK35" s="198"/>
      <c r="CL35" s="195">
        <f t="shared" si="8"/>
        <v>0</v>
      </c>
      <c r="CM35" s="196"/>
      <c r="CN35" s="196"/>
      <c r="CO35" s="196"/>
      <c r="CP35" s="196"/>
      <c r="CQ35" s="196"/>
      <c r="CR35" s="196"/>
      <c r="CS35" s="196"/>
      <c r="CT35" s="196"/>
      <c r="CU35" s="196"/>
      <c r="CV35" s="196"/>
      <c r="CW35" s="196"/>
      <c r="CX35" s="196"/>
      <c r="CY35" s="200">
        <f t="shared" si="9"/>
        <v>-30.338000000000001</v>
      </c>
      <c r="CZ35" s="172">
        <f t="shared" si="5"/>
        <v>0</v>
      </c>
      <c r="DA35" s="201">
        <f t="shared" si="10"/>
        <v>204.12906999999998</v>
      </c>
      <c r="DB35" s="201">
        <f t="shared" si="11"/>
        <v>30.338000000000001</v>
      </c>
      <c r="DC35" s="201">
        <f t="shared" si="18"/>
        <v>468.96706999999998</v>
      </c>
      <c r="DD35" s="239">
        <v>-7.189500000000038</v>
      </c>
      <c r="DE35" s="201">
        <f t="shared" si="12"/>
        <v>476.15656999999999</v>
      </c>
      <c r="DF35" s="172" t="e">
        <f>SUM(DN35:DO35)-SUM(#REF!,BV35)+BU35</f>
        <v>#REF!</v>
      </c>
      <c r="DG35" s="207"/>
      <c r="DH35" s="225">
        <f t="shared" si="13"/>
        <v>0.98028999999999999</v>
      </c>
      <c r="DI35" s="225">
        <f t="shared" si="14"/>
        <v>3.5732300000000001</v>
      </c>
      <c r="DJ35" s="225">
        <f t="shared" si="15"/>
        <v>172.86735999999999</v>
      </c>
      <c r="DK35" s="225" t="e">
        <f>SUM(BS35,#REF!,BV35)</f>
        <v>#REF!</v>
      </c>
      <c r="DL35" s="145"/>
      <c r="DM35" s="145"/>
      <c r="DN35" s="145">
        <v>417.50547999999992</v>
      </c>
      <c r="DO35" s="145">
        <v>0</v>
      </c>
      <c r="DP35" s="145"/>
      <c r="DQ35" s="145"/>
      <c r="DR35" s="21">
        <f>VLOOKUP(C35,[5]Database!$B$126:$AD$521,29,FALSE)</f>
        <v>-186.3</v>
      </c>
      <c r="DS35" s="219">
        <f t="shared" si="19"/>
        <v>48.199999999999989</v>
      </c>
    </row>
    <row r="36" spans="1:123" s="21" customFormat="1" ht="24" hidden="1" customHeight="1">
      <c r="A36" s="16"/>
      <c r="B36" s="2">
        <v>28</v>
      </c>
      <c r="C36" s="78" t="s">
        <v>806</v>
      </c>
      <c r="D36" s="78"/>
      <c r="E36" s="78"/>
      <c r="F36" s="3"/>
      <c r="G36" s="4"/>
      <c r="H36" s="4"/>
      <c r="I36" s="4"/>
      <c r="J36" s="13" t="str">
        <f t="shared" ca="1" si="6"/>
        <v/>
      </c>
      <c r="K36" s="165" t="str">
        <f t="shared" si="16"/>
        <v/>
      </c>
      <c r="L36" s="165" t="str">
        <f t="shared" si="17"/>
        <v/>
      </c>
      <c r="M36" s="165"/>
      <c r="N36" s="165"/>
      <c r="O36" s="165"/>
      <c r="P36" s="165"/>
      <c r="Q36" s="165"/>
      <c r="R36" s="3" t="s">
        <v>175</v>
      </c>
      <c r="S36" s="11"/>
      <c r="T36" s="11"/>
      <c r="U36" s="5" t="s">
        <v>7</v>
      </c>
      <c r="V36" s="251"/>
      <c r="W36" s="5" t="s">
        <v>1279</v>
      </c>
      <c r="X36" s="5" t="s">
        <v>475</v>
      </c>
      <c r="Y36" s="5" t="s">
        <v>1306</v>
      </c>
      <c r="Z36" s="3" t="s">
        <v>180</v>
      </c>
      <c r="AA36" s="6" t="s">
        <v>461</v>
      </c>
      <c r="AB36" s="141" t="s">
        <v>1392</v>
      </c>
      <c r="AC36" s="165"/>
      <c r="AD36" s="165"/>
      <c r="AE36" s="165" t="str">
        <f t="shared" si="20"/>
        <v/>
      </c>
      <c r="AF36" s="5"/>
      <c r="AG36" s="5"/>
      <c r="AH36" s="210"/>
      <c r="AI36" s="76" t="s">
        <v>641</v>
      </c>
      <c r="AJ36" s="76"/>
      <c r="AK36" s="221" t="e">
        <f>SUM(#REF!,BT36,BV36)</f>
        <v>#REF!</v>
      </c>
      <c r="AL36" s="161"/>
      <c r="AM36" s="161"/>
      <c r="AN36" s="161"/>
      <c r="AO36" s="161"/>
      <c r="AP36" s="161"/>
      <c r="AQ36" s="161"/>
      <c r="AR36" s="51"/>
      <c r="AS36" s="51"/>
      <c r="AT36" s="51"/>
      <c r="AU36" s="51">
        <v>0</v>
      </c>
      <c r="AV36" s="36"/>
      <c r="AW36" s="36"/>
      <c r="AX36" s="90"/>
      <c r="AY36" s="157">
        <f t="shared" si="3"/>
        <v>-0.16338000000000008</v>
      </c>
      <c r="AZ36" s="182"/>
      <c r="BA36" s="158">
        <v>0</v>
      </c>
      <c r="BB36" s="158"/>
      <c r="BC36" s="158">
        <v>0</v>
      </c>
      <c r="BD36" s="158"/>
      <c r="BE36" s="158">
        <v>0</v>
      </c>
      <c r="BF36" s="158">
        <v>0</v>
      </c>
      <c r="BG36" s="158">
        <v>0.18473000000000001</v>
      </c>
      <c r="BH36" s="158">
        <v>0</v>
      </c>
      <c r="BI36" s="158">
        <v>1.26562</v>
      </c>
      <c r="BJ36" s="158">
        <v>0</v>
      </c>
      <c r="BK36" s="158">
        <v>-1.6137300000000001</v>
      </c>
      <c r="BL36" s="182"/>
      <c r="BM36" s="158">
        <v>0</v>
      </c>
      <c r="BN36" s="182"/>
      <c r="BO36" s="158">
        <v>0</v>
      </c>
      <c r="BP36" s="182"/>
      <c r="BQ36" s="158">
        <v>0</v>
      </c>
      <c r="BR36" s="182"/>
      <c r="BS36" s="158">
        <v>0</v>
      </c>
      <c r="BT36" s="182"/>
      <c r="BU36" s="158">
        <v>0</v>
      </c>
      <c r="BV36" s="182"/>
      <c r="BW36" s="234"/>
      <c r="BX36" s="237"/>
      <c r="BY36" s="81">
        <f t="shared" si="4"/>
        <v>0</v>
      </c>
      <c r="BZ36" s="198"/>
      <c r="CA36" s="198"/>
      <c r="CB36" s="198"/>
      <c r="CC36" s="198"/>
      <c r="CD36" s="198"/>
      <c r="CE36" s="198"/>
      <c r="CF36" s="198"/>
      <c r="CG36" s="198"/>
      <c r="CH36" s="198"/>
      <c r="CI36" s="198"/>
      <c r="CJ36" s="198"/>
      <c r="CK36" s="198"/>
      <c r="CL36" s="195">
        <f t="shared" si="8"/>
        <v>0</v>
      </c>
      <c r="CM36" s="196"/>
      <c r="CN36" s="196"/>
      <c r="CO36" s="196"/>
      <c r="CP36" s="196"/>
      <c r="CQ36" s="196"/>
      <c r="CR36" s="196"/>
      <c r="CS36" s="196"/>
      <c r="CT36" s="196"/>
      <c r="CU36" s="196"/>
      <c r="CV36" s="196"/>
      <c r="CW36" s="196"/>
      <c r="CX36" s="196"/>
      <c r="CY36" s="200">
        <f t="shared" si="9"/>
        <v>0</v>
      </c>
      <c r="CZ36" s="172">
        <f t="shared" si="5"/>
        <v>0</v>
      </c>
      <c r="DA36" s="201">
        <f t="shared" si="10"/>
        <v>-0.16338000000000008</v>
      </c>
      <c r="DB36" s="201">
        <f t="shared" si="11"/>
        <v>0</v>
      </c>
      <c r="DC36" s="201">
        <f t="shared" si="18"/>
        <v>-0.16338000000000008</v>
      </c>
      <c r="DD36" s="239">
        <v>-0.16338000000000008</v>
      </c>
      <c r="DE36" s="201">
        <f t="shared" si="12"/>
        <v>0</v>
      </c>
      <c r="DF36" s="172" t="e">
        <f>SUM(DN36:DO36)-SUM(#REF!,BV36)+BU36</f>
        <v>#REF!</v>
      </c>
      <c r="DG36" s="207"/>
      <c r="DH36" s="225">
        <f t="shared" si="13"/>
        <v>0</v>
      </c>
      <c r="DI36" s="225">
        <f t="shared" si="14"/>
        <v>-0.16338000000000008</v>
      </c>
      <c r="DJ36" s="225">
        <f t="shared" si="15"/>
        <v>0</v>
      </c>
      <c r="DK36" s="225" t="e">
        <f>SUM(BS36,#REF!,BV36)</f>
        <v>#REF!</v>
      </c>
      <c r="DL36" s="145"/>
      <c r="DM36" s="145"/>
      <c r="DN36" s="145"/>
      <c r="DO36" s="145"/>
      <c r="DP36" s="145"/>
      <c r="DQ36" s="145"/>
      <c r="DR36" s="21">
        <f>VLOOKUP(C36,[5]Database!$B$126:$AD$521,29,FALSE)</f>
        <v>0</v>
      </c>
      <c r="DS36" s="219">
        <f t="shared" si="19"/>
        <v>0</v>
      </c>
    </row>
    <row r="37" spans="1:123" s="21" customFormat="1" ht="24" hidden="1" customHeight="1">
      <c r="A37" s="16"/>
      <c r="B37" s="2">
        <v>29</v>
      </c>
      <c r="C37" s="78" t="s">
        <v>772</v>
      </c>
      <c r="D37" s="78"/>
      <c r="E37" s="78"/>
      <c r="F37" s="3"/>
      <c r="G37" s="4"/>
      <c r="H37" s="4"/>
      <c r="I37" s="4"/>
      <c r="J37" s="13" t="str">
        <f t="shared" ca="1" si="6"/>
        <v/>
      </c>
      <c r="K37" s="165" t="str">
        <f t="shared" si="16"/>
        <v/>
      </c>
      <c r="L37" s="165" t="str">
        <f t="shared" si="17"/>
        <v/>
      </c>
      <c r="M37" s="165"/>
      <c r="N37" s="165"/>
      <c r="O37" s="165"/>
      <c r="P37" s="165"/>
      <c r="Q37" s="165"/>
      <c r="R37" s="3" t="s">
        <v>175</v>
      </c>
      <c r="S37" s="11"/>
      <c r="T37" s="11"/>
      <c r="U37" s="5" t="s">
        <v>7</v>
      </c>
      <c r="V37" s="251"/>
      <c r="W37" s="5" t="s">
        <v>1279</v>
      </c>
      <c r="X37" s="5" t="s">
        <v>901</v>
      </c>
      <c r="Y37" s="5" t="s">
        <v>1307</v>
      </c>
      <c r="Z37" s="3" t="s">
        <v>180</v>
      </c>
      <c r="AA37" s="6" t="s">
        <v>461</v>
      </c>
      <c r="AB37" s="230" t="s">
        <v>1393</v>
      </c>
      <c r="AC37" s="165"/>
      <c r="AD37" s="165"/>
      <c r="AE37" s="165" t="str">
        <f t="shared" si="20"/>
        <v/>
      </c>
      <c r="AF37" s="5"/>
      <c r="AG37" s="5"/>
      <c r="AH37" s="210"/>
      <c r="AI37" s="76" t="s">
        <v>713</v>
      </c>
      <c r="AJ37" s="76"/>
      <c r="AK37" s="221" t="e">
        <f>SUM(#REF!,BT37,BV37)</f>
        <v>#REF!</v>
      </c>
      <c r="AL37" s="161"/>
      <c r="AM37" s="161"/>
      <c r="AN37" s="161"/>
      <c r="AO37" s="161"/>
      <c r="AP37" s="161"/>
      <c r="AQ37" s="161"/>
      <c r="AR37" s="51"/>
      <c r="AS37" s="51"/>
      <c r="AT37" s="51"/>
      <c r="AU37" s="51">
        <v>0</v>
      </c>
      <c r="AV37" s="36"/>
      <c r="AW37" s="36"/>
      <c r="AX37" s="90"/>
      <c r="AY37" s="157">
        <f t="shared" si="3"/>
        <v>98.68249999999999</v>
      </c>
      <c r="AZ37" s="182"/>
      <c r="BA37" s="158">
        <v>0</v>
      </c>
      <c r="BB37" s="158"/>
      <c r="BC37" s="158">
        <v>0</v>
      </c>
      <c r="BD37" s="158"/>
      <c r="BE37" s="158">
        <v>0</v>
      </c>
      <c r="BF37" s="158">
        <v>0</v>
      </c>
      <c r="BG37" s="158">
        <v>0.39162000000000002</v>
      </c>
      <c r="BH37" s="158">
        <v>0</v>
      </c>
      <c r="BI37" s="158">
        <v>0.66803000000000001</v>
      </c>
      <c r="BJ37" s="158">
        <v>0</v>
      </c>
      <c r="BK37" s="158">
        <v>-0.58955000000000013</v>
      </c>
      <c r="BL37" s="182"/>
      <c r="BM37" s="158">
        <v>-1.5930000000000021E-2</v>
      </c>
      <c r="BN37" s="182"/>
      <c r="BO37" s="158">
        <v>41.963440000000006</v>
      </c>
      <c r="BP37" s="182">
        <v>113.38667000000001</v>
      </c>
      <c r="BQ37" s="158">
        <v>-140.03214</v>
      </c>
      <c r="BR37" s="182"/>
      <c r="BS37" s="158">
        <v>113.76855999999999</v>
      </c>
      <c r="BT37" s="182"/>
      <c r="BU37" s="158">
        <v>-15.889110000000001</v>
      </c>
      <c r="BV37" s="182"/>
      <c r="BW37" s="234">
        <v>98.417580000000001</v>
      </c>
      <c r="BX37" s="237">
        <v>98.417580000000001</v>
      </c>
      <c r="BY37" s="81">
        <f t="shared" si="4"/>
        <v>-98.417580000000001</v>
      </c>
      <c r="BZ37" s="198">
        <v>-98.417580000000001</v>
      </c>
      <c r="CA37" s="198"/>
      <c r="CB37" s="198"/>
      <c r="CC37" s="198"/>
      <c r="CD37" s="198"/>
      <c r="CE37" s="198"/>
      <c r="CF37" s="198"/>
      <c r="CG37" s="198"/>
      <c r="CH37" s="198"/>
      <c r="CI37" s="198"/>
      <c r="CJ37" s="198"/>
      <c r="CK37" s="198"/>
      <c r="CL37" s="195">
        <f t="shared" si="8"/>
        <v>0</v>
      </c>
      <c r="CM37" s="196"/>
      <c r="CN37" s="196"/>
      <c r="CO37" s="196"/>
      <c r="CP37" s="196"/>
      <c r="CQ37" s="196"/>
      <c r="CR37" s="196"/>
      <c r="CS37" s="196"/>
      <c r="CT37" s="196"/>
      <c r="CU37" s="196"/>
      <c r="CV37" s="196"/>
      <c r="CW37" s="196"/>
      <c r="CX37" s="196"/>
      <c r="CY37" s="200">
        <f t="shared" si="9"/>
        <v>-98.417580000000001</v>
      </c>
      <c r="CZ37" s="172">
        <f t="shared" si="5"/>
        <v>0</v>
      </c>
      <c r="DA37" s="201">
        <f t="shared" si="10"/>
        <v>0.26491999999999116</v>
      </c>
      <c r="DB37" s="201">
        <f t="shared" si="11"/>
        <v>98.417580000000001</v>
      </c>
      <c r="DC37" s="201">
        <f t="shared" si="18"/>
        <v>197.10007999999999</v>
      </c>
      <c r="DD37" s="239">
        <v>16.154029999999992</v>
      </c>
      <c r="DE37" s="201">
        <f t="shared" si="12"/>
        <v>180.94605000000001</v>
      </c>
      <c r="DF37" s="172" t="e">
        <f>SUM(DN37:DO37)-SUM(#REF!,BV37)+BU37</f>
        <v>#REF!</v>
      </c>
      <c r="DG37" s="207"/>
      <c r="DH37" s="225">
        <f t="shared" si="13"/>
        <v>0</v>
      </c>
      <c r="DI37" s="225">
        <f t="shared" si="14"/>
        <v>0.47009999999999985</v>
      </c>
      <c r="DJ37" s="225">
        <f t="shared" si="15"/>
        <v>-98.08462999999999</v>
      </c>
      <c r="DK37" s="225" t="e">
        <f>SUM(BS37,#REF!,BV37)</f>
        <v>#REF!</v>
      </c>
      <c r="DL37" s="145"/>
      <c r="DM37" s="145"/>
      <c r="DN37" s="145">
        <v>27.994999999999997</v>
      </c>
      <c r="DO37" s="145">
        <v>0</v>
      </c>
      <c r="DP37" s="145"/>
      <c r="DQ37" s="145"/>
      <c r="DR37" s="21">
        <f>VLOOKUP(C37,[5]Database!$B$126:$AD$521,29,FALSE)</f>
        <v>0</v>
      </c>
      <c r="DS37" s="219">
        <f t="shared" si="19"/>
        <v>98.417580000000001</v>
      </c>
    </row>
    <row r="38" spans="1:123" s="21" customFormat="1" ht="24" hidden="1" customHeight="1">
      <c r="A38" s="16"/>
      <c r="B38" s="2"/>
      <c r="C38" s="78" t="s">
        <v>1023</v>
      </c>
      <c r="D38" s="78"/>
      <c r="E38" s="78"/>
      <c r="F38" s="3"/>
      <c r="G38" s="4"/>
      <c r="H38" s="4"/>
      <c r="I38" s="4"/>
      <c r="J38" s="13"/>
      <c r="K38" s="165"/>
      <c r="L38" s="165"/>
      <c r="M38" s="165"/>
      <c r="N38" s="165"/>
      <c r="O38" s="165"/>
      <c r="P38" s="165"/>
      <c r="Q38" s="165"/>
      <c r="R38" s="3" t="s">
        <v>175</v>
      </c>
      <c r="S38" s="11"/>
      <c r="T38" s="11"/>
      <c r="U38" s="5" t="s">
        <v>7</v>
      </c>
      <c r="V38" s="251"/>
      <c r="W38" s="5" t="s">
        <v>1279</v>
      </c>
      <c r="X38" s="5" t="s">
        <v>901</v>
      </c>
      <c r="Y38" s="5" t="s">
        <v>1308</v>
      </c>
      <c r="Z38" s="3"/>
      <c r="AA38" s="6" t="s">
        <v>461</v>
      </c>
      <c r="AB38" s="141"/>
      <c r="AC38" s="165"/>
      <c r="AD38" s="165"/>
      <c r="AE38" s="165"/>
      <c r="AF38" s="5"/>
      <c r="AG38" s="5"/>
      <c r="AH38" s="210"/>
      <c r="AI38" s="76" t="s">
        <v>717</v>
      </c>
      <c r="AJ38" s="76"/>
      <c r="AK38" s="221" t="e">
        <f>SUM(#REF!,BT38,BV38)</f>
        <v>#REF!</v>
      </c>
      <c r="AL38" s="161"/>
      <c r="AM38" s="161"/>
      <c r="AN38" s="161"/>
      <c r="AO38" s="161"/>
      <c r="AP38" s="161"/>
      <c r="AQ38" s="161"/>
      <c r="AR38" s="51"/>
      <c r="AS38" s="51"/>
      <c r="AT38" s="51"/>
      <c r="AU38" s="51"/>
      <c r="AV38" s="36"/>
      <c r="AW38" s="36"/>
      <c r="AX38" s="90"/>
      <c r="AY38" s="157">
        <f t="shared" si="3"/>
        <v>3.9968028886505632E-18</v>
      </c>
      <c r="AZ38" s="182"/>
      <c r="BA38" s="158">
        <v>0</v>
      </c>
      <c r="BB38" s="158"/>
      <c r="BC38" s="158">
        <v>0</v>
      </c>
      <c r="BD38" s="158"/>
      <c r="BE38" s="158">
        <v>0</v>
      </c>
      <c r="BF38" s="158"/>
      <c r="BG38" s="158">
        <v>0</v>
      </c>
      <c r="BH38" s="158"/>
      <c r="BI38" s="158">
        <v>0</v>
      </c>
      <c r="BJ38" s="158"/>
      <c r="BK38" s="158">
        <v>3.9968028886505632E-18</v>
      </c>
      <c r="BL38" s="182"/>
      <c r="BM38" s="158">
        <v>0</v>
      </c>
      <c r="BN38" s="182"/>
      <c r="BO38" s="158">
        <v>0</v>
      </c>
      <c r="BP38" s="182"/>
      <c r="BQ38" s="158">
        <v>0</v>
      </c>
      <c r="BR38" s="182"/>
      <c r="BS38" s="158">
        <v>0</v>
      </c>
      <c r="BT38" s="182"/>
      <c r="BU38" s="158">
        <v>0</v>
      </c>
      <c r="BV38" s="182"/>
      <c r="BW38" s="234"/>
      <c r="BX38" s="237"/>
      <c r="BY38" s="81">
        <f t="shared" si="4"/>
        <v>0</v>
      </c>
      <c r="BZ38" s="198"/>
      <c r="CA38" s="198"/>
      <c r="CB38" s="198"/>
      <c r="CC38" s="198"/>
      <c r="CD38" s="198"/>
      <c r="CE38" s="198"/>
      <c r="CF38" s="198"/>
      <c r="CG38" s="198"/>
      <c r="CH38" s="198"/>
      <c r="CI38" s="198"/>
      <c r="CJ38" s="198"/>
      <c r="CK38" s="198"/>
      <c r="CL38" s="195">
        <f t="shared" si="8"/>
        <v>0</v>
      </c>
      <c r="CM38" s="196"/>
      <c r="CN38" s="196"/>
      <c r="CO38" s="196"/>
      <c r="CP38" s="196"/>
      <c r="CQ38" s="196"/>
      <c r="CR38" s="196"/>
      <c r="CS38" s="196"/>
      <c r="CT38" s="196"/>
      <c r="CU38" s="196"/>
      <c r="CV38" s="196"/>
      <c r="CW38" s="196"/>
      <c r="CX38" s="196"/>
      <c r="CY38" s="200">
        <f t="shared" si="9"/>
        <v>0</v>
      </c>
      <c r="CZ38" s="172">
        <f t="shared" si="5"/>
        <v>0</v>
      </c>
      <c r="DA38" s="201">
        <f t="shared" si="10"/>
        <v>3.9968028886505632E-18</v>
      </c>
      <c r="DB38" s="201">
        <f t="shared" si="11"/>
        <v>0</v>
      </c>
      <c r="DC38" s="201">
        <f t="shared" si="18"/>
        <v>3.9968028886505632E-18</v>
      </c>
      <c r="DD38" s="239">
        <v>3.9968028886505632E-18</v>
      </c>
      <c r="DE38" s="201">
        <f t="shared" si="12"/>
        <v>0</v>
      </c>
      <c r="DF38" s="172" t="e">
        <f>SUM(DN38:DO38)-SUM(#REF!,BV38)+BU38</f>
        <v>#REF!</v>
      </c>
      <c r="DG38" s="207"/>
      <c r="DH38" s="225">
        <f t="shared" si="13"/>
        <v>0</v>
      </c>
      <c r="DI38" s="225">
        <f t="shared" si="14"/>
        <v>3.9968028886505632E-18</v>
      </c>
      <c r="DJ38" s="225">
        <f t="shared" si="15"/>
        <v>0</v>
      </c>
      <c r="DK38" s="225" t="e">
        <f>SUM(BS38,#REF!,BV38)</f>
        <v>#REF!</v>
      </c>
      <c r="DL38" s="145"/>
      <c r="DM38" s="145"/>
      <c r="DN38" s="145"/>
      <c r="DO38" s="145"/>
      <c r="DP38" s="145"/>
      <c r="DQ38" s="145"/>
      <c r="DR38" s="21">
        <f>VLOOKUP(C38,[5]Database!$B$126:$AD$521,29,FALSE)</f>
        <v>0</v>
      </c>
      <c r="DS38" s="219">
        <f t="shared" si="19"/>
        <v>0</v>
      </c>
    </row>
    <row r="39" spans="1:123" s="21" customFormat="1" ht="24" hidden="1" customHeight="1">
      <c r="A39" s="16"/>
      <c r="B39" s="2"/>
      <c r="C39" s="78" t="s">
        <v>952</v>
      </c>
      <c r="D39" s="78"/>
      <c r="E39" s="78"/>
      <c r="F39" s="3"/>
      <c r="G39" s="4"/>
      <c r="H39" s="4"/>
      <c r="I39" s="4"/>
      <c r="J39" s="13" t="str">
        <f ca="1">IF(H39="","",IF(I39&lt;&gt;"",I39-H39,EDATE(H39,18)-NOW()))</f>
        <v/>
      </c>
      <c r="K39" s="165" t="str">
        <f>IF(H39="","",H39+547)</f>
        <v/>
      </c>
      <c r="L39" s="165" t="str">
        <f>IF(H39="","",H39+730)</f>
        <v/>
      </c>
      <c r="M39" s="165"/>
      <c r="N39" s="165"/>
      <c r="O39" s="165"/>
      <c r="P39" s="165"/>
      <c r="Q39" s="165"/>
      <c r="R39" s="3" t="s">
        <v>175</v>
      </c>
      <c r="S39" s="11"/>
      <c r="T39" s="11"/>
      <c r="U39" s="5" t="s">
        <v>7</v>
      </c>
      <c r="V39" s="251"/>
      <c r="W39" s="5" t="s">
        <v>1279</v>
      </c>
      <c r="X39" s="5" t="s">
        <v>901</v>
      </c>
      <c r="Y39" s="5" t="s">
        <v>1309</v>
      </c>
      <c r="Z39" s="3" t="s">
        <v>315</v>
      </c>
      <c r="AA39" s="6" t="s">
        <v>461</v>
      </c>
      <c r="AB39" s="141" t="s">
        <v>1072</v>
      </c>
      <c r="AC39" s="165"/>
      <c r="AD39" s="165"/>
      <c r="AE39" s="165"/>
      <c r="AF39" s="5"/>
      <c r="AG39" s="5"/>
      <c r="AH39" s="210"/>
      <c r="AI39" s="76" t="s">
        <v>768</v>
      </c>
      <c r="AJ39" s="76"/>
      <c r="AK39" s="221" t="e">
        <f>SUM(#REF!,BT39,BV39)</f>
        <v>#REF!</v>
      </c>
      <c r="AL39" s="161"/>
      <c r="AM39" s="161"/>
      <c r="AN39" s="161"/>
      <c r="AO39" s="161"/>
      <c r="AP39" s="161"/>
      <c r="AQ39" s="161"/>
      <c r="AR39" s="51"/>
      <c r="AS39" s="51"/>
      <c r="AT39" s="51"/>
      <c r="AU39" s="51"/>
      <c r="AV39" s="36"/>
      <c r="AW39" s="36"/>
      <c r="AX39" s="90"/>
      <c r="AY39" s="157">
        <f t="shared" si="3"/>
        <v>243.59408000000002</v>
      </c>
      <c r="AZ39" s="182"/>
      <c r="BA39" s="158">
        <v>0</v>
      </c>
      <c r="BB39" s="158"/>
      <c r="BC39" s="158">
        <v>0</v>
      </c>
      <c r="BD39" s="158"/>
      <c r="BE39" s="158">
        <v>0</v>
      </c>
      <c r="BF39" s="158"/>
      <c r="BG39" s="158">
        <v>0</v>
      </c>
      <c r="BH39" s="158"/>
      <c r="BI39" s="158">
        <v>0</v>
      </c>
      <c r="BJ39" s="158">
        <v>0</v>
      </c>
      <c r="BK39" s="158">
        <v>0</v>
      </c>
      <c r="BL39" s="182"/>
      <c r="BM39" s="158">
        <v>0.21371999999999999</v>
      </c>
      <c r="BN39" s="182"/>
      <c r="BO39" s="158">
        <v>243.47483000000003</v>
      </c>
      <c r="BP39" s="182"/>
      <c r="BQ39" s="158">
        <v>-4.6249999999999999E-2</v>
      </c>
      <c r="BR39" s="182"/>
      <c r="BS39" s="158">
        <v>0.43535999999999997</v>
      </c>
      <c r="BT39" s="182"/>
      <c r="BU39" s="158">
        <v>-0.16567999999999997</v>
      </c>
      <c r="BV39" s="182"/>
      <c r="BW39" s="234">
        <v>-0.31789999999999996</v>
      </c>
      <c r="BX39" s="237">
        <v>-0.31789999999999996</v>
      </c>
      <c r="BY39" s="81">
        <f t="shared" si="4"/>
        <v>-243.59408000000013</v>
      </c>
      <c r="BZ39" s="198">
        <v>-243.59408000000002</v>
      </c>
      <c r="CA39" s="198"/>
      <c r="CB39" s="198"/>
      <c r="CC39" s="198"/>
      <c r="CD39" s="198">
        <v>568.48421999999994</v>
      </c>
      <c r="CE39" s="198">
        <v>-568.48422000000005</v>
      </c>
      <c r="CF39" s="198"/>
      <c r="CG39" s="198"/>
      <c r="CH39" s="198"/>
      <c r="CI39" s="198"/>
      <c r="CJ39" s="198"/>
      <c r="CK39" s="198"/>
      <c r="CL39" s="195">
        <f t="shared" si="8"/>
        <v>0</v>
      </c>
      <c r="CM39" s="196"/>
      <c r="CN39" s="196"/>
      <c r="CO39" s="196"/>
      <c r="CP39" s="196"/>
      <c r="CQ39" s="196"/>
      <c r="CR39" s="196"/>
      <c r="CS39" s="196"/>
      <c r="CT39" s="196"/>
      <c r="CU39" s="196"/>
      <c r="CV39" s="196"/>
      <c r="CW39" s="196"/>
      <c r="CX39" s="196"/>
      <c r="CY39" s="200">
        <f t="shared" si="9"/>
        <v>0.31789999999999996</v>
      </c>
      <c r="CZ39" s="172">
        <f t="shared" si="5"/>
        <v>0</v>
      </c>
      <c r="DA39" s="201">
        <f t="shared" si="10"/>
        <v>243.91198000000003</v>
      </c>
      <c r="DB39" s="201">
        <f t="shared" si="11"/>
        <v>-0.31789999999999996</v>
      </c>
      <c r="DC39" s="201">
        <f t="shared" si="18"/>
        <v>487.18816000000015</v>
      </c>
      <c r="DD39" s="239">
        <v>0.57765999999992346</v>
      </c>
      <c r="DE39" s="201">
        <f t="shared" si="12"/>
        <v>486.61050000000023</v>
      </c>
      <c r="DF39" s="172" t="e">
        <f>SUM(DN39:DO39)-SUM(#REF!,BV39)+BU39</f>
        <v>#REF!</v>
      </c>
      <c r="DG39" s="207"/>
      <c r="DH39" s="225">
        <f t="shared" si="13"/>
        <v>0</v>
      </c>
      <c r="DI39" s="225">
        <f t="shared" si="14"/>
        <v>0</v>
      </c>
      <c r="DJ39" s="225">
        <f t="shared" si="15"/>
        <v>243.64230000000003</v>
      </c>
      <c r="DK39" s="225" t="e">
        <f>SUM(BS39,#REF!,BV39)</f>
        <v>#REF!</v>
      </c>
      <c r="DL39" s="145"/>
      <c r="DM39" s="145"/>
      <c r="DN39" s="145">
        <v>583.50125000000003</v>
      </c>
      <c r="DO39" s="145">
        <v>0</v>
      </c>
      <c r="DP39" s="145"/>
      <c r="DQ39" s="145"/>
      <c r="DR39" s="21">
        <f>VLOOKUP(C39,[5]Database!$B$126:$AD$521,29,FALSE)</f>
        <v>-243.00000000000011</v>
      </c>
      <c r="DS39" s="219">
        <f t="shared" si="19"/>
        <v>0.59408000000001948</v>
      </c>
    </row>
    <row r="40" spans="1:123" s="21" customFormat="1" ht="24" hidden="1" customHeight="1">
      <c r="A40" s="16"/>
      <c r="B40" s="2"/>
      <c r="C40" s="78" t="s">
        <v>1010</v>
      </c>
      <c r="D40" s="78"/>
      <c r="E40" s="78"/>
      <c r="F40" s="3"/>
      <c r="G40" s="4"/>
      <c r="H40" s="4"/>
      <c r="I40" s="4"/>
      <c r="J40" s="13" t="str">
        <f ca="1">IF(H40="","",IF(I40&lt;&gt;"",I40-H40,EDATE(H40,18)-NOW()))</f>
        <v/>
      </c>
      <c r="K40" s="165" t="str">
        <f>IF(H40="","",H40+547)</f>
        <v/>
      </c>
      <c r="L40" s="165" t="str">
        <f>IF(H40="","",H40+730)</f>
        <v/>
      </c>
      <c r="M40" s="165"/>
      <c r="N40" s="165"/>
      <c r="O40" s="165"/>
      <c r="P40" s="165"/>
      <c r="Q40" s="165"/>
      <c r="R40" s="3" t="s">
        <v>175</v>
      </c>
      <c r="S40" s="11"/>
      <c r="T40" s="11"/>
      <c r="U40" s="5" t="s">
        <v>7</v>
      </c>
      <c r="V40" s="251"/>
      <c r="W40" s="5" t="s">
        <v>1279</v>
      </c>
      <c r="X40" s="5" t="s">
        <v>901</v>
      </c>
      <c r="Y40" s="5" t="s">
        <v>993</v>
      </c>
      <c r="Z40" s="3" t="s">
        <v>315</v>
      </c>
      <c r="AA40" s="6" t="s">
        <v>461</v>
      </c>
      <c r="AB40" s="141" t="s">
        <v>1171</v>
      </c>
      <c r="AC40" s="165"/>
      <c r="AD40" s="165"/>
      <c r="AE40" s="165"/>
      <c r="AF40" s="5"/>
      <c r="AG40" s="5"/>
      <c r="AH40" s="210"/>
      <c r="AI40" s="76" t="s">
        <v>804</v>
      </c>
      <c r="AJ40" s="76"/>
      <c r="AK40" s="221" t="e">
        <f>SUM(#REF!,BT40,BV40)</f>
        <v>#REF!</v>
      </c>
      <c r="AL40" s="161"/>
      <c r="AM40" s="161"/>
      <c r="AN40" s="161"/>
      <c r="AO40" s="161"/>
      <c r="AP40" s="161"/>
      <c r="AQ40" s="161"/>
      <c r="AR40" s="51"/>
      <c r="AS40" s="51"/>
      <c r="AT40" s="51"/>
      <c r="AU40" s="51">
        <v>0</v>
      </c>
      <c r="AV40" s="36"/>
      <c r="AW40" s="36"/>
      <c r="AX40" s="90"/>
      <c r="AY40" s="157">
        <f t="shared" si="3"/>
        <v>368.41500000000008</v>
      </c>
      <c r="AZ40" s="182"/>
      <c r="BA40" s="158">
        <v>0</v>
      </c>
      <c r="BB40" s="158"/>
      <c r="BC40" s="158">
        <v>0</v>
      </c>
      <c r="BD40" s="158"/>
      <c r="BE40" s="158">
        <v>0</v>
      </c>
      <c r="BF40" s="158"/>
      <c r="BG40" s="158">
        <v>0</v>
      </c>
      <c r="BH40" s="158"/>
      <c r="BI40" s="158">
        <v>0</v>
      </c>
      <c r="BJ40" s="158"/>
      <c r="BK40" s="158">
        <v>0</v>
      </c>
      <c r="BL40" s="182"/>
      <c r="BM40" s="158">
        <v>0</v>
      </c>
      <c r="BN40" s="182"/>
      <c r="BO40" s="158">
        <v>0</v>
      </c>
      <c r="BP40" s="182"/>
      <c r="BQ40" s="158">
        <v>0.96440999999999999</v>
      </c>
      <c r="BR40" s="182"/>
      <c r="BS40" s="158">
        <v>1.74366</v>
      </c>
      <c r="BT40" s="182">
        <v>360</v>
      </c>
      <c r="BU40" s="158">
        <v>368.49364000000008</v>
      </c>
      <c r="BV40" s="182"/>
      <c r="BW40" s="234">
        <v>-2.7867100000000002</v>
      </c>
      <c r="BX40" s="237">
        <v>-2.7867100000000002</v>
      </c>
      <c r="BY40" s="81">
        <f t="shared" si="4"/>
        <v>-368.41500000000008</v>
      </c>
      <c r="BZ40" s="198"/>
      <c r="CA40" s="198"/>
      <c r="CB40" s="198"/>
      <c r="CC40" s="198"/>
      <c r="CD40" s="198"/>
      <c r="CE40" s="198">
        <v>-368.41500000000008</v>
      </c>
      <c r="CF40" s="198"/>
      <c r="CG40" s="198"/>
      <c r="CH40" s="198"/>
      <c r="CI40" s="198"/>
      <c r="CJ40" s="198"/>
      <c r="CK40" s="198"/>
      <c r="CL40" s="195">
        <f t="shared" si="8"/>
        <v>0</v>
      </c>
      <c r="CM40" s="196"/>
      <c r="CN40" s="196"/>
      <c r="CO40" s="196"/>
      <c r="CP40" s="196"/>
      <c r="CQ40" s="196"/>
      <c r="CR40" s="196"/>
      <c r="CS40" s="196"/>
      <c r="CT40" s="196"/>
      <c r="CU40" s="196"/>
      <c r="CV40" s="196"/>
      <c r="CW40" s="196"/>
      <c r="CX40" s="196"/>
      <c r="CY40" s="200">
        <f t="shared" si="9"/>
        <v>2.7867100000000002</v>
      </c>
      <c r="CZ40" s="172">
        <f t="shared" si="5"/>
        <v>0</v>
      </c>
      <c r="DA40" s="201">
        <f t="shared" si="10"/>
        <v>371.20171000000011</v>
      </c>
      <c r="DB40" s="201">
        <f t="shared" si="11"/>
        <v>-2.7867100000000002</v>
      </c>
      <c r="DC40" s="201">
        <f t="shared" si="18"/>
        <v>736.83000000000015</v>
      </c>
      <c r="DD40" s="239">
        <v>2.7080700000000206</v>
      </c>
      <c r="DE40" s="201">
        <f t="shared" si="12"/>
        <v>734.12193000000013</v>
      </c>
      <c r="DF40" s="172" t="e">
        <f>SUM(DN40:DO40)-SUM(#REF!,BV40)+BU40</f>
        <v>#REF!</v>
      </c>
      <c r="DG40" s="207"/>
      <c r="DH40" s="225">
        <f t="shared" si="13"/>
        <v>0</v>
      </c>
      <c r="DI40" s="225">
        <f t="shared" si="14"/>
        <v>0</v>
      </c>
      <c r="DJ40" s="225">
        <f t="shared" si="15"/>
        <v>0.96440999999999999</v>
      </c>
      <c r="DK40" s="225" t="e">
        <f>SUM(BS40,#REF!,BV40)</f>
        <v>#REF!</v>
      </c>
      <c r="DL40" s="145"/>
      <c r="DM40" s="145"/>
      <c r="DN40" s="145">
        <v>842.14200000000005</v>
      </c>
      <c r="DO40" s="145">
        <v>0</v>
      </c>
      <c r="DP40" s="145"/>
      <c r="DQ40" s="145"/>
      <c r="DR40" s="21">
        <f>VLOOKUP(C40,[5]Database!$B$126:$AD$521,29,FALSE)</f>
        <v>-360</v>
      </c>
      <c r="DS40" s="219">
        <f t="shared" si="19"/>
        <v>8.4150000000000773</v>
      </c>
    </row>
    <row r="41" spans="1:123" s="21" customFormat="1" ht="24" hidden="1" customHeight="1">
      <c r="A41" s="16"/>
      <c r="B41" s="2"/>
      <c r="C41" s="78" t="s">
        <v>1024</v>
      </c>
      <c r="D41" s="78"/>
      <c r="E41" s="78"/>
      <c r="F41" s="3"/>
      <c r="G41" s="4"/>
      <c r="H41" s="4"/>
      <c r="I41" s="4"/>
      <c r="J41" s="13"/>
      <c r="K41" s="165"/>
      <c r="L41" s="165"/>
      <c r="M41" s="165"/>
      <c r="N41" s="165"/>
      <c r="O41" s="165"/>
      <c r="P41" s="165"/>
      <c r="Q41" s="165"/>
      <c r="R41" s="3" t="s">
        <v>175</v>
      </c>
      <c r="S41" s="11"/>
      <c r="T41" s="11"/>
      <c r="U41" s="5" t="s">
        <v>7</v>
      </c>
      <c r="V41" s="251"/>
      <c r="W41" s="5" t="s">
        <v>1279</v>
      </c>
      <c r="X41" s="5" t="s">
        <v>471</v>
      </c>
      <c r="Y41" s="5" t="s">
        <v>1310</v>
      </c>
      <c r="Z41" s="3"/>
      <c r="AA41" s="6" t="s">
        <v>461</v>
      </c>
      <c r="AB41" s="141"/>
      <c r="AC41" s="165"/>
      <c r="AD41" s="165"/>
      <c r="AE41" s="165"/>
      <c r="AF41" s="5"/>
      <c r="AG41" s="5"/>
      <c r="AH41" s="210"/>
      <c r="AI41" s="76" t="s">
        <v>1005</v>
      </c>
      <c r="AJ41" s="76"/>
      <c r="AK41" s="221" t="e">
        <f>SUM(#REF!,BT41,BV41)</f>
        <v>#REF!</v>
      </c>
      <c r="AL41" s="161"/>
      <c r="AM41" s="161"/>
      <c r="AN41" s="161"/>
      <c r="AO41" s="161"/>
      <c r="AP41" s="161"/>
      <c r="AQ41" s="161"/>
      <c r="AR41" s="51"/>
      <c r="AS41" s="51"/>
      <c r="AT41" s="51"/>
      <c r="AU41" s="51"/>
      <c r="AV41" s="36"/>
      <c r="AW41" s="36"/>
      <c r="AX41" s="90"/>
      <c r="AY41" s="157">
        <f t="shared" si="3"/>
        <v>0</v>
      </c>
      <c r="AZ41" s="182"/>
      <c r="BA41" s="158">
        <v>0</v>
      </c>
      <c r="BB41" s="158"/>
      <c r="BC41" s="158">
        <v>0</v>
      </c>
      <c r="BD41" s="158"/>
      <c r="BE41" s="158">
        <v>0</v>
      </c>
      <c r="BF41" s="158"/>
      <c r="BG41" s="158">
        <v>0</v>
      </c>
      <c r="BH41" s="158"/>
      <c r="BI41" s="158">
        <v>0</v>
      </c>
      <c r="BJ41" s="158"/>
      <c r="BK41" s="158">
        <v>0</v>
      </c>
      <c r="BL41" s="182"/>
      <c r="BM41" s="158">
        <v>0</v>
      </c>
      <c r="BN41" s="182"/>
      <c r="BO41" s="158">
        <v>0</v>
      </c>
      <c r="BP41" s="182"/>
      <c r="BQ41" s="158">
        <v>0</v>
      </c>
      <c r="BR41" s="182"/>
      <c r="BS41" s="158">
        <v>0</v>
      </c>
      <c r="BT41" s="182"/>
      <c r="BU41" s="158">
        <v>0</v>
      </c>
      <c r="BV41" s="182"/>
      <c r="BW41" s="234"/>
      <c r="BX41" s="237"/>
      <c r="BY41" s="81">
        <f t="shared" si="4"/>
        <v>0</v>
      </c>
      <c r="BZ41" s="234"/>
      <c r="CA41" s="234"/>
      <c r="CB41" s="234"/>
      <c r="CC41" s="234"/>
      <c r="CD41" s="234"/>
      <c r="CE41" s="234"/>
      <c r="CF41" s="234"/>
      <c r="CG41" s="234"/>
      <c r="CH41" s="234"/>
      <c r="CI41" s="234"/>
      <c r="CJ41" s="234"/>
      <c r="CK41" s="234"/>
      <c r="CL41" s="195">
        <f t="shared" si="8"/>
        <v>0</v>
      </c>
      <c r="CM41" s="196"/>
      <c r="CN41" s="196"/>
      <c r="CO41" s="196"/>
      <c r="CP41" s="196"/>
      <c r="CQ41" s="196"/>
      <c r="CR41" s="196"/>
      <c r="CS41" s="196"/>
      <c r="CT41" s="196"/>
      <c r="CU41" s="196"/>
      <c r="CV41" s="196"/>
      <c r="CW41" s="196"/>
      <c r="CX41" s="196"/>
      <c r="CY41" s="200">
        <f t="shared" si="9"/>
        <v>0</v>
      </c>
      <c r="CZ41" s="172">
        <f t="shared" si="5"/>
        <v>0</v>
      </c>
      <c r="DA41" s="201">
        <f t="shared" si="10"/>
        <v>0</v>
      </c>
      <c r="DB41" s="201">
        <f t="shared" si="11"/>
        <v>0</v>
      </c>
      <c r="DC41" s="201">
        <f t="shared" si="18"/>
        <v>0</v>
      </c>
      <c r="DD41" s="239">
        <v>0</v>
      </c>
      <c r="DE41" s="201">
        <f t="shared" si="12"/>
        <v>0</v>
      </c>
      <c r="DF41" s="172" t="e">
        <f>SUM(DN41:DO41)-SUM(#REF!,BV41)+BU41</f>
        <v>#REF!</v>
      </c>
      <c r="DG41" s="207"/>
      <c r="DH41" s="225">
        <f t="shared" si="13"/>
        <v>0</v>
      </c>
      <c r="DI41" s="225">
        <f t="shared" si="14"/>
        <v>0</v>
      </c>
      <c r="DJ41" s="225">
        <f t="shared" si="15"/>
        <v>0</v>
      </c>
      <c r="DK41" s="225" t="e">
        <f>SUM(BS41,#REF!,BV41)</f>
        <v>#REF!</v>
      </c>
      <c r="DL41" s="145"/>
      <c r="DM41" s="145"/>
      <c r="DN41" s="145">
        <v>14.7</v>
      </c>
      <c r="DO41" s="145">
        <v>0</v>
      </c>
      <c r="DP41" s="145"/>
      <c r="DQ41" s="145"/>
      <c r="DR41" s="21">
        <f>VLOOKUP(C41,[5]Database!$B$126:$AD$521,29,FALSE)</f>
        <v>0</v>
      </c>
      <c r="DS41" s="219">
        <f t="shared" si="19"/>
        <v>0</v>
      </c>
    </row>
    <row r="42" spans="1:123" s="21" customFormat="1" ht="24" hidden="1" customHeight="1">
      <c r="A42" s="16"/>
      <c r="B42" s="2"/>
      <c r="C42" s="78" t="s">
        <v>1201</v>
      </c>
      <c r="D42" s="78"/>
      <c r="E42" s="78"/>
      <c r="F42" s="3"/>
      <c r="G42" s="4"/>
      <c r="H42" s="4"/>
      <c r="I42" s="4"/>
      <c r="J42" s="13"/>
      <c r="K42" s="165"/>
      <c r="L42" s="165"/>
      <c r="M42" s="165"/>
      <c r="N42" s="165"/>
      <c r="O42" s="165"/>
      <c r="P42" s="165"/>
      <c r="Q42" s="165"/>
      <c r="R42" s="3" t="s">
        <v>175</v>
      </c>
      <c r="S42" s="11"/>
      <c r="T42" s="11"/>
      <c r="U42" s="5" t="s">
        <v>7</v>
      </c>
      <c r="V42" s="251"/>
      <c r="W42" s="5" t="s">
        <v>1279</v>
      </c>
      <c r="X42" s="5" t="s">
        <v>901</v>
      </c>
      <c r="Y42" s="5" t="s">
        <v>1311</v>
      </c>
      <c r="Z42" s="3"/>
      <c r="AA42" s="6" t="s">
        <v>461</v>
      </c>
      <c r="AB42" s="141" t="s">
        <v>1214</v>
      </c>
      <c r="AC42" s="165"/>
      <c r="AD42" s="165"/>
      <c r="AE42" s="165"/>
      <c r="AF42" s="5"/>
      <c r="AG42" s="5"/>
      <c r="AH42" s="210"/>
      <c r="AI42" s="76" t="s">
        <v>1050</v>
      </c>
      <c r="AJ42" s="76"/>
      <c r="AK42" s="221" t="e">
        <f>SUM(#REF!,BT42,BV42)</f>
        <v>#REF!</v>
      </c>
      <c r="AL42" s="161"/>
      <c r="AM42" s="161"/>
      <c r="AN42" s="161"/>
      <c r="AO42" s="161"/>
      <c r="AP42" s="161"/>
      <c r="AQ42" s="161"/>
      <c r="AR42" s="51"/>
      <c r="AS42" s="51"/>
      <c r="AT42" s="51"/>
      <c r="AU42" s="51"/>
      <c r="AV42" s="36"/>
      <c r="AW42" s="36"/>
      <c r="AX42" s="90"/>
      <c r="AY42" s="157">
        <f t="shared" si="3"/>
        <v>0</v>
      </c>
      <c r="AZ42" s="182"/>
      <c r="BA42" s="158"/>
      <c r="BB42" s="158"/>
      <c r="BC42" s="158"/>
      <c r="BD42" s="158"/>
      <c r="BE42" s="158"/>
      <c r="BF42" s="158"/>
      <c r="BG42" s="158"/>
      <c r="BH42" s="158"/>
      <c r="BI42" s="158"/>
      <c r="BJ42" s="158"/>
      <c r="BK42" s="158"/>
      <c r="BL42" s="182"/>
      <c r="BM42" s="158"/>
      <c r="BN42" s="182"/>
      <c r="BO42" s="158"/>
      <c r="BP42" s="182"/>
      <c r="BQ42" s="158"/>
      <c r="BR42" s="182"/>
      <c r="BS42" s="158"/>
      <c r="BT42" s="182"/>
      <c r="BU42" s="158">
        <v>0</v>
      </c>
      <c r="BV42" s="182"/>
      <c r="BW42" s="234"/>
      <c r="BX42" s="237"/>
      <c r="BY42" s="81">
        <f t="shared" si="4"/>
        <v>0</v>
      </c>
      <c r="BZ42" s="158"/>
      <c r="CA42" s="198"/>
      <c r="CB42" s="198"/>
      <c r="CC42" s="198"/>
      <c r="CD42" s="198"/>
      <c r="CE42" s="198"/>
      <c r="CF42" s="198"/>
      <c r="CG42" s="198"/>
      <c r="CH42" s="198"/>
      <c r="CI42" s="198"/>
      <c r="CJ42" s="198"/>
      <c r="CK42" s="198"/>
      <c r="CL42" s="195">
        <f t="shared" si="8"/>
        <v>0</v>
      </c>
      <c r="CM42" s="196"/>
      <c r="CN42" s="196"/>
      <c r="CO42" s="196"/>
      <c r="CP42" s="196"/>
      <c r="CQ42" s="196"/>
      <c r="CR42" s="196"/>
      <c r="CS42" s="196"/>
      <c r="CT42" s="196"/>
      <c r="CU42" s="196"/>
      <c r="CV42" s="196"/>
      <c r="CW42" s="196"/>
      <c r="CX42" s="196"/>
      <c r="CY42" s="200">
        <f t="shared" si="9"/>
        <v>0</v>
      </c>
      <c r="CZ42" s="172">
        <f t="shared" si="5"/>
        <v>0</v>
      </c>
      <c r="DA42" s="201">
        <f t="shared" si="10"/>
        <v>0</v>
      </c>
      <c r="DB42" s="201">
        <f t="shared" si="11"/>
        <v>0</v>
      </c>
      <c r="DC42" s="201">
        <f t="shared" si="18"/>
        <v>0</v>
      </c>
      <c r="DD42" s="239">
        <v>0</v>
      </c>
      <c r="DE42" s="201">
        <f t="shared" si="12"/>
        <v>0</v>
      </c>
      <c r="DF42" s="172" t="e">
        <f>SUM(DN42:DO42)-SUM(#REF!,BV42)+BU42</f>
        <v>#REF!</v>
      </c>
      <c r="DG42" s="207"/>
      <c r="DH42" s="225">
        <f t="shared" si="13"/>
        <v>0</v>
      </c>
      <c r="DI42" s="225">
        <f t="shared" si="14"/>
        <v>0</v>
      </c>
      <c r="DJ42" s="225">
        <f t="shared" si="15"/>
        <v>0</v>
      </c>
      <c r="DK42" s="225" t="e">
        <f>SUM(BS42,#REF!,BV42)</f>
        <v>#REF!</v>
      </c>
      <c r="DL42" s="145"/>
      <c r="DM42" s="145"/>
      <c r="DN42" s="145"/>
      <c r="DO42" s="145"/>
      <c r="DP42" s="145"/>
      <c r="DQ42" s="145"/>
      <c r="DR42" s="21" t="e">
        <f>VLOOKUP(C42,[5]Database!$B$126:$AD$521,29,FALSE)</f>
        <v>#N/A</v>
      </c>
      <c r="DS42" s="219" t="e">
        <f t="shared" si="19"/>
        <v>#N/A</v>
      </c>
    </row>
    <row r="43" spans="1:123" s="21" customFormat="1" ht="24" hidden="1" customHeight="1">
      <c r="A43" s="16"/>
      <c r="B43" s="2"/>
      <c r="C43" s="78" t="s">
        <v>1058</v>
      </c>
      <c r="D43" s="78"/>
      <c r="E43" s="78"/>
      <c r="F43" s="3"/>
      <c r="G43" s="4"/>
      <c r="H43" s="4"/>
      <c r="I43" s="4"/>
      <c r="J43" s="13" t="str">
        <f ca="1">IF(H43="","",IF(I43&lt;&gt;"",I43-H43,EDATE(H43,18)-NOW()))</f>
        <v/>
      </c>
      <c r="K43" s="165" t="str">
        <f>IF(H43="","",H43+547)</f>
        <v/>
      </c>
      <c r="L43" s="165" t="str">
        <f>IF(H43="","",H43+730)</f>
        <v/>
      </c>
      <c r="M43" s="165"/>
      <c r="N43" s="165"/>
      <c r="O43" s="165"/>
      <c r="P43" s="165"/>
      <c r="Q43" s="165"/>
      <c r="R43" s="3" t="s">
        <v>175</v>
      </c>
      <c r="S43" s="11"/>
      <c r="T43" s="11"/>
      <c r="U43" s="5" t="s">
        <v>7</v>
      </c>
      <c r="V43" s="251"/>
      <c r="W43" s="5" t="s">
        <v>1279</v>
      </c>
      <c r="X43" s="5" t="s">
        <v>474</v>
      </c>
      <c r="Y43" s="5" t="s">
        <v>1312</v>
      </c>
      <c r="Z43" s="3" t="s">
        <v>185</v>
      </c>
      <c r="AA43" s="6" t="s">
        <v>699</v>
      </c>
      <c r="AB43" s="141"/>
      <c r="AC43" s="165"/>
      <c r="AD43" s="165"/>
      <c r="AE43" s="165"/>
      <c r="AF43" s="5"/>
      <c r="AG43" s="5"/>
      <c r="AH43" s="210"/>
      <c r="AI43" s="76"/>
      <c r="AJ43" s="76"/>
      <c r="AK43" s="221" t="e">
        <f>SUM(#REF!,BT43,BV43)</f>
        <v>#REF!</v>
      </c>
      <c r="AL43" s="161"/>
      <c r="AM43" s="161"/>
      <c r="AN43" s="161"/>
      <c r="AO43" s="161"/>
      <c r="AP43" s="161"/>
      <c r="AQ43" s="161"/>
      <c r="AR43" s="51"/>
      <c r="AS43" s="51"/>
      <c r="AT43" s="51"/>
      <c r="AU43" s="51">
        <v>0</v>
      </c>
      <c r="AV43" s="36"/>
      <c r="AW43" s="36"/>
      <c r="AX43" s="90"/>
      <c r="AY43" s="157">
        <f t="shared" si="3"/>
        <v>0</v>
      </c>
      <c r="AZ43" s="182"/>
      <c r="BA43" s="158"/>
      <c r="BB43" s="158"/>
      <c r="BC43" s="158"/>
      <c r="BD43" s="158"/>
      <c r="BE43" s="158"/>
      <c r="BF43" s="158"/>
      <c r="BG43" s="158"/>
      <c r="BH43" s="158"/>
      <c r="BI43" s="158"/>
      <c r="BJ43" s="158"/>
      <c r="BK43" s="158"/>
      <c r="BL43" s="182"/>
      <c r="BM43" s="158"/>
      <c r="BN43" s="182"/>
      <c r="BO43" s="158"/>
      <c r="BP43" s="182"/>
      <c r="BQ43" s="158"/>
      <c r="BR43" s="182"/>
      <c r="BS43" s="158"/>
      <c r="BT43" s="182"/>
      <c r="BU43" s="158"/>
      <c r="BV43" s="182"/>
      <c r="BW43" s="234"/>
      <c r="BX43" s="237"/>
      <c r="BY43" s="81">
        <f t="shared" si="4"/>
        <v>0</v>
      </c>
      <c r="BZ43" s="198"/>
      <c r="CA43" s="198"/>
      <c r="CB43" s="198"/>
      <c r="CC43" s="198"/>
      <c r="CD43" s="198"/>
      <c r="CE43" s="198"/>
      <c r="CF43" s="198"/>
      <c r="CG43" s="198"/>
      <c r="CH43" s="198"/>
      <c r="CI43" s="198"/>
      <c r="CJ43" s="198"/>
      <c r="CK43" s="198"/>
      <c r="CL43" s="195">
        <f t="shared" si="8"/>
        <v>0</v>
      </c>
      <c r="CM43" s="196"/>
      <c r="CN43" s="196"/>
      <c r="CO43" s="196"/>
      <c r="CP43" s="196"/>
      <c r="CQ43" s="196"/>
      <c r="CR43" s="196"/>
      <c r="CS43" s="196"/>
      <c r="CT43" s="196"/>
      <c r="CU43" s="196"/>
      <c r="CV43" s="196"/>
      <c r="CW43" s="196"/>
      <c r="CX43" s="196"/>
      <c r="CY43" s="200">
        <f t="shared" si="9"/>
        <v>0</v>
      </c>
      <c r="CZ43" s="172">
        <f t="shared" si="5"/>
        <v>0</v>
      </c>
      <c r="DA43" s="201">
        <f t="shared" si="10"/>
        <v>0</v>
      </c>
      <c r="DB43" s="201">
        <f t="shared" si="11"/>
        <v>0</v>
      </c>
      <c r="DC43" s="201">
        <f t="shared" si="18"/>
        <v>0</v>
      </c>
      <c r="DD43" s="239">
        <v>0</v>
      </c>
      <c r="DE43" s="201">
        <f t="shared" si="12"/>
        <v>0</v>
      </c>
      <c r="DF43" s="172" t="e">
        <f>SUM(DN43:DO43)-SUM(#REF!,BV43)+BU43</f>
        <v>#REF!</v>
      </c>
      <c r="DG43" s="207"/>
      <c r="DH43" s="225">
        <f t="shared" si="13"/>
        <v>0</v>
      </c>
      <c r="DI43" s="225">
        <f t="shared" si="14"/>
        <v>0</v>
      </c>
      <c r="DJ43" s="225">
        <f t="shared" si="15"/>
        <v>0</v>
      </c>
      <c r="DK43" s="225" t="e">
        <f>SUM(BS43,#REF!,BV43)</f>
        <v>#REF!</v>
      </c>
      <c r="DL43" s="145"/>
      <c r="DM43" s="145"/>
      <c r="DN43" s="145"/>
      <c r="DO43" s="145"/>
      <c r="DP43" s="145"/>
      <c r="DQ43" s="145"/>
      <c r="DR43" s="21">
        <f>VLOOKUP(C43,[5]Database!$B$126:$AD$521,29,FALSE)</f>
        <v>-2000</v>
      </c>
      <c r="DS43" s="219">
        <f t="shared" si="19"/>
        <v>-2000</v>
      </c>
    </row>
    <row r="44" spans="1:123" s="21" customFormat="1" ht="24" hidden="1" customHeight="1">
      <c r="A44" s="16"/>
      <c r="B44" s="2"/>
      <c r="C44" s="143" t="s">
        <v>1051</v>
      </c>
      <c r="D44" s="78"/>
      <c r="E44" s="78"/>
      <c r="F44" s="3"/>
      <c r="G44" s="4"/>
      <c r="H44" s="4"/>
      <c r="I44" s="4"/>
      <c r="J44" s="13"/>
      <c r="K44" s="165"/>
      <c r="L44" s="165"/>
      <c r="M44" s="165"/>
      <c r="N44" s="165"/>
      <c r="O44" s="165"/>
      <c r="P44" s="165"/>
      <c r="Q44" s="165"/>
      <c r="R44" s="3" t="s">
        <v>175</v>
      </c>
      <c r="S44" s="11"/>
      <c r="T44" s="11"/>
      <c r="U44" s="5" t="s">
        <v>7</v>
      </c>
      <c r="V44" s="251"/>
      <c r="W44" s="5" t="s">
        <v>1279</v>
      </c>
      <c r="X44" s="5" t="s">
        <v>475</v>
      </c>
      <c r="Y44" s="5" t="s">
        <v>1313</v>
      </c>
      <c r="Z44" s="3"/>
      <c r="AA44" s="6" t="s">
        <v>699</v>
      </c>
      <c r="AB44" s="141"/>
      <c r="AC44" s="165"/>
      <c r="AD44" s="165"/>
      <c r="AE44" s="165"/>
      <c r="AF44" s="5"/>
      <c r="AG44" s="5"/>
      <c r="AH44" s="210"/>
      <c r="AI44" s="76" t="s">
        <v>1053</v>
      </c>
      <c r="AJ44" s="76"/>
      <c r="AK44" s="221" t="e">
        <f>SUM(#REF!,BT44,BV44)</f>
        <v>#REF!</v>
      </c>
      <c r="AL44" s="161"/>
      <c r="AM44" s="161"/>
      <c r="AN44" s="161"/>
      <c r="AO44" s="161"/>
      <c r="AP44" s="161"/>
      <c r="AQ44" s="161"/>
      <c r="AR44" s="51"/>
      <c r="AS44" s="51"/>
      <c r="AT44" s="51"/>
      <c r="AU44" s="51"/>
      <c r="AV44" s="36"/>
      <c r="AW44" s="36"/>
      <c r="AX44" s="90"/>
      <c r="AY44" s="157">
        <f t="shared" si="3"/>
        <v>0</v>
      </c>
      <c r="AZ44" s="182"/>
      <c r="BA44" s="158"/>
      <c r="BB44" s="158"/>
      <c r="BC44" s="158"/>
      <c r="BD44" s="158"/>
      <c r="BE44" s="158"/>
      <c r="BF44" s="158"/>
      <c r="BG44" s="158"/>
      <c r="BH44" s="158"/>
      <c r="BI44" s="158"/>
      <c r="BJ44" s="158"/>
      <c r="BK44" s="158"/>
      <c r="BL44" s="182"/>
      <c r="BM44" s="158"/>
      <c r="BN44" s="182"/>
      <c r="BO44" s="158"/>
      <c r="BP44" s="182"/>
      <c r="BQ44" s="158"/>
      <c r="BR44" s="182"/>
      <c r="BS44" s="158"/>
      <c r="BT44" s="182"/>
      <c r="BU44" s="158"/>
      <c r="BV44" s="182"/>
      <c r="BW44" s="234"/>
      <c r="BX44" s="237"/>
      <c r="BY44" s="81">
        <f t="shared" si="4"/>
        <v>0</v>
      </c>
      <c r="BZ44" s="198"/>
      <c r="CA44" s="198"/>
      <c r="CB44" s="198"/>
      <c r="CC44" s="198"/>
      <c r="CD44" s="198"/>
      <c r="CE44" s="198"/>
      <c r="CF44" s="198">
        <v>280</v>
      </c>
      <c r="CG44" s="198">
        <v>-280</v>
      </c>
      <c r="CH44" s="198"/>
      <c r="CI44" s="198"/>
      <c r="CJ44" s="198"/>
      <c r="CK44" s="198"/>
      <c r="CL44" s="195">
        <f t="shared" si="8"/>
        <v>0</v>
      </c>
      <c r="CM44" s="196"/>
      <c r="CN44" s="196"/>
      <c r="CO44" s="196"/>
      <c r="CP44" s="196"/>
      <c r="CQ44" s="196"/>
      <c r="CR44" s="196"/>
      <c r="CS44" s="196"/>
      <c r="CT44" s="196"/>
      <c r="CU44" s="196"/>
      <c r="CV44" s="196"/>
      <c r="CW44" s="196"/>
      <c r="CX44" s="196"/>
      <c r="CY44" s="200">
        <f t="shared" si="9"/>
        <v>0</v>
      </c>
      <c r="CZ44" s="172">
        <f t="shared" si="5"/>
        <v>0</v>
      </c>
      <c r="DA44" s="201">
        <f t="shared" si="10"/>
        <v>0</v>
      </c>
      <c r="DB44" s="201">
        <f t="shared" si="11"/>
        <v>0</v>
      </c>
      <c r="DC44" s="201">
        <f t="shared" si="18"/>
        <v>0</v>
      </c>
      <c r="DD44" s="239">
        <v>0</v>
      </c>
      <c r="DE44" s="201">
        <f t="shared" si="12"/>
        <v>0</v>
      </c>
      <c r="DF44" s="172" t="e">
        <f>SUM(DN44:DO44)-SUM(#REF!,BV44)+BU44</f>
        <v>#REF!</v>
      </c>
      <c r="DG44" s="207"/>
      <c r="DH44" s="225">
        <f t="shared" si="13"/>
        <v>0</v>
      </c>
      <c r="DI44" s="225">
        <f t="shared" si="14"/>
        <v>0</v>
      </c>
      <c r="DJ44" s="225">
        <f t="shared" si="15"/>
        <v>0</v>
      </c>
      <c r="DK44" s="225" t="e">
        <f>SUM(BS44,#REF!,BV44)</f>
        <v>#REF!</v>
      </c>
      <c r="DL44" s="145"/>
      <c r="DM44" s="145"/>
      <c r="DN44" s="145"/>
      <c r="DO44" s="145"/>
      <c r="DP44" s="145"/>
      <c r="DQ44" s="145"/>
      <c r="DR44" s="21">
        <f>VLOOKUP(C44,[5]Database!$B$126:$AD$521,29,FALSE)</f>
        <v>-280</v>
      </c>
      <c r="DS44" s="219">
        <f t="shared" si="19"/>
        <v>-280</v>
      </c>
    </row>
    <row r="45" spans="1:123" s="21" customFormat="1" ht="24" hidden="1" customHeight="1">
      <c r="A45" s="16"/>
      <c r="B45" s="2"/>
      <c r="C45" s="78" t="s">
        <v>1375</v>
      </c>
      <c r="D45" s="78"/>
      <c r="E45" s="78"/>
      <c r="F45" s="3"/>
      <c r="G45" s="4"/>
      <c r="H45" s="4"/>
      <c r="I45" s="4"/>
      <c r="J45" s="13"/>
      <c r="K45" s="165"/>
      <c r="L45" s="165"/>
      <c r="M45" s="165"/>
      <c r="N45" s="165"/>
      <c r="O45" s="165"/>
      <c r="P45" s="165"/>
      <c r="Q45" s="165"/>
      <c r="R45" s="3" t="s">
        <v>175</v>
      </c>
      <c r="S45" s="11"/>
      <c r="T45" s="11"/>
      <c r="U45" s="5" t="s">
        <v>7</v>
      </c>
      <c r="V45" s="251"/>
      <c r="W45" s="5" t="s">
        <v>1279</v>
      </c>
      <c r="X45" s="5" t="s">
        <v>475</v>
      </c>
      <c r="Y45" s="5" t="s">
        <v>1376</v>
      </c>
      <c r="Z45" s="3" t="s">
        <v>182</v>
      </c>
      <c r="AA45" s="6" t="s">
        <v>461</v>
      </c>
      <c r="AB45" s="141"/>
      <c r="AC45" s="165"/>
      <c r="AD45" s="165"/>
      <c r="AE45" s="165"/>
      <c r="AF45" s="5"/>
      <c r="AG45" s="5"/>
      <c r="AH45" s="210"/>
      <c r="AI45" s="76" t="s">
        <v>812</v>
      </c>
      <c r="AJ45" s="76"/>
      <c r="AK45" s="221"/>
      <c r="AL45" s="161"/>
      <c r="AM45" s="161"/>
      <c r="AN45" s="161"/>
      <c r="AO45" s="161"/>
      <c r="AP45" s="161"/>
      <c r="AQ45" s="161"/>
      <c r="AR45" s="51"/>
      <c r="AS45" s="51"/>
      <c r="AT45" s="51"/>
      <c r="AU45" s="51"/>
      <c r="AV45" s="36"/>
      <c r="AW45" s="36"/>
      <c r="AX45" s="90"/>
      <c r="AY45" s="157">
        <f t="shared" si="3"/>
        <v>0</v>
      </c>
      <c r="AZ45" s="182"/>
      <c r="BA45" s="158"/>
      <c r="BB45" s="158"/>
      <c r="BC45" s="158"/>
      <c r="BD45" s="158"/>
      <c r="BE45" s="158"/>
      <c r="BF45" s="158"/>
      <c r="BG45" s="158"/>
      <c r="BH45" s="158"/>
      <c r="BI45" s="158"/>
      <c r="BJ45" s="158"/>
      <c r="BK45" s="158"/>
      <c r="BL45" s="182"/>
      <c r="BM45" s="158"/>
      <c r="BN45" s="182"/>
      <c r="BO45" s="158"/>
      <c r="BP45" s="182"/>
      <c r="BQ45" s="158"/>
      <c r="BR45" s="182"/>
      <c r="BS45" s="158"/>
      <c r="BT45" s="182"/>
      <c r="BU45" s="158">
        <v>0.42386000000000001</v>
      </c>
      <c r="BV45" s="182"/>
      <c r="BW45" s="234">
        <v>-0.42386000000000001</v>
      </c>
      <c r="BX45" s="237">
        <v>-0.42386000000000001</v>
      </c>
      <c r="BY45" s="81">
        <f t="shared" si="4"/>
        <v>0</v>
      </c>
      <c r="BZ45" s="234"/>
      <c r="CA45" s="234"/>
      <c r="CB45" s="234"/>
      <c r="CC45" s="234"/>
      <c r="CD45" s="234"/>
      <c r="CE45" s="234"/>
      <c r="CF45" s="234"/>
      <c r="CG45" s="234"/>
      <c r="CH45" s="234"/>
      <c r="CI45" s="234"/>
      <c r="CJ45" s="234"/>
      <c r="CK45" s="234"/>
      <c r="CL45" s="195"/>
      <c r="CM45" s="196"/>
      <c r="CN45" s="196"/>
      <c r="CO45" s="196"/>
      <c r="CP45" s="196"/>
      <c r="CQ45" s="196"/>
      <c r="CR45" s="196"/>
      <c r="CS45" s="196"/>
      <c r="CT45" s="196"/>
      <c r="CU45" s="196"/>
      <c r="CV45" s="196"/>
      <c r="CW45" s="196"/>
      <c r="CX45" s="196"/>
      <c r="CY45" s="200"/>
      <c r="CZ45" s="172">
        <f t="shared" si="5"/>
        <v>0</v>
      </c>
      <c r="DA45" s="201"/>
      <c r="DB45" s="201"/>
      <c r="DC45" s="201"/>
      <c r="DD45" s="239"/>
      <c r="DE45" s="201"/>
      <c r="DF45" s="172"/>
      <c r="DG45" s="207"/>
      <c r="DH45" s="225"/>
      <c r="DI45" s="225"/>
      <c r="DJ45" s="225"/>
      <c r="DK45" s="225"/>
      <c r="DL45" s="145"/>
      <c r="DM45" s="145"/>
      <c r="DN45" s="145"/>
      <c r="DO45" s="145"/>
      <c r="DP45" s="145"/>
      <c r="DQ45" s="145"/>
      <c r="DS45" s="219"/>
    </row>
    <row r="46" spans="1:123" s="21" customFormat="1" ht="24" hidden="1" customHeight="1">
      <c r="A46" s="16"/>
      <c r="B46" s="2"/>
      <c r="C46" s="78" t="s">
        <v>1373</v>
      </c>
      <c r="D46" s="78"/>
      <c r="E46" s="78"/>
      <c r="F46" s="3"/>
      <c r="G46" s="4"/>
      <c r="H46" s="4"/>
      <c r="I46" s="4"/>
      <c r="J46" s="13" t="str">
        <f t="shared" ref="J46:J109" ca="1" si="21">IF(H46="","",IF(I46&lt;&gt;"",I46-H46,EDATE(H46,18)-NOW()))</f>
        <v/>
      </c>
      <c r="K46" s="165"/>
      <c r="L46" s="165"/>
      <c r="M46" s="165"/>
      <c r="N46" s="165"/>
      <c r="O46" s="165"/>
      <c r="P46" s="165"/>
      <c r="Q46" s="165"/>
      <c r="R46" s="3" t="s">
        <v>175</v>
      </c>
      <c r="S46" s="11"/>
      <c r="T46" s="11"/>
      <c r="U46" s="5" t="s">
        <v>7</v>
      </c>
      <c r="V46" s="251"/>
      <c r="W46" s="5" t="s">
        <v>1279</v>
      </c>
      <c r="X46" s="5" t="s">
        <v>475</v>
      </c>
      <c r="Y46" s="5" t="s">
        <v>1374</v>
      </c>
      <c r="Z46" s="3"/>
      <c r="AA46" s="6" t="s">
        <v>461</v>
      </c>
      <c r="AB46" s="141"/>
      <c r="AC46" s="165"/>
      <c r="AD46" s="165"/>
      <c r="AE46" s="165"/>
      <c r="AF46" s="5"/>
      <c r="AG46" s="5"/>
      <c r="AH46" s="210"/>
      <c r="AI46" s="203"/>
      <c r="AJ46" s="203"/>
      <c r="AK46" s="221"/>
      <c r="AL46" s="161"/>
      <c r="AM46" s="161"/>
      <c r="AN46" s="161"/>
      <c r="AO46" s="161"/>
      <c r="AP46" s="161"/>
      <c r="AQ46" s="161"/>
      <c r="AR46" s="51"/>
      <c r="AS46" s="51"/>
      <c r="AT46" s="51"/>
      <c r="AU46" s="51"/>
      <c r="AV46" s="36"/>
      <c r="AW46" s="36"/>
      <c r="AX46" s="90"/>
      <c r="AY46" s="157">
        <f t="shared" si="3"/>
        <v>38.18976</v>
      </c>
      <c r="AZ46" s="182"/>
      <c r="BA46" s="158"/>
      <c r="BB46" s="158"/>
      <c r="BC46" s="158"/>
      <c r="BD46" s="158"/>
      <c r="BE46" s="158"/>
      <c r="BF46" s="158"/>
      <c r="BG46" s="158"/>
      <c r="BH46" s="158"/>
      <c r="BI46" s="158"/>
      <c r="BJ46" s="158"/>
      <c r="BK46" s="158"/>
      <c r="BL46" s="182"/>
      <c r="BM46" s="158"/>
      <c r="BN46" s="182"/>
      <c r="BO46" s="158"/>
      <c r="BP46" s="182"/>
      <c r="BQ46" s="158"/>
      <c r="BR46" s="182"/>
      <c r="BS46" s="158"/>
      <c r="BT46" s="182"/>
      <c r="BU46" s="158"/>
      <c r="BV46" s="182"/>
      <c r="BW46" s="234">
        <v>38.18976</v>
      </c>
      <c r="BX46" s="237">
        <v>38.18976</v>
      </c>
      <c r="BY46" s="81">
        <f t="shared" si="4"/>
        <v>-38.18976</v>
      </c>
      <c r="BZ46" s="198">
        <v>-38.18976</v>
      </c>
      <c r="CA46" s="198"/>
      <c r="CB46" s="198"/>
      <c r="CC46" s="198"/>
      <c r="CD46" s="198"/>
      <c r="CE46" s="198"/>
      <c r="CF46" s="198"/>
      <c r="CG46" s="198"/>
      <c r="CH46" s="198"/>
      <c r="CI46" s="198"/>
      <c r="CJ46" s="198"/>
      <c r="CK46" s="198"/>
      <c r="CL46" s="195"/>
      <c r="CM46" s="196"/>
      <c r="CN46" s="196"/>
      <c r="CO46" s="196"/>
      <c r="CP46" s="196"/>
      <c r="CQ46" s="196"/>
      <c r="CR46" s="196"/>
      <c r="CS46" s="196"/>
      <c r="CT46" s="196"/>
      <c r="CU46" s="196"/>
      <c r="CV46" s="196"/>
      <c r="CW46" s="196"/>
      <c r="CX46" s="196"/>
      <c r="CY46" s="200"/>
      <c r="CZ46" s="172">
        <f t="shared" si="5"/>
        <v>0</v>
      </c>
      <c r="DA46" s="201"/>
      <c r="DB46" s="201"/>
      <c r="DC46" s="201"/>
      <c r="DD46" s="239"/>
      <c r="DE46" s="201"/>
      <c r="DF46" s="172"/>
      <c r="DG46" s="207"/>
      <c r="DH46" s="225"/>
      <c r="DI46" s="225"/>
      <c r="DJ46" s="225"/>
      <c r="DK46" s="225"/>
      <c r="DL46" s="145"/>
      <c r="DM46" s="145"/>
      <c r="DN46" s="145">
        <v>152.75904</v>
      </c>
      <c r="DO46" s="145">
        <v>0</v>
      </c>
      <c r="DP46" s="145"/>
      <c r="DQ46" s="145"/>
      <c r="DS46" s="219"/>
    </row>
    <row r="47" spans="1:123" s="21" customFormat="1" ht="24" customHeight="1">
      <c r="A47" s="16"/>
      <c r="B47" s="2">
        <v>155</v>
      </c>
      <c r="C47" s="220" t="s">
        <v>292</v>
      </c>
      <c r="D47" s="78"/>
      <c r="E47" s="78" t="s">
        <v>950</v>
      </c>
      <c r="F47" s="3">
        <v>2019</v>
      </c>
      <c r="G47" s="4">
        <v>43762</v>
      </c>
      <c r="H47" s="174">
        <v>43885</v>
      </c>
      <c r="I47" s="4">
        <v>44529</v>
      </c>
      <c r="J47" s="13">
        <f t="shared" ca="1" si="21"/>
        <v>644</v>
      </c>
      <c r="K47" s="165">
        <f t="shared" ref="K47:K61" si="22">IF(H47="","",H47+547)</f>
        <v>44432</v>
      </c>
      <c r="L47" s="165">
        <f t="shared" ref="L47:L61" si="23">IF(H47="","",H47+730)</f>
        <v>44615</v>
      </c>
      <c r="M47" s="232" t="s">
        <v>597</v>
      </c>
      <c r="N47" s="165" t="s">
        <v>597</v>
      </c>
      <c r="O47" s="233" t="s">
        <v>597</v>
      </c>
      <c r="P47" s="227" t="s">
        <v>1022</v>
      </c>
      <c r="Q47" s="227" t="s">
        <v>1389</v>
      </c>
      <c r="R47" s="3" t="s">
        <v>175</v>
      </c>
      <c r="S47" s="11" t="s">
        <v>223</v>
      </c>
      <c r="T47" s="11" t="s">
        <v>916</v>
      </c>
      <c r="U47" s="5" t="s">
        <v>8</v>
      </c>
      <c r="V47" s="251">
        <v>2729616</v>
      </c>
      <c r="W47" s="5" t="s">
        <v>602</v>
      </c>
      <c r="X47" s="5" t="s">
        <v>901</v>
      </c>
      <c r="Y47" s="5" t="s">
        <v>289</v>
      </c>
      <c r="Z47" s="3" t="s">
        <v>182</v>
      </c>
      <c r="AA47" s="6" t="s">
        <v>194</v>
      </c>
      <c r="AB47" s="271" t="s">
        <v>1346</v>
      </c>
      <c r="AC47" s="165" t="s">
        <v>5</v>
      </c>
      <c r="AD47" s="165">
        <v>44742</v>
      </c>
      <c r="AE47" s="165">
        <v>44681</v>
      </c>
      <c r="AF47" s="5" t="s">
        <v>1037</v>
      </c>
      <c r="AG47" s="5" t="s">
        <v>1039</v>
      </c>
      <c r="AH47" s="279"/>
      <c r="AI47" s="76" t="s">
        <v>671</v>
      </c>
      <c r="AJ47" s="76"/>
      <c r="AK47" s="221" t="e">
        <f>SUM(#REF!,BT47,BV47)</f>
        <v>#REF!</v>
      </c>
      <c r="AL47" s="48" t="s">
        <v>1110</v>
      </c>
      <c r="AM47" s="48" t="s">
        <v>1111</v>
      </c>
      <c r="AN47" s="48" t="s">
        <v>1079</v>
      </c>
      <c r="AO47" s="48" t="s">
        <v>1112</v>
      </c>
      <c r="AP47" s="48" t="s">
        <v>1113</v>
      </c>
      <c r="AQ47" s="48" t="s">
        <v>1114</v>
      </c>
      <c r="AR47" s="51">
        <v>0</v>
      </c>
      <c r="AS47" s="51">
        <v>500</v>
      </c>
      <c r="AT47" s="51">
        <v>0</v>
      </c>
      <c r="AU47" s="51">
        <v>773</v>
      </c>
      <c r="AV47" s="36">
        <v>774.09900000000005</v>
      </c>
      <c r="AW47" s="36">
        <v>12.4</v>
      </c>
      <c r="AX47" s="90">
        <f t="shared" ref="AX47:AX110" si="24">AW47+AV47</f>
        <v>786.49900000000002</v>
      </c>
      <c r="AY47" s="157">
        <f t="shared" si="3"/>
        <v>117.37044</v>
      </c>
      <c r="AZ47" s="182">
        <v>0</v>
      </c>
      <c r="BA47" s="158">
        <v>0</v>
      </c>
      <c r="BB47" s="182">
        <v>0</v>
      </c>
      <c r="BC47" s="158"/>
      <c r="BD47" s="182">
        <v>0</v>
      </c>
      <c r="BE47" s="158">
        <v>28.105370000000001</v>
      </c>
      <c r="BF47" s="182">
        <v>7</v>
      </c>
      <c r="BG47" s="158"/>
      <c r="BH47" s="182">
        <v>0</v>
      </c>
      <c r="BI47" s="158">
        <v>0.16829</v>
      </c>
      <c r="BJ47" s="182">
        <v>0</v>
      </c>
      <c r="BK47" s="158"/>
      <c r="BL47" s="182"/>
      <c r="BM47" s="158">
        <v>1.02454</v>
      </c>
      <c r="BN47" s="182">
        <v>17</v>
      </c>
      <c r="BO47" s="158">
        <v>19.568060000000003</v>
      </c>
      <c r="BP47" s="182"/>
      <c r="BQ47" s="158">
        <v>12.854840000000001</v>
      </c>
      <c r="BR47" s="182">
        <f>10-1</f>
        <v>9</v>
      </c>
      <c r="BS47" s="158">
        <v>20.114830000000001</v>
      </c>
      <c r="BT47" s="182"/>
      <c r="BU47" s="158">
        <v>15.55339</v>
      </c>
      <c r="BV47" s="218">
        <f>486-13.5-2.4</f>
        <v>470.1</v>
      </c>
      <c r="BW47" s="234">
        <v>19.981120000000004</v>
      </c>
      <c r="BX47" s="237">
        <v>19.981120000000004</v>
      </c>
      <c r="BY47" s="81">
        <f t="shared" si="4"/>
        <v>850.09999999999991</v>
      </c>
      <c r="BZ47" s="241"/>
      <c r="CA47" s="241">
        <v>372</v>
      </c>
      <c r="CB47" s="241">
        <f>182.4+60-18</f>
        <v>224.4</v>
      </c>
      <c r="CC47" s="241">
        <f>182.4+71.3</f>
        <v>253.7</v>
      </c>
      <c r="CD47" s="241"/>
      <c r="CE47" s="241"/>
      <c r="CF47" s="241"/>
      <c r="CG47" s="241"/>
      <c r="CH47" s="241"/>
      <c r="CI47" s="241"/>
      <c r="CJ47" s="241"/>
      <c r="CK47" s="241"/>
      <c r="CL47" s="195">
        <f t="shared" ref="CL47:CL59" si="25">SUM(CM47:CX47)</f>
        <v>0</v>
      </c>
      <c r="CM47" s="196"/>
      <c r="CN47" s="196"/>
      <c r="CO47" s="196"/>
      <c r="CP47" s="196"/>
      <c r="CQ47" s="196"/>
      <c r="CR47" s="196"/>
      <c r="CS47" s="196"/>
      <c r="CT47" s="196"/>
      <c r="CU47" s="196"/>
      <c r="CV47" s="196"/>
      <c r="CW47" s="196"/>
      <c r="CX47" s="196"/>
      <c r="CY47" s="200">
        <f t="shared" ref="CY47:CY110" si="26">BV47-BX47</f>
        <v>450.11887999999999</v>
      </c>
      <c r="CZ47" s="172">
        <f t="shared" si="5"/>
        <v>0</v>
      </c>
      <c r="DA47" s="201">
        <f t="shared" ref="DA47:DA110" si="27">SUM(BA47,BC47,BE47,BG47,BI47,BK47,BM47,BO47,BQ47,BS47,BU47)</f>
        <v>97.389319999999998</v>
      </c>
      <c r="DB47" s="201">
        <f t="shared" ref="DB47:DB110" si="28">SUM(BX47)</f>
        <v>19.981120000000004</v>
      </c>
      <c r="DC47" s="201">
        <f t="shared" ref="DC47:DC59" si="29">SUM(AY47,BY47)</f>
        <v>967.47043999999994</v>
      </c>
      <c r="DD47" s="239">
        <v>1003.93593</v>
      </c>
      <c r="DE47" s="201">
        <f t="shared" ref="DE47:DE59" si="30">DC47-DD47</f>
        <v>-36.465490000000045</v>
      </c>
      <c r="DF47" s="172" t="e">
        <f>SUM(DN47:DO47)-SUM(#REF!,BV47)+BU47</f>
        <v>#REF!</v>
      </c>
      <c r="DG47" s="207"/>
      <c r="DH47" s="225">
        <f t="shared" ref="DH47:DH59" si="31">SUM(BA47,BC47,BE47)</f>
        <v>28.105370000000001</v>
      </c>
      <c r="DI47" s="225">
        <f t="shared" ref="DI47:DI59" si="32">SUM(BG47,BI47,BK47)</f>
        <v>0.16829</v>
      </c>
      <c r="DJ47" s="225">
        <f t="shared" ref="DJ47:DJ59" si="33">SUM(BM47,BO47,BQ47)</f>
        <v>33.447440000000007</v>
      </c>
      <c r="DK47" s="225" t="e">
        <f>SUM(BS47,#REF!,BV47)</f>
        <v>#REF!</v>
      </c>
      <c r="DL47" s="145">
        <v>1006.05</v>
      </c>
      <c r="DM47" s="145">
        <v>117.37044</v>
      </c>
      <c r="DN47" s="145">
        <v>634.59425999999996</v>
      </c>
      <c r="DO47" s="145">
        <v>0</v>
      </c>
      <c r="DP47" s="145">
        <v>751.96469999999999</v>
      </c>
      <c r="DQ47" s="145">
        <v>254.08529999999999</v>
      </c>
      <c r="DR47" s="21">
        <f>VLOOKUP(C47,[6]Database!$B$143:$AD$521,29,FALSE)</f>
        <v>364.8</v>
      </c>
      <c r="DS47" s="219">
        <f t="shared" ref="DS47:DS59" si="34">BY47-DR47</f>
        <v>485.2999999999999</v>
      </c>
    </row>
    <row r="48" spans="1:123" s="21" customFormat="1" ht="24" customHeight="1">
      <c r="A48" s="16"/>
      <c r="B48" s="2">
        <v>204</v>
      </c>
      <c r="C48" s="78" t="s">
        <v>797</v>
      </c>
      <c r="D48" s="268" t="s">
        <v>592</v>
      </c>
      <c r="E48" s="78" t="s">
        <v>1186</v>
      </c>
      <c r="F48" s="3">
        <v>2021</v>
      </c>
      <c r="G48" s="4">
        <v>44301</v>
      </c>
      <c r="H48" s="4">
        <v>44357</v>
      </c>
      <c r="I48" s="4"/>
      <c r="J48" s="13">
        <f t="shared" ca="1" si="21"/>
        <v>-944.33599710647832</v>
      </c>
      <c r="K48" s="165">
        <f t="shared" si="22"/>
        <v>44904</v>
      </c>
      <c r="L48" s="165">
        <f t="shared" si="23"/>
        <v>45087</v>
      </c>
      <c r="M48" s="165"/>
      <c r="N48" s="165"/>
      <c r="O48" s="165"/>
      <c r="P48" s="165"/>
      <c r="Q48" s="274" t="s">
        <v>1242</v>
      </c>
      <c r="R48" s="3" t="s">
        <v>176</v>
      </c>
      <c r="S48" s="11"/>
      <c r="T48" s="11"/>
      <c r="U48" s="5" t="s">
        <v>7</v>
      </c>
      <c r="V48" s="251">
        <v>4060127</v>
      </c>
      <c r="W48" s="5" t="s">
        <v>602</v>
      </c>
      <c r="X48" s="5" t="s">
        <v>473</v>
      </c>
      <c r="Y48" s="5" t="s">
        <v>796</v>
      </c>
      <c r="Z48" s="3" t="s">
        <v>811</v>
      </c>
      <c r="AA48" s="6" t="s">
        <v>461</v>
      </c>
      <c r="AB48" s="141" t="s">
        <v>1385</v>
      </c>
      <c r="AC48" s="165">
        <v>44864</v>
      </c>
      <c r="AD48" s="165">
        <v>44926</v>
      </c>
      <c r="AE48" s="165">
        <f>IFERROR(EOMONTH(L48,-2),"")</f>
        <v>45046</v>
      </c>
      <c r="AF48" s="5"/>
      <c r="AG48" s="5"/>
      <c r="AH48" s="279"/>
      <c r="AI48" s="76"/>
      <c r="AJ48" s="76"/>
      <c r="AK48" s="221" t="e">
        <f>SUM(#REF!,BT48,BV48)</f>
        <v>#REF!</v>
      </c>
      <c r="AL48" s="48"/>
      <c r="AM48" s="48"/>
      <c r="AN48" s="48"/>
      <c r="AO48" s="48"/>
      <c r="AP48" s="48"/>
      <c r="AQ48" s="48"/>
      <c r="AR48" s="51"/>
      <c r="AS48" s="51"/>
      <c r="AT48" s="51"/>
      <c r="AU48" s="51">
        <v>0</v>
      </c>
      <c r="AV48" s="36">
        <v>5312.05</v>
      </c>
      <c r="AW48" s="36">
        <v>508</v>
      </c>
      <c r="AX48" s="90">
        <f t="shared" si="24"/>
        <v>5820.05</v>
      </c>
      <c r="AY48" s="157">
        <f t="shared" si="3"/>
        <v>2007.9309199999998</v>
      </c>
      <c r="AZ48" s="182"/>
      <c r="BA48" s="158"/>
      <c r="BB48" s="182"/>
      <c r="BC48" s="158"/>
      <c r="BD48" s="182"/>
      <c r="BE48" s="158"/>
      <c r="BF48" s="182">
        <v>0</v>
      </c>
      <c r="BG48" s="158"/>
      <c r="BH48" s="182">
        <v>0</v>
      </c>
      <c r="BI48" s="158"/>
      <c r="BJ48" s="182">
        <v>0</v>
      </c>
      <c r="BK48" s="158"/>
      <c r="BL48" s="182"/>
      <c r="BM48" s="158"/>
      <c r="BN48" s="182">
        <v>40</v>
      </c>
      <c r="BO48" s="158">
        <v>23.769369999999999</v>
      </c>
      <c r="BP48" s="182">
        <v>43</v>
      </c>
      <c r="BQ48" s="158">
        <v>81.053460000000001</v>
      </c>
      <c r="BR48" s="182">
        <v>1088</v>
      </c>
      <c r="BS48" s="158">
        <v>1170.2438299999999</v>
      </c>
      <c r="BT48" s="182">
        <f>256-144.3-2.7-45.7+0.4-36.5</f>
        <v>27.199999999999982</v>
      </c>
      <c r="BU48" s="158">
        <v>32.039969999999997</v>
      </c>
      <c r="BV48" s="182">
        <f>759.2+2.8+1.3+1+0.7</f>
        <v>765</v>
      </c>
      <c r="BW48" s="234">
        <v>700.82428999999979</v>
      </c>
      <c r="BX48" s="237">
        <v>700.82428999999979</v>
      </c>
      <c r="BY48" s="81">
        <f t="shared" si="4"/>
        <v>3306.2</v>
      </c>
      <c r="BZ48" s="241">
        <f>50+78.2</f>
        <v>128.19999999999999</v>
      </c>
      <c r="CA48" s="241">
        <f>105</f>
        <v>105</v>
      </c>
      <c r="CB48" s="241">
        <f>205+85-100-90</f>
        <v>100</v>
      </c>
      <c r="CC48" s="241">
        <f>160+85</f>
        <v>245</v>
      </c>
      <c r="CD48" s="241">
        <f>790+85</f>
        <v>875</v>
      </c>
      <c r="CE48" s="241">
        <f>40+85-4</f>
        <v>121</v>
      </c>
      <c r="CF48" s="241">
        <f>486+85</f>
        <v>571</v>
      </c>
      <c r="CG48" s="241">
        <f>796+84-8</f>
        <v>872</v>
      </c>
      <c r="CH48" s="241">
        <v>85</v>
      </c>
      <c r="CI48" s="241">
        <v>100</v>
      </c>
      <c r="CJ48" s="241">
        <f>90+14</f>
        <v>104</v>
      </c>
      <c r="CK48" s="241"/>
      <c r="CL48" s="195">
        <f t="shared" si="25"/>
        <v>0</v>
      </c>
      <c r="CM48" s="196"/>
      <c r="CN48" s="196"/>
      <c r="CO48" s="196"/>
      <c r="CP48" s="196"/>
      <c r="CQ48" s="196"/>
      <c r="CR48" s="196"/>
      <c r="CS48" s="196"/>
      <c r="CT48" s="196"/>
      <c r="CU48" s="196"/>
      <c r="CV48" s="196"/>
      <c r="CW48" s="196"/>
      <c r="CX48" s="196"/>
      <c r="CY48" s="200">
        <f t="shared" si="26"/>
        <v>64.175710000000208</v>
      </c>
      <c r="CZ48" s="172">
        <f t="shared" si="5"/>
        <v>0</v>
      </c>
      <c r="DA48" s="201">
        <f t="shared" si="27"/>
        <v>1307.10663</v>
      </c>
      <c r="DB48" s="201">
        <f t="shared" si="28"/>
        <v>700.82428999999979</v>
      </c>
      <c r="DC48" s="201">
        <f t="shared" si="29"/>
        <v>5314.1309199999996</v>
      </c>
      <c r="DD48" s="239">
        <v>5312.2666600000002</v>
      </c>
      <c r="DE48" s="201">
        <f t="shared" si="30"/>
        <v>1.8642599999993763</v>
      </c>
      <c r="DF48" s="172" t="e">
        <f>SUM(DN48:DO48)-SUM(#REF!,BV48)+BU48</f>
        <v>#REF!</v>
      </c>
      <c r="DG48" s="207"/>
      <c r="DH48" s="225">
        <f t="shared" si="31"/>
        <v>0</v>
      </c>
      <c r="DI48" s="225">
        <f t="shared" si="32"/>
        <v>0</v>
      </c>
      <c r="DJ48" s="225">
        <f t="shared" si="33"/>
        <v>104.82283</v>
      </c>
      <c r="DK48" s="225" t="e">
        <f>SUM(BS48,#REF!,BV48)</f>
        <v>#REF!</v>
      </c>
      <c r="DL48" s="145">
        <v>5312.05</v>
      </c>
      <c r="DM48" s="145">
        <v>2007.93092</v>
      </c>
      <c r="DN48" s="145">
        <v>3903.2097599999997</v>
      </c>
      <c r="DO48" s="145">
        <v>3.0809299999999999</v>
      </c>
      <c r="DP48" s="145">
        <v>5914.2216100000005</v>
      </c>
      <c r="DQ48" s="145">
        <v>-602.17160999999999</v>
      </c>
      <c r="DR48" s="21">
        <f>VLOOKUP(C48,[6]Database!$B$143:$AD$521,29,FALSE)</f>
        <v>3314</v>
      </c>
      <c r="DS48" s="219">
        <f t="shared" si="34"/>
        <v>-7.8000000000001819</v>
      </c>
    </row>
    <row r="49" spans="1:123" s="21" customFormat="1" ht="24" customHeight="1">
      <c r="A49" s="16"/>
      <c r="B49" s="2">
        <v>223</v>
      </c>
      <c r="C49" s="78" t="s">
        <v>943</v>
      </c>
      <c r="D49" s="78">
        <v>2590</v>
      </c>
      <c r="E49" s="78"/>
      <c r="F49" s="3">
        <v>2021</v>
      </c>
      <c r="G49" s="4">
        <v>44357</v>
      </c>
      <c r="H49" s="4">
        <v>44420</v>
      </c>
      <c r="I49" s="4"/>
      <c r="J49" s="13">
        <f t="shared" ca="1" si="21"/>
        <v>-880.33599710647832</v>
      </c>
      <c r="K49" s="165">
        <f t="shared" si="22"/>
        <v>44967</v>
      </c>
      <c r="L49" s="165">
        <f t="shared" si="23"/>
        <v>45150</v>
      </c>
      <c r="M49" s="165"/>
      <c r="N49" s="165"/>
      <c r="O49" s="165"/>
      <c r="P49" s="165"/>
      <c r="Q49" s="165"/>
      <c r="R49" s="3" t="s">
        <v>175</v>
      </c>
      <c r="S49" s="11" t="s">
        <v>221</v>
      </c>
      <c r="T49" s="11" t="s">
        <v>909</v>
      </c>
      <c r="U49" s="5" t="s">
        <v>7</v>
      </c>
      <c r="V49" s="251">
        <v>4441744</v>
      </c>
      <c r="W49" s="5" t="s">
        <v>602</v>
      </c>
      <c r="X49" s="5" t="s">
        <v>478</v>
      </c>
      <c r="Y49" s="5" t="s">
        <v>962</v>
      </c>
      <c r="Z49" s="3" t="s">
        <v>186</v>
      </c>
      <c r="AA49" s="6" t="s">
        <v>461</v>
      </c>
      <c r="AB49" s="141" t="s">
        <v>1357</v>
      </c>
      <c r="AC49" s="165">
        <v>44926</v>
      </c>
      <c r="AD49" s="165">
        <v>44773</v>
      </c>
      <c r="AE49" s="165">
        <f>IFERROR(EOMONTH(L49,-2),"")</f>
        <v>45107</v>
      </c>
      <c r="AF49" s="5"/>
      <c r="AG49" s="5"/>
      <c r="AH49" s="279"/>
      <c r="AI49" s="76"/>
      <c r="AJ49" s="76"/>
      <c r="AK49" s="221" t="e">
        <f>SUM(#REF!,BT49,BV49)</f>
        <v>#REF!</v>
      </c>
      <c r="AL49" s="48" t="s">
        <v>1082</v>
      </c>
      <c r="AM49" s="48" t="s">
        <v>1079</v>
      </c>
      <c r="AN49" s="48" t="s">
        <v>1081</v>
      </c>
      <c r="AO49" s="48" t="s">
        <v>592</v>
      </c>
      <c r="AP49" s="48" t="s">
        <v>592</v>
      </c>
      <c r="AQ49" s="48" t="s">
        <v>592</v>
      </c>
      <c r="AR49" s="51"/>
      <c r="AS49" s="51"/>
      <c r="AT49" s="51"/>
      <c r="AU49" s="51">
        <v>0</v>
      </c>
      <c r="AV49" s="36">
        <v>168</v>
      </c>
      <c r="AW49" s="36"/>
      <c r="AX49" s="90">
        <f t="shared" si="24"/>
        <v>168</v>
      </c>
      <c r="AY49" s="157">
        <f t="shared" si="3"/>
        <v>68.909859999999995</v>
      </c>
      <c r="AZ49" s="182"/>
      <c r="BA49" s="158"/>
      <c r="BB49" s="182"/>
      <c r="BC49" s="158"/>
      <c r="BD49" s="182"/>
      <c r="BE49" s="158"/>
      <c r="BF49" s="182"/>
      <c r="BG49" s="158"/>
      <c r="BH49" s="182"/>
      <c r="BI49" s="158"/>
      <c r="BJ49" s="182">
        <v>0</v>
      </c>
      <c r="BK49" s="158"/>
      <c r="BL49" s="182"/>
      <c r="BM49" s="158"/>
      <c r="BN49" s="182"/>
      <c r="BO49" s="158"/>
      <c r="BP49" s="182"/>
      <c r="BQ49" s="158">
        <v>2.2257899999999999</v>
      </c>
      <c r="BR49" s="182">
        <f>15-1.4</f>
        <v>13.6</v>
      </c>
      <c r="BS49" s="158">
        <v>11.571330000000001</v>
      </c>
      <c r="BT49" s="182">
        <f>56-0.5</f>
        <v>55.5</v>
      </c>
      <c r="BU49" s="158">
        <v>2.09131</v>
      </c>
      <c r="BV49" s="182">
        <f>45+1.5+35.5+22.9-27+3.5</f>
        <v>81.400000000000006</v>
      </c>
      <c r="BW49" s="234">
        <v>53.021429999999995</v>
      </c>
      <c r="BX49" s="237">
        <v>53.021429999999995</v>
      </c>
      <c r="BY49" s="81">
        <f t="shared" si="4"/>
        <v>99.9</v>
      </c>
      <c r="BZ49" s="241">
        <f>10-8.5+5+8.4</f>
        <v>14.9</v>
      </c>
      <c r="CA49" s="241">
        <f>10+5</f>
        <v>15</v>
      </c>
      <c r="CB49" s="241">
        <f>10+5</f>
        <v>15</v>
      </c>
      <c r="CC49" s="241">
        <f>10+5</f>
        <v>15</v>
      </c>
      <c r="CD49" s="241">
        <v>13</v>
      </c>
      <c r="CE49" s="241">
        <v>27</v>
      </c>
      <c r="CF49" s="241"/>
      <c r="CG49" s="241"/>
      <c r="CH49" s="241"/>
      <c r="CI49" s="241"/>
      <c r="CJ49" s="241"/>
      <c r="CK49" s="241"/>
      <c r="CL49" s="195">
        <f t="shared" si="25"/>
        <v>0</v>
      </c>
      <c r="CM49" s="196"/>
      <c r="CN49" s="196"/>
      <c r="CO49" s="196"/>
      <c r="CP49" s="196"/>
      <c r="CQ49" s="196"/>
      <c r="CR49" s="196"/>
      <c r="CS49" s="196"/>
      <c r="CT49" s="196"/>
      <c r="CU49" s="196"/>
      <c r="CV49" s="196"/>
      <c r="CW49" s="196"/>
      <c r="CX49" s="196"/>
      <c r="CY49" s="200">
        <f t="shared" si="26"/>
        <v>28.378570000000011</v>
      </c>
      <c r="CZ49" s="172">
        <f t="shared" si="5"/>
        <v>0</v>
      </c>
      <c r="DA49" s="201">
        <f t="shared" si="27"/>
        <v>15.888430000000001</v>
      </c>
      <c r="DB49" s="201">
        <f t="shared" si="28"/>
        <v>53.021429999999995</v>
      </c>
      <c r="DC49" s="201">
        <f t="shared" si="29"/>
        <v>168.80986000000001</v>
      </c>
      <c r="DD49" s="239">
        <v>168.79712000000001</v>
      </c>
      <c r="DE49" s="201">
        <f t="shared" si="30"/>
        <v>1.2740000000007967E-2</v>
      </c>
      <c r="DF49" s="172" t="e">
        <f>SUM(DN49:DO49)-SUM(#REF!,BV49)+BU49</f>
        <v>#REF!</v>
      </c>
      <c r="DG49" s="207" t="s">
        <v>1156</v>
      </c>
      <c r="DH49" s="225">
        <f t="shared" si="31"/>
        <v>0</v>
      </c>
      <c r="DI49" s="225">
        <f t="shared" si="32"/>
        <v>0</v>
      </c>
      <c r="DJ49" s="225">
        <f t="shared" si="33"/>
        <v>2.2257899999999999</v>
      </c>
      <c r="DK49" s="225" t="e">
        <f>SUM(BS49,#REF!,BV49)</f>
        <v>#REF!</v>
      </c>
      <c r="DL49" s="145">
        <v>168</v>
      </c>
      <c r="DM49" s="145">
        <v>69.201820000000012</v>
      </c>
      <c r="DN49" s="145">
        <v>36.700769999999999</v>
      </c>
      <c r="DO49" s="145">
        <v>49.633559999999996</v>
      </c>
      <c r="DP49" s="145">
        <v>155.53614999999999</v>
      </c>
      <c r="DQ49" s="145">
        <v>12.463850000000001</v>
      </c>
      <c r="DR49" s="21">
        <f>VLOOKUP(C49,[6]Database!$B$143:$AD$521,29,FALSE)</f>
        <v>53</v>
      </c>
      <c r="DS49" s="219">
        <f t="shared" si="34"/>
        <v>46.900000000000006</v>
      </c>
    </row>
    <row r="50" spans="1:123" s="21" customFormat="1" ht="24" customHeight="1">
      <c r="A50" s="16"/>
      <c r="B50" s="2">
        <v>138</v>
      </c>
      <c r="C50" s="220" t="s">
        <v>262</v>
      </c>
      <c r="D50" s="78"/>
      <c r="E50" s="78" t="s">
        <v>819</v>
      </c>
      <c r="F50" s="3">
        <v>2019</v>
      </c>
      <c r="G50" s="4">
        <v>43741</v>
      </c>
      <c r="H50" s="174">
        <v>43818</v>
      </c>
      <c r="I50" s="4"/>
      <c r="J50" s="13">
        <f t="shared" ca="1" si="21"/>
        <v>-1483.3359971064783</v>
      </c>
      <c r="K50" s="165">
        <f t="shared" si="22"/>
        <v>44365</v>
      </c>
      <c r="L50" s="165">
        <f t="shared" si="23"/>
        <v>44548</v>
      </c>
      <c r="M50" s="232" t="s">
        <v>597</v>
      </c>
      <c r="N50" s="165" t="s">
        <v>597</v>
      </c>
      <c r="O50" s="233" t="s">
        <v>597</v>
      </c>
      <c r="P50" s="227" t="s">
        <v>1021</v>
      </c>
      <c r="Q50" s="227" t="s">
        <v>1388</v>
      </c>
      <c r="R50" s="3" t="s">
        <v>175</v>
      </c>
      <c r="S50" s="11" t="s">
        <v>223</v>
      </c>
      <c r="T50" s="11" t="s">
        <v>912</v>
      </c>
      <c r="U50" s="5" t="s">
        <v>8</v>
      </c>
      <c r="V50" s="251">
        <v>2357324</v>
      </c>
      <c r="W50" s="5" t="s">
        <v>602</v>
      </c>
      <c r="X50" s="5" t="s">
        <v>475</v>
      </c>
      <c r="Y50" s="5" t="s">
        <v>258</v>
      </c>
      <c r="Z50" s="78" t="s">
        <v>315</v>
      </c>
      <c r="AA50" s="6" t="s">
        <v>461</v>
      </c>
      <c r="AB50" s="148" t="s">
        <v>1269</v>
      </c>
      <c r="AC50" s="165">
        <v>44864</v>
      </c>
      <c r="AD50" s="165">
        <v>44864</v>
      </c>
      <c r="AE50" s="165">
        <v>44864</v>
      </c>
      <c r="AF50" s="5"/>
      <c r="AG50" s="5"/>
      <c r="AH50" s="279"/>
      <c r="AI50" s="76" t="s">
        <v>771</v>
      </c>
      <c r="AJ50" s="76"/>
      <c r="AK50" s="221" t="e">
        <f>SUM(#REF!,BT50,BV50)</f>
        <v>#REF!</v>
      </c>
      <c r="AL50" s="154" t="s">
        <v>1128</v>
      </c>
      <c r="AM50" s="154" t="s">
        <v>1129</v>
      </c>
      <c r="AN50" s="154" t="s">
        <v>1079</v>
      </c>
      <c r="AO50" s="154" t="s">
        <v>1130</v>
      </c>
      <c r="AP50" s="252">
        <v>44540</v>
      </c>
      <c r="AQ50" s="154" t="s">
        <v>1114</v>
      </c>
      <c r="AR50" s="51">
        <v>0</v>
      </c>
      <c r="AS50" s="51">
        <v>300</v>
      </c>
      <c r="AT50" s="51">
        <v>0</v>
      </c>
      <c r="AU50" s="51">
        <v>1244</v>
      </c>
      <c r="AV50" s="36">
        <v>1244</v>
      </c>
      <c r="AW50" s="36">
        <v>0</v>
      </c>
      <c r="AX50" s="90">
        <f t="shared" si="24"/>
        <v>1244</v>
      </c>
      <c r="AY50" s="157">
        <f t="shared" si="3"/>
        <v>110.05606999999998</v>
      </c>
      <c r="AZ50" s="182">
        <v>0</v>
      </c>
      <c r="BA50" s="158">
        <v>0</v>
      </c>
      <c r="BB50" s="182">
        <v>0</v>
      </c>
      <c r="BC50" s="158"/>
      <c r="BD50" s="182">
        <v>0</v>
      </c>
      <c r="BE50" s="158">
        <v>0</v>
      </c>
      <c r="BF50" s="182">
        <v>0</v>
      </c>
      <c r="BG50" s="158"/>
      <c r="BH50" s="182">
        <v>0</v>
      </c>
      <c r="BI50" s="158"/>
      <c r="BJ50" s="182">
        <v>25</v>
      </c>
      <c r="BK50" s="158">
        <v>0.98017999999999994</v>
      </c>
      <c r="BL50" s="182">
        <v>10</v>
      </c>
      <c r="BM50" s="158">
        <v>8.9377999999999993</v>
      </c>
      <c r="BN50" s="182">
        <v>5</v>
      </c>
      <c r="BO50" s="158"/>
      <c r="BP50" s="182">
        <v>5</v>
      </c>
      <c r="BQ50" s="158"/>
      <c r="BR50" s="182">
        <v>18</v>
      </c>
      <c r="BS50" s="158">
        <v>17.31305</v>
      </c>
      <c r="BT50" s="182">
        <f>5+13.1-12.4</f>
        <v>5.7000000000000011</v>
      </c>
      <c r="BU50" s="158">
        <v>5.1972400000000007</v>
      </c>
      <c r="BV50" s="182">
        <f>118.9-34-0.5</f>
        <v>84.4</v>
      </c>
      <c r="BW50" s="234">
        <v>77.627799999999979</v>
      </c>
      <c r="BX50" s="237">
        <v>77.627799999999979</v>
      </c>
      <c r="BY50" s="81">
        <f t="shared" si="4"/>
        <v>926.8</v>
      </c>
      <c r="BZ50" s="241">
        <f>15+6.8</f>
        <v>21.8</v>
      </c>
      <c r="CA50" s="241">
        <v>70</v>
      </c>
      <c r="CB50" s="241">
        <v>10</v>
      </c>
      <c r="CC50" s="241">
        <v>10</v>
      </c>
      <c r="CD50" s="241">
        <v>750</v>
      </c>
      <c r="CE50" s="241">
        <v>50</v>
      </c>
      <c r="CF50" s="241">
        <v>5</v>
      </c>
      <c r="CG50" s="241">
        <v>5</v>
      </c>
      <c r="CH50" s="241">
        <v>5</v>
      </c>
      <c r="CI50" s="241"/>
      <c r="CJ50" s="241"/>
      <c r="CK50" s="241"/>
      <c r="CL50" s="195">
        <f t="shared" si="25"/>
        <v>0</v>
      </c>
      <c r="CM50" s="196"/>
      <c r="CN50" s="196"/>
      <c r="CO50" s="196"/>
      <c r="CP50" s="196"/>
      <c r="CQ50" s="196"/>
      <c r="CR50" s="196"/>
      <c r="CS50" s="196"/>
      <c r="CT50" s="196"/>
      <c r="CU50" s="196"/>
      <c r="CV50" s="196"/>
      <c r="CW50" s="196"/>
      <c r="CX50" s="196"/>
      <c r="CY50" s="200">
        <f t="shared" si="26"/>
        <v>6.7722000000000264</v>
      </c>
      <c r="CZ50" s="172">
        <f t="shared" si="5"/>
        <v>0</v>
      </c>
      <c r="DA50" s="201">
        <f t="shared" si="27"/>
        <v>32.428269999999998</v>
      </c>
      <c r="DB50" s="201">
        <f t="shared" si="28"/>
        <v>77.627799999999979</v>
      </c>
      <c r="DC50" s="201">
        <f t="shared" si="29"/>
        <v>1036.8560699999998</v>
      </c>
      <c r="DD50" s="239">
        <v>1238.7310299999999</v>
      </c>
      <c r="DE50" s="201">
        <f t="shared" si="30"/>
        <v>-201.8749600000001</v>
      </c>
      <c r="DF50" s="172" t="e">
        <f>SUM(DN50:DO50)-SUM(#REF!,BV50)+BU50</f>
        <v>#REF!</v>
      </c>
      <c r="DG50" s="231" t="s">
        <v>1179</v>
      </c>
      <c r="DH50" s="225">
        <f t="shared" si="31"/>
        <v>0</v>
      </c>
      <c r="DI50" s="225">
        <f t="shared" si="32"/>
        <v>0.98017999999999994</v>
      </c>
      <c r="DJ50" s="225">
        <f t="shared" si="33"/>
        <v>8.9377999999999993</v>
      </c>
      <c r="DK50" s="225" t="e">
        <f>SUM(BS50,#REF!,BV50)</f>
        <v>#REF!</v>
      </c>
      <c r="DL50" s="145">
        <v>1244.5036</v>
      </c>
      <c r="DM50" s="145">
        <v>110.26027000000001</v>
      </c>
      <c r="DN50" s="145">
        <v>91.453910000000008</v>
      </c>
      <c r="DO50" s="145">
        <v>1.4219200000000001</v>
      </c>
      <c r="DP50" s="145">
        <v>203.1361</v>
      </c>
      <c r="DQ50" s="145">
        <v>1041.3675000000001</v>
      </c>
      <c r="DR50" s="21">
        <f>VLOOKUP(C50,[6]Database!$B$143:$AD$521,29,FALSE)</f>
        <v>1087.8</v>
      </c>
      <c r="DS50" s="219">
        <f t="shared" si="34"/>
        <v>-161</v>
      </c>
    </row>
    <row r="51" spans="1:123" s="21" customFormat="1" ht="24" customHeight="1">
      <c r="A51" s="16"/>
      <c r="B51" s="2"/>
      <c r="C51" s="78" t="s">
        <v>1054</v>
      </c>
      <c r="D51" s="78">
        <v>16119</v>
      </c>
      <c r="E51" s="78"/>
      <c r="F51" s="3">
        <v>2021</v>
      </c>
      <c r="G51" s="4">
        <v>44459</v>
      </c>
      <c r="H51" s="174">
        <v>44487</v>
      </c>
      <c r="I51" s="4"/>
      <c r="J51" s="13">
        <f t="shared" ca="1" si="21"/>
        <v>-815.33599710647832</v>
      </c>
      <c r="K51" s="165">
        <f t="shared" si="22"/>
        <v>45034</v>
      </c>
      <c r="L51" s="165">
        <f t="shared" si="23"/>
        <v>45217</v>
      </c>
      <c r="M51" s="165"/>
      <c r="N51" s="165"/>
      <c r="O51" s="165"/>
      <c r="P51" s="165"/>
      <c r="Q51" s="165"/>
      <c r="R51" s="3" t="s">
        <v>175</v>
      </c>
      <c r="S51" s="11" t="s">
        <v>4</v>
      </c>
      <c r="T51" s="11" t="s">
        <v>904</v>
      </c>
      <c r="U51" s="5" t="s">
        <v>7</v>
      </c>
      <c r="V51" s="251">
        <v>4771285</v>
      </c>
      <c r="W51" s="5" t="s">
        <v>602</v>
      </c>
      <c r="X51" s="5" t="s">
        <v>475</v>
      </c>
      <c r="Y51" s="5" t="s">
        <v>1062</v>
      </c>
      <c r="Z51" s="3" t="s">
        <v>315</v>
      </c>
      <c r="AA51" s="6" t="s">
        <v>461</v>
      </c>
      <c r="AB51" s="217" t="s">
        <v>1349</v>
      </c>
      <c r="AC51" s="165">
        <v>45016</v>
      </c>
      <c r="AD51" s="165">
        <v>45077</v>
      </c>
      <c r="AE51" s="165">
        <f>IFERROR(EOMONTH(L51,-2),"")</f>
        <v>45169</v>
      </c>
      <c r="AF51" s="5"/>
      <c r="AG51" s="5"/>
      <c r="AH51" s="279"/>
      <c r="AI51" s="76"/>
      <c r="AJ51" s="76"/>
      <c r="AK51" s="221" t="e">
        <f>SUM(#REF!,BT51,BV51)</f>
        <v>#REF!</v>
      </c>
      <c r="AL51" s="48" t="s">
        <v>1131</v>
      </c>
      <c r="AM51" s="48" t="s">
        <v>1132</v>
      </c>
      <c r="AN51" s="48" t="s">
        <v>1132</v>
      </c>
      <c r="AO51" s="48" t="s">
        <v>592</v>
      </c>
      <c r="AP51" s="48" t="s">
        <v>592</v>
      </c>
      <c r="AQ51" s="48" t="s">
        <v>592</v>
      </c>
      <c r="AR51" s="51"/>
      <c r="AS51" s="51"/>
      <c r="AT51" s="51"/>
      <c r="AU51" s="51"/>
      <c r="AV51" s="36">
        <v>158.535</v>
      </c>
      <c r="AW51" s="36"/>
      <c r="AX51" s="90">
        <f t="shared" si="24"/>
        <v>158.535</v>
      </c>
      <c r="AY51" s="157">
        <f t="shared" si="3"/>
        <v>71.914140000000003</v>
      </c>
      <c r="AZ51" s="182"/>
      <c r="BA51" s="158"/>
      <c r="BB51" s="182"/>
      <c r="BC51" s="158"/>
      <c r="BD51" s="182"/>
      <c r="BE51" s="158"/>
      <c r="BF51" s="182"/>
      <c r="BG51" s="158"/>
      <c r="BH51" s="182"/>
      <c r="BI51" s="158"/>
      <c r="BJ51" s="182"/>
      <c r="BK51" s="158"/>
      <c r="BL51" s="182"/>
      <c r="BM51" s="158"/>
      <c r="BN51" s="182"/>
      <c r="BO51" s="158"/>
      <c r="BP51" s="182"/>
      <c r="BQ51" s="158"/>
      <c r="BR51" s="182"/>
      <c r="BS51" s="158"/>
      <c r="BT51" s="182"/>
      <c r="BU51" s="158">
        <v>35.788719999999998</v>
      </c>
      <c r="BV51" s="182">
        <f>47.76821-15+1.4</f>
        <v>34.168210000000002</v>
      </c>
      <c r="BW51" s="234">
        <v>36.125419999999998</v>
      </c>
      <c r="BX51" s="237">
        <v>36.125419999999998</v>
      </c>
      <c r="BY51" s="81">
        <f t="shared" si="4"/>
        <v>65.099999999999994</v>
      </c>
      <c r="BZ51" s="241">
        <f>15-4.7+2.8</f>
        <v>13.100000000000001</v>
      </c>
      <c r="CA51" s="241">
        <v>25</v>
      </c>
      <c r="CB51" s="241">
        <v>12</v>
      </c>
      <c r="CC51" s="241">
        <v>15</v>
      </c>
      <c r="CD51" s="241"/>
      <c r="CE51" s="241"/>
      <c r="CF51" s="241"/>
      <c r="CG51" s="241"/>
      <c r="CH51" s="241"/>
      <c r="CI51" s="241"/>
      <c r="CJ51" s="241"/>
      <c r="CK51" s="241"/>
      <c r="CL51" s="195">
        <f t="shared" si="25"/>
        <v>0</v>
      </c>
      <c r="CM51" s="196"/>
      <c r="CN51" s="196"/>
      <c r="CO51" s="196"/>
      <c r="CP51" s="196"/>
      <c r="CQ51" s="196"/>
      <c r="CR51" s="196"/>
      <c r="CS51" s="196"/>
      <c r="CT51" s="196"/>
      <c r="CU51" s="196"/>
      <c r="CV51" s="196"/>
      <c r="CW51" s="196"/>
      <c r="CX51" s="196"/>
      <c r="CY51" s="200">
        <f t="shared" si="26"/>
        <v>-1.9572099999999963</v>
      </c>
      <c r="CZ51" s="172">
        <f t="shared" si="5"/>
        <v>0</v>
      </c>
      <c r="DA51" s="201">
        <f t="shared" si="27"/>
        <v>35.788719999999998</v>
      </c>
      <c r="DB51" s="201">
        <f t="shared" si="28"/>
        <v>36.125419999999998</v>
      </c>
      <c r="DC51" s="201">
        <f t="shared" si="29"/>
        <v>137.01414</v>
      </c>
      <c r="DD51" s="239">
        <v>158.535</v>
      </c>
      <c r="DE51" s="201">
        <f t="shared" si="30"/>
        <v>-21.520859999999999</v>
      </c>
      <c r="DF51" s="172" t="e">
        <f>SUM(DN51:DO51)-SUM(#REF!,BV51)+BU51</f>
        <v>#REF!</v>
      </c>
      <c r="DG51" s="207"/>
      <c r="DH51" s="225">
        <f t="shared" si="31"/>
        <v>0</v>
      </c>
      <c r="DI51" s="225">
        <f t="shared" si="32"/>
        <v>0</v>
      </c>
      <c r="DJ51" s="225">
        <f t="shared" si="33"/>
        <v>0</v>
      </c>
      <c r="DK51" s="225" t="e">
        <f>SUM(BS51,#REF!,BV51)</f>
        <v>#REF!</v>
      </c>
      <c r="DL51" s="145">
        <v>158.535</v>
      </c>
      <c r="DM51" s="145">
        <v>74.678470000000004</v>
      </c>
      <c r="DN51" s="145">
        <v>48.334000000000003</v>
      </c>
      <c r="DO51" s="145">
        <v>0</v>
      </c>
      <c r="DP51" s="145">
        <v>123.01247000000001</v>
      </c>
      <c r="DQ51" s="145">
        <v>35.522529999999996</v>
      </c>
      <c r="DR51" s="21">
        <f>VLOOKUP(C51,[6]Database!$B$143:$AD$521,29,FALSE)</f>
        <v>73.534999999999997</v>
      </c>
      <c r="DS51" s="219">
        <f t="shared" si="34"/>
        <v>-8.4350000000000023</v>
      </c>
    </row>
    <row r="52" spans="1:123" s="21" customFormat="1" ht="24" customHeight="1">
      <c r="A52" s="16"/>
      <c r="B52" s="2">
        <v>226</v>
      </c>
      <c r="C52" s="78" t="s">
        <v>941</v>
      </c>
      <c r="D52" s="268" t="s">
        <v>592</v>
      </c>
      <c r="E52" s="78"/>
      <c r="F52" s="3">
        <v>2021</v>
      </c>
      <c r="G52" s="4">
        <v>44358</v>
      </c>
      <c r="H52" s="4">
        <v>44386</v>
      </c>
      <c r="I52" s="4"/>
      <c r="J52" s="13">
        <f t="shared" ca="1" si="21"/>
        <v>-914.33599710647832</v>
      </c>
      <c r="K52" s="165">
        <f t="shared" si="22"/>
        <v>44933</v>
      </c>
      <c r="L52" s="165">
        <f t="shared" si="23"/>
        <v>45116</v>
      </c>
      <c r="M52" s="165"/>
      <c r="N52" s="165"/>
      <c r="O52" s="165"/>
      <c r="P52" s="165"/>
      <c r="Q52" s="165"/>
      <c r="R52" s="3" t="s">
        <v>178</v>
      </c>
      <c r="S52" s="11"/>
      <c r="T52" s="11"/>
      <c r="U52" s="5" t="s">
        <v>7</v>
      </c>
      <c r="V52" s="251">
        <v>4267113</v>
      </c>
      <c r="W52" s="5" t="s">
        <v>602</v>
      </c>
      <c r="X52" s="5" t="s">
        <v>478</v>
      </c>
      <c r="Y52" s="5" t="s">
        <v>966</v>
      </c>
      <c r="Z52" s="3" t="s">
        <v>186</v>
      </c>
      <c r="AA52" s="6" t="s">
        <v>461</v>
      </c>
      <c r="AB52" s="141" t="s">
        <v>1197</v>
      </c>
      <c r="AC52" s="165">
        <v>44651</v>
      </c>
      <c r="AD52" s="165">
        <v>44651</v>
      </c>
      <c r="AE52" s="165">
        <f>IFERROR(EOMONTH(L52,-2),"")</f>
        <v>45077</v>
      </c>
      <c r="AF52" s="5"/>
      <c r="AG52" s="5"/>
      <c r="AH52" s="279"/>
      <c r="AI52" s="76"/>
      <c r="AJ52" s="76"/>
      <c r="AK52" s="221" t="e">
        <f>SUM(#REF!,BT52,BV52)</f>
        <v>#REF!</v>
      </c>
      <c r="AL52" s="48" t="s">
        <v>1088</v>
      </c>
      <c r="AM52" s="48" t="s">
        <v>1079</v>
      </c>
      <c r="AN52" s="48" t="s">
        <v>1088</v>
      </c>
      <c r="AO52" s="48" t="s">
        <v>592</v>
      </c>
      <c r="AP52" s="48" t="s">
        <v>592</v>
      </c>
      <c r="AQ52" s="48" t="s">
        <v>592</v>
      </c>
      <c r="AR52" s="51"/>
      <c r="AS52" s="51"/>
      <c r="AT52" s="51"/>
      <c r="AU52" s="51">
        <v>0</v>
      </c>
      <c r="AV52" s="36">
        <v>249.5</v>
      </c>
      <c r="AW52" s="36">
        <v>15</v>
      </c>
      <c r="AX52" s="90">
        <f t="shared" si="24"/>
        <v>264.5</v>
      </c>
      <c r="AY52" s="157">
        <f t="shared" si="3"/>
        <v>219.65498000000002</v>
      </c>
      <c r="AZ52" s="182"/>
      <c r="BA52" s="158"/>
      <c r="BB52" s="182"/>
      <c r="BC52" s="158"/>
      <c r="BD52" s="182"/>
      <c r="BE52" s="158"/>
      <c r="BF52" s="182"/>
      <c r="BG52" s="158"/>
      <c r="BH52" s="182"/>
      <c r="BI52" s="158"/>
      <c r="BJ52" s="182">
        <v>0</v>
      </c>
      <c r="BK52" s="158"/>
      <c r="BL52" s="182"/>
      <c r="BM52" s="158"/>
      <c r="BN52" s="182"/>
      <c r="BO52" s="158"/>
      <c r="BP52" s="182">
        <v>10</v>
      </c>
      <c r="BQ52" s="158">
        <v>4.2146999999999997</v>
      </c>
      <c r="BR52" s="182">
        <f>83+20-0.1</f>
        <v>102.9</v>
      </c>
      <c r="BS52" s="158">
        <v>105.12975000000002</v>
      </c>
      <c r="BT52" s="182">
        <f>93+5.5-20-0.9-1.3</f>
        <v>76.3</v>
      </c>
      <c r="BU52" s="158">
        <v>65.359920000000002</v>
      </c>
      <c r="BV52" s="182">
        <f>43-22.6+5-1.8+22.9-5.8-6.7+0.6</f>
        <v>34.6</v>
      </c>
      <c r="BW52" s="234">
        <v>44.950609999999998</v>
      </c>
      <c r="BX52" s="237">
        <v>44.950609999999998</v>
      </c>
      <c r="BY52" s="81">
        <f t="shared" si="4"/>
        <v>29.000000000000004</v>
      </c>
      <c r="BZ52" s="241">
        <f>(42.6/4)-5-3.1+2.7</f>
        <v>5.25</v>
      </c>
      <c r="CA52" s="241">
        <f>42.6/4-5</f>
        <v>5.65</v>
      </c>
      <c r="CB52" s="241">
        <f>42.6/4-5</f>
        <v>5.65</v>
      </c>
      <c r="CC52" s="241">
        <f>42.6/4</f>
        <v>10.65</v>
      </c>
      <c r="CD52" s="241">
        <v>1.8</v>
      </c>
      <c r="CE52" s="241"/>
      <c r="CF52" s="241"/>
      <c r="CG52" s="241"/>
      <c r="CH52" s="241"/>
      <c r="CI52" s="241"/>
      <c r="CJ52" s="241"/>
      <c r="CK52" s="241"/>
      <c r="CL52" s="195">
        <f t="shared" si="25"/>
        <v>0</v>
      </c>
      <c r="CM52" s="196"/>
      <c r="CN52" s="196"/>
      <c r="CO52" s="196"/>
      <c r="CP52" s="196"/>
      <c r="CQ52" s="196"/>
      <c r="CR52" s="196"/>
      <c r="CS52" s="196"/>
      <c r="CT52" s="196"/>
      <c r="CU52" s="196"/>
      <c r="CV52" s="196"/>
      <c r="CW52" s="196"/>
      <c r="CX52" s="196"/>
      <c r="CY52" s="200">
        <f t="shared" si="26"/>
        <v>-10.350609999999996</v>
      </c>
      <c r="CZ52" s="172">
        <f t="shared" si="5"/>
        <v>0</v>
      </c>
      <c r="DA52" s="201">
        <f t="shared" si="27"/>
        <v>174.70437000000001</v>
      </c>
      <c r="DB52" s="201">
        <f t="shared" si="28"/>
        <v>44.950609999999998</v>
      </c>
      <c r="DC52" s="201">
        <f t="shared" si="29"/>
        <v>248.65498000000002</v>
      </c>
      <c r="DD52" s="239">
        <v>248.64445000000001</v>
      </c>
      <c r="DE52" s="201">
        <f t="shared" si="30"/>
        <v>1.0530000000017026E-2</v>
      </c>
      <c r="DF52" s="172" t="e">
        <f>SUM(DN52:DO52)-SUM(#REF!,BV52)+BU52</f>
        <v>#REF!</v>
      </c>
      <c r="DG52" s="207" t="s">
        <v>1156</v>
      </c>
      <c r="DH52" s="225">
        <f t="shared" si="31"/>
        <v>0</v>
      </c>
      <c r="DI52" s="225">
        <f t="shared" si="32"/>
        <v>0</v>
      </c>
      <c r="DJ52" s="225">
        <f t="shared" si="33"/>
        <v>4.2146999999999997</v>
      </c>
      <c r="DK52" s="225" t="e">
        <f>SUM(BS52,#REF!,BV52)</f>
        <v>#REF!</v>
      </c>
      <c r="DL52" s="145">
        <v>249.5</v>
      </c>
      <c r="DM52" s="145">
        <v>219.65498000000002</v>
      </c>
      <c r="DN52" s="145">
        <v>13.18811</v>
      </c>
      <c r="DO52" s="145">
        <v>0</v>
      </c>
      <c r="DP52" s="145">
        <v>232.84308999999999</v>
      </c>
      <c r="DQ52" s="145">
        <v>16.65691</v>
      </c>
      <c r="DR52" s="21">
        <f>VLOOKUP(C52,[6]Database!$B$143:$AD$521,29,FALSE)</f>
        <v>0</v>
      </c>
      <c r="DS52" s="219">
        <f t="shared" si="34"/>
        <v>29.000000000000004</v>
      </c>
    </row>
    <row r="53" spans="1:123" s="21" customFormat="1" ht="24" customHeight="1">
      <c r="A53" s="16"/>
      <c r="B53" s="2">
        <v>228</v>
      </c>
      <c r="C53" s="78" t="s">
        <v>947</v>
      </c>
      <c r="D53" s="78">
        <v>2523</v>
      </c>
      <c r="E53" s="78"/>
      <c r="F53" s="3">
        <v>2021</v>
      </c>
      <c r="G53" s="4">
        <v>44362</v>
      </c>
      <c r="H53" s="4">
        <v>44386</v>
      </c>
      <c r="I53" s="4"/>
      <c r="J53" s="13">
        <f t="shared" ca="1" si="21"/>
        <v>-914.33599710647832</v>
      </c>
      <c r="K53" s="165">
        <f t="shared" si="22"/>
        <v>44933</v>
      </c>
      <c r="L53" s="165">
        <f t="shared" si="23"/>
        <v>45116</v>
      </c>
      <c r="M53" s="165"/>
      <c r="N53" s="165"/>
      <c r="O53" s="165"/>
      <c r="P53" s="165"/>
      <c r="Q53" s="165"/>
      <c r="R53" s="3" t="s">
        <v>175</v>
      </c>
      <c r="S53" s="11" t="s">
        <v>919</v>
      </c>
      <c r="T53" s="11" t="s">
        <v>920</v>
      </c>
      <c r="U53" s="5" t="s">
        <v>7</v>
      </c>
      <c r="V53" s="251">
        <v>4305993</v>
      </c>
      <c r="W53" s="5" t="s">
        <v>602</v>
      </c>
      <c r="X53" s="5" t="s">
        <v>471</v>
      </c>
      <c r="Y53" s="5" t="s">
        <v>959</v>
      </c>
      <c r="Z53" s="78" t="s">
        <v>185</v>
      </c>
      <c r="AA53" s="6" t="s">
        <v>461</v>
      </c>
      <c r="AB53" s="141" t="s">
        <v>1339</v>
      </c>
      <c r="AC53" s="165">
        <v>44926</v>
      </c>
      <c r="AD53" s="165">
        <v>44926</v>
      </c>
      <c r="AE53" s="165">
        <f>IFERROR(EOMONTH(L53,-2),"")</f>
        <v>45077</v>
      </c>
      <c r="AF53" s="5"/>
      <c r="AG53" s="5"/>
      <c r="AH53" s="279"/>
      <c r="AI53" s="76"/>
      <c r="AJ53" s="76" t="s">
        <v>1196</v>
      </c>
      <c r="AK53" s="221" t="e">
        <f>SUM(#REF!,BT53,BV53)</f>
        <v>#REF!</v>
      </c>
      <c r="AL53" s="48" t="s">
        <v>1148</v>
      </c>
      <c r="AM53" s="48" t="s">
        <v>1142</v>
      </c>
      <c r="AN53" s="48" t="s">
        <v>1148</v>
      </c>
      <c r="AO53" s="48" t="s">
        <v>592</v>
      </c>
      <c r="AP53" s="48" t="s">
        <v>592</v>
      </c>
      <c r="AQ53" s="48" t="s">
        <v>592</v>
      </c>
      <c r="AR53" s="51"/>
      <c r="AS53" s="51"/>
      <c r="AT53" s="51"/>
      <c r="AU53" s="51">
        <v>0</v>
      </c>
      <c r="AV53" s="36">
        <v>175.17137</v>
      </c>
      <c r="AW53" s="36">
        <v>34.272660000000002</v>
      </c>
      <c r="AX53" s="90">
        <f t="shared" si="24"/>
        <v>209.44403</v>
      </c>
      <c r="AY53" s="157">
        <f t="shared" si="3"/>
        <v>70.331990000000005</v>
      </c>
      <c r="AZ53" s="182"/>
      <c r="BA53" s="158"/>
      <c r="BB53" s="182"/>
      <c r="BC53" s="158"/>
      <c r="BD53" s="182"/>
      <c r="BE53" s="158"/>
      <c r="BF53" s="182"/>
      <c r="BG53" s="158"/>
      <c r="BH53" s="182"/>
      <c r="BI53" s="158"/>
      <c r="BJ53" s="182">
        <v>0</v>
      </c>
      <c r="BK53" s="158"/>
      <c r="BL53" s="182"/>
      <c r="BM53" s="158"/>
      <c r="BN53" s="182"/>
      <c r="BO53" s="158"/>
      <c r="BP53" s="182"/>
      <c r="BQ53" s="158"/>
      <c r="BR53" s="182"/>
      <c r="BS53" s="158"/>
      <c r="BT53" s="182">
        <v>30</v>
      </c>
      <c r="BU53" s="158">
        <v>5.4359900000000003</v>
      </c>
      <c r="BV53" s="182">
        <f>60+24.5-14.5</f>
        <v>70</v>
      </c>
      <c r="BW53" s="234">
        <v>64.896000000000001</v>
      </c>
      <c r="BX53" s="237">
        <v>64.896000000000001</v>
      </c>
      <c r="BY53" s="81">
        <f t="shared" si="4"/>
        <v>104.5888888888889</v>
      </c>
      <c r="BZ53" s="241">
        <v>2.7</v>
      </c>
      <c r="CA53" s="241">
        <v>0</v>
      </c>
      <c r="CB53" s="241">
        <f>5+2.4</f>
        <v>7.4</v>
      </c>
      <c r="CC53" s="241">
        <f>80/9</f>
        <v>8.8888888888888893</v>
      </c>
      <c r="CD53" s="241">
        <f t="shared" ref="CD53:CK53" si="35">85.6/8</f>
        <v>10.7</v>
      </c>
      <c r="CE53" s="241">
        <f t="shared" si="35"/>
        <v>10.7</v>
      </c>
      <c r="CF53" s="241">
        <f t="shared" si="35"/>
        <v>10.7</v>
      </c>
      <c r="CG53" s="241">
        <f t="shared" si="35"/>
        <v>10.7</v>
      </c>
      <c r="CH53" s="241">
        <f t="shared" si="35"/>
        <v>10.7</v>
      </c>
      <c r="CI53" s="241">
        <f t="shared" si="35"/>
        <v>10.7</v>
      </c>
      <c r="CJ53" s="241">
        <f t="shared" si="35"/>
        <v>10.7</v>
      </c>
      <c r="CK53" s="241">
        <f t="shared" si="35"/>
        <v>10.7</v>
      </c>
      <c r="CL53" s="195">
        <f t="shared" si="25"/>
        <v>0</v>
      </c>
      <c r="CM53" s="196"/>
      <c r="CN53" s="196"/>
      <c r="CO53" s="196"/>
      <c r="CP53" s="196"/>
      <c r="CQ53" s="196"/>
      <c r="CR53" s="196"/>
      <c r="CS53" s="196"/>
      <c r="CT53" s="196"/>
      <c r="CU53" s="196"/>
      <c r="CV53" s="196"/>
      <c r="CW53" s="196"/>
      <c r="CX53" s="196"/>
      <c r="CY53" s="200">
        <f t="shared" si="26"/>
        <v>5.1039999999999992</v>
      </c>
      <c r="CZ53" s="172">
        <f t="shared" si="5"/>
        <v>0</v>
      </c>
      <c r="DA53" s="201">
        <f t="shared" si="27"/>
        <v>5.4359900000000003</v>
      </c>
      <c r="DB53" s="201">
        <f t="shared" si="28"/>
        <v>64.896000000000001</v>
      </c>
      <c r="DC53" s="201">
        <f t="shared" si="29"/>
        <v>174.92087888888892</v>
      </c>
      <c r="DD53" s="239">
        <v>175</v>
      </c>
      <c r="DE53" s="201">
        <f t="shared" si="30"/>
        <v>-7.9121111111078335E-2</v>
      </c>
      <c r="DF53" s="172" t="e">
        <f>SUM(DN53:DO53)-SUM(#REF!,BV53)+BU53</f>
        <v>#REF!</v>
      </c>
      <c r="DG53" s="207"/>
      <c r="DH53" s="225">
        <f t="shared" si="31"/>
        <v>0</v>
      </c>
      <c r="DI53" s="225">
        <f t="shared" si="32"/>
        <v>0</v>
      </c>
      <c r="DJ53" s="225">
        <f t="shared" si="33"/>
        <v>0</v>
      </c>
      <c r="DK53" s="225" t="e">
        <f>SUM(BS53,#REF!,BV53)</f>
        <v>#REF!</v>
      </c>
      <c r="DL53" s="145">
        <v>175.17137</v>
      </c>
      <c r="DM53" s="145">
        <v>70.331990000000005</v>
      </c>
      <c r="DN53" s="145">
        <v>84.853570000000005</v>
      </c>
      <c r="DO53" s="145">
        <v>0.54104999999999992</v>
      </c>
      <c r="DP53" s="145">
        <v>155.72660999999999</v>
      </c>
      <c r="DQ53" s="145">
        <v>19.444759999999999</v>
      </c>
      <c r="DR53" s="21">
        <f>VLOOKUP(C53,[6]Database!$B$143:$AD$521,29,FALSE)</f>
        <v>85.000000000000014</v>
      </c>
      <c r="DS53" s="219">
        <f t="shared" si="34"/>
        <v>19.588888888888889</v>
      </c>
    </row>
    <row r="54" spans="1:123" s="21" customFormat="1" ht="24" customHeight="1">
      <c r="A54" s="16"/>
      <c r="B54" s="2">
        <v>197</v>
      </c>
      <c r="C54" s="78" t="s">
        <v>716</v>
      </c>
      <c r="D54" s="78">
        <v>1599</v>
      </c>
      <c r="E54" s="78"/>
      <c r="F54" s="3">
        <v>2021</v>
      </c>
      <c r="G54" s="4">
        <v>44237</v>
      </c>
      <c r="H54" s="4">
        <v>44286</v>
      </c>
      <c r="I54" s="4"/>
      <c r="J54" s="13">
        <f t="shared" ca="1" si="21"/>
        <v>-1015.3359971064783</v>
      </c>
      <c r="K54" s="165">
        <f t="shared" si="22"/>
        <v>44833</v>
      </c>
      <c r="L54" s="165">
        <f t="shared" si="23"/>
        <v>45016</v>
      </c>
      <c r="M54" s="165"/>
      <c r="N54" s="165"/>
      <c r="O54" s="165"/>
      <c r="P54" s="165"/>
      <c r="Q54" s="165"/>
      <c r="R54" s="3" t="s">
        <v>175</v>
      </c>
      <c r="S54" s="11" t="s">
        <v>223</v>
      </c>
      <c r="T54" s="11" t="s">
        <v>916</v>
      </c>
      <c r="U54" s="77" t="s">
        <v>7</v>
      </c>
      <c r="V54" s="251">
        <v>3781472</v>
      </c>
      <c r="W54" s="5" t="s">
        <v>602</v>
      </c>
      <c r="X54" s="5" t="s">
        <v>471</v>
      </c>
      <c r="Y54" s="5" t="s">
        <v>703</v>
      </c>
      <c r="Z54" s="78" t="s">
        <v>185</v>
      </c>
      <c r="AA54" s="6" t="s">
        <v>461</v>
      </c>
      <c r="AB54" s="149" t="s">
        <v>1345</v>
      </c>
      <c r="AC54" s="165">
        <v>44651</v>
      </c>
      <c r="AD54" s="165">
        <v>44651</v>
      </c>
      <c r="AE54" s="165">
        <f>IFERROR(EOMONTH(L54,-2),"")</f>
        <v>44957</v>
      </c>
      <c r="AF54" s="5" t="s">
        <v>1038</v>
      </c>
      <c r="AG54" s="5" t="s">
        <v>1070</v>
      </c>
      <c r="AH54" s="279">
        <v>9.8000000000000004E-2</v>
      </c>
      <c r="AI54" s="76"/>
      <c r="AJ54" s="76"/>
      <c r="AK54" s="221" t="e">
        <f>SUM(#REF!,BT54,BV54)</f>
        <v>#REF!</v>
      </c>
      <c r="AL54" s="48" t="s">
        <v>1146</v>
      </c>
      <c r="AM54" s="48" t="s">
        <v>1142</v>
      </c>
      <c r="AN54" s="48" t="s">
        <v>1147</v>
      </c>
      <c r="AO54" s="48" t="s">
        <v>592</v>
      </c>
      <c r="AP54" s="48" t="s">
        <v>592</v>
      </c>
      <c r="AQ54" s="48" t="s">
        <v>592</v>
      </c>
      <c r="AR54" s="51"/>
      <c r="AS54" s="51"/>
      <c r="AT54" s="51"/>
      <c r="AU54" s="51">
        <v>0</v>
      </c>
      <c r="AV54" s="36">
        <v>197.8596</v>
      </c>
      <c r="AW54" s="36">
        <v>15</v>
      </c>
      <c r="AX54" s="90">
        <f t="shared" si="24"/>
        <v>212.8596</v>
      </c>
      <c r="AY54" s="157">
        <f t="shared" si="3"/>
        <v>128.91768999999999</v>
      </c>
      <c r="AZ54" s="182"/>
      <c r="BA54" s="158"/>
      <c r="BB54" s="182">
        <v>0</v>
      </c>
      <c r="BC54" s="158"/>
      <c r="BD54" s="182">
        <v>0</v>
      </c>
      <c r="BE54" s="158">
        <v>0</v>
      </c>
      <c r="BF54" s="182">
        <v>0</v>
      </c>
      <c r="BG54" s="158"/>
      <c r="BH54" s="182">
        <v>0</v>
      </c>
      <c r="BI54" s="158">
        <v>3.2242700000000002</v>
      </c>
      <c r="BJ54" s="182">
        <v>3</v>
      </c>
      <c r="BK54" s="158">
        <v>3.2830700000000004</v>
      </c>
      <c r="BL54" s="182">
        <v>3</v>
      </c>
      <c r="BM54" s="158">
        <v>34.638460000000002</v>
      </c>
      <c r="BN54" s="182">
        <v>3</v>
      </c>
      <c r="BO54" s="158">
        <v>13.49812</v>
      </c>
      <c r="BP54" s="182">
        <v>2.4</v>
      </c>
      <c r="BQ54" s="158">
        <v>10.024660000000001</v>
      </c>
      <c r="BR54" s="182">
        <f>41.3-8-7-0.6</f>
        <v>25.699999999999996</v>
      </c>
      <c r="BS54" s="158">
        <v>1.2560499999999999</v>
      </c>
      <c r="BT54" s="182">
        <f>45+0.3</f>
        <v>45.3</v>
      </c>
      <c r="BU54" s="158">
        <v>26.220309999999998</v>
      </c>
      <c r="BV54" s="182">
        <f>46+35.5-4-14.2+2.2-0.6</f>
        <v>64.900000000000006</v>
      </c>
      <c r="BW54" s="234">
        <v>36.772750000000002</v>
      </c>
      <c r="BX54" s="237">
        <v>36.772750000000002</v>
      </c>
      <c r="BY54" s="81">
        <f t="shared" si="4"/>
        <v>51.3</v>
      </c>
      <c r="BZ54" s="241">
        <f>2-1.4-0.1+2.1</f>
        <v>2.6</v>
      </c>
      <c r="CA54" s="241">
        <v>2</v>
      </c>
      <c r="CB54" s="241">
        <v>2.0499999999999998</v>
      </c>
      <c r="CC54" s="241">
        <f>2.05+5</f>
        <v>7.05</v>
      </c>
      <c r="CD54" s="241">
        <f>6.05+5</f>
        <v>11.05</v>
      </c>
      <c r="CE54" s="241">
        <f>5.05+5</f>
        <v>10.050000000000001</v>
      </c>
      <c r="CF54" s="241">
        <f>2+5</f>
        <v>7</v>
      </c>
      <c r="CG54" s="241">
        <f>2+5</f>
        <v>7</v>
      </c>
      <c r="CH54" s="241">
        <v>2.5</v>
      </c>
      <c r="CI54" s="241"/>
      <c r="CJ54" s="241"/>
      <c r="CK54" s="241"/>
      <c r="CL54" s="195">
        <f t="shared" si="25"/>
        <v>0</v>
      </c>
      <c r="CM54" s="196"/>
      <c r="CN54" s="196"/>
      <c r="CO54" s="196"/>
      <c r="CP54" s="196"/>
      <c r="CQ54" s="196"/>
      <c r="CR54" s="196"/>
      <c r="CS54" s="196"/>
      <c r="CT54" s="196"/>
      <c r="CU54" s="196"/>
      <c r="CV54" s="196"/>
      <c r="CW54" s="196"/>
      <c r="CX54" s="196"/>
      <c r="CY54" s="200">
        <f t="shared" si="26"/>
        <v>28.127250000000004</v>
      </c>
      <c r="CZ54" s="172">
        <f t="shared" si="5"/>
        <v>0</v>
      </c>
      <c r="DA54" s="201">
        <f t="shared" si="27"/>
        <v>92.144940000000005</v>
      </c>
      <c r="DB54" s="201">
        <f t="shared" si="28"/>
        <v>36.772750000000002</v>
      </c>
      <c r="DC54" s="201">
        <f t="shared" si="29"/>
        <v>180.21769</v>
      </c>
      <c r="DD54" s="239">
        <v>180.42462999999998</v>
      </c>
      <c r="DE54" s="201">
        <f t="shared" si="30"/>
        <v>-0.20693999999997459</v>
      </c>
      <c r="DF54" s="172" t="e">
        <f>SUM(DN54:DO54)-SUM(#REF!,BV54)+BU54</f>
        <v>#REF!</v>
      </c>
      <c r="DG54" s="207" t="s">
        <v>1156</v>
      </c>
      <c r="DH54" s="225">
        <f t="shared" si="31"/>
        <v>0</v>
      </c>
      <c r="DI54" s="225">
        <f t="shared" si="32"/>
        <v>6.507340000000001</v>
      </c>
      <c r="DJ54" s="225">
        <f t="shared" si="33"/>
        <v>58.161240000000006</v>
      </c>
      <c r="DK54" s="225" t="e">
        <f>SUM(BS54,#REF!,BV54)</f>
        <v>#REF!</v>
      </c>
      <c r="DL54" s="145">
        <v>197.8596</v>
      </c>
      <c r="DM54" s="145">
        <v>130.72783000000001</v>
      </c>
      <c r="DN54" s="145">
        <v>42.07056</v>
      </c>
      <c r="DO54" s="145">
        <v>0</v>
      </c>
      <c r="DP54" s="145">
        <v>172.79839000000001</v>
      </c>
      <c r="DQ54" s="145">
        <v>25.061209999999999</v>
      </c>
      <c r="DR54" s="21">
        <f>VLOOKUP(C54,[6]Database!$B$143:$AD$521,29,FALSE)</f>
        <v>0</v>
      </c>
      <c r="DS54" s="219">
        <f t="shared" si="34"/>
        <v>51.3</v>
      </c>
    </row>
    <row r="55" spans="1:123" s="21" customFormat="1" ht="24" customHeight="1">
      <c r="A55" s="16"/>
      <c r="B55" s="2">
        <v>232</v>
      </c>
      <c r="C55" s="78" t="s">
        <v>955</v>
      </c>
      <c r="D55" s="143" t="s">
        <v>1155</v>
      </c>
      <c r="E55" s="78"/>
      <c r="F55" s="3">
        <v>2021</v>
      </c>
      <c r="G55" s="4">
        <v>44368</v>
      </c>
      <c r="H55" s="4">
        <v>44383</v>
      </c>
      <c r="I55" s="4"/>
      <c r="J55" s="13">
        <f t="shared" ca="1" si="21"/>
        <v>-917.33599710647832</v>
      </c>
      <c r="K55" s="165">
        <f t="shared" si="22"/>
        <v>44930</v>
      </c>
      <c r="L55" s="165">
        <f t="shared" si="23"/>
        <v>45113</v>
      </c>
      <c r="M55" s="165"/>
      <c r="N55" s="165"/>
      <c r="O55" s="165"/>
      <c r="P55" s="165"/>
      <c r="Q55" s="165"/>
      <c r="R55" s="3" t="s">
        <v>175</v>
      </c>
      <c r="S55" s="11" t="s">
        <v>223</v>
      </c>
      <c r="T55" s="45" t="s">
        <v>908</v>
      </c>
      <c r="U55" s="5" t="s">
        <v>7</v>
      </c>
      <c r="V55" s="251">
        <v>4320565</v>
      </c>
      <c r="W55" s="5" t="s">
        <v>602</v>
      </c>
      <c r="X55" s="5" t="s">
        <v>901</v>
      </c>
      <c r="Y55" s="5" t="s">
        <v>979</v>
      </c>
      <c r="Z55" s="3" t="s">
        <v>185</v>
      </c>
      <c r="AA55" s="6" t="s">
        <v>461</v>
      </c>
      <c r="AB55" s="141" t="s">
        <v>1333</v>
      </c>
      <c r="AC55" s="165">
        <v>44926</v>
      </c>
      <c r="AD55" s="165">
        <v>44926</v>
      </c>
      <c r="AE55" s="165">
        <v>45046</v>
      </c>
      <c r="AF55" s="5"/>
      <c r="AG55" s="5"/>
      <c r="AH55" s="279"/>
      <c r="AI55" s="76"/>
      <c r="AJ55" s="76"/>
      <c r="AK55" s="221" t="e">
        <f>SUM(#REF!,BT55,BV55)</f>
        <v>#REF!</v>
      </c>
      <c r="AL55" s="48" t="s">
        <v>1079</v>
      </c>
      <c r="AM55" s="48" t="s">
        <v>1101</v>
      </c>
      <c r="AN55" s="48" t="s">
        <v>1105</v>
      </c>
      <c r="AO55" s="48" t="s">
        <v>592</v>
      </c>
      <c r="AP55" s="48" t="s">
        <v>592</v>
      </c>
      <c r="AQ55" s="48" t="s">
        <v>592</v>
      </c>
      <c r="AR55" s="51"/>
      <c r="AS55" s="51"/>
      <c r="AT55" s="51"/>
      <c r="AU55" s="51">
        <v>0</v>
      </c>
      <c r="AV55" s="36">
        <v>879.7</v>
      </c>
      <c r="AW55" s="36">
        <v>80</v>
      </c>
      <c r="AX55" s="90">
        <f t="shared" si="24"/>
        <v>959.7</v>
      </c>
      <c r="AY55" s="157">
        <f t="shared" si="3"/>
        <v>157.81723</v>
      </c>
      <c r="AZ55" s="182"/>
      <c r="BA55" s="158"/>
      <c r="BB55" s="182"/>
      <c r="BC55" s="158"/>
      <c r="BD55" s="182"/>
      <c r="BE55" s="158"/>
      <c r="BF55" s="182"/>
      <c r="BG55" s="158"/>
      <c r="BH55" s="182"/>
      <c r="BI55" s="158"/>
      <c r="BJ55" s="182">
        <v>0</v>
      </c>
      <c r="BK55" s="158"/>
      <c r="BL55" s="182"/>
      <c r="BM55" s="158"/>
      <c r="BN55" s="182"/>
      <c r="BO55" s="158">
        <v>27.31935</v>
      </c>
      <c r="BP55" s="182">
        <v>29.759589999999999</v>
      </c>
      <c r="BQ55" s="158">
        <v>70.249070000000003</v>
      </c>
      <c r="BR55" s="182">
        <f>50-8.3-30-1.6+10</f>
        <v>20.100000000000001</v>
      </c>
      <c r="BS55" s="158">
        <v>12.986879999999999</v>
      </c>
      <c r="BT55" s="182">
        <f>75-9.6+7.7-0.6</f>
        <v>72.500000000000014</v>
      </c>
      <c r="BU55" s="158">
        <v>33.322069999999997</v>
      </c>
      <c r="BV55" s="182">
        <f>40.3+42.7-3.9+0.4</f>
        <v>79.5</v>
      </c>
      <c r="BW55" s="234">
        <v>13.939860000000001</v>
      </c>
      <c r="BX55" s="237">
        <v>13.939860000000001</v>
      </c>
      <c r="BY55" s="81">
        <f t="shared" si="4"/>
        <v>705.18000000000006</v>
      </c>
      <c r="BZ55" s="241">
        <f>20+1.9</f>
        <v>21.9</v>
      </c>
      <c r="CA55" s="241">
        <f>20+63.6</f>
        <v>83.6</v>
      </c>
      <c r="CB55" s="241">
        <v>50</v>
      </c>
      <c r="CC55" s="241">
        <v>50</v>
      </c>
      <c r="CD55" s="241">
        <f>30+16.34+32.625+7.5-15</f>
        <v>71.465000000000003</v>
      </c>
      <c r="CE55" s="241">
        <f>30+16.34+32.625+7.5</f>
        <v>86.465000000000003</v>
      </c>
      <c r="CF55" s="241">
        <f>10+32.625+7.5</f>
        <v>50.125</v>
      </c>
      <c r="CG55" s="241">
        <f>10+32.625+7.5+6.5</f>
        <v>56.625</v>
      </c>
      <c r="CH55" s="241">
        <f>10+7.5+50</f>
        <v>67.5</v>
      </c>
      <c r="CI55" s="241">
        <f>10+7.5+50</f>
        <v>67.5</v>
      </c>
      <c r="CJ55" s="241">
        <v>50</v>
      </c>
      <c r="CK55" s="241">
        <f>50</f>
        <v>50</v>
      </c>
      <c r="CL55" s="195">
        <f t="shared" si="25"/>
        <v>0</v>
      </c>
      <c r="CM55" s="196"/>
      <c r="CN55" s="196"/>
      <c r="CO55" s="196"/>
      <c r="CP55" s="196"/>
      <c r="CQ55" s="196"/>
      <c r="CR55" s="196"/>
      <c r="CS55" s="196"/>
      <c r="CT55" s="196"/>
      <c r="CU55" s="196"/>
      <c r="CV55" s="196"/>
      <c r="CW55" s="196"/>
      <c r="CX55" s="196"/>
      <c r="CY55" s="200">
        <f t="shared" si="26"/>
        <v>65.560140000000004</v>
      </c>
      <c r="CZ55" s="172">
        <f t="shared" si="5"/>
        <v>0</v>
      </c>
      <c r="DA55" s="201">
        <f t="shared" si="27"/>
        <v>143.87736999999998</v>
      </c>
      <c r="DB55" s="201">
        <f t="shared" si="28"/>
        <v>13.939860000000001</v>
      </c>
      <c r="DC55" s="201">
        <f t="shared" si="29"/>
        <v>862.99723000000006</v>
      </c>
      <c r="DD55" s="239">
        <v>874.05529999999999</v>
      </c>
      <c r="DE55" s="201">
        <f t="shared" si="30"/>
        <v>-11.05806999999993</v>
      </c>
      <c r="DF55" s="172" t="e">
        <f>SUM(DN55:DO55)-SUM(#REF!,BV55)+BU55</f>
        <v>#REF!</v>
      </c>
      <c r="DG55" s="207"/>
      <c r="DH55" s="225">
        <f t="shared" si="31"/>
        <v>0</v>
      </c>
      <c r="DI55" s="225">
        <f t="shared" si="32"/>
        <v>0</v>
      </c>
      <c r="DJ55" s="225">
        <f t="shared" si="33"/>
        <v>97.568420000000003</v>
      </c>
      <c r="DK55" s="225" t="e">
        <f>SUM(BS55,#REF!,BV55)</f>
        <v>#REF!</v>
      </c>
      <c r="DL55" s="145">
        <v>879.7</v>
      </c>
      <c r="DM55" s="145">
        <v>159.74057999999999</v>
      </c>
      <c r="DN55" s="145">
        <v>168.10024999999999</v>
      </c>
      <c r="DO55" s="145">
        <v>57.954000000000001</v>
      </c>
      <c r="DP55" s="145">
        <v>385.79482999999999</v>
      </c>
      <c r="DQ55" s="145">
        <v>493.90517</v>
      </c>
      <c r="DR55" s="21">
        <f>VLOOKUP(C55,[6]Database!$B$143:$AD$521,29,FALSE)</f>
        <v>639.70000000000005</v>
      </c>
      <c r="DS55" s="219">
        <f t="shared" si="34"/>
        <v>65.480000000000018</v>
      </c>
    </row>
    <row r="56" spans="1:123" s="21" customFormat="1" ht="24" customHeight="1">
      <c r="A56" s="16"/>
      <c r="B56" s="2">
        <v>222</v>
      </c>
      <c r="C56" s="78" t="s">
        <v>946</v>
      </c>
      <c r="D56" s="78">
        <v>11944</v>
      </c>
      <c r="E56" s="78"/>
      <c r="F56" s="3">
        <v>2021</v>
      </c>
      <c r="G56" s="4">
        <v>44356</v>
      </c>
      <c r="H56" s="4">
        <v>44397</v>
      </c>
      <c r="I56" s="4"/>
      <c r="J56" s="13">
        <f t="shared" ca="1" si="21"/>
        <v>-903.33599710647832</v>
      </c>
      <c r="K56" s="165">
        <f t="shared" si="22"/>
        <v>44944</v>
      </c>
      <c r="L56" s="165">
        <f t="shared" si="23"/>
        <v>45127</v>
      </c>
      <c r="M56" s="165"/>
      <c r="N56" s="165"/>
      <c r="O56" s="165"/>
      <c r="P56" s="165"/>
      <c r="Q56" s="165"/>
      <c r="R56" s="3" t="s">
        <v>175</v>
      </c>
      <c r="S56" s="11" t="s">
        <v>921</v>
      </c>
      <c r="T56" s="11" t="s">
        <v>185</v>
      </c>
      <c r="U56" s="5" t="s">
        <v>7</v>
      </c>
      <c r="V56" s="251">
        <v>4280564</v>
      </c>
      <c r="W56" s="5" t="s">
        <v>602</v>
      </c>
      <c r="X56" s="5" t="s">
        <v>471</v>
      </c>
      <c r="Y56" s="5" t="s">
        <v>964</v>
      </c>
      <c r="Z56" s="3" t="s">
        <v>185</v>
      </c>
      <c r="AA56" s="6" t="s">
        <v>461</v>
      </c>
      <c r="AB56" s="141" t="s">
        <v>1337</v>
      </c>
      <c r="AC56" s="165">
        <v>44926</v>
      </c>
      <c r="AD56" s="165">
        <v>44926</v>
      </c>
      <c r="AE56" s="165">
        <f t="shared" ref="AE56:AE66" si="36">IFERROR(EOMONTH(L56,-2),"")</f>
        <v>45077</v>
      </c>
      <c r="AF56" s="5"/>
      <c r="AG56" s="5"/>
      <c r="AH56" s="279"/>
      <c r="AI56" s="76"/>
      <c r="AJ56" s="76" t="s">
        <v>1196</v>
      </c>
      <c r="AK56" s="221" t="e">
        <f>SUM(#REF!,BT56,BV56)</f>
        <v>#REF!</v>
      </c>
      <c r="AL56" s="48" t="s">
        <v>1143</v>
      </c>
      <c r="AM56" s="48" t="s">
        <v>1142</v>
      </c>
      <c r="AN56" s="48" t="s">
        <v>1143</v>
      </c>
      <c r="AO56" s="48" t="s">
        <v>592</v>
      </c>
      <c r="AP56" s="48" t="s">
        <v>592</v>
      </c>
      <c r="AQ56" s="48" t="s">
        <v>592</v>
      </c>
      <c r="AR56" s="51"/>
      <c r="AS56" s="51"/>
      <c r="AT56" s="51"/>
      <c r="AU56" s="51">
        <v>0</v>
      </c>
      <c r="AV56" s="36">
        <v>255.45500000000001</v>
      </c>
      <c r="AW56" s="36">
        <v>12.5</v>
      </c>
      <c r="AX56" s="90">
        <f t="shared" si="24"/>
        <v>267.95500000000004</v>
      </c>
      <c r="AY56" s="157">
        <f t="shared" si="3"/>
        <v>118.99522000000006</v>
      </c>
      <c r="AZ56" s="182"/>
      <c r="BA56" s="158"/>
      <c r="BB56" s="182"/>
      <c r="BC56" s="158"/>
      <c r="BD56" s="182"/>
      <c r="BE56" s="158"/>
      <c r="BF56" s="182"/>
      <c r="BG56" s="158"/>
      <c r="BH56" s="182"/>
      <c r="BI56" s="158"/>
      <c r="BJ56" s="182">
        <v>0</v>
      </c>
      <c r="BK56" s="158"/>
      <c r="BL56" s="182"/>
      <c r="BM56" s="158"/>
      <c r="BN56" s="182"/>
      <c r="BO56" s="158"/>
      <c r="BP56" s="182"/>
      <c r="BQ56" s="158"/>
      <c r="BR56" s="182"/>
      <c r="BS56" s="158"/>
      <c r="BT56" s="182"/>
      <c r="BU56" s="158"/>
      <c r="BV56" s="182">
        <v>100</v>
      </c>
      <c r="BW56" s="234">
        <v>118.99522000000006</v>
      </c>
      <c r="BX56" s="237">
        <v>118.99522000000006</v>
      </c>
      <c r="BY56" s="81">
        <f t="shared" si="4"/>
        <v>135.99999999999989</v>
      </c>
      <c r="BZ56" s="241">
        <v>1.9</v>
      </c>
      <c r="CA56" s="241">
        <f>15-8.9</f>
        <v>6.1</v>
      </c>
      <c r="CB56" s="241">
        <v>15</v>
      </c>
      <c r="CC56" s="241">
        <v>10</v>
      </c>
      <c r="CD56" s="241">
        <v>18</v>
      </c>
      <c r="CE56" s="241">
        <v>16.428571428571399</v>
      </c>
      <c r="CF56" s="241">
        <v>16.428571428571399</v>
      </c>
      <c r="CG56" s="241">
        <v>16.428571428571399</v>
      </c>
      <c r="CH56" s="241">
        <v>16.428571428571399</v>
      </c>
      <c r="CI56" s="241">
        <v>6.4285714285714288</v>
      </c>
      <c r="CJ56" s="241">
        <v>6.4285714285714288</v>
      </c>
      <c r="CK56" s="241">
        <f>6.42857142857143</f>
        <v>6.4285714285714297</v>
      </c>
      <c r="CL56" s="195">
        <f t="shared" si="25"/>
        <v>0</v>
      </c>
      <c r="CM56" s="196"/>
      <c r="CN56" s="196"/>
      <c r="CO56" s="196"/>
      <c r="CP56" s="196"/>
      <c r="CQ56" s="196"/>
      <c r="CR56" s="196"/>
      <c r="CS56" s="196"/>
      <c r="CT56" s="196"/>
      <c r="CU56" s="196"/>
      <c r="CV56" s="196"/>
      <c r="CW56" s="196"/>
      <c r="CX56" s="196"/>
      <c r="CY56" s="200">
        <f t="shared" si="26"/>
        <v>-18.99522000000006</v>
      </c>
      <c r="CZ56" s="172">
        <f t="shared" si="5"/>
        <v>0</v>
      </c>
      <c r="DA56" s="201">
        <f t="shared" si="27"/>
        <v>0</v>
      </c>
      <c r="DB56" s="201">
        <f t="shared" si="28"/>
        <v>118.99522000000006</v>
      </c>
      <c r="DC56" s="201">
        <f t="shared" si="29"/>
        <v>254.99521999999996</v>
      </c>
      <c r="DD56" s="239">
        <v>254.99999999999986</v>
      </c>
      <c r="DE56" s="201">
        <f t="shared" si="30"/>
        <v>-4.7799999998971998E-3</v>
      </c>
      <c r="DF56" s="172" t="e">
        <f>SUM(DN56:DO56)-SUM(#REF!,BV56)+BU56</f>
        <v>#REF!</v>
      </c>
      <c r="DG56" s="207"/>
      <c r="DH56" s="225">
        <f t="shared" si="31"/>
        <v>0</v>
      </c>
      <c r="DI56" s="225">
        <f t="shared" si="32"/>
        <v>0</v>
      </c>
      <c r="DJ56" s="225">
        <f t="shared" si="33"/>
        <v>0</v>
      </c>
      <c r="DK56" s="225" t="e">
        <f>SUM(BS56,#REF!,BV56)</f>
        <v>#REF!</v>
      </c>
      <c r="DL56" s="145">
        <v>255.45500000000001</v>
      </c>
      <c r="DM56" s="145">
        <v>120.87517</v>
      </c>
      <c r="DN56" s="145">
        <v>125.69045</v>
      </c>
      <c r="DO56" s="145">
        <v>0</v>
      </c>
      <c r="DP56" s="145">
        <v>246.56562</v>
      </c>
      <c r="DQ56" s="145">
        <v>8.8893799999999992</v>
      </c>
      <c r="DR56" s="21">
        <f>VLOOKUP(C56,[6]Database!$B$143:$AD$521,29,FALSE)</f>
        <v>105.00000000000001</v>
      </c>
      <c r="DS56" s="219">
        <f t="shared" si="34"/>
        <v>30.999999999999872</v>
      </c>
    </row>
    <row r="57" spans="1:123" s="21" customFormat="1" ht="24" customHeight="1">
      <c r="A57" s="16"/>
      <c r="B57" s="2"/>
      <c r="C57" s="78" t="s">
        <v>1046</v>
      </c>
      <c r="D57" s="268" t="s">
        <v>592</v>
      </c>
      <c r="E57" s="78"/>
      <c r="F57" s="3">
        <v>2021</v>
      </c>
      <c r="G57" s="4">
        <v>44435</v>
      </c>
      <c r="H57" s="4">
        <v>44461</v>
      </c>
      <c r="I57" s="4"/>
      <c r="J57" s="13">
        <f t="shared" ca="1" si="21"/>
        <v>-842.33599710647832</v>
      </c>
      <c r="K57" s="165">
        <f t="shared" si="22"/>
        <v>45008</v>
      </c>
      <c r="L57" s="165">
        <f t="shared" si="23"/>
        <v>45191</v>
      </c>
      <c r="M57" s="165"/>
      <c r="N57" s="165"/>
      <c r="O57" s="165"/>
      <c r="P57" s="165"/>
      <c r="Q57" s="165"/>
      <c r="R57" s="3" t="s">
        <v>177</v>
      </c>
      <c r="S57" s="11"/>
      <c r="T57" s="11"/>
      <c r="U57" s="5" t="s">
        <v>7</v>
      </c>
      <c r="V57" s="251">
        <v>4723158</v>
      </c>
      <c r="W57" s="5" t="s">
        <v>602</v>
      </c>
      <c r="X57" s="5" t="s">
        <v>1044</v>
      </c>
      <c r="Y57" s="5" t="s">
        <v>1045</v>
      </c>
      <c r="Z57" s="3" t="s">
        <v>180</v>
      </c>
      <c r="AA57" s="6" t="s">
        <v>461</v>
      </c>
      <c r="AB57" s="141" t="s">
        <v>1067</v>
      </c>
      <c r="AC57" s="165">
        <v>44985</v>
      </c>
      <c r="AD57" s="165">
        <v>44530</v>
      </c>
      <c r="AE57" s="165">
        <f t="shared" si="36"/>
        <v>45138</v>
      </c>
      <c r="AF57" s="5"/>
      <c r="AG57" s="5"/>
      <c r="AH57" s="279"/>
      <c r="AI57" s="76"/>
      <c r="AJ57" s="76"/>
      <c r="AK57" s="221" t="e">
        <f>SUM(#REF!,BT57,BV57)</f>
        <v>#REF!</v>
      </c>
      <c r="AL57" s="48"/>
      <c r="AM57" s="48"/>
      <c r="AN57" s="48"/>
      <c r="AO57" s="48"/>
      <c r="AP57" s="48"/>
      <c r="AQ57" s="48"/>
      <c r="AR57" s="51"/>
      <c r="AS57" s="51"/>
      <c r="AT57" s="51"/>
      <c r="AU57" s="51"/>
      <c r="AV57" s="36">
        <v>32.863999999999997</v>
      </c>
      <c r="AW57" s="36">
        <v>2.1440000000000001</v>
      </c>
      <c r="AX57" s="90">
        <f t="shared" si="24"/>
        <v>35.007999999999996</v>
      </c>
      <c r="AY57" s="157">
        <f t="shared" si="3"/>
        <v>30.247309999999999</v>
      </c>
      <c r="AZ57" s="182"/>
      <c r="BA57" s="158"/>
      <c r="BB57" s="182"/>
      <c r="BC57" s="158"/>
      <c r="BD57" s="182"/>
      <c r="BE57" s="158"/>
      <c r="BF57" s="182"/>
      <c r="BG57" s="158"/>
      <c r="BH57" s="182"/>
      <c r="BI57" s="158"/>
      <c r="BJ57" s="182"/>
      <c r="BK57" s="158"/>
      <c r="BL57" s="182"/>
      <c r="BM57" s="158"/>
      <c r="BN57" s="182"/>
      <c r="BO57" s="158"/>
      <c r="BP57" s="182"/>
      <c r="BQ57" s="158"/>
      <c r="BR57" s="182"/>
      <c r="BS57" s="158"/>
      <c r="BT57" s="182"/>
      <c r="BU57" s="158">
        <v>30.09731</v>
      </c>
      <c r="BV57" s="182">
        <v>2</v>
      </c>
      <c r="BW57" s="234">
        <v>0.15</v>
      </c>
      <c r="BX57" s="237">
        <v>0.15</v>
      </c>
      <c r="BY57" s="81">
        <f t="shared" si="4"/>
        <v>1.9</v>
      </c>
      <c r="BZ57" s="241">
        <v>1.9</v>
      </c>
      <c r="CA57" s="241"/>
      <c r="CB57" s="241"/>
      <c r="CC57" s="241"/>
      <c r="CD57" s="241"/>
      <c r="CE57" s="241"/>
      <c r="CF57" s="241"/>
      <c r="CG57" s="241"/>
      <c r="CH57" s="241"/>
      <c r="CI57" s="241"/>
      <c r="CJ57" s="241"/>
      <c r="CK57" s="241"/>
      <c r="CL57" s="195">
        <f t="shared" si="25"/>
        <v>0</v>
      </c>
      <c r="CM57" s="196"/>
      <c r="CN57" s="196"/>
      <c r="CO57" s="196"/>
      <c r="CP57" s="196"/>
      <c r="CQ57" s="196"/>
      <c r="CR57" s="196"/>
      <c r="CS57" s="196"/>
      <c r="CT57" s="196"/>
      <c r="CU57" s="196"/>
      <c r="CV57" s="196"/>
      <c r="CW57" s="196"/>
      <c r="CX57" s="196"/>
      <c r="CY57" s="200">
        <f t="shared" si="26"/>
        <v>1.85</v>
      </c>
      <c r="CZ57" s="172">
        <f t="shared" si="5"/>
        <v>0</v>
      </c>
      <c r="DA57" s="201">
        <f t="shared" si="27"/>
        <v>30.09731</v>
      </c>
      <c r="DB57" s="201">
        <f t="shared" si="28"/>
        <v>0.15</v>
      </c>
      <c r="DC57" s="201">
        <f t="shared" si="29"/>
        <v>32.147309999999997</v>
      </c>
      <c r="DD57" s="239">
        <v>32</v>
      </c>
      <c r="DE57" s="201">
        <f t="shared" si="30"/>
        <v>0.14730999999999739</v>
      </c>
      <c r="DF57" s="172" t="e">
        <f>SUM(DN57:DO57)-SUM(#REF!,BV57)+BU57</f>
        <v>#REF!</v>
      </c>
      <c r="DG57" s="231" t="s">
        <v>1165</v>
      </c>
      <c r="DH57" s="225">
        <f t="shared" si="31"/>
        <v>0</v>
      </c>
      <c r="DI57" s="225">
        <f t="shared" si="32"/>
        <v>0</v>
      </c>
      <c r="DJ57" s="225">
        <f t="shared" si="33"/>
        <v>0</v>
      </c>
      <c r="DK57" s="225" t="e">
        <f>SUM(BS57,#REF!,BV57)</f>
        <v>#REF!</v>
      </c>
      <c r="DL57" s="145">
        <v>32.863999999999997</v>
      </c>
      <c r="DM57" s="145">
        <v>30.247310000000002</v>
      </c>
      <c r="DN57" s="145">
        <v>0</v>
      </c>
      <c r="DO57" s="145">
        <v>0</v>
      </c>
      <c r="DP57" s="145">
        <v>30.247310000000002</v>
      </c>
      <c r="DQ57" s="145">
        <v>2.6166900000000002</v>
      </c>
      <c r="DR57" s="21">
        <f>VLOOKUP(C57,[6]Database!$B$143:$AD$521,29,FALSE)</f>
        <v>0</v>
      </c>
      <c r="DS57" s="219">
        <f t="shared" si="34"/>
        <v>1.9</v>
      </c>
    </row>
    <row r="58" spans="1:123" s="21" customFormat="1" ht="24" customHeight="1">
      <c r="A58" s="16"/>
      <c r="B58" s="2">
        <v>194</v>
      </c>
      <c r="C58" s="78" t="s">
        <v>719</v>
      </c>
      <c r="D58" s="78">
        <v>567</v>
      </c>
      <c r="E58" s="78"/>
      <c r="F58" s="3">
        <v>2021</v>
      </c>
      <c r="G58" s="4">
        <v>44293</v>
      </c>
      <c r="H58" s="4">
        <v>44320</v>
      </c>
      <c r="I58" s="4"/>
      <c r="J58" s="13">
        <f t="shared" ca="1" si="21"/>
        <v>-980.33599710647832</v>
      </c>
      <c r="K58" s="165">
        <f t="shared" si="22"/>
        <v>44867</v>
      </c>
      <c r="L58" s="165">
        <f t="shared" si="23"/>
        <v>45050</v>
      </c>
      <c r="M58" s="165"/>
      <c r="N58" s="165"/>
      <c r="O58" s="165"/>
      <c r="P58" s="165"/>
      <c r="Q58" s="165"/>
      <c r="R58" s="3" t="s">
        <v>175</v>
      </c>
      <c r="S58" s="11" t="s">
        <v>919</v>
      </c>
      <c r="T58" s="45" t="s">
        <v>906</v>
      </c>
      <c r="U58" s="77" t="s">
        <v>7</v>
      </c>
      <c r="V58" s="251">
        <v>3918460</v>
      </c>
      <c r="W58" s="5" t="s">
        <v>602</v>
      </c>
      <c r="X58" s="5" t="s">
        <v>901</v>
      </c>
      <c r="Y58" s="5" t="s">
        <v>798</v>
      </c>
      <c r="Z58" s="3" t="s">
        <v>180</v>
      </c>
      <c r="AA58" s="6" t="s">
        <v>461</v>
      </c>
      <c r="AB58" s="141" t="s">
        <v>1361</v>
      </c>
      <c r="AC58" s="165">
        <v>44834</v>
      </c>
      <c r="AD58" s="165">
        <v>44681</v>
      </c>
      <c r="AE58" s="165">
        <f t="shared" si="36"/>
        <v>45016</v>
      </c>
      <c r="AF58" s="5"/>
      <c r="AG58" s="77"/>
      <c r="AH58" s="279"/>
      <c r="AI58" s="76"/>
      <c r="AJ58" s="76" t="s">
        <v>1196</v>
      </c>
      <c r="AK58" s="221" t="e">
        <f>SUM(#REF!,BT58,BV58)</f>
        <v>#REF!</v>
      </c>
      <c r="AL58" s="48" t="s">
        <v>1107</v>
      </c>
      <c r="AM58" s="48" t="s">
        <v>1108</v>
      </c>
      <c r="AN58" s="48" t="s">
        <v>1109</v>
      </c>
      <c r="AO58" s="48" t="s">
        <v>592</v>
      </c>
      <c r="AP58" s="48" t="s">
        <v>592</v>
      </c>
      <c r="AQ58" s="48" t="s">
        <v>592</v>
      </c>
      <c r="AR58" s="51"/>
      <c r="AS58" s="51"/>
      <c r="AT58" s="51"/>
      <c r="AU58" s="51">
        <v>0</v>
      </c>
      <c r="AV58" s="36">
        <v>699.8</v>
      </c>
      <c r="AW58" s="36">
        <v>64.5</v>
      </c>
      <c r="AX58" s="90">
        <f t="shared" si="24"/>
        <v>764.3</v>
      </c>
      <c r="AY58" s="157">
        <f t="shared" si="3"/>
        <v>213.60487999999995</v>
      </c>
      <c r="AZ58" s="182"/>
      <c r="BA58" s="158"/>
      <c r="BB58" s="182">
        <v>0</v>
      </c>
      <c r="BC58" s="158"/>
      <c r="BD58" s="182">
        <v>0</v>
      </c>
      <c r="BE58" s="158">
        <v>0</v>
      </c>
      <c r="BF58" s="182">
        <v>0</v>
      </c>
      <c r="BG58" s="158"/>
      <c r="BH58" s="182">
        <v>0</v>
      </c>
      <c r="BI58" s="158"/>
      <c r="BJ58" s="182">
        <v>0</v>
      </c>
      <c r="BK58" s="158"/>
      <c r="BL58" s="182">
        <v>0</v>
      </c>
      <c r="BM58" s="158"/>
      <c r="BN58" s="182">
        <v>3</v>
      </c>
      <c r="BO58" s="158">
        <v>1.3944300000000001</v>
      </c>
      <c r="BP58" s="182">
        <v>5</v>
      </c>
      <c r="BQ58" s="158">
        <v>4.4271900000000004</v>
      </c>
      <c r="BR58" s="182">
        <f>11.7-1.2</f>
        <v>10.5</v>
      </c>
      <c r="BS58" s="158">
        <v>2.0827900000000001</v>
      </c>
      <c r="BT58" s="182">
        <f>20+10.1-1.4-0.2</f>
        <v>28.500000000000004</v>
      </c>
      <c r="BU58" s="158">
        <v>75.829429999999988</v>
      </c>
      <c r="BV58" s="218">
        <f>292.8-5+0.8+1.1</f>
        <v>289.70000000000005</v>
      </c>
      <c r="BW58" s="234">
        <v>129.87103999999997</v>
      </c>
      <c r="BX58" s="218">
        <v>129.87103999999997</v>
      </c>
      <c r="BY58" s="81">
        <f t="shared" si="4"/>
        <v>484.6</v>
      </c>
      <c r="BZ58" s="241">
        <f>30+1.8</f>
        <v>31.8</v>
      </c>
      <c r="CA58" s="241">
        <f>100+158</f>
        <v>258</v>
      </c>
      <c r="CB58" s="241">
        <v>75</v>
      </c>
      <c r="CC58" s="241">
        <v>70</v>
      </c>
      <c r="CD58" s="241">
        <v>20</v>
      </c>
      <c r="CE58" s="241">
        <v>29.8</v>
      </c>
      <c r="CF58" s="241"/>
      <c r="CG58" s="241"/>
      <c r="CH58" s="241"/>
      <c r="CI58" s="241"/>
      <c r="CJ58" s="241"/>
      <c r="CK58" s="241"/>
      <c r="CL58" s="195">
        <f t="shared" si="25"/>
        <v>0</v>
      </c>
      <c r="CM58" s="196"/>
      <c r="CN58" s="196"/>
      <c r="CO58" s="196"/>
      <c r="CP58" s="196"/>
      <c r="CQ58" s="196"/>
      <c r="CR58" s="196"/>
      <c r="CS58" s="196"/>
      <c r="CT58" s="196"/>
      <c r="CU58" s="196"/>
      <c r="CV58" s="196"/>
      <c r="CW58" s="196"/>
      <c r="CX58" s="196"/>
      <c r="CY58" s="200">
        <f t="shared" si="26"/>
        <v>159.82896000000008</v>
      </c>
      <c r="CZ58" s="172">
        <f t="shared" si="5"/>
        <v>0</v>
      </c>
      <c r="DA58" s="201">
        <f t="shared" si="27"/>
        <v>83.733839999999987</v>
      </c>
      <c r="DB58" s="201">
        <f t="shared" si="28"/>
        <v>129.87103999999997</v>
      </c>
      <c r="DC58" s="201">
        <f t="shared" si="29"/>
        <v>698.20488</v>
      </c>
      <c r="DD58" s="239">
        <v>698.20441000000005</v>
      </c>
      <c r="DE58" s="201">
        <f t="shared" si="30"/>
        <v>4.6999999995023245E-4</v>
      </c>
      <c r="DF58" s="172" t="e">
        <f>SUM(DN58:DO58)-SUM(#REF!,BV58)+BU58</f>
        <v>#REF!</v>
      </c>
      <c r="DG58" s="207"/>
      <c r="DH58" s="225">
        <f t="shared" si="31"/>
        <v>0</v>
      </c>
      <c r="DI58" s="225">
        <f t="shared" si="32"/>
        <v>0</v>
      </c>
      <c r="DJ58" s="225">
        <f t="shared" si="33"/>
        <v>5.8216200000000002</v>
      </c>
      <c r="DK58" s="225" t="e">
        <f>SUM(BS58,#REF!,BV58)</f>
        <v>#REF!</v>
      </c>
      <c r="DL58" s="145">
        <v>699.8</v>
      </c>
      <c r="DM58" s="145">
        <v>166.22635</v>
      </c>
      <c r="DN58" s="145">
        <v>355.89974000000001</v>
      </c>
      <c r="DO58" s="145">
        <v>1.7909999999999999</v>
      </c>
      <c r="DP58" s="145">
        <v>523.91709000000003</v>
      </c>
      <c r="DQ58" s="145">
        <v>175.88291000000001</v>
      </c>
      <c r="DR58" s="21">
        <f>VLOOKUP(C58,[6]Database!$B$143:$AD$521,29,FALSE)</f>
        <v>369.79999999999995</v>
      </c>
      <c r="DS58" s="219">
        <f t="shared" si="34"/>
        <v>114.80000000000007</v>
      </c>
    </row>
    <row r="59" spans="1:123" s="21" customFormat="1" ht="24" customHeight="1">
      <c r="A59" s="16"/>
      <c r="B59" s="2">
        <v>229</v>
      </c>
      <c r="C59" s="78" t="s">
        <v>948</v>
      </c>
      <c r="D59" s="78">
        <v>12955</v>
      </c>
      <c r="E59" s="78"/>
      <c r="F59" s="3">
        <v>2021</v>
      </c>
      <c r="G59" s="4">
        <v>44370</v>
      </c>
      <c r="H59" s="4">
        <v>44392</v>
      </c>
      <c r="I59" s="4"/>
      <c r="J59" s="13">
        <f t="shared" ca="1" si="21"/>
        <v>-908.33599710647832</v>
      </c>
      <c r="K59" s="165">
        <f t="shared" si="22"/>
        <v>44939</v>
      </c>
      <c r="L59" s="165">
        <f t="shared" si="23"/>
        <v>45122</v>
      </c>
      <c r="M59" s="165"/>
      <c r="N59" s="165"/>
      <c r="O59" s="165"/>
      <c r="P59" s="165"/>
      <c r="Q59" s="165"/>
      <c r="R59" s="3" t="s">
        <v>175</v>
      </c>
      <c r="S59" s="11" t="s">
        <v>221</v>
      </c>
      <c r="T59" s="11" t="s">
        <v>916</v>
      </c>
      <c r="U59" s="5" t="s">
        <v>7</v>
      </c>
      <c r="V59" s="251">
        <v>4340683</v>
      </c>
      <c r="W59" s="5" t="s">
        <v>602</v>
      </c>
      <c r="X59" s="5" t="s">
        <v>478</v>
      </c>
      <c r="Y59" s="5" t="s">
        <v>963</v>
      </c>
      <c r="Z59" s="3" t="s">
        <v>182</v>
      </c>
      <c r="AA59" s="6" t="s">
        <v>461</v>
      </c>
      <c r="AB59" s="141" t="s">
        <v>1198</v>
      </c>
      <c r="AC59" s="165">
        <v>44926</v>
      </c>
      <c r="AD59" s="165">
        <v>44926</v>
      </c>
      <c r="AE59" s="165">
        <f t="shared" si="36"/>
        <v>45077</v>
      </c>
      <c r="AF59" s="5"/>
      <c r="AG59" s="5"/>
      <c r="AH59" s="279"/>
      <c r="AI59" s="76"/>
      <c r="AJ59" s="76"/>
      <c r="AK59" s="221" t="e">
        <f>SUM(#REF!,BT59,BV59)</f>
        <v>#REF!</v>
      </c>
      <c r="AL59" s="48" t="s">
        <v>1080</v>
      </c>
      <c r="AM59" s="48" t="s">
        <v>1079</v>
      </c>
      <c r="AN59" s="48" t="s">
        <v>5</v>
      </c>
      <c r="AO59" s="48" t="s">
        <v>592</v>
      </c>
      <c r="AP59" s="48" t="s">
        <v>592</v>
      </c>
      <c r="AQ59" s="48" t="s">
        <v>592</v>
      </c>
      <c r="AR59" s="51"/>
      <c r="AS59" s="51"/>
      <c r="AT59" s="51"/>
      <c r="AU59" s="51">
        <v>0</v>
      </c>
      <c r="AV59" s="36">
        <v>105.04</v>
      </c>
      <c r="AW59" s="36"/>
      <c r="AX59" s="90">
        <f t="shared" si="24"/>
        <v>105.04</v>
      </c>
      <c r="AY59" s="157">
        <f t="shared" si="3"/>
        <v>94.763719999999992</v>
      </c>
      <c r="AZ59" s="182"/>
      <c r="BA59" s="158"/>
      <c r="BB59" s="182"/>
      <c r="BC59" s="158"/>
      <c r="BD59" s="182"/>
      <c r="BE59" s="158"/>
      <c r="BF59" s="182"/>
      <c r="BG59" s="158"/>
      <c r="BH59" s="182"/>
      <c r="BI59" s="158"/>
      <c r="BJ59" s="182">
        <v>0</v>
      </c>
      <c r="BK59" s="158"/>
      <c r="BL59" s="182"/>
      <c r="BM59" s="158"/>
      <c r="BN59" s="182"/>
      <c r="BO59" s="158">
        <v>2.1044699999999996</v>
      </c>
      <c r="BP59" s="182">
        <v>17.96069</v>
      </c>
      <c r="BQ59" s="158">
        <v>15.023350000000001</v>
      </c>
      <c r="BR59" s="182">
        <f>15+5.3-2.4</f>
        <v>17.900000000000002</v>
      </c>
      <c r="BS59" s="158">
        <v>42.884379999999993</v>
      </c>
      <c r="BT59" s="182">
        <f>5-0.5</f>
        <v>4.5</v>
      </c>
      <c r="BU59" s="158">
        <v>25.51895</v>
      </c>
      <c r="BV59" s="182">
        <v>1</v>
      </c>
      <c r="BW59" s="234">
        <v>9.2325699999999991</v>
      </c>
      <c r="BX59" s="237">
        <v>9.2325699999999991</v>
      </c>
      <c r="BY59" s="81">
        <f t="shared" si="4"/>
        <v>10</v>
      </c>
      <c r="BZ59" s="241">
        <v>1.6</v>
      </c>
      <c r="CA59" s="241">
        <f>7-5.5-0.1</f>
        <v>1.4</v>
      </c>
      <c r="CB59" s="241"/>
      <c r="CC59" s="241">
        <v>2</v>
      </c>
      <c r="CD59" s="241">
        <v>2</v>
      </c>
      <c r="CE59" s="241">
        <v>2</v>
      </c>
      <c r="CF59" s="241">
        <v>1</v>
      </c>
      <c r="CG59" s="241"/>
      <c r="CH59" s="241"/>
      <c r="CI59" s="241"/>
      <c r="CJ59" s="241"/>
      <c r="CK59" s="241"/>
      <c r="CL59" s="195">
        <f t="shared" si="25"/>
        <v>0</v>
      </c>
      <c r="CM59" s="196"/>
      <c r="CN59" s="196"/>
      <c r="CO59" s="196"/>
      <c r="CP59" s="196"/>
      <c r="CQ59" s="196"/>
      <c r="CR59" s="196"/>
      <c r="CS59" s="196"/>
      <c r="CT59" s="196"/>
      <c r="CU59" s="196"/>
      <c r="CV59" s="196"/>
      <c r="CW59" s="196"/>
      <c r="CX59" s="196"/>
      <c r="CY59" s="200">
        <f t="shared" si="26"/>
        <v>-8.2325699999999991</v>
      </c>
      <c r="CZ59" s="172">
        <f t="shared" si="5"/>
        <v>0</v>
      </c>
      <c r="DA59" s="201">
        <f t="shared" si="27"/>
        <v>85.531149999999997</v>
      </c>
      <c r="DB59" s="201">
        <f t="shared" si="28"/>
        <v>9.2325699999999991</v>
      </c>
      <c r="DC59" s="201">
        <f t="shared" si="29"/>
        <v>104.76371999999999</v>
      </c>
      <c r="DD59" s="239">
        <v>105.01219999999999</v>
      </c>
      <c r="DE59" s="201">
        <f t="shared" si="30"/>
        <v>-0.2484800000000007</v>
      </c>
      <c r="DF59" s="172" t="e">
        <f>SUM(DN59:DO59)-SUM(#REF!,BV59)+BU59</f>
        <v>#REF!</v>
      </c>
      <c r="DG59" s="207"/>
      <c r="DH59" s="225">
        <f t="shared" si="31"/>
        <v>0</v>
      </c>
      <c r="DI59" s="225">
        <f t="shared" si="32"/>
        <v>0</v>
      </c>
      <c r="DJ59" s="225">
        <f t="shared" si="33"/>
        <v>17.12782</v>
      </c>
      <c r="DK59" s="225" t="e">
        <f>SUM(BS59,#REF!,BV59)</f>
        <v>#REF!</v>
      </c>
      <c r="DL59" s="145">
        <v>105.04</v>
      </c>
      <c r="DM59" s="145">
        <v>94.763720000000006</v>
      </c>
      <c r="DN59" s="145">
        <v>3.9345100000000004</v>
      </c>
      <c r="DO59" s="145">
        <v>0</v>
      </c>
      <c r="DP59" s="145">
        <v>98.698229999999995</v>
      </c>
      <c r="DQ59" s="145">
        <v>6.3417700000000004</v>
      </c>
      <c r="DR59" s="21">
        <f>VLOOKUP(C59,[6]Database!$B$143:$AD$521,29,FALSE)</f>
        <v>40</v>
      </c>
      <c r="DS59" s="219">
        <f t="shared" si="34"/>
        <v>-30</v>
      </c>
    </row>
    <row r="60" spans="1:123" s="21" customFormat="1" ht="24" customHeight="1">
      <c r="A60" s="16"/>
      <c r="B60" s="2"/>
      <c r="C60" s="78" t="s">
        <v>1234</v>
      </c>
      <c r="D60" s="268" t="s">
        <v>592</v>
      </c>
      <c r="E60" s="78"/>
      <c r="F60" s="3">
        <v>2021</v>
      </c>
      <c r="G60" s="4">
        <v>44480</v>
      </c>
      <c r="H60" s="4">
        <v>44522</v>
      </c>
      <c r="I60" s="4"/>
      <c r="J60" s="13">
        <f t="shared" ca="1" si="21"/>
        <v>-781.33599710647832</v>
      </c>
      <c r="K60" s="165">
        <f t="shared" si="22"/>
        <v>45069</v>
      </c>
      <c r="L60" s="165">
        <f t="shared" si="23"/>
        <v>45252</v>
      </c>
      <c r="M60" s="165"/>
      <c r="N60" s="165"/>
      <c r="O60" s="165"/>
      <c r="P60" s="165"/>
      <c r="Q60" s="165"/>
      <c r="R60" s="3" t="s">
        <v>175</v>
      </c>
      <c r="S60" s="11" t="s">
        <v>4</v>
      </c>
      <c r="T60" s="11" t="s">
        <v>905</v>
      </c>
      <c r="U60" s="5" t="s">
        <v>7</v>
      </c>
      <c r="V60" s="251">
        <v>4879190</v>
      </c>
      <c r="W60" s="5" t="s">
        <v>602</v>
      </c>
      <c r="X60" s="5" t="s">
        <v>675</v>
      </c>
      <c r="Y60" s="5" t="s">
        <v>1322</v>
      </c>
      <c r="Z60" s="3" t="s">
        <v>180</v>
      </c>
      <c r="AA60" s="6" t="s">
        <v>461</v>
      </c>
      <c r="AB60" s="141" t="s">
        <v>1364</v>
      </c>
      <c r="AC60" s="165">
        <v>45076</v>
      </c>
      <c r="AD60" s="165">
        <v>45199</v>
      </c>
      <c r="AE60" s="165">
        <f t="shared" si="36"/>
        <v>45199</v>
      </c>
      <c r="AF60" s="5"/>
      <c r="AG60" s="5"/>
      <c r="AH60" s="210"/>
      <c r="AI60" s="76"/>
      <c r="AJ60" s="76"/>
      <c r="AK60" s="221" t="e">
        <f>SUM(#REF!,BT60,BV60)</f>
        <v>#REF!</v>
      </c>
      <c r="AL60" s="48"/>
      <c r="AM60" s="48"/>
      <c r="AN60" s="48"/>
      <c r="AO60" s="48"/>
      <c r="AP60" s="48"/>
      <c r="AQ60" s="48"/>
      <c r="AR60" s="51"/>
      <c r="AS60" s="51"/>
      <c r="AT60" s="51"/>
      <c r="AU60" s="51"/>
      <c r="AV60" s="36">
        <v>56.241900000000001</v>
      </c>
      <c r="AW60" s="36"/>
      <c r="AX60" s="90">
        <f t="shared" si="24"/>
        <v>56.241900000000001</v>
      </c>
      <c r="AY60" s="157">
        <f t="shared" si="3"/>
        <v>44.159759999999984</v>
      </c>
      <c r="AZ60" s="182"/>
      <c r="BA60" s="158"/>
      <c r="BB60" s="182"/>
      <c r="BC60" s="158"/>
      <c r="BD60" s="182"/>
      <c r="BE60" s="158"/>
      <c r="BF60" s="182"/>
      <c r="BG60" s="158"/>
      <c r="BH60" s="182"/>
      <c r="BI60" s="158"/>
      <c r="BJ60" s="182"/>
      <c r="BK60" s="158"/>
      <c r="BL60" s="182"/>
      <c r="BM60" s="158"/>
      <c r="BN60" s="182"/>
      <c r="BO60" s="158"/>
      <c r="BP60" s="182"/>
      <c r="BQ60" s="158"/>
      <c r="BR60" s="182"/>
      <c r="BS60" s="158"/>
      <c r="BT60" s="182"/>
      <c r="BU60" s="158"/>
      <c r="BV60" s="182"/>
      <c r="BW60" s="234">
        <v>44.159759999999984</v>
      </c>
      <c r="BX60" s="237">
        <v>44.159759999999984</v>
      </c>
      <c r="BY60" s="81">
        <f t="shared" si="4"/>
        <v>12.0473</v>
      </c>
      <c r="BZ60" s="241">
        <v>1.3</v>
      </c>
      <c r="CA60" s="241"/>
      <c r="CB60" s="241"/>
      <c r="CC60" s="241">
        <f>18.7473-3.5-4.5</f>
        <v>10.747299999999999</v>
      </c>
      <c r="CD60" s="241"/>
      <c r="CE60" s="241"/>
      <c r="CF60" s="241"/>
      <c r="CG60" s="241"/>
      <c r="CH60" s="241"/>
      <c r="CI60" s="241"/>
      <c r="CJ60" s="241"/>
      <c r="CK60" s="241"/>
      <c r="CL60" s="195"/>
      <c r="CM60" s="196"/>
      <c r="CN60" s="196"/>
      <c r="CO60" s="196"/>
      <c r="CP60" s="196"/>
      <c r="CQ60" s="196"/>
      <c r="CR60" s="196"/>
      <c r="CS60" s="196"/>
      <c r="CT60" s="196"/>
      <c r="CU60" s="196"/>
      <c r="CV60" s="196"/>
      <c r="CW60" s="196"/>
      <c r="CX60" s="196"/>
      <c r="CY60" s="200">
        <f t="shared" si="26"/>
        <v>-44.159759999999984</v>
      </c>
      <c r="CZ60" s="172">
        <f t="shared" si="5"/>
        <v>0</v>
      </c>
      <c r="DA60" s="201">
        <f t="shared" si="27"/>
        <v>0</v>
      </c>
      <c r="DB60" s="201">
        <f t="shared" si="28"/>
        <v>44.159759999999984</v>
      </c>
      <c r="DC60" s="201"/>
      <c r="DD60" s="239"/>
      <c r="DE60" s="201"/>
      <c r="DF60" s="172"/>
      <c r="DG60" s="207"/>
      <c r="DH60" s="225"/>
      <c r="DI60" s="225"/>
      <c r="DJ60" s="225"/>
      <c r="DK60" s="225"/>
      <c r="DL60" s="145">
        <v>56.241900000000001</v>
      </c>
      <c r="DM60" s="145">
        <v>44.159759999999999</v>
      </c>
      <c r="DN60" s="145">
        <v>3.3437800000000002</v>
      </c>
      <c r="DO60" s="145">
        <v>1.4172</v>
      </c>
      <c r="DP60" s="145">
        <v>48.920739999999995</v>
      </c>
      <c r="DQ60" s="145">
        <v>7.3211599999999999</v>
      </c>
      <c r="DS60" s="219"/>
    </row>
    <row r="61" spans="1:123" s="21" customFormat="1" ht="24" customHeight="1">
      <c r="A61" s="16"/>
      <c r="B61" s="2">
        <v>193</v>
      </c>
      <c r="C61" s="78" t="s">
        <v>711</v>
      </c>
      <c r="D61" s="78">
        <v>879</v>
      </c>
      <c r="E61" s="78"/>
      <c r="F61" s="3">
        <v>2021</v>
      </c>
      <c r="G61" s="4">
        <v>44194</v>
      </c>
      <c r="H61" s="4">
        <v>44295</v>
      </c>
      <c r="I61" s="4"/>
      <c r="J61" s="13">
        <f t="shared" ca="1" si="21"/>
        <v>-1006.3359971064783</v>
      </c>
      <c r="K61" s="165">
        <f t="shared" si="22"/>
        <v>44842</v>
      </c>
      <c r="L61" s="165">
        <f t="shared" si="23"/>
        <v>45025</v>
      </c>
      <c r="M61" s="165"/>
      <c r="N61" s="165"/>
      <c r="O61" s="165"/>
      <c r="P61" s="165"/>
      <c r="Q61" s="165"/>
      <c r="R61" s="3" t="s">
        <v>175</v>
      </c>
      <c r="S61" s="11" t="s">
        <v>4</v>
      </c>
      <c r="T61" s="11" t="s">
        <v>910</v>
      </c>
      <c r="U61" s="5" t="s">
        <v>7</v>
      </c>
      <c r="V61" s="251">
        <v>3722351</v>
      </c>
      <c r="W61" s="5" t="s">
        <v>602</v>
      </c>
      <c r="X61" s="5" t="s">
        <v>475</v>
      </c>
      <c r="Y61" s="5" t="s">
        <v>694</v>
      </c>
      <c r="Z61" s="3" t="s">
        <v>180</v>
      </c>
      <c r="AA61" s="6" t="s">
        <v>461</v>
      </c>
      <c r="AB61" s="141" t="s">
        <v>1371</v>
      </c>
      <c r="AC61" s="165">
        <v>44803</v>
      </c>
      <c r="AD61" s="165">
        <v>44712</v>
      </c>
      <c r="AE61" s="165">
        <f t="shared" si="36"/>
        <v>44985</v>
      </c>
      <c r="AF61" s="5" t="s">
        <v>1038</v>
      </c>
      <c r="AG61" s="77" t="s">
        <v>1048</v>
      </c>
      <c r="AH61" s="279">
        <v>9.9000000000000005E-2</v>
      </c>
      <c r="AI61" s="76"/>
      <c r="AJ61" s="76"/>
      <c r="AK61" s="221" t="e">
        <f>SUM(#REF!,BT61,BV61)</f>
        <v>#REF!</v>
      </c>
      <c r="AL61" s="48" t="s">
        <v>1126</v>
      </c>
      <c r="AM61" s="48" t="s">
        <v>1127</v>
      </c>
      <c r="AN61" s="48" t="s">
        <v>592</v>
      </c>
      <c r="AO61" s="48" t="s">
        <v>592</v>
      </c>
      <c r="AP61" s="48" t="s">
        <v>592</v>
      </c>
      <c r="AQ61" s="48" t="s">
        <v>592</v>
      </c>
      <c r="AR61" s="51"/>
      <c r="AS61" s="51"/>
      <c r="AT61" s="51"/>
      <c r="AU61" s="51">
        <v>0</v>
      </c>
      <c r="AV61" s="36">
        <v>465116.58</v>
      </c>
      <c r="AW61" s="36">
        <v>13.207549999999999</v>
      </c>
      <c r="AX61" s="90">
        <f t="shared" si="24"/>
        <v>465129.78755000001</v>
      </c>
      <c r="AY61" s="157">
        <f t="shared" si="3"/>
        <v>312.55387000000002</v>
      </c>
      <c r="AZ61" s="182"/>
      <c r="BA61" s="158"/>
      <c r="BB61" s="182">
        <v>0</v>
      </c>
      <c r="BC61" s="158"/>
      <c r="BD61" s="182">
        <v>0</v>
      </c>
      <c r="BE61" s="158">
        <v>0</v>
      </c>
      <c r="BF61" s="182">
        <v>0</v>
      </c>
      <c r="BG61" s="158"/>
      <c r="BH61" s="182">
        <v>0</v>
      </c>
      <c r="BI61" s="158"/>
      <c r="BJ61" s="182">
        <v>0</v>
      </c>
      <c r="BK61" s="158"/>
      <c r="BL61" s="182"/>
      <c r="BM61" s="158"/>
      <c r="BN61" s="182"/>
      <c r="BO61" s="158"/>
      <c r="BP61" s="182">
        <v>16</v>
      </c>
      <c r="BQ61" s="158"/>
      <c r="BR61" s="182">
        <f>5+16</f>
        <v>21</v>
      </c>
      <c r="BS61" s="158">
        <v>28.265180000000001</v>
      </c>
      <c r="BT61" s="182">
        <f>7-1.9-0.4</f>
        <v>4.6999999999999993</v>
      </c>
      <c r="BU61" s="158"/>
      <c r="BV61" s="182">
        <f>270+13</f>
        <v>283</v>
      </c>
      <c r="BW61" s="234">
        <v>284.28869000000003</v>
      </c>
      <c r="BX61" s="237">
        <v>284.28869000000003</v>
      </c>
      <c r="BY61" s="81">
        <f t="shared" si="4"/>
        <v>150.61802000000012</v>
      </c>
      <c r="BZ61" s="241">
        <f>5-2.6+1.3</f>
        <v>3.7</v>
      </c>
      <c r="CA61" s="241">
        <v>5</v>
      </c>
      <c r="CB61" s="241">
        <v>5</v>
      </c>
      <c r="CC61" s="241">
        <f>25.1+40</f>
        <v>65.099999999999994</v>
      </c>
      <c r="CD61" s="241">
        <f>43.2180200000001+28.6+40-40</f>
        <v>71.818020000000104</v>
      </c>
      <c r="CE61" s="241"/>
      <c r="CF61" s="241"/>
      <c r="CG61" s="241"/>
      <c r="CH61" s="241"/>
      <c r="CI61" s="241"/>
      <c r="CJ61" s="241"/>
      <c r="CK61" s="241"/>
      <c r="CL61" s="195">
        <f t="shared" ref="CL61:CL92" si="37">SUM(CM61:CX61)</f>
        <v>0</v>
      </c>
      <c r="CM61" s="196"/>
      <c r="CN61" s="196"/>
      <c r="CO61" s="196"/>
      <c r="CP61" s="196"/>
      <c r="CQ61" s="196"/>
      <c r="CR61" s="196"/>
      <c r="CS61" s="196"/>
      <c r="CT61" s="196"/>
      <c r="CU61" s="196"/>
      <c r="CV61" s="196"/>
      <c r="CW61" s="196"/>
      <c r="CX61" s="196"/>
      <c r="CY61" s="200">
        <f t="shared" si="26"/>
        <v>-1.288690000000031</v>
      </c>
      <c r="CZ61" s="172">
        <f t="shared" si="5"/>
        <v>0</v>
      </c>
      <c r="DA61" s="201">
        <f t="shared" si="27"/>
        <v>28.265180000000001</v>
      </c>
      <c r="DB61" s="201">
        <f t="shared" si="28"/>
        <v>284.28869000000003</v>
      </c>
      <c r="DC61" s="201">
        <f t="shared" ref="DC61:DC92" si="38">SUM(AY61,BY61)</f>
        <v>463.17189000000013</v>
      </c>
      <c r="DD61" s="239">
        <v>423.18320000000011</v>
      </c>
      <c r="DE61" s="201">
        <f t="shared" ref="DE61:DE92" si="39">DC61-DD61</f>
        <v>39.98869000000002</v>
      </c>
      <c r="DF61" s="172" t="e">
        <f>SUM(DN61:DO61)-SUM(#REF!,BV61)+BU61</f>
        <v>#REF!</v>
      </c>
      <c r="DG61" s="207"/>
      <c r="DH61" s="225">
        <f t="shared" ref="DH61:DH92" si="40">SUM(BA61,BC61,BE61)</f>
        <v>0</v>
      </c>
      <c r="DI61" s="225">
        <f t="shared" ref="DI61:DI92" si="41">SUM(BG61,BI61,BK61)</f>
        <v>0</v>
      </c>
      <c r="DJ61" s="225">
        <f t="shared" ref="DJ61:DJ92" si="42">SUM(BM61,BO61,BQ61)</f>
        <v>0</v>
      </c>
      <c r="DK61" s="225" t="e">
        <f>SUM(BS61,#REF!,BV61)</f>
        <v>#REF!</v>
      </c>
      <c r="DL61" s="145">
        <v>465.11658</v>
      </c>
      <c r="DM61" s="145">
        <v>313.84280000000001</v>
      </c>
      <c r="DN61" s="145">
        <v>39.482769999999995</v>
      </c>
      <c r="DO61" s="145">
        <v>4.00936</v>
      </c>
      <c r="DP61" s="145">
        <v>357.33492999999999</v>
      </c>
      <c r="DQ61" s="145">
        <v>107.78165</v>
      </c>
      <c r="DR61" s="21">
        <f>VLOOKUP(C61,[6]Database!$B$143:$AD$521,29,FALSE)</f>
        <v>223.21802000000011</v>
      </c>
      <c r="DS61" s="219">
        <f t="shared" ref="DS61:DS92" si="43">BY61-DR61</f>
        <v>-72.599999999999994</v>
      </c>
    </row>
    <row r="62" spans="1:123" s="21" customFormat="1" ht="24" customHeight="1">
      <c r="A62" s="16"/>
      <c r="B62" s="2">
        <v>216</v>
      </c>
      <c r="C62" s="78" t="s">
        <v>927</v>
      </c>
      <c r="D62" s="268" t="s">
        <v>592</v>
      </c>
      <c r="E62" s="78"/>
      <c r="F62" s="3">
        <v>2021</v>
      </c>
      <c r="G62" s="4">
        <v>44334</v>
      </c>
      <c r="H62" s="4">
        <v>44344</v>
      </c>
      <c r="I62" s="4"/>
      <c r="J62" s="13">
        <f t="shared" ca="1" si="21"/>
        <v>-956.33599710647832</v>
      </c>
      <c r="K62" s="165">
        <v>44561</v>
      </c>
      <c r="L62" s="165">
        <v>44651</v>
      </c>
      <c r="M62" s="165"/>
      <c r="N62" s="165" t="s">
        <v>597</v>
      </c>
      <c r="O62" s="165"/>
      <c r="P62" s="206" t="s">
        <v>1267</v>
      </c>
      <c r="Q62" s="206" t="s">
        <v>1265</v>
      </c>
      <c r="R62" s="3" t="s">
        <v>178</v>
      </c>
      <c r="S62" s="11"/>
      <c r="T62" s="45"/>
      <c r="U62" s="5" t="s">
        <v>7</v>
      </c>
      <c r="V62" s="251">
        <v>4175016</v>
      </c>
      <c r="W62" s="5" t="s">
        <v>602</v>
      </c>
      <c r="X62" s="5" t="s">
        <v>478</v>
      </c>
      <c r="Y62" s="5" t="s">
        <v>1317</v>
      </c>
      <c r="Z62" s="3" t="s">
        <v>187</v>
      </c>
      <c r="AA62" s="6" t="s">
        <v>461</v>
      </c>
      <c r="AB62" s="141" t="s">
        <v>1351</v>
      </c>
      <c r="AC62" s="165">
        <v>44561</v>
      </c>
      <c r="AD62" s="165">
        <v>44561</v>
      </c>
      <c r="AE62" s="165">
        <f t="shared" si="36"/>
        <v>44592</v>
      </c>
      <c r="AF62" s="5" t="s">
        <v>1038</v>
      </c>
      <c r="AG62" s="5" t="s">
        <v>1359</v>
      </c>
      <c r="AH62" s="279">
        <v>9.3299999999999994E-2</v>
      </c>
      <c r="AI62" s="76"/>
      <c r="AJ62" s="76"/>
      <c r="AK62" s="221" t="e">
        <f>SUM(#REF!,BT62,BV62)</f>
        <v>#REF!</v>
      </c>
      <c r="AL62" s="48" t="s">
        <v>1084</v>
      </c>
      <c r="AM62" s="48" t="s">
        <v>1085</v>
      </c>
      <c r="AN62" s="48" t="s">
        <v>1085</v>
      </c>
      <c r="AO62" s="48" t="s">
        <v>592</v>
      </c>
      <c r="AP62" s="48" t="s">
        <v>592</v>
      </c>
      <c r="AQ62" s="48" t="s">
        <v>592</v>
      </c>
      <c r="AR62" s="51"/>
      <c r="AS62" s="51"/>
      <c r="AT62" s="51"/>
      <c r="AU62" s="205">
        <v>67</v>
      </c>
      <c r="AV62" s="36">
        <v>75</v>
      </c>
      <c r="AW62" s="36"/>
      <c r="AX62" s="90">
        <f t="shared" si="24"/>
        <v>75</v>
      </c>
      <c r="AY62" s="157">
        <f t="shared" si="3"/>
        <v>67.172110000000004</v>
      </c>
      <c r="AZ62" s="182"/>
      <c r="BA62" s="158"/>
      <c r="BB62" s="182"/>
      <c r="BC62" s="158"/>
      <c r="BD62" s="182"/>
      <c r="BE62" s="158"/>
      <c r="BF62" s="182"/>
      <c r="BG62" s="158"/>
      <c r="BH62" s="182">
        <v>0</v>
      </c>
      <c r="BI62" s="158"/>
      <c r="BJ62" s="182">
        <v>0</v>
      </c>
      <c r="BK62" s="158"/>
      <c r="BL62" s="182"/>
      <c r="BM62" s="158"/>
      <c r="BN62" s="182">
        <v>10</v>
      </c>
      <c r="BO62" s="158"/>
      <c r="BP62" s="182">
        <v>16</v>
      </c>
      <c r="BQ62" s="158">
        <v>10.683440000000001</v>
      </c>
      <c r="BR62" s="182">
        <f>24-0.4</f>
        <v>23.6</v>
      </c>
      <c r="BS62" s="158">
        <v>11.508100000000001</v>
      </c>
      <c r="BT62" s="182">
        <f>20+11.4+1.2-0.5</f>
        <v>32.1</v>
      </c>
      <c r="BU62" s="158">
        <v>22.900639999999999</v>
      </c>
      <c r="BV62" s="182">
        <f>13+4.5+1.2-10+7.7+1.7</f>
        <v>18.099999999999998</v>
      </c>
      <c r="BW62" s="234">
        <v>22.079930000000004</v>
      </c>
      <c r="BX62" s="237">
        <v>22.079930000000004</v>
      </c>
      <c r="BY62" s="81">
        <f t="shared" si="4"/>
        <v>1</v>
      </c>
      <c r="BZ62" s="241">
        <v>1</v>
      </c>
      <c r="CA62" s="241"/>
      <c r="CB62" s="241"/>
      <c r="CC62" s="241"/>
      <c r="CD62" s="241"/>
      <c r="CE62" s="241"/>
      <c r="CF62" s="241"/>
      <c r="CG62" s="241"/>
      <c r="CH62" s="241"/>
      <c r="CI62" s="241"/>
      <c r="CJ62" s="241"/>
      <c r="CK62" s="241"/>
      <c r="CL62" s="195">
        <f t="shared" si="37"/>
        <v>0</v>
      </c>
      <c r="CM62" s="196"/>
      <c r="CN62" s="196"/>
      <c r="CO62" s="196"/>
      <c r="CP62" s="196"/>
      <c r="CQ62" s="196"/>
      <c r="CR62" s="196"/>
      <c r="CS62" s="196"/>
      <c r="CT62" s="196"/>
      <c r="CU62" s="196"/>
      <c r="CV62" s="196"/>
      <c r="CW62" s="196"/>
      <c r="CX62" s="196"/>
      <c r="CY62" s="200">
        <f t="shared" si="26"/>
        <v>-3.9799300000000066</v>
      </c>
      <c r="CZ62" s="172">
        <f t="shared" si="5"/>
        <v>0</v>
      </c>
      <c r="DA62" s="201">
        <f t="shared" si="27"/>
        <v>45.092179999999999</v>
      </c>
      <c r="DB62" s="201">
        <f t="shared" si="28"/>
        <v>22.079930000000004</v>
      </c>
      <c r="DC62" s="201">
        <f t="shared" si="38"/>
        <v>68.172110000000004</v>
      </c>
      <c r="DD62" s="239">
        <v>62.991540000000001</v>
      </c>
      <c r="DE62" s="201">
        <f t="shared" si="39"/>
        <v>5.180570000000003</v>
      </c>
      <c r="DF62" s="172" t="e">
        <f>SUM(DN62:DO62)-SUM(#REF!,BV62)+BU62</f>
        <v>#REF!</v>
      </c>
      <c r="DG62" s="207" t="s">
        <v>1156</v>
      </c>
      <c r="DH62" s="225">
        <f t="shared" si="40"/>
        <v>0</v>
      </c>
      <c r="DI62" s="225">
        <f t="shared" si="41"/>
        <v>0</v>
      </c>
      <c r="DJ62" s="225">
        <f t="shared" si="42"/>
        <v>10.683440000000001</v>
      </c>
      <c r="DK62" s="225" t="e">
        <f>SUM(BS62,#REF!,BV62)</f>
        <v>#REF!</v>
      </c>
      <c r="DL62" s="145">
        <v>82</v>
      </c>
      <c r="DM62" s="145">
        <v>67.172110000000004</v>
      </c>
      <c r="DN62" s="145">
        <v>12.63987</v>
      </c>
      <c r="DO62" s="145">
        <v>0</v>
      </c>
      <c r="DP62" s="145">
        <v>79.811979999999991</v>
      </c>
      <c r="DQ62" s="145">
        <v>2.1880199999999999</v>
      </c>
      <c r="DR62" s="21">
        <f>VLOOKUP(C62,[6]Database!$B$143:$AD$521,29,FALSE)</f>
        <v>0</v>
      </c>
      <c r="DS62" s="219">
        <f t="shared" si="43"/>
        <v>1</v>
      </c>
    </row>
    <row r="63" spans="1:123" s="21" customFormat="1" ht="24" customHeight="1">
      <c r="A63" s="16"/>
      <c r="B63" s="2">
        <v>200</v>
      </c>
      <c r="C63" s="78" t="s">
        <v>718</v>
      </c>
      <c r="D63" s="143" t="s">
        <v>1155</v>
      </c>
      <c r="E63" s="78"/>
      <c r="F63" s="3">
        <v>2021</v>
      </c>
      <c r="G63" s="4">
        <v>44256</v>
      </c>
      <c r="H63" s="4">
        <v>44286</v>
      </c>
      <c r="I63" s="4"/>
      <c r="J63" s="13">
        <f t="shared" ca="1" si="21"/>
        <v>-1015.3359971064783</v>
      </c>
      <c r="K63" s="165">
        <f t="shared" ref="K63:K94" si="44">IF(H63="","",H63+547)</f>
        <v>44833</v>
      </c>
      <c r="L63" s="165">
        <f t="shared" ref="L63:L94" si="45">IF(H63="","",H63+730)</f>
        <v>45016</v>
      </c>
      <c r="M63" s="165"/>
      <c r="N63" s="165"/>
      <c r="O63" s="165"/>
      <c r="P63" s="165"/>
      <c r="Q63" s="165"/>
      <c r="R63" s="3" t="s">
        <v>175</v>
      </c>
      <c r="S63" s="11" t="s">
        <v>919</v>
      </c>
      <c r="T63" s="45" t="s">
        <v>915</v>
      </c>
      <c r="U63" s="77" t="s">
        <v>7</v>
      </c>
      <c r="V63" s="251">
        <v>3815429</v>
      </c>
      <c r="W63" s="5" t="s">
        <v>602</v>
      </c>
      <c r="X63" s="5" t="s">
        <v>471</v>
      </c>
      <c r="Y63" s="5" t="s">
        <v>761</v>
      </c>
      <c r="Z63" s="78" t="s">
        <v>185</v>
      </c>
      <c r="AA63" s="6" t="s">
        <v>461</v>
      </c>
      <c r="AB63" s="141" t="s">
        <v>1227</v>
      </c>
      <c r="AC63" s="165">
        <v>44620</v>
      </c>
      <c r="AD63" s="165">
        <v>44620</v>
      </c>
      <c r="AE63" s="165">
        <f t="shared" si="36"/>
        <v>44957</v>
      </c>
      <c r="AF63" s="5"/>
      <c r="AG63" s="5"/>
      <c r="AH63" s="279"/>
      <c r="AI63" s="76"/>
      <c r="AJ63" s="76" t="s">
        <v>1196</v>
      </c>
      <c r="AK63" s="221" t="e">
        <f>SUM(#REF!,BT63,BV63)</f>
        <v>#REF!</v>
      </c>
      <c r="AL63" s="48" t="s">
        <v>1150</v>
      </c>
      <c r="AM63" s="48" t="s">
        <v>1142</v>
      </c>
      <c r="AN63" s="48" t="s">
        <v>1079</v>
      </c>
      <c r="AO63" s="48" t="s">
        <v>592</v>
      </c>
      <c r="AP63" s="48" t="s">
        <v>592</v>
      </c>
      <c r="AQ63" s="48" t="s">
        <v>592</v>
      </c>
      <c r="AR63" s="51"/>
      <c r="AS63" s="51"/>
      <c r="AT63" s="51"/>
      <c r="AU63" s="51">
        <v>0</v>
      </c>
      <c r="AV63" s="36">
        <v>75</v>
      </c>
      <c r="AW63" s="36">
        <v>23.8</v>
      </c>
      <c r="AX63" s="90">
        <f t="shared" si="24"/>
        <v>98.8</v>
      </c>
      <c r="AY63" s="157">
        <f t="shared" si="3"/>
        <v>67.095259999999996</v>
      </c>
      <c r="AZ63" s="182"/>
      <c r="BA63" s="158"/>
      <c r="BB63" s="182">
        <v>0</v>
      </c>
      <c r="BC63" s="158"/>
      <c r="BD63" s="182">
        <v>0</v>
      </c>
      <c r="BE63" s="158">
        <v>0</v>
      </c>
      <c r="BF63" s="182">
        <v>0</v>
      </c>
      <c r="BG63" s="158"/>
      <c r="BH63" s="182">
        <v>0</v>
      </c>
      <c r="BI63" s="158"/>
      <c r="BJ63" s="182">
        <v>0</v>
      </c>
      <c r="BK63" s="158"/>
      <c r="BL63" s="182"/>
      <c r="BM63" s="158"/>
      <c r="BN63" s="182"/>
      <c r="BO63" s="158"/>
      <c r="BP63" s="182"/>
      <c r="BQ63" s="158"/>
      <c r="BR63" s="182"/>
      <c r="BS63" s="158"/>
      <c r="BT63" s="182">
        <v>50</v>
      </c>
      <c r="BU63" s="158">
        <v>42.585209999999996</v>
      </c>
      <c r="BV63" s="182">
        <f>25+7</f>
        <v>32</v>
      </c>
      <c r="BW63" s="234">
        <v>24.51005</v>
      </c>
      <c r="BX63" s="237">
        <v>24.51005</v>
      </c>
      <c r="BY63" s="81">
        <f t="shared" si="4"/>
        <v>7.5</v>
      </c>
      <c r="BZ63" s="241">
        <v>0.4</v>
      </c>
      <c r="CA63" s="241"/>
      <c r="CB63" s="241">
        <v>3</v>
      </c>
      <c r="CC63" s="241">
        <v>3</v>
      </c>
      <c r="CD63" s="241">
        <v>1.1000000000000001</v>
      </c>
      <c r="CE63" s="241"/>
      <c r="CF63" s="241"/>
      <c r="CG63" s="241"/>
      <c r="CH63" s="241"/>
      <c r="CI63" s="241"/>
      <c r="CJ63" s="241"/>
      <c r="CK63" s="241"/>
      <c r="CL63" s="195">
        <f t="shared" si="37"/>
        <v>0</v>
      </c>
      <c r="CM63" s="196"/>
      <c r="CN63" s="196"/>
      <c r="CO63" s="196"/>
      <c r="CP63" s="196"/>
      <c r="CQ63" s="196"/>
      <c r="CR63" s="196"/>
      <c r="CS63" s="196"/>
      <c r="CT63" s="196"/>
      <c r="CU63" s="196"/>
      <c r="CV63" s="196"/>
      <c r="CW63" s="196"/>
      <c r="CX63" s="196"/>
      <c r="CY63" s="200">
        <f t="shared" si="26"/>
        <v>7.4899500000000003</v>
      </c>
      <c r="CZ63" s="172">
        <f t="shared" si="5"/>
        <v>0</v>
      </c>
      <c r="DA63" s="201">
        <f t="shared" si="27"/>
        <v>42.585209999999996</v>
      </c>
      <c r="DB63" s="201">
        <f t="shared" si="28"/>
        <v>24.51005</v>
      </c>
      <c r="DC63" s="201">
        <f t="shared" si="38"/>
        <v>74.595259999999996</v>
      </c>
      <c r="DD63" s="239">
        <v>75</v>
      </c>
      <c r="DE63" s="201">
        <f t="shared" si="39"/>
        <v>-0.40474000000000387</v>
      </c>
      <c r="DF63" s="172" t="e">
        <f>SUM(DN63:DO63)-SUM(#REF!,BV63)+BU63</f>
        <v>#REF!</v>
      </c>
      <c r="DG63" s="207" t="s">
        <v>1158</v>
      </c>
      <c r="DH63" s="225">
        <f t="shared" si="40"/>
        <v>0</v>
      </c>
      <c r="DI63" s="225">
        <f t="shared" si="41"/>
        <v>0</v>
      </c>
      <c r="DJ63" s="225">
        <f t="shared" si="42"/>
        <v>0</v>
      </c>
      <c r="DK63" s="225" t="e">
        <f>SUM(BS63,#REF!,BV63)</f>
        <v>#REF!</v>
      </c>
      <c r="DL63" s="145">
        <v>75</v>
      </c>
      <c r="DM63" s="145">
        <v>67.095259999999996</v>
      </c>
      <c r="DN63" s="145">
        <v>5.0205200000000003</v>
      </c>
      <c r="DO63" s="145">
        <v>0</v>
      </c>
      <c r="DP63" s="145">
        <v>72.115780000000001</v>
      </c>
      <c r="DQ63" s="145">
        <v>2.88422</v>
      </c>
      <c r="DR63" s="21">
        <f>VLOOKUP(C63,[6]Database!$B$143:$AD$521,29,FALSE)</f>
        <v>0</v>
      </c>
      <c r="DS63" s="219">
        <f t="shared" si="43"/>
        <v>7.5</v>
      </c>
    </row>
    <row r="64" spans="1:123" s="21" customFormat="1" ht="24" customHeight="1">
      <c r="A64" s="16"/>
      <c r="B64" s="2">
        <v>175</v>
      </c>
      <c r="C64" s="78" t="s">
        <v>547</v>
      </c>
      <c r="D64" s="78"/>
      <c r="E64" s="78" t="s">
        <v>823</v>
      </c>
      <c r="F64" s="3">
        <v>2020</v>
      </c>
      <c r="G64" s="4">
        <v>44044</v>
      </c>
      <c r="H64" s="174">
        <v>44076</v>
      </c>
      <c r="I64" s="4"/>
      <c r="J64" s="13">
        <f t="shared" ca="1" si="21"/>
        <v>-1227.3359971064783</v>
      </c>
      <c r="K64" s="165">
        <f t="shared" si="44"/>
        <v>44623</v>
      </c>
      <c r="L64" s="165">
        <f t="shared" si="45"/>
        <v>44806</v>
      </c>
      <c r="M64" s="165"/>
      <c r="N64" s="165" t="s">
        <v>597</v>
      </c>
      <c r="O64" s="165"/>
      <c r="P64" s="227" t="s">
        <v>1021</v>
      </c>
      <c r="Q64" s="227" t="s">
        <v>1388</v>
      </c>
      <c r="R64" s="3" t="s">
        <v>175</v>
      </c>
      <c r="S64" s="11" t="s">
        <v>221</v>
      </c>
      <c r="T64" s="11" t="s">
        <v>916</v>
      </c>
      <c r="U64" s="5" t="s">
        <v>8</v>
      </c>
      <c r="V64" s="251">
        <v>3114541</v>
      </c>
      <c r="W64" s="5" t="s">
        <v>602</v>
      </c>
      <c r="X64" s="5" t="s">
        <v>471</v>
      </c>
      <c r="Y64" s="5" t="s">
        <v>1329</v>
      </c>
      <c r="Z64" s="3" t="s">
        <v>180</v>
      </c>
      <c r="AA64" s="6" t="s">
        <v>461</v>
      </c>
      <c r="AB64" s="149" t="s">
        <v>1268</v>
      </c>
      <c r="AC64" s="165">
        <v>44864</v>
      </c>
      <c r="AD64" s="165">
        <v>44926</v>
      </c>
      <c r="AE64" s="165">
        <f t="shared" si="36"/>
        <v>44773</v>
      </c>
      <c r="AF64" s="5" t="s">
        <v>1038</v>
      </c>
      <c r="AG64" s="5"/>
      <c r="AH64" s="279">
        <v>9.7699999999999995E-2</v>
      </c>
      <c r="AI64" s="76"/>
      <c r="AJ64" s="76"/>
      <c r="AK64" s="221" t="e">
        <f>SUM(#REF!,BT64,BV64)</f>
        <v>#REF!</v>
      </c>
      <c r="AL64" s="48" t="s">
        <v>1079</v>
      </c>
      <c r="AM64" s="48" t="s">
        <v>1079</v>
      </c>
      <c r="AN64" s="48" t="s">
        <v>1151</v>
      </c>
      <c r="AO64" s="48" t="s">
        <v>592</v>
      </c>
      <c r="AP64" s="48" t="s">
        <v>592</v>
      </c>
      <c r="AQ64" s="48" t="s">
        <v>592</v>
      </c>
      <c r="AR64" s="51"/>
      <c r="AS64" s="51">
        <v>0</v>
      </c>
      <c r="AT64" s="51">
        <v>561.91526999999996</v>
      </c>
      <c r="AU64" s="51">
        <v>416.00808999999998</v>
      </c>
      <c r="AV64" s="36">
        <v>1074.8106</v>
      </c>
      <c r="AW64" s="36">
        <v>12</v>
      </c>
      <c r="AX64" s="90">
        <f t="shared" si="24"/>
        <v>1086.8106</v>
      </c>
      <c r="AY64" s="157">
        <f t="shared" si="3"/>
        <v>289.70477000000005</v>
      </c>
      <c r="AZ64" s="182">
        <v>10</v>
      </c>
      <c r="BA64" s="158">
        <v>19.008089999999999</v>
      </c>
      <c r="BB64" s="182">
        <v>21</v>
      </c>
      <c r="BC64" s="158">
        <v>6.6780199999999992</v>
      </c>
      <c r="BD64" s="182">
        <v>0</v>
      </c>
      <c r="BE64" s="158">
        <v>5.8019699999999998</v>
      </c>
      <c r="BF64" s="182">
        <v>0</v>
      </c>
      <c r="BG64" s="158">
        <v>12.03707</v>
      </c>
      <c r="BH64" s="182">
        <v>3</v>
      </c>
      <c r="BI64" s="158">
        <v>33.824620000000003</v>
      </c>
      <c r="BJ64" s="182">
        <v>5</v>
      </c>
      <c r="BK64" s="158">
        <v>10.17859</v>
      </c>
      <c r="BL64" s="182">
        <v>4.9000000000000004</v>
      </c>
      <c r="BM64" s="158">
        <v>16.21022</v>
      </c>
      <c r="BN64" s="182">
        <v>4.9000000000000004</v>
      </c>
      <c r="BO64" s="158">
        <v>24.747530000000001</v>
      </c>
      <c r="BP64" s="182">
        <v>2</v>
      </c>
      <c r="BQ64" s="158">
        <v>30.640249999999998</v>
      </c>
      <c r="BR64" s="182">
        <f>20-10-1</f>
        <v>9</v>
      </c>
      <c r="BS64" s="158">
        <v>34.147089999999999</v>
      </c>
      <c r="BT64" s="182">
        <f>1+19.5+0.4</f>
        <v>20.9</v>
      </c>
      <c r="BU64" s="158">
        <v>28.92287</v>
      </c>
      <c r="BV64" s="182">
        <f>1.5+20-12.4+1.7+20+1.2+1.8-0.4</f>
        <v>33.4</v>
      </c>
      <c r="BW64" s="234">
        <v>67.508450000000011</v>
      </c>
      <c r="BX64" s="237">
        <v>67.508450000000011</v>
      </c>
      <c r="BY64" s="81">
        <f t="shared" si="4"/>
        <v>259.89999999999998</v>
      </c>
      <c r="BZ64" s="241">
        <v>0.4</v>
      </c>
      <c r="CA64" s="241">
        <f>24-3-2</f>
        <v>19</v>
      </c>
      <c r="CB64" s="241">
        <v>24</v>
      </c>
      <c r="CC64" s="241">
        <v>24</v>
      </c>
      <c r="CD64" s="241">
        <v>24</v>
      </c>
      <c r="CE64" s="241">
        <v>24</v>
      </c>
      <c r="CF64" s="241">
        <v>24</v>
      </c>
      <c r="CG64" s="241">
        <v>24</v>
      </c>
      <c r="CH64" s="241">
        <v>24</v>
      </c>
      <c r="CI64" s="241">
        <v>24</v>
      </c>
      <c r="CJ64" s="241">
        <v>24</v>
      </c>
      <c r="CK64" s="241">
        <f>27-2.5</f>
        <v>24.5</v>
      </c>
      <c r="CL64" s="195">
        <f t="shared" si="37"/>
        <v>0</v>
      </c>
      <c r="CM64" s="196"/>
      <c r="CN64" s="196"/>
      <c r="CO64" s="196"/>
      <c r="CP64" s="196"/>
      <c r="CQ64" s="196"/>
      <c r="CR64" s="196"/>
      <c r="CS64" s="196"/>
      <c r="CT64" s="196"/>
      <c r="CU64" s="196"/>
      <c r="CV64" s="196"/>
      <c r="CW64" s="196"/>
      <c r="CX64" s="196"/>
      <c r="CY64" s="200">
        <f t="shared" si="26"/>
        <v>-34.108450000000012</v>
      </c>
      <c r="CZ64" s="172">
        <f t="shared" si="5"/>
        <v>0</v>
      </c>
      <c r="DA64" s="201">
        <f t="shared" si="27"/>
        <v>222.19632000000001</v>
      </c>
      <c r="DB64" s="201">
        <f t="shared" si="28"/>
        <v>67.508450000000011</v>
      </c>
      <c r="DC64" s="201">
        <f t="shared" si="38"/>
        <v>549.60477000000003</v>
      </c>
      <c r="DD64" s="239">
        <v>549.67345</v>
      </c>
      <c r="DE64" s="201">
        <f t="shared" si="39"/>
        <v>-6.8679999999972097E-2</v>
      </c>
      <c r="DF64" s="172" t="e">
        <f>SUM(DN64:DO64)-SUM(#REF!,BV64)+BU64</f>
        <v>#REF!</v>
      </c>
      <c r="DG64" s="207"/>
      <c r="DH64" s="225">
        <f t="shared" si="40"/>
        <v>31.48808</v>
      </c>
      <c r="DI64" s="225">
        <f t="shared" si="41"/>
        <v>56.040280000000003</v>
      </c>
      <c r="DJ64" s="225">
        <f t="shared" si="42"/>
        <v>71.597999999999999</v>
      </c>
      <c r="DK64" s="225" t="e">
        <f>SUM(BS64,#REF!,BV64)</f>
        <v>#REF!</v>
      </c>
      <c r="DL64" s="145">
        <v>1074.8106</v>
      </c>
      <c r="DM64" s="145">
        <v>852.00625000000002</v>
      </c>
      <c r="DN64" s="145">
        <v>209.01560999999998</v>
      </c>
      <c r="DO64" s="145">
        <v>0</v>
      </c>
      <c r="DP64" s="145">
        <v>1061.0218600000001</v>
      </c>
      <c r="DQ64" s="145">
        <v>13.788740000000001</v>
      </c>
      <c r="DR64" s="21">
        <f>VLOOKUP(C64,[6]Database!$B$143:$AD$521,29,FALSE)</f>
        <v>314</v>
      </c>
      <c r="DS64" s="219">
        <f t="shared" si="43"/>
        <v>-54.100000000000023</v>
      </c>
    </row>
    <row r="65" spans="1:123" s="21" customFormat="1" ht="24" customHeight="1">
      <c r="A65" s="16"/>
      <c r="B65" s="2">
        <v>211</v>
      </c>
      <c r="C65" s="78" t="s">
        <v>897</v>
      </c>
      <c r="D65" s="268" t="s">
        <v>592</v>
      </c>
      <c r="E65" s="78"/>
      <c r="F65" s="3">
        <v>2021</v>
      </c>
      <c r="G65" s="4">
        <v>44329</v>
      </c>
      <c r="H65" s="4">
        <v>44344</v>
      </c>
      <c r="I65" s="4"/>
      <c r="J65" s="13">
        <f t="shared" ca="1" si="21"/>
        <v>-956.33599710647832</v>
      </c>
      <c r="K65" s="165">
        <f t="shared" si="44"/>
        <v>44891</v>
      </c>
      <c r="L65" s="165">
        <f t="shared" si="45"/>
        <v>45074</v>
      </c>
      <c r="M65" s="165"/>
      <c r="N65" s="165"/>
      <c r="O65" s="165"/>
      <c r="P65" s="165"/>
      <c r="Q65" s="165"/>
      <c r="R65" s="3" t="s">
        <v>176</v>
      </c>
      <c r="S65" s="11"/>
      <c r="T65" s="45"/>
      <c r="U65" s="5" t="s">
        <v>7</v>
      </c>
      <c r="V65" s="251">
        <v>4162039</v>
      </c>
      <c r="W65" s="5" t="s">
        <v>602</v>
      </c>
      <c r="X65" s="5" t="s">
        <v>473</v>
      </c>
      <c r="Y65" s="5" t="s">
        <v>896</v>
      </c>
      <c r="Z65" s="3" t="s">
        <v>185</v>
      </c>
      <c r="AA65" s="6" t="s">
        <v>461</v>
      </c>
      <c r="AB65" s="141" t="s">
        <v>1384</v>
      </c>
      <c r="AC65" s="165">
        <v>44620</v>
      </c>
      <c r="AD65" s="165">
        <v>44591</v>
      </c>
      <c r="AE65" s="165">
        <f t="shared" si="36"/>
        <v>45016</v>
      </c>
      <c r="AF65" s="5"/>
      <c r="AG65" s="5"/>
      <c r="AH65" s="279"/>
      <c r="AI65" s="76"/>
      <c r="AJ65" s="76"/>
      <c r="AK65" s="221" t="e">
        <f>SUM(#REF!,BT65,BV65)</f>
        <v>#REF!</v>
      </c>
      <c r="AL65" s="48"/>
      <c r="AM65" s="48"/>
      <c r="AN65" s="48"/>
      <c r="AO65" s="48"/>
      <c r="AP65" s="48"/>
      <c r="AQ65" s="48"/>
      <c r="AR65" s="51"/>
      <c r="AS65" s="51"/>
      <c r="AT65" s="51"/>
      <c r="AU65" s="51">
        <v>0</v>
      </c>
      <c r="AV65" s="36">
        <v>70</v>
      </c>
      <c r="AW65" s="36"/>
      <c r="AX65" s="90">
        <f t="shared" si="24"/>
        <v>70</v>
      </c>
      <c r="AY65" s="157">
        <f t="shared" si="3"/>
        <v>57.466250000000002</v>
      </c>
      <c r="AZ65" s="182"/>
      <c r="BA65" s="158"/>
      <c r="BB65" s="182"/>
      <c r="BC65" s="158"/>
      <c r="BD65" s="182"/>
      <c r="BE65" s="158"/>
      <c r="BF65" s="182"/>
      <c r="BG65" s="158"/>
      <c r="BH65" s="182">
        <v>0</v>
      </c>
      <c r="BI65" s="158"/>
      <c r="BJ65" s="182">
        <v>0</v>
      </c>
      <c r="BK65" s="158"/>
      <c r="BL65" s="182"/>
      <c r="BM65" s="158"/>
      <c r="BN65" s="182"/>
      <c r="BO65" s="158"/>
      <c r="BP65" s="182">
        <v>2</v>
      </c>
      <c r="BQ65" s="158"/>
      <c r="BR65" s="182">
        <v>2</v>
      </c>
      <c r="BS65" s="158">
        <v>1.5726199999999999</v>
      </c>
      <c r="BT65" s="182">
        <v>52.5</v>
      </c>
      <c r="BU65" s="158">
        <v>29.296970000000002</v>
      </c>
      <c r="BV65" s="182">
        <f>19+3.1</f>
        <v>22.1</v>
      </c>
      <c r="BW65" s="234">
        <v>26.596660000000004</v>
      </c>
      <c r="BX65" s="237">
        <v>26.596660000000004</v>
      </c>
      <c r="BY65" s="81">
        <f t="shared" si="4"/>
        <v>5.3000000000000007</v>
      </c>
      <c r="BZ65" s="241">
        <f>9.8-4.8+0.3</f>
        <v>5.3000000000000007</v>
      </c>
      <c r="CA65" s="241"/>
      <c r="CB65" s="241"/>
      <c r="CC65" s="241"/>
      <c r="CD65" s="241"/>
      <c r="CE65" s="241"/>
      <c r="CF65" s="241"/>
      <c r="CG65" s="241"/>
      <c r="CH65" s="241"/>
      <c r="CI65" s="241"/>
      <c r="CJ65" s="241"/>
      <c r="CK65" s="241"/>
      <c r="CL65" s="195">
        <f t="shared" si="37"/>
        <v>0</v>
      </c>
      <c r="CM65" s="196"/>
      <c r="CN65" s="196"/>
      <c r="CO65" s="196"/>
      <c r="CP65" s="196"/>
      <c r="CQ65" s="196"/>
      <c r="CR65" s="196"/>
      <c r="CS65" s="196"/>
      <c r="CT65" s="196"/>
      <c r="CU65" s="196"/>
      <c r="CV65" s="196"/>
      <c r="CW65" s="196"/>
      <c r="CX65" s="196"/>
      <c r="CY65" s="200">
        <f t="shared" si="26"/>
        <v>-4.4966600000000021</v>
      </c>
      <c r="CZ65" s="172">
        <f t="shared" si="5"/>
        <v>0</v>
      </c>
      <c r="DA65" s="201">
        <f t="shared" si="27"/>
        <v>30.869590000000002</v>
      </c>
      <c r="DB65" s="201">
        <f t="shared" si="28"/>
        <v>26.596660000000004</v>
      </c>
      <c r="DC65" s="201">
        <f t="shared" si="38"/>
        <v>62.766249999999999</v>
      </c>
      <c r="DD65" s="239">
        <v>70.072620000000001</v>
      </c>
      <c r="DE65" s="201">
        <f t="shared" si="39"/>
        <v>-7.3063700000000011</v>
      </c>
      <c r="DF65" s="172" t="e">
        <f>SUM(DN65:DO65)-SUM(#REF!,BV65)+BU65</f>
        <v>#REF!</v>
      </c>
      <c r="DG65" s="207"/>
      <c r="DH65" s="225">
        <f t="shared" si="40"/>
        <v>0</v>
      </c>
      <c r="DI65" s="225">
        <f t="shared" si="41"/>
        <v>0</v>
      </c>
      <c r="DJ65" s="225">
        <f t="shared" si="42"/>
        <v>0</v>
      </c>
      <c r="DK65" s="225" t="e">
        <f>SUM(BS65,#REF!,BV65)</f>
        <v>#REF!</v>
      </c>
      <c r="DL65" s="145">
        <v>70</v>
      </c>
      <c r="DM65" s="145">
        <v>57.466250000000002</v>
      </c>
      <c r="DN65" s="145">
        <v>4.9630000000000001</v>
      </c>
      <c r="DO65" s="145">
        <v>7.0499999999999998E-3</v>
      </c>
      <c r="DP65" s="145">
        <v>62.436300000000003</v>
      </c>
      <c r="DQ65" s="145">
        <v>7.5636999999999999</v>
      </c>
      <c r="DR65" s="21">
        <f>VLOOKUP(C65,[6]Database!$B$143:$AD$521,29,FALSE)</f>
        <v>0</v>
      </c>
      <c r="DS65" s="219">
        <f t="shared" si="43"/>
        <v>5.3000000000000007</v>
      </c>
    </row>
    <row r="66" spans="1:123" s="21" customFormat="1" ht="24" customHeight="1">
      <c r="A66" s="16"/>
      <c r="B66" s="2">
        <v>224</v>
      </c>
      <c r="C66" s="78" t="s">
        <v>945</v>
      </c>
      <c r="D66" s="78">
        <v>3605</v>
      </c>
      <c r="E66" s="78"/>
      <c r="F66" s="3">
        <v>2021</v>
      </c>
      <c r="G66" s="4">
        <v>44357</v>
      </c>
      <c r="H66" s="4">
        <v>44386</v>
      </c>
      <c r="I66" s="4"/>
      <c r="J66" s="13">
        <f t="shared" ca="1" si="21"/>
        <v>-914.33599710647832</v>
      </c>
      <c r="K66" s="165">
        <f t="shared" si="44"/>
        <v>44933</v>
      </c>
      <c r="L66" s="165">
        <f t="shared" si="45"/>
        <v>45116</v>
      </c>
      <c r="M66" s="165"/>
      <c r="N66" s="165"/>
      <c r="O66" s="165"/>
      <c r="P66" s="165"/>
      <c r="Q66" s="165"/>
      <c r="R66" s="3" t="s">
        <v>175</v>
      </c>
      <c r="S66" s="11" t="s">
        <v>4</v>
      </c>
      <c r="T66" s="11" t="s">
        <v>910</v>
      </c>
      <c r="U66" s="5" t="s">
        <v>7</v>
      </c>
      <c r="V66" s="251">
        <v>4280835</v>
      </c>
      <c r="W66" s="5" t="s">
        <v>602</v>
      </c>
      <c r="X66" s="5" t="s">
        <v>477</v>
      </c>
      <c r="Y66" s="5" t="s">
        <v>958</v>
      </c>
      <c r="Z66" s="78" t="s">
        <v>185</v>
      </c>
      <c r="AA66" s="6" t="s">
        <v>461</v>
      </c>
      <c r="AB66" s="277" t="s">
        <v>1335</v>
      </c>
      <c r="AC66" s="165">
        <v>44620</v>
      </c>
      <c r="AD66" s="165">
        <v>44620</v>
      </c>
      <c r="AE66" s="165">
        <f t="shared" si="36"/>
        <v>45077</v>
      </c>
      <c r="AF66" s="5"/>
      <c r="AG66" s="5"/>
      <c r="AH66" s="279"/>
      <c r="AI66" s="76"/>
      <c r="AJ66" s="76"/>
      <c r="AK66" s="221" t="e">
        <f>SUM(#REF!,BT66,BV66)</f>
        <v>#REF!</v>
      </c>
      <c r="AL66" s="48" t="s">
        <v>1094</v>
      </c>
      <c r="AM66" s="48" t="s">
        <v>1094</v>
      </c>
      <c r="AN66" s="48" t="s">
        <v>1094</v>
      </c>
      <c r="AO66" s="48" t="s">
        <v>592</v>
      </c>
      <c r="AP66" s="48" t="s">
        <v>592</v>
      </c>
      <c r="AQ66" s="48" t="s">
        <v>592</v>
      </c>
      <c r="AR66" s="51"/>
      <c r="AS66" s="51"/>
      <c r="AT66" s="51"/>
      <c r="AU66" s="51">
        <v>0</v>
      </c>
      <c r="AV66" s="36">
        <v>73.208470000000005</v>
      </c>
      <c r="AW66" s="36">
        <v>22.973980000000001</v>
      </c>
      <c r="AX66" s="90">
        <f t="shared" si="24"/>
        <v>96.182450000000003</v>
      </c>
      <c r="AY66" s="157">
        <f t="shared" si="3"/>
        <v>2.8560099999999999</v>
      </c>
      <c r="AZ66" s="182"/>
      <c r="BA66" s="158"/>
      <c r="BB66" s="182"/>
      <c r="BC66" s="158"/>
      <c r="BD66" s="182"/>
      <c r="BE66" s="158"/>
      <c r="BF66" s="182"/>
      <c r="BG66" s="158"/>
      <c r="BH66" s="182"/>
      <c r="BI66" s="158"/>
      <c r="BJ66" s="182">
        <v>0</v>
      </c>
      <c r="BK66" s="158"/>
      <c r="BL66" s="182"/>
      <c r="BM66" s="158"/>
      <c r="BN66" s="182"/>
      <c r="BO66" s="158"/>
      <c r="BP66" s="182"/>
      <c r="BQ66" s="158"/>
      <c r="BR66" s="182"/>
      <c r="BS66" s="158"/>
      <c r="BT66" s="182">
        <v>36.6</v>
      </c>
      <c r="BU66" s="158"/>
      <c r="BV66" s="218">
        <f>36.6+36.6-32</f>
        <v>41.2</v>
      </c>
      <c r="BW66" s="234">
        <v>2.8560099999999999</v>
      </c>
      <c r="BX66" s="237">
        <v>2.8560099999999999</v>
      </c>
      <c r="BY66" s="81">
        <f t="shared" si="4"/>
        <v>70.3</v>
      </c>
      <c r="BZ66" s="241"/>
      <c r="CA66" s="241">
        <f>15-3.2+0.3</f>
        <v>12.100000000000001</v>
      </c>
      <c r="CB66" s="241">
        <v>26.2</v>
      </c>
      <c r="CC66" s="241">
        <v>32</v>
      </c>
      <c r="CD66" s="241"/>
      <c r="CE66" s="241"/>
      <c r="CF66" s="241"/>
      <c r="CG66" s="241"/>
      <c r="CH66" s="241"/>
      <c r="CI66" s="241"/>
      <c r="CJ66" s="241"/>
      <c r="CK66" s="241"/>
      <c r="CL66" s="195">
        <f t="shared" si="37"/>
        <v>0</v>
      </c>
      <c r="CM66" s="196"/>
      <c r="CN66" s="196"/>
      <c r="CO66" s="196"/>
      <c r="CP66" s="196"/>
      <c r="CQ66" s="196"/>
      <c r="CR66" s="196"/>
      <c r="CS66" s="196"/>
      <c r="CT66" s="196"/>
      <c r="CU66" s="196"/>
      <c r="CV66" s="196"/>
      <c r="CW66" s="196"/>
      <c r="CX66" s="196"/>
      <c r="CY66" s="200">
        <f t="shared" si="26"/>
        <v>38.343990000000005</v>
      </c>
      <c r="CZ66" s="172">
        <f t="shared" si="5"/>
        <v>0</v>
      </c>
      <c r="DA66" s="201">
        <f t="shared" si="27"/>
        <v>0</v>
      </c>
      <c r="DB66" s="201">
        <f t="shared" si="28"/>
        <v>2.8560099999999999</v>
      </c>
      <c r="DC66" s="201">
        <f t="shared" si="38"/>
        <v>73.156009999999995</v>
      </c>
      <c r="DD66" s="239">
        <v>73.2</v>
      </c>
      <c r="DE66" s="201">
        <f t="shared" si="39"/>
        <v>-4.3990000000007967E-2</v>
      </c>
      <c r="DF66" s="172" t="e">
        <f>SUM(DN66:DO66)-SUM(#REF!,BV66)+BU66</f>
        <v>#REF!</v>
      </c>
      <c r="DG66" s="207" t="s">
        <v>1168</v>
      </c>
      <c r="DH66" s="225">
        <f t="shared" si="40"/>
        <v>0</v>
      </c>
      <c r="DI66" s="225">
        <f t="shared" si="41"/>
        <v>0</v>
      </c>
      <c r="DJ66" s="225">
        <f t="shared" si="42"/>
        <v>0</v>
      </c>
      <c r="DK66" s="225" t="e">
        <f>SUM(BS66,#REF!,BV66)</f>
        <v>#REF!</v>
      </c>
      <c r="DL66" s="145">
        <v>73.208470000000005</v>
      </c>
      <c r="DM66" s="145">
        <v>2.8560100000000004</v>
      </c>
      <c r="DN66" s="145">
        <v>47.991599999999998</v>
      </c>
      <c r="DO66" s="145">
        <v>20.9162</v>
      </c>
      <c r="DP66" s="145">
        <v>71.763809999999992</v>
      </c>
      <c r="DQ66" s="145">
        <v>1.4446600000000001</v>
      </c>
      <c r="DR66" s="21">
        <f>VLOOKUP(C66,[6]Database!$B$143:$AD$521,29,FALSE)</f>
        <v>0</v>
      </c>
      <c r="DS66" s="219">
        <f t="shared" si="43"/>
        <v>70.3</v>
      </c>
    </row>
    <row r="67" spans="1:123" s="21" customFormat="1" ht="24" customHeight="1">
      <c r="A67" s="16"/>
      <c r="B67" s="2">
        <v>97</v>
      </c>
      <c r="C67" s="220" t="s">
        <v>76</v>
      </c>
      <c r="D67" s="78"/>
      <c r="E67" s="78" t="s">
        <v>831</v>
      </c>
      <c r="F67" s="3">
        <v>2019</v>
      </c>
      <c r="G67" s="4">
        <v>43551</v>
      </c>
      <c r="H67" s="174">
        <v>43551</v>
      </c>
      <c r="I67" s="4"/>
      <c r="J67" s="13">
        <f t="shared" ca="1" si="21"/>
        <v>-1748.3359971064783</v>
      </c>
      <c r="K67" s="165">
        <f t="shared" si="44"/>
        <v>44098</v>
      </c>
      <c r="L67" s="165">
        <f t="shared" si="45"/>
        <v>44281</v>
      </c>
      <c r="M67" s="232" t="s">
        <v>597</v>
      </c>
      <c r="N67" s="165" t="s">
        <v>597</v>
      </c>
      <c r="O67" s="233" t="s">
        <v>597</v>
      </c>
      <c r="P67" s="227" t="s">
        <v>1021</v>
      </c>
      <c r="Q67" s="227" t="s">
        <v>1388</v>
      </c>
      <c r="R67" s="3" t="s">
        <v>175</v>
      </c>
      <c r="S67" s="11" t="s">
        <v>4</v>
      </c>
      <c r="T67" s="11" t="s">
        <v>905</v>
      </c>
      <c r="U67" s="5" t="s">
        <v>8</v>
      </c>
      <c r="V67" s="251">
        <v>992289</v>
      </c>
      <c r="W67" s="5" t="s">
        <v>602</v>
      </c>
      <c r="X67" s="5" t="s">
        <v>475</v>
      </c>
      <c r="Y67" s="5" t="s">
        <v>77</v>
      </c>
      <c r="Z67" s="3" t="s">
        <v>186</v>
      </c>
      <c r="AA67" s="6" t="s">
        <v>461</v>
      </c>
      <c r="AB67" s="149" t="s">
        <v>1367</v>
      </c>
      <c r="AC67" s="165">
        <v>44864</v>
      </c>
      <c r="AD67" s="165">
        <v>44864</v>
      </c>
      <c r="AE67" s="165">
        <v>44864</v>
      </c>
      <c r="AF67" s="5" t="s">
        <v>1037</v>
      </c>
      <c r="AG67" s="5"/>
      <c r="AH67" s="279"/>
      <c r="AI67" s="76"/>
      <c r="AJ67" s="76"/>
      <c r="AK67" s="221" t="e">
        <f>SUM(#REF!,BT67,BV67)</f>
        <v>#REF!</v>
      </c>
      <c r="AL67" s="154" t="s">
        <v>1133</v>
      </c>
      <c r="AM67" s="154" t="s">
        <v>1138</v>
      </c>
      <c r="AN67" s="154" t="s">
        <v>1079</v>
      </c>
      <c r="AO67" s="154" t="s">
        <v>1134</v>
      </c>
      <c r="AP67" s="154" t="s">
        <v>1135</v>
      </c>
      <c r="AQ67" s="48" t="s">
        <v>1140</v>
      </c>
      <c r="AR67" s="51">
        <v>49.085639999999998</v>
      </c>
      <c r="AS67" s="51">
        <v>354.58019999999999</v>
      </c>
      <c r="AT67" s="51">
        <v>44.27908</v>
      </c>
      <c r="AU67" s="51">
        <v>138.62703999999999</v>
      </c>
      <c r="AV67" s="36">
        <f>365.996+6</f>
        <v>371.99599999999998</v>
      </c>
      <c r="AW67" s="36">
        <f>61.05+20</f>
        <v>81.05</v>
      </c>
      <c r="AX67" s="90">
        <f t="shared" si="24"/>
        <v>453.04599999999999</v>
      </c>
      <c r="AY67" s="157">
        <f t="shared" si="3"/>
        <v>118.39652000000001</v>
      </c>
      <c r="AZ67" s="182">
        <v>5</v>
      </c>
      <c r="BA67" s="158">
        <v>3.62704</v>
      </c>
      <c r="BB67" s="182">
        <v>5</v>
      </c>
      <c r="BC67" s="158">
        <v>1.8801300000000001</v>
      </c>
      <c r="BD67" s="182">
        <v>3</v>
      </c>
      <c r="BE67" s="158">
        <v>3.6562299999999999</v>
      </c>
      <c r="BF67" s="182">
        <v>3</v>
      </c>
      <c r="BG67" s="158">
        <v>6.53355</v>
      </c>
      <c r="BH67" s="182">
        <v>4</v>
      </c>
      <c r="BI67" s="158">
        <v>17.70795</v>
      </c>
      <c r="BJ67" s="182">
        <v>6</v>
      </c>
      <c r="BK67" s="158">
        <v>8.8656000000000006</v>
      </c>
      <c r="BL67" s="182">
        <v>6</v>
      </c>
      <c r="BM67" s="158">
        <v>7.6408500000000004</v>
      </c>
      <c r="BN67" s="182"/>
      <c r="BO67" s="158">
        <v>0.58243</v>
      </c>
      <c r="BP67" s="182"/>
      <c r="BQ67" s="158">
        <v>10.995790000000001</v>
      </c>
      <c r="BR67" s="182">
        <f>8-3-0.4</f>
        <v>4.5999999999999996</v>
      </c>
      <c r="BS67" s="158">
        <v>2.4468299999999998</v>
      </c>
      <c r="BT67" s="182">
        <v>6</v>
      </c>
      <c r="BU67" s="158">
        <v>4.4878900000000002</v>
      </c>
      <c r="BV67" s="182">
        <f>51-0.3+0.2+1.6</f>
        <v>52.500000000000007</v>
      </c>
      <c r="BW67" s="234">
        <v>49.972230000000003</v>
      </c>
      <c r="BX67" s="237">
        <v>49.972230000000003</v>
      </c>
      <c r="BY67" s="81">
        <f t="shared" si="4"/>
        <v>78.099999999999994</v>
      </c>
      <c r="BZ67" s="241">
        <f>45-2.2+0.3</f>
        <v>43.099999999999994</v>
      </c>
      <c r="CA67" s="241">
        <v>10</v>
      </c>
      <c r="CB67" s="241">
        <v>10</v>
      </c>
      <c r="CC67" s="241">
        <v>15</v>
      </c>
      <c r="CD67" s="241"/>
      <c r="CE67" s="241"/>
      <c r="CF67" s="241"/>
      <c r="CG67" s="241"/>
      <c r="CH67" s="241"/>
      <c r="CI67" s="241"/>
      <c r="CJ67" s="241"/>
      <c r="CK67" s="241"/>
      <c r="CL67" s="195">
        <f t="shared" si="37"/>
        <v>0</v>
      </c>
      <c r="CM67" s="196"/>
      <c r="CN67" s="196"/>
      <c r="CO67" s="196"/>
      <c r="CP67" s="196"/>
      <c r="CQ67" s="196"/>
      <c r="CR67" s="196"/>
      <c r="CS67" s="196"/>
      <c r="CT67" s="196"/>
      <c r="CU67" s="196"/>
      <c r="CV67" s="196"/>
      <c r="CW67" s="196"/>
      <c r="CX67" s="196"/>
      <c r="CY67" s="200">
        <f t="shared" si="26"/>
        <v>2.5277700000000038</v>
      </c>
      <c r="CZ67" s="172">
        <f t="shared" si="5"/>
        <v>0</v>
      </c>
      <c r="DA67" s="201">
        <f t="shared" si="27"/>
        <v>68.424289999999999</v>
      </c>
      <c r="DB67" s="201">
        <f t="shared" si="28"/>
        <v>49.972230000000003</v>
      </c>
      <c r="DC67" s="201">
        <f t="shared" si="38"/>
        <v>196.49652</v>
      </c>
      <c r="DD67" s="239">
        <v>220.83640000000003</v>
      </c>
      <c r="DE67" s="201">
        <f t="shared" si="39"/>
        <v>-24.339880000000022</v>
      </c>
      <c r="DF67" s="172" t="e">
        <f>SUM(DN67:DO67)-SUM(#REF!,BV67)+BU67</f>
        <v>#REF!</v>
      </c>
      <c r="DG67" s="207"/>
      <c r="DH67" s="225">
        <f t="shared" si="40"/>
        <v>9.1633999999999993</v>
      </c>
      <c r="DI67" s="225">
        <f t="shared" si="41"/>
        <v>33.107100000000003</v>
      </c>
      <c r="DJ67" s="225">
        <f t="shared" si="42"/>
        <v>19.219070000000002</v>
      </c>
      <c r="DK67" s="225" t="e">
        <f>SUM(BS67,#REF!,BV67)</f>
        <v>#REF!</v>
      </c>
      <c r="DL67" s="145">
        <v>371.99599999999998</v>
      </c>
      <c r="DM67" s="145">
        <v>211.75078999999999</v>
      </c>
      <c r="DN67" s="145">
        <v>107.11242999999999</v>
      </c>
      <c r="DO67" s="145">
        <v>2.7E-4</v>
      </c>
      <c r="DP67" s="145">
        <v>318.86349000000001</v>
      </c>
      <c r="DQ67" s="145">
        <v>53.132510000000003</v>
      </c>
      <c r="DR67" s="21">
        <f>VLOOKUP(C67,[6]Database!$B$143:$AD$521,29,FALSE)</f>
        <v>100.00000000000001</v>
      </c>
      <c r="DS67" s="219">
        <f t="shared" si="43"/>
        <v>-21.90000000000002</v>
      </c>
    </row>
    <row r="68" spans="1:123" s="21" customFormat="1" ht="24" customHeight="1">
      <c r="A68" s="16"/>
      <c r="B68" s="2">
        <v>227</v>
      </c>
      <c r="C68" s="78" t="s">
        <v>940</v>
      </c>
      <c r="D68" s="78">
        <v>16888</v>
      </c>
      <c r="E68" s="78"/>
      <c r="F68" s="3">
        <v>2021</v>
      </c>
      <c r="G68" s="4">
        <v>44361</v>
      </c>
      <c r="H68" s="4">
        <v>44386</v>
      </c>
      <c r="I68" s="4"/>
      <c r="J68" s="13">
        <f t="shared" ca="1" si="21"/>
        <v>-914.33599710647832</v>
      </c>
      <c r="K68" s="165">
        <f t="shared" si="44"/>
        <v>44933</v>
      </c>
      <c r="L68" s="165">
        <f t="shared" si="45"/>
        <v>45116</v>
      </c>
      <c r="M68" s="165"/>
      <c r="N68" s="165"/>
      <c r="O68" s="165"/>
      <c r="P68" s="165"/>
      <c r="Q68" s="165"/>
      <c r="R68" s="3" t="s">
        <v>175</v>
      </c>
      <c r="S68" s="11" t="s">
        <v>921</v>
      </c>
      <c r="T68" s="11" t="s">
        <v>185</v>
      </c>
      <c r="U68" s="5" t="s">
        <v>7</v>
      </c>
      <c r="V68" s="251">
        <v>4321792</v>
      </c>
      <c r="W68" s="5" t="s">
        <v>602</v>
      </c>
      <c r="X68" s="5" t="s">
        <v>471</v>
      </c>
      <c r="Y68" s="5" t="s">
        <v>961</v>
      </c>
      <c r="Z68" s="3" t="s">
        <v>185</v>
      </c>
      <c r="AA68" s="6" t="s">
        <v>461</v>
      </c>
      <c r="AB68" s="141" t="s">
        <v>1230</v>
      </c>
      <c r="AC68" s="165">
        <v>44926</v>
      </c>
      <c r="AD68" s="165">
        <v>44561</v>
      </c>
      <c r="AE68" s="165">
        <f>IFERROR(EOMONTH(L68,-2),"")</f>
        <v>45077</v>
      </c>
      <c r="AF68" s="5" t="s">
        <v>1038</v>
      </c>
      <c r="AG68" s="5" t="s">
        <v>1032</v>
      </c>
      <c r="AH68" s="279">
        <v>9.9000000000000005E-2</v>
      </c>
      <c r="AI68" s="76"/>
      <c r="AJ68" s="76" t="s">
        <v>1196</v>
      </c>
      <c r="AK68" s="221" t="e">
        <f>SUM(#REF!,BT68,BV68)</f>
        <v>#REF!</v>
      </c>
      <c r="AL68" s="48" t="s">
        <v>1148</v>
      </c>
      <c r="AM68" s="48" t="s">
        <v>1079</v>
      </c>
      <c r="AN68" s="48" t="s">
        <v>1148</v>
      </c>
      <c r="AO68" s="48" t="s">
        <v>592</v>
      </c>
      <c r="AP68" s="48" t="s">
        <v>592</v>
      </c>
      <c r="AQ68" s="48" t="s">
        <v>592</v>
      </c>
      <c r="AR68" s="51"/>
      <c r="AS68" s="51"/>
      <c r="AT68" s="51"/>
      <c r="AU68" s="51">
        <v>0</v>
      </c>
      <c r="AV68" s="36">
        <v>124.16691</v>
      </c>
      <c r="AW68" s="36"/>
      <c r="AX68" s="90">
        <f t="shared" si="24"/>
        <v>124.16691</v>
      </c>
      <c r="AY68" s="157">
        <f t="shared" si="3"/>
        <v>118.18330999999999</v>
      </c>
      <c r="AZ68" s="182"/>
      <c r="BA68" s="158"/>
      <c r="BB68" s="182"/>
      <c r="BC68" s="158"/>
      <c r="BD68" s="182"/>
      <c r="BE68" s="158"/>
      <c r="BF68" s="182"/>
      <c r="BG68" s="158"/>
      <c r="BH68" s="182"/>
      <c r="BI68" s="158"/>
      <c r="BJ68" s="182">
        <v>0</v>
      </c>
      <c r="BK68" s="158"/>
      <c r="BL68" s="182"/>
      <c r="BM68" s="158"/>
      <c r="BN68" s="182"/>
      <c r="BO68" s="158"/>
      <c r="BP68" s="182">
        <v>40</v>
      </c>
      <c r="BQ68" s="158">
        <v>57.560269999999996</v>
      </c>
      <c r="BR68" s="182">
        <f>30+4.6-20-2.1</f>
        <v>12.500000000000002</v>
      </c>
      <c r="BS68" s="158">
        <v>29.637139999999999</v>
      </c>
      <c r="BT68" s="182">
        <f>45.3+3.6</f>
        <v>48.9</v>
      </c>
      <c r="BU68" s="158">
        <v>20.276130000000002</v>
      </c>
      <c r="BV68" s="182">
        <v>16</v>
      </c>
      <c r="BW68" s="234">
        <v>10.709770000000001</v>
      </c>
      <c r="BX68" s="237">
        <v>10.709770000000001</v>
      </c>
      <c r="BY68" s="81">
        <f t="shared" si="4"/>
        <v>0.3</v>
      </c>
      <c r="BZ68" s="241">
        <v>0.3</v>
      </c>
      <c r="CA68" s="241"/>
      <c r="CB68" s="241"/>
      <c r="CC68" s="241"/>
      <c r="CD68" s="241"/>
      <c r="CE68" s="241"/>
      <c r="CF68" s="241"/>
      <c r="CG68" s="241"/>
      <c r="CH68" s="241"/>
      <c r="CI68" s="241"/>
      <c r="CJ68" s="241"/>
      <c r="CK68" s="241"/>
      <c r="CL68" s="195">
        <f t="shared" si="37"/>
        <v>0</v>
      </c>
      <c r="CM68" s="196"/>
      <c r="CN68" s="196"/>
      <c r="CO68" s="196"/>
      <c r="CP68" s="196"/>
      <c r="CQ68" s="196"/>
      <c r="CR68" s="196"/>
      <c r="CS68" s="196"/>
      <c r="CT68" s="196"/>
      <c r="CU68" s="196"/>
      <c r="CV68" s="196"/>
      <c r="CW68" s="196"/>
      <c r="CX68" s="196"/>
      <c r="CY68" s="200">
        <f t="shared" si="26"/>
        <v>5.2902299999999993</v>
      </c>
      <c r="CZ68" s="172">
        <f t="shared" si="5"/>
        <v>0</v>
      </c>
      <c r="DA68" s="201">
        <f t="shared" si="27"/>
        <v>107.47353999999999</v>
      </c>
      <c r="DB68" s="201">
        <f t="shared" si="28"/>
        <v>10.709770000000001</v>
      </c>
      <c r="DC68" s="201">
        <f t="shared" si="38"/>
        <v>118.48330999999999</v>
      </c>
      <c r="DD68" s="239">
        <v>136.09741</v>
      </c>
      <c r="DE68" s="201">
        <f t="shared" si="39"/>
        <v>-17.614100000000008</v>
      </c>
      <c r="DF68" s="172" t="e">
        <f>SUM(DN68:DO68)-SUM(#REF!,BV68)+BU68</f>
        <v>#REF!</v>
      </c>
      <c r="DG68" s="207"/>
      <c r="DH68" s="225">
        <f t="shared" si="40"/>
        <v>0</v>
      </c>
      <c r="DI68" s="225">
        <f t="shared" si="41"/>
        <v>0</v>
      </c>
      <c r="DJ68" s="225">
        <f t="shared" si="42"/>
        <v>57.560269999999996</v>
      </c>
      <c r="DK68" s="225" t="e">
        <f>SUM(BS68,#REF!,BV68)</f>
        <v>#REF!</v>
      </c>
      <c r="DL68" s="145">
        <v>124.16691</v>
      </c>
      <c r="DM68" s="145">
        <v>118.18330999999999</v>
      </c>
      <c r="DN68" s="145">
        <v>0</v>
      </c>
      <c r="DO68" s="145">
        <v>0</v>
      </c>
      <c r="DP68" s="145">
        <v>118.18330999999999</v>
      </c>
      <c r="DQ68" s="145">
        <v>5.9836</v>
      </c>
      <c r="DR68" s="21">
        <f>VLOOKUP(C68,[6]Database!$B$143:$AD$521,29,FALSE)</f>
        <v>23</v>
      </c>
      <c r="DS68" s="219">
        <f t="shared" si="43"/>
        <v>-22.7</v>
      </c>
    </row>
    <row r="69" spans="1:123" s="21" customFormat="1" ht="24" customHeight="1">
      <c r="A69" s="16"/>
      <c r="B69" s="2">
        <v>235</v>
      </c>
      <c r="C69" s="78" t="s">
        <v>956</v>
      </c>
      <c r="D69" s="78">
        <v>16273</v>
      </c>
      <c r="E69" s="78"/>
      <c r="F69" s="3">
        <v>2021</v>
      </c>
      <c r="G69" s="4">
        <v>44368</v>
      </c>
      <c r="H69" s="4">
        <v>44383</v>
      </c>
      <c r="I69" s="4"/>
      <c r="J69" s="13">
        <f t="shared" ca="1" si="21"/>
        <v>-917.33599710647832</v>
      </c>
      <c r="K69" s="165">
        <f t="shared" si="44"/>
        <v>44930</v>
      </c>
      <c r="L69" s="165">
        <f t="shared" si="45"/>
        <v>45113</v>
      </c>
      <c r="M69" s="165"/>
      <c r="N69" s="165"/>
      <c r="O69" s="165"/>
      <c r="P69" s="165"/>
      <c r="Q69" s="165"/>
      <c r="R69" s="3" t="s">
        <v>175</v>
      </c>
      <c r="S69" s="11" t="s">
        <v>4</v>
      </c>
      <c r="T69" s="45" t="s">
        <v>905</v>
      </c>
      <c r="U69" s="5" t="s">
        <v>7</v>
      </c>
      <c r="V69" s="251">
        <v>4320452</v>
      </c>
      <c r="W69" s="5" t="s">
        <v>602</v>
      </c>
      <c r="X69" s="5" t="s">
        <v>901</v>
      </c>
      <c r="Y69" s="5" t="s">
        <v>1316</v>
      </c>
      <c r="Z69" s="3" t="s">
        <v>185</v>
      </c>
      <c r="AA69" s="6" t="s">
        <v>461</v>
      </c>
      <c r="AB69" s="141" t="s">
        <v>1365</v>
      </c>
      <c r="AC69" s="165">
        <v>44926</v>
      </c>
      <c r="AD69" s="165">
        <v>44773</v>
      </c>
      <c r="AE69" s="165">
        <v>45046</v>
      </c>
      <c r="AF69" s="5"/>
      <c r="AG69" s="5"/>
      <c r="AH69" s="279"/>
      <c r="AI69" s="76"/>
      <c r="AJ69" s="76"/>
      <c r="AK69" s="221" t="e">
        <f>SUM(#REF!,BT69,BV69)</f>
        <v>#REF!</v>
      </c>
      <c r="AL69" s="48" t="s">
        <v>1079</v>
      </c>
      <c r="AM69" s="48" t="s">
        <v>1101</v>
      </c>
      <c r="AN69" s="48" t="s">
        <v>1116</v>
      </c>
      <c r="AO69" s="48" t="s">
        <v>592</v>
      </c>
      <c r="AP69" s="48" t="s">
        <v>592</v>
      </c>
      <c r="AQ69" s="48" t="s">
        <v>592</v>
      </c>
      <c r="AR69" s="51"/>
      <c r="AS69" s="51"/>
      <c r="AT69" s="51"/>
      <c r="AU69" s="51">
        <v>0</v>
      </c>
      <c r="AV69" s="36">
        <v>350.1</v>
      </c>
      <c r="AW69" s="36"/>
      <c r="AX69" s="90">
        <f t="shared" si="24"/>
        <v>350.1</v>
      </c>
      <c r="AY69" s="157">
        <f t="shared" si="3"/>
        <v>107.50660999999999</v>
      </c>
      <c r="AZ69" s="182"/>
      <c r="BA69" s="158"/>
      <c r="BB69" s="182"/>
      <c r="BC69" s="158"/>
      <c r="BD69" s="182"/>
      <c r="BE69" s="158"/>
      <c r="BF69" s="182"/>
      <c r="BG69" s="158"/>
      <c r="BH69" s="182"/>
      <c r="BI69" s="158"/>
      <c r="BJ69" s="182">
        <v>0</v>
      </c>
      <c r="BK69" s="158"/>
      <c r="BL69" s="182"/>
      <c r="BM69" s="158"/>
      <c r="BN69" s="182"/>
      <c r="BO69" s="158">
        <v>7.30938</v>
      </c>
      <c r="BP69" s="182">
        <v>6.7</v>
      </c>
      <c r="BQ69" s="158">
        <v>5.16106</v>
      </c>
      <c r="BR69" s="182">
        <f>19.8332+1.2</f>
        <v>21.033200000000001</v>
      </c>
      <c r="BS69" s="158">
        <v>11.845800000000001</v>
      </c>
      <c r="BT69" s="182">
        <f>45+9.7-0.5</f>
        <v>54.2</v>
      </c>
      <c r="BU69" s="158">
        <v>52.469009999999997</v>
      </c>
      <c r="BV69" s="182">
        <f>10+40-15-13-0.8+0.5</f>
        <v>21.7</v>
      </c>
      <c r="BW69" s="234">
        <v>30.721360000000004</v>
      </c>
      <c r="BX69" s="237">
        <v>30.721360000000004</v>
      </c>
      <c r="BY69" s="81">
        <f t="shared" si="4"/>
        <v>241</v>
      </c>
      <c r="BZ69" s="241">
        <f>20-9.3+0.3</f>
        <v>11</v>
      </c>
      <c r="CA69" s="241">
        <v>20</v>
      </c>
      <c r="CB69" s="241">
        <v>40</v>
      </c>
      <c r="CC69" s="241">
        <v>50</v>
      </c>
      <c r="CD69" s="241">
        <v>50</v>
      </c>
      <c r="CE69" s="241">
        <v>40</v>
      </c>
      <c r="CF69" s="241">
        <v>10</v>
      </c>
      <c r="CG69" s="241">
        <v>10</v>
      </c>
      <c r="CH69" s="241">
        <v>10</v>
      </c>
      <c r="CI69" s="241"/>
      <c r="CJ69" s="241"/>
      <c r="CK69" s="241"/>
      <c r="CL69" s="195">
        <f t="shared" si="37"/>
        <v>0</v>
      </c>
      <c r="CM69" s="196"/>
      <c r="CN69" s="196"/>
      <c r="CO69" s="196"/>
      <c r="CP69" s="196"/>
      <c r="CQ69" s="196"/>
      <c r="CR69" s="196"/>
      <c r="CS69" s="196"/>
      <c r="CT69" s="196"/>
      <c r="CU69" s="196"/>
      <c r="CV69" s="196"/>
      <c r="CW69" s="196"/>
      <c r="CX69" s="196"/>
      <c r="CY69" s="200">
        <f t="shared" si="26"/>
        <v>-9.0213600000000049</v>
      </c>
      <c r="CZ69" s="172">
        <f t="shared" si="5"/>
        <v>0</v>
      </c>
      <c r="DA69" s="201">
        <f t="shared" si="27"/>
        <v>76.785249999999991</v>
      </c>
      <c r="DB69" s="201">
        <f t="shared" si="28"/>
        <v>30.721360000000004</v>
      </c>
      <c r="DC69" s="201">
        <f t="shared" si="38"/>
        <v>348.50661000000002</v>
      </c>
      <c r="DD69" s="239">
        <v>348.51624000000004</v>
      </c>
      <c r="DE69" s="201">
        <f t="shared" si="39"/>
        <v>-9.6300000000155705E-3</v>
      </c>
      <c r="DF69" s="172" t="e">
        <f>SUM(DN69:DO69)-SUM(#REF!,BV69)+BU69</f>
        <v>#REF!</v>
      </c>
      <c r="DG69" s="207"/>
      <c r="DH69" s="225">
        <f t="shared" si="40"/>
        <v>0</v>
      </c>
      <c r="DI69" s="225">
        <f t="shared" si="41"/>
        <v>0</v>
      </c>
      <c r="DJ69" s="225">
        <f t="shared" si="42"/>
        <v>12.47044</v>
      </c>
      <c r="DK69" s="225" t="e">
        <f>SUM(BS69,#REF!,BV69)</f>
        <v>#REF!</v>
      </c>
      <c r="DL69" s="145">
        <v>350.1</v>
      </c>
      <c r="DM69" s="145">
        <v>107.76536999999999</v>
      </c>
      <c r="DN69" s="145">
        <v>33.780169999999998</v>
      </c>
      <c r="DO69" s="145">
        <v>13.188000000000001</v>
      </c>
      <c r="DP69" s="145">
        <v>154.73354</v>
      </c>
      <c r="DQ69" s="145">
        <v>195.36645999999999</v>
      </c>
      <c r="DR69" s="21">
        <f>VLOOKUP(C69,[6]Database!$B$143:$AD$521,29,FALSE)</f>
        <v>250</v>
      </c>
      <c r="DS69" s="219">
        <f t="shared" si="43"/>
        <v>-9</v>
      </c>
    </row>
    <row r="70" spans="1:123" s="21" customFormat="1" ht="24" customHeight="1">
      <c r="A70" s="16"/>
      <c r="B70" s="2"/>
      <c r="C70" s="78" t="s">
        <v>1057</v>
      </c>
      <c r="D70" s="143" t="s">
        <v>1155</v>
      </c>
      <c r="E70" s="78"/>
      <c r="F70" s="3">
        <v>2021</v>
      </c>
      <c r="G70" s="4">
        <v>44445</v>
      </c>
      <c r="H70" s="174">
        <v>44483</v>
      </c>
      <c r="I70" s="4"/>
      <c r="J70" s="13">
        <f t="shared" ca="1" si="21"/>
        <v>-819.33599710647832</v>
      </c>
      <c r="K70" s="165">
        <f t="shared" si="44"/>
        <v>45030</v>
      </c>
      <c r="L70" s="165">
        <f t="shared" si="45"/>
        <v>45213</v>
      </c>
      <c r="M70" s="165"/>
      <c r="N70" s="165"/>
      <c r="O70" s="165"/>
      <c r="P70" s="165"/>
      <c r="Q70" s="165"/>
      <c r="R70" s="3" t="s">
        <v>175</v>
      </c>
      <c r="S70" s="11" t="s">
        <v>919</v>
      </c>
      <c r="T70" s="11" t="s">
        <v>906</v>
      </c>
      <c r="U70" s="5" t="s">
        <v>7</v>
      </c>
      <c r="V70" s="251">
        <v>4723426</v>
      </c>
      <c r="W70" s="5" t="s">
        <v>602</v>
      </c>
      <c r="X70" s="5" t="s">
        <v>478</v>
      </c>
      <c r="Y70" s="5" t="s">
        <v>1060</v>
      </c>
      <c r="Z70" s="3" t="s">
        <v>180</v>
      </c>
      <c r="AA70" s="6" t="s">
        <v>461</v>
      </c>
      <c r="AB70" s="141" t="s">
        <v>1363</v>
      </c>
      <c r="AC70" s="165">
        <v>45016</v>
      </c>
      <c r="AD70" s="165">
        <v>45168</v>
      </c>
      <c r="AE70" s="165">
        <f>IFERROR(EOMONTH(L70,-2),"")</f>
        <v>45169</v>
      </c>
      <c r="AF70" s="5"/>
      <c r="AG70" s="5"/>
      <c r="AH70" s="279"/>
      <c r="AI70" s="76"/>
      <c r="AJ70" s="76" t="s">
        <v>1196</v>
      </c>
      <c r="AK70" s="221" t="e">
        <f>SUM(#REF!,BT70,BV70)</f>
        <v>#REF!</v>
      </c>
      <c r="AL70" s="48" t="s">
        <v>1089</v>
      </c>
      <c r="AM70" s="48" t="s">
        <v>1090</v>
      </c>
      <c r="AN70" s="48" t="s">
        <v>1091</v>
      </c>
      <c r="AO70" s="48" t="s">
        <v>592</v>
      </c>
      <c r="AP70" s="48" t="s">
        <v>592</v>
      </c>
      <c r="AQ70" s="48" t="s">
        <v>592</v>
      </c>
      <c r="AR70" s="51"/>
      <c r="AS70" s="51"/>
      <c r="AT70" s="51"/>
      <c r="AU70" s="51"/>
      <c r="AV70" s="36">
        <v>289.73243000000002</v>
      </c>
      <c r="AW70" s="36"/>
      <c r="AX70" s="90">
        <f t="shared" si="24"/>
        <v>289.73243000000002</v>
      </c>
      <c r="AY70" s="157">
        <f t="shared" ref="AY70:AY133" si="46">BA70+BC70+BE70+BG70+BI70+BK70+BM70+BO70+BQ70+BS70+BU70+BX70</f>
        <v>54.270979999999994</v>
      </c>
      <c r="AZ70" s="182"/>
      <c r="BA70" s="158"/>
      <c r="BB70" s="182"/>
      <c r="BC70" s="158"/>
      <c r="BD70" s="182"/>
      <c r="BE70" s="158"/>
      <c r="BF70" s="182"/>
      <c r="BG70" s="158"/>
      <c r="BH70" s="182"/>
      <c r="BI70" s="158"/>
      <c r="BJ70" s="182"/>
      <c r="BK70" s="158"/>
      <c r="BL70" s="182"/>
      <c r="BM70" s="158"/>
      <c r="BN70" s="182"/>
      <c r="BO70" s="158"/>
      <c r="BP70" s="182"/>
      <c r="BQ70" s="158"/>
      <c r="BR70" s="182"/>
      <c r="BS70" s="158"/>
      <c r="BT70" s="182"/>
      <c r="BU70" s="158">
        <v>1.4383699999999999</v>
      </c>
      <c r="BV70" s="182">
        <f>45-15-1.6+0.2</f>
        <v>28.599999999999998</v>
      </c>
      <c r="BW70" s="234">
        <v>52.832609999999995</v>
      </c>
      <c r="BX70" s="218">
        <v>52.832609999999995</v>
      </c>
      <c r="BY70" s="81">
        <f t="shared" ref="BY70:BY133" si="47">SUM(BZ70:CK70)</f>
        <v>234.2</v>
      </c>
      <c r="BZ70" s="241">
        <f>1+0.2</f>
        <v>1.2</v>
      </c>
      <c r="CA70" s="241">
        <v>1</v>
      </c>
      <c r="CB70" s="241">
        <f>20-15</f>
        <v>5</v>
      </c>
      <c r="CC70" s="241">
        <f>184-10</f>
        <v>174</v>
      </c>
      <c r="CD70" s="241">
        <v>20</v>
      </c>
      <c r="CE70" s="241">
        <v>15</v>
      </c>
      <c r="CF70" s="241">
        <v>18</v>
      </c>
      <c r="CG70" s="241"/>
      <c r="CH70" s="241"/>
      <c r="CI70" s="241"/>
      <c r="CJ70" s="241"/>
      <c r="CK70" s="241"/>
      <c r="CL70" s="195">
        <f t="shared" si="37"/>
        <v>0</v>
      </c>
      <c r="CM70" s="196"/>
      <c r="CN70" s="196"/>
      <c r="CO70" s="196"/>
      <c r="CP70" s="196"/>
      <c r="CQ70" s="196"/>
      <c r="CR70" s="196"/>
      <c r="CS70" s="196"/>
      <c r="CT70" s="196"/>
      <c r="CU70" s="196"/>
      <c r="CV70" s="196"/>
      <c r="CW70" s="196"/>
      <c r="CX70" s="196"/>
      <c r="CY70" s="200">
        <f t="shared" si="26"/>
        <v>-24.232609999999998</v>
      </c>
      <c r="CZ70" s="172">
        <f t="shared" ref="CZ70:CZ133" si="48">BW70-BX70</f>
        <v>0</v>
      </c>
      <c r="DA70" s="201">
        <f t="shared" si="27"/>
        <v>1.4383699999999999</v>
      </c>
      <c r="DB70" s="201">
        <f t="shared" si="28"/>
        <v>52.832609999999995</v>
      </c>
      <c r="DC70" s="201">
        <f t="shared" si="38"/>
        <v>288.47098</v>
      </c>
      <c r="DD70" s="239">
        <v>289</v>
      </c>
      <c r="DE70" s="201">
        <f t="shared" si="39"/>
        <v>-0.52902000000000271</v>
      </c>
      <c r="DF70" s="172" t="e">
        <f>SUM(DN70:DO70)-SUM(#REF!,BV70)+BU70</f>
        <v>#REF!</v>
      </c>
      <c r="DG70" s="207" t="s">
        <v>1175</v>
      </c>
      <c r="DH70" s="225">
        <f t="shared" si="40"/>
        <v>0</v>
      </c>
      <c r="DI70" s="225">
        <f t="shared" si="41"/>
        <v>0</v>
      </c>
      <c r="DJ70" s="225">
        <f t="shared" si="42"/>
        <v>0</v>
      </c>
      <c r="DK70" s="225" t="e">
        <f>SUM(BS70,#REF!,BV70)</f>
        <v>#REF!</v>
      </c>
      <c r="DL70" s="145">
        <v>289.73242999999997</v>
      </c>
      <c r="DM70" s="145">
        <v>54.43186</v>
      </c>
      <c r="DN70" s="145">
        <v>161.15389000000002</v>
      </c>
      <c r="DO70" s="145">
        <v>54.564</v>
      </c>
      <c r="DP70" s="145">
        <v>270.14974999999998</v>
      </c>
      <c r="DQ70" s="145">
        <v>19.58268</v>
      </c>
      <c r="DR70" s="21">
        <f>VLOOKUP(C70,[6]Database!$B$143:$AD$521,29,FALSE)</f>
        <v>244</v>
      </c>
      <c r="DS70" s="219">
        <f t="shared" si="43"/>
        <v>-9.8000000000000114</v>
      </c>
    </row>
    <row r="71" spans="1:123" s="21" customFormat="1" ht="24" customHeight="1">
      <c r="A71" s="16"/>
      <c r="B71" s="2">
        <v>168</v>
      </c>
      <c r="C71" s="78" t="s">
        <v>540</v>
      </c>
      <c r="D71" s="78"/>
      <c r="E71" s="78" t="s">
        <v>839</v>
      </c>
      <c r="F71" s="3">
        <v>2020</v>
      </c>
      <c r="G71" s="4">
        <v>44013</v>
      </c>
      <c r="H71" s="174">
        <v>44076</v>
      </c>
      <c r="I71" s="4"/>
      <c r="J71" s="13">
        <f t="shared" ca="1" si="21"/>
        <v>-1227.3359971064783</v>
      </c>
      <c r="K71" s="165">
        <f t="shared" si="44"/>
        <v>44623</v>
      </c>
      <c r="L71" s="165">
        <f t="shared" si="45"/>
        <v>44806</v>
      </c>
      <c r="M71" s="165"/>
      <c r="N71" s="165" t="s">
        <v>597</v>
      </c>
      <c r="O71" s="165"/>
      <c r="P71" s="206" t="s">
        <v>1266</v>
      </c>
      <c r="Q71" s="165"/>
      <c r="R71" s="3" t="s">
        <v>175</v>
      </c>
      <c r="S71" s="11" t="s">
        <v>4</v>
      </c>
      <c r="T71" s="11" t="s">
        <v>910</v>
      </c>
      <c r="U71" s="5" t="s">
        <v>8</v>
      </c>
      <c r="V71" s="251">
        <v>3112704</v>
      </c>
      <c r="W71" s="5" t="s">
        <v>602</v>
      </c>
      <c r="X71" s="5" t="s">
        <v>475</v>
      </c>
      <c r="Y71" s="5" t="s">
        <v>541</v>
      </c>
      <c r="Z71" s="3" t="s">
        <v>180</v>
      </c>
      <c r="AA71" s="6" t="s">
        <v>461</v>
      </c>
      <c r="AB71" s="141" t="s">
        <v>1381</v>
      </c>
      <c r="AC71" s="165">
        <v>44592</v>
      </c>
      <c r="AD71" s="165">
        <v>44500</v>
      </c>
      <c r="AE71" s="191">
        <f>IFERROR(EOMONTH(L71,-2),"")</f>
        <v>44773</v>
      </c>
      <c r="AF71" s="5" t="s">
        <v>1037</v>
      </c>
      <c r="AG71" s="5" t="s">
        <v>1042</v>
      </c>
      <c r="AH71" s="279"/>
      <c r="AI71" s="76"/>
      <c r="AJ71" s="76"/>
      <c r="AK71" s="221" t="e">
        <f>SUM(#REF!,BT71,BV71)</f>
        <v>#REF!</v>
      </c>
      <c r="AL71" s="154" t="s">
        <v>1079</v>
      </c>
      <c r="AM71" s="154" t="s">
        <v>1079</v>
      </c>
      <c r="AN71" s="154" t="s">
        <v>1079</v>
      </c>
      <c r="AO71" s="154" t="s">
        <v>592</v>
      </c>
      <c r="AP71" s="154" t="s">
        <v>592</v>
      </c>
      <c r="AQ71" s="154" t="s">
        <v>592</v>
      </c>
      <c r="AR71" s="51"/>
      <c r="AS71" s="51">
        <v>0</v>
      </c>
      <c r="AT71" s="51">
        <v>240.96939</v>
      </c>
      <c r="AU71" s="51">
        <v>45.178789999999999</v>
      </c>
      <c r="AV71" s="36">
        <v>309.29599999999999</v>
      </c>
      <c r="AW71" s="36">
        <v>40</v>
      </c>
      <c r="AX71" s="90">
        <f t="shared" si="24"/>
        <v>349.29599999999999</v>
      </c>
      <c r="AY71" s="157">
        <f t="shared" si="46"/>
        <v>46.504460000000002</v>
      </c>
      <c r="AZ71" s="182">
        <v>0</v>
      </c>
      <c r="BA71" s="158">
        <v>5.593490000000001</v>
      </c>
      <c r="BB71" s="182">
        <v>0</v>
      </c>
      <c r="BC71" s="158">
        <v>1.4873299999999998</v>
      </c>
      <c r="BD71" s="182">
        <v>0</v>
      </c>
      <c r="BE71" s="158">
        <v>1.91198</v>
      </c>
      <c r="BF71" s="182">
        <v>6</v>
      </c>
      <c r="BG71" s="158">
        <v>11.064690000000001</v>
      </c>
      <c r="BH71" s="182">
        <v>9</v>
      </c>
      <c r="BI71" s="158">
        <v>7.5035300000000005</v>
      </c>
      <c r="BJ71" s="182">
        <v>5</v>
      </c>
      <c r="BK71" s="158">
        <v>6.98909</v>
      </c>
      <c r="BL71" s="182">
        <v>5</v>
      </c>
      <c r="BM71" s="158"/>
      <c r="BN71" s="182">
        <v>5</v>
      </c>
      <c r="BO71" s="158"/>
      <c r="BP71" s="182">
        <v>5</v>
      </c>
      <c r="BQ71" s="158">
        <v>3.8634400000000002</v>
      </c>
      <c r="BR71" s="182">
        <f>3-0.6</f>
        <v>2.4</v>
      </c>
      <c r="BS71" s="158">
        <v>1.0342499999999999</v>
      </c>
      <c r="BT71" s="182">
        <f>2.4-1.1</f>
        <v>1.2999999999999998</v>
      </c>
      <c r="BU71" s="158">
        <v>4.68248</v>
      </c>
      <c r="BV71" s="182"/>
      <c r="BW71" s="234">
        <v>2.37418</v>
      </c>
      <c r="BX71" s="237">
        <v>2.37418</v>
      </c>
      <c r="BY71" s="81">
        <f t="shared" si="47"/>
        <v>0</v>
      </c>
      <c r="BZ71" s="241"/>
      <c r="CA71" s="241"/>
      <c r="CB71" s="241"/>
      <c r="CC71" s="241"/>
      <c r="CD71" s="241"/>
      <c r="CE71" s="241"/>
      <c r="CF71" s="241"/>
      <c r="CG71" s="241"/>
      <c r="CH71" s="241"/>
      <c r="CI71" s="241"/>
      <c r="CJ71" s="241"/>
      <c r="CK71" s="241"/>
      <c r="CL71" s="195">
        <f t="shared" si="37"/>
        <v>0</v>
      </c>
      <c r="CM71" s="196"/>
      <c r="CN71" s="196"/>
      <c r="CO71" s="196"/>
      <c r="CP71" s="196"/>
      <c r="CQ71" s="196"/>
      <c r="CR71" s="196"/>
      <c r="CS71" s="196"/>
      <c r="CT71" s="196"/>
      <c r="CU71" s="196"/>
      <c r="CV71" s="196"/>
      <c r="CW71" s="196"/>
      <c r="CX71" s="196"/>
      <c r="CY71" s="200">
        <f t="shared" si="26"/>
        <v>-2.37418</v>
      </c>
      <c r="CZ71" s="172">
        <f t="shared" si="48"/>
        <v>0</v>
      </c>
      <c r="DA71" s="201">
        <f t="shared" si="27"/>
        <v>44.130279999999999</v>
      </c>
      <c r="DB71" s="201">
        <f t="shared" si="28"/>
        <v>2.37418</v>
      </c>
      <c r="DC71" s="201">
        <f t="shared" si="38"/>
        <v>46.504460000000002</v>
      </c>
      <c r="DD71" s="239">
        <v>40.747799999999998</v>
      </c>
      <c r="DE71" s="201">
        <f t="shared" si="39"/>
        <v>5.7566600000000037</v>
      </c>
      <c r="DF71" s="172" t="e">
        <f>SUM(DN71:DO71)-SUM(#REF!,BV71)+BU71</f>
        <v>#REF!</v>
      </c>
      <c r="DG71" s="207"/>
      <c r="DH71" s="225">
        <f t="shared" si="40"/>
        <v>8.9928000000000008</v>
      </c>
      <c r="DI71" s="225">
        <f t="shared" si="41"/>
        <v>25.557310000000001</v>
      </c>
      <c r="DJ71" s="225">
        <f t="shared" si="42"/>
        <v>3.8634400000000002</v>
      </c>
      <c r="DK71" s="225" t="e">
        <f>SUM(BS71,#REF!,BV71)</f>
        <v>#REF!</v>
      </c>
      <c r="DL71" s="145">
        <v>309.29599999999999</v>
      </c>
      <c r="DM71" s="145">
        <v>287.54101000000003</v>
      </c>
      <c r="DN71" s="145">
        <v>0.82891999999999999</v>
      </c>
      <c r="DO71" s="145">
        <v>0</v>
      </c>
      <c r="DP71" s="145">
        <v>288.36993000000001</v>
      </c>
      <c r="DQ71" s="145">
        <v>20.926069999999999</v>
      </c>
      <c r="DR71" s="21">
        <f>VLOOKUP(C71,[6]Database!$B$143:$AD$521,29,FALSE)</f>
        <v>0</v>
      </c>
      <c r="DS71" s="219">
        <f t="shared" si="43"/>
        <v>0</v>
      </c>
    </row>
    <row r="72" spans="1:123" s="21" customFormat="1" ht="24" customHeight="1">
      <c r="A72" s="16"/>
      <c r="B72" s="2">
        <v>220</v>
      </c>
      <c r="C72" s="79" t="s">
        <v>930</v>
      </c>
      <c r="D72" s="78">
        <v>2270</v>
      </c>
      <c r="E72" s="78"/>
      <c r="F72" s="3">
        <v>2021</v>
      </c>
      <c r="G72" s="4">
        <v>44347</v>
      </c>
      <c r="H72" s="4">
        <v>44369</v>
      </c>
      <c r="I72" s="4"/>
      <c r="J72" s="13">
        <f t="shared" ca="1" si="21"/>
        <v>-932.33599710647832</v>
      </c>
      <c r="K72" s="165">
        <f t="shared" si="44"/>
        <v>44916</v>
      </c>
      <c r="L72" s="165">
        <f t="shared" si="45"/>
        <v>45099</v>
      </c>
      <c r="M72" s="165"/>
      <c r="N72" s="165"/>
      <c r="O72" s="165"/>
      <c r="P72" s="165"/>
      <c r="Q72" s="165"/>
      <c r="R72" s="3" t="s">
        <v>175</v>
      </c>
      <c r="S72" s="11" t="s">
        <v>223</v>
      </c>
      <c r="T72" s="45" t="s">
        <v>908</v>
      </c>
      <c r="U72" s="5" t="s">
        <v>7</v>
      </c>
      <c r="V72" s="251">
        <v>4249298</v>
      </c>
      <c r="W72" s="5" t="s">
        <v>602</v>
      </c>
      <c r="X72" s="5" t="s">
        <v>901</v>
      </c>
      <c r="Y72" s="5" t="s">
        <v>992</v>
      </c>
      <c r="Z72" s="78" t="s">
        <v>185</v>
      </c>
      <c r="AA72" s="6" t="s">
        <v>461</v>
      </c>
      <c r="AB72" s="141" t="s">
        <v>1172</v>
      </c>
      <c r="AC72" s="165">
        <v>44895</v>
      </c>
      <c r="AD72" s="165">
        <v>44681</v>
      </c>
      <c r="AE72" s="165">
        <f>IFERROR(EOMONTH(L72,-2),"")</f>
        <v>45046</v>
      </c>
      <c r="AF72" s="5"/>
      <c r="AG72" s="5"/>
      <c r="AH72" s="279"/>
      <c r="AI72" s="76"/>
      <c r="AJ72" s="76"/>
      <c r="AK72" s="221" t="e">
        <f>SUM(#REF!,BT72,BV72)</f>
        <v>#REF!</v>
      </c>
      <c r="AL72" s="48" t="s">
        <v>1079</v>
      </c>
      <c r="AM72" s="48" t="s">
        <v>1101</v>
      </c>
      <c r="AN72" s="48" t="s">
        <v>1106</v>
      </c>
      <c r="AO72" s="48" t="s">
        <v>592</v>
      </c>
      <c r="AP72" s="48" t="s">
        <v>592</v>
      </c>
      <c r="AQ72" s="48" t="s">
        <v>592</v>
      </c>
      <c r="AR72" s="51"/>
      <c r="AS72" s="51"/>
      <c r="AT72" s="51"/>
      <c r="AU72" s="51">
        <v>0</v>
      </c>
      <c r="AV72" s="36">
        <v>103.2</v>
      </c>
      <c r="AW72" s="36">
        <v>10</v>
      </c>
      <c r="AX72" s="90">
        <f t="shared" si="24"/>
        <v>113.2</v>
      </c>
      <c r="AY72" s="157">
        <f t="shared" si="46"/>
        <v>55.596429999999998</v>
      </c>
      <c r="AZ72" s="182"/>
      <c r="BA72" s="158"/>
      <c r="BB72" s="182"/>
      <c r="BC72" s="158"/>
      <c r="BD72" s="182"/>
      <c r="BE72" s="158"/>
      <c r="BF72" s="182"/>
      <c r="BG72" s="158"/>
      <c r="BH72" s="182">
        <v>0</v>
      </c>
      <c r="BI72" s="158"/>
      <c r="BJ72" s="182">
        <v>0</v>
      </c>
      <c r="BK72" s="158"/>
      <c r="BL72" s="182"/>
      <c r="BM72" s="158">
        <v>1.7216300000000002</v>
      </c>
      <c r="BN72" s="182">
        <v>1.5</v>
      </c>
      <c r="BO72" s="158">
        <v>13.01961</v>
      </c>
      <c r="BP72" s="182">
        <v>4.3</v>
      </c>
      <c r="BQ72" s="158">
        <v>5.3675599999999992</v>
      </c>
      <c r="BR72" s="182">
        <f>13.2-9.8-1.2</f>
        <v>2.1999999999999984</v>
      </c>
      <c r="BS72" s="158">
        <v>5.8555799999999998</v>
      </c>
      <c r="BT72" s="182"/>
      <c r="BU72" s="158">
        <v>17.464659999999999</v>
      </c>
      <c r="BV72" s="182">
        <f>7+0.9</f>
        <v>7.9</v>
      </c>
      <c r="BW72" s="234">
        <v>12.167390000000001</v>
      </c>
      <c r="BX72" s="237">
        <v>12.167390000000001</v>
      </c>
      <c r="BY72" s="81">
        <f t="shared" si="47"/>
        <v>49.306519999999999</v>
      </c>
      <c r="BZ72" s="241">
        <v>1.3065200000000008</v>
      </c>
      <c r="CA72" s="241">
        <f>13-4.8</f>
        <v>8.1999999999999993</v>
      </c>
      <c r="CB72" s="241">
        <f>20-0.2</f>
        <v>19.8</v>
      </c>
      <c r="CC72" s="241">
        <v>20</v>
      </c>
      <c r="CD72" s="241"/>
      <c r="CE72" s="241"/>
      <c r="CF72" s="241"/>
      <c r="CG72" s="241"/>
      <c r="CH72" s="241"/>
      <c r="CI72" s="241"/>
      <c r="CJ72" s="241"/>
      <c r="CK72" s="241"/>
      <c r="CL72" s="195">
        <f t="shared" si="37"/>
        <v>0</v>
      </c>
      <c r="CM72" s="196"/>
      <c r="CN72" s="196"/>
      <c r="CO72" s="196"/>
      <c r="CP72" s="196"/>
      <c r="CQ72" s="196"/>
      <c r="CR72" s="196"/>
      <c r="CS72" s="196"/>
      <c r="CT72" s="196"/>
      <c r="CU72" s="196"/>
      <c r="CV72" s="196"/>
      <c r="CW72" s="196"/>
      <c r="CX72" s="196"/>
      <c r="CY72" s="200">
        <f t="shared" si="26"/>
        <v>-4.2673900000000007</v>
      </c>
      <c r="CZ72" s="172">
        <f t="shared" si="48"/>
        <v>0</v>
      </c>
      <c r="DA72" s="201">
        <f t="shared" si="27"/>
        <v>43.429040000000001</v>
      </c>
      <c r="DB72" s="201">
        <f t="shared" si="28"/>
        <v>12.167390000000001</v>
      </c>
      <c r="DC72" s="201">
        <f t="shared" si="38"/>
        <v>104.90295</v>
      </c>
      <c r="DD72" s="239">
        <v>105.76438</v>
      </c>
      <c r="DE72" s="201">
        <f t="shared" si="39"/>
        <v>-0.86142999999999859</v>
      </c>
      <c r="DF72" s="172" t="e">
        <f>SUM(DN72:DO72)-SUM(#REF!,BV72)+BU72</f>
        <v>#REF!</v>
      </c>
      <c r="DG72" s="207"/>
      <c r="DH72" s="225">
        <f t="shared" si="40"/>
        <v>0</v>
      </c>
      <c r="DI72" s="225">
        <f t="shared" si="41"/>
        <v>0</v>
      </c>
      <c r="DJ72" s="225">
        <f t="shared" si="42"/>
        <v>20.108800000000002</v>
      </c>
      <c r="DK72" s="225" t="e">
        <f>SUM(BS72,#REF!,BV72)</f>
        <v>#REF!</v>
      </c>
      <c r="DL72" s="145">
        <v>103.2</v>
      </c>
      <c r="DM72" s="145">
        <v>55.628740000000001</v>
      </c>
      <c r="DN72" s="145">
        <v>22.261009999999999</v>
      </c>
      <c r="DO72" s="145">
        <v>0</v>
      </c>
      <c r="DP72" s="145">
        <v>77.889750000000006</v>
      </c>
      <c r="DQ72" s="145">
        <v>25.31025</v>
      </c>
      <c r="DR72" s="21">
        <f>VLOOKUP(C72,[6]Database!$B$143:$AD$521,29,FALSE)</f>
        <v>80</v>
      </c>
      <c r="DS72" s="219">
        <f t="shared" si="43"/>
        <v>-30.693480000000001</v>
      </c>
    </row>
    <row r="73" spans="1:123" s="21" customFormat="1" ht="24" customHeight="1">
      <c r="A73" s="16"/>
      <c r="B73" s="2">
        <v>161</v>
      </c>
      <c r="C73" s="78" t="s">
        <v>332</v>
      </c>
      <c r="D73" s="78"/>
      <c r="E73" s="78" t="s">
        <v>816</v>
      </c>
      <c r="F73" s="3">
        <v>2020</v>
      </c>
      <c r="G73" s="4">
        <v>43868</v>
      </c>
      <c r="H73" s="174">
        <v>44091</v>
      </c>
      <c r="I73" s="4"/>
      <c r="J73" s="13">
        <f t="shared" ca="1" si="21"/>
        <v>-1212.3359971064783</v>
      </c>
      <c r="K73" s="165">
        <f t="shared" si="44"/>
        <v>44638</v>
      </c>
      <c r="L73" s="165">
        <f t="shared" si="45"/>
        <v>44821</v>
      </c>
      <c r="M73" s="165"/>
      <c r="N73" s="165" t="s">
        <v>597</v>
      </c>
      <c r="O73" s="165"/>
      <c r="P73" s="206" t="s">
        <v>1266</v>
      </c>
      <c r="Q73" s="165"/>
      <c r="R73" s="3" t="s">
        <v>175</v>
      </c>
      <c r="S73" s="11" t="s">
        <v>4</v>
      </c>
      <c r="T73" s="45" t="s">
        <v>904</v>
      </c>
      <c r="U73" s="5" t="s">
        <v>8</v>
      </c>
      <c r="V73" s="251">
        <v>2780598</v>
      </c>
      <c r="W73" s="5" t="s">
        <v>602</v>
      </c>
      <c r="X73" s="5" t="s">
        <v>475</v>
      </c>
      <c r="Y73" s="5" t="s">
        <v>331</v>
      </c>
      <c r="Z73" s="3" t="s">
        <v>180</v>
      </c>
      <c r="AA73" s="6" t="s">
        <v>461</v>
      </c>
      <c r="AB73" s="149" t="s">
        <v>1226</v>
      </c>
      <c r="AC73" s="165">
        <v>44620</v>
      </c>
      <c r="AD73" s="165">
        <v>44500</v>
      </c>
      <c r="AE73" s="165">
        <f>IFERROR(EOMONTH(L73,-2),"")</f>
        <v>44773</v>
      </c>
      <c r="AF73" s="5" t="s">
        <v>1037</v>
      </c>
      <c r="AG73" s="5" t="s">
        <v>1153</v>
      </c>
      <c r="AH73" s="279"/>
      <c r="AI73" s="76" t="s">
        <v>938</v>
      </c>
      <c r="AJ73" s="76"/>
      <c r="AK73" s="221" t="e">
        <f>SUM(#REF!,BT73,BV73)</f>
        <v>#REF!</v>
      </c>
      <c r="AL73" s="154" t="s">
        <v>1079</v>
      </c>
      <c r="AM73" s="154" t="s">
        <v>1079</v>
      </c>
      <c r="AN73" s="154" t="s">
        <v>1079</v>
      </c>
      <c r="AO73" s="48" t="s">
        <v>592</v>
      </c>
      <c r="AP73" s="48" t="s">
        <v>592</v>
      </c>
      <c r="AQ73" s="48" t="s">
        <v>592</v>
      </c>
      <c r="AR73" s="51">
        <v>0</v>
      </c>
      <c r="AS73" s="51">
        <v>0</v>
      </c>
      <c r="AT73" s="51">
        <v>0</v>
      </c>
      <c r="AU73" s="51">
        <v>1340</v>
      </c>
      <c r="AV73" s="36">
        <v>1647.355</v>
      </c>
      <c r="AW73" s="36">
        <v>42</v>
      </c>
      <c r="AX73" s="90">
        <f t="shared" si="24"/>
        <v>1689.355</v>
      </c>
      <c r="AY73" s="157">
        <f t="shared" si="46"/>
        <v>1325.7426500000001</v>
      </c>
      <c r="AZ73" s="182">
        <v>0</v>
      </c>
      <c r="BA73" s="158">
        <v>0</v>
      </c>
      <c r="BB73" s="182">
        <v>0</v>
      </c>
      <c r="BC73" s="158"/>
      <c r="BD73" s="182">
        <v>0</v>
      </c>
      <c r="BE73" s="158">
        <v>0</v>
      </c>
      <c r="BF73" s="182">
        <v>0</v>
      </c>
      <c r="BG73" s="158"/>
      <c r="BH73" s="182">
        <v>0</v>
      </c>
      <c r="BI73" s="158"/>
      <c r="BJ73" s="182">
        <v>0</v>
      </c>
      <c r="BK73" s="158"/>
      <c r="BL73" s="182">
        <v>900</v>
      </c>
      <c r="BM73" s="158">
        <v>904.99981000000014</v>
      </c>
      <c r="BN73" s="182">
        <v>20</v>
      </c>
      <c r="BO73" s="158">
        <v>33.727879999999999</v>
      </c>
      <c r="BP73" s="182">
        <v>80.22</v>
      </c>
      <c r="BQ73" s="158">
        <v>101.03137000000002</v>
      </c>
      <c r="BR73" s="182">
        <v>113.2</v>
      </c>
      <c r="BS73" s="158">
        <v>126.47781999999999</v>
      </c>
      <c r="BT73" s="182">
        <f>50-13.3</f>
        <v>36.700000000000003</v>
      </c>
      <c r="BU73" s="158">
        <v>98.74248</v>
      </c>
      <c r="BV73" s="182"/>
      <c r="BW73" s="234">
        <v>60.763289999999984</v>
      </c>
      <c r="BX73" s="237">
        <v>60.763289999999984</v>
      </c>
      <c r="BY73" s="81">
        <f t="shared" si="47"/>
        <v>149.19999999999999</v>
      </c>
      <c r="BZ73" s="241"/>
      <c r="CA73" s="241"/>
      <c r="CB73" s="241"/>
      <c r="CC73" s="241"/>
      <c r="CD73" s="241">
        <f>130-10.8</f>
        <v>119.2</v>
      </c>
      <c r="CE73" s="241">
        <v>30</v>
      </c>
      <c r="CF73" s="241"/>
      <c r="CG73" s="241"/>
      <c r="CH73" s="241"/>
      <c r="CI73" s="241"/>
      <c r="CJ73" s="241"/>
      <c r="CK73" s="241"/>
      <c r="CL73" s="195">
        <f t="shared" si="37"/>
        <v>0</v>
      </c>
      <c r="CM73" s="196"/>
      <c r="CN73" s="196"/>
      <c r="CO73" s="196"/>
      <c r="CP73" s="196"/>
      <c r="CQ73" s="196"/>
      <c r="CR73" s="196"/>
      <c r="CS73" s="196"/>
      <c r="CT73" s="196"/>
      <c r="CU73" s="196"/>
      <c r="CV73" s="196"/>
      <c r="CW73" s="196"/>
      <c r="CX73" s="196"/>
      <c r="CY73" s="200">
        <f t="shared" si="26"/>
        <v>-60.763289999999984</v>
      </c>
      <c r="CZ73" s="172">
        <f t="shared" si="48"/>
        <v>0</v>
      </c>
      <c r="DA73" s="201">
        <f t="shared" si="27"/>
        <v>1264.9793600000003</v>
      </c>
      <c r="DB73" s="201">
        <f t="shared" si="28"/>
        <v>60.763289999999984</v>
      </c>
      <c r="DC73" s="201">
        <f t="shared" si="38"/>
        <v>1474.9426500000002</v>
      </c>
      <c r="DD73" s="239">
        <v>1488.9368800000002</v>
      </c>
      <c r="DE73" s="201">
        <f t="shared" si="39"/>
        <v>-13.994230000000016</v>
      </c>
      <c r="DF73" s="172" t="e">
        <f>SUM(DN73:DO73)-SUM(#REF!,BV73)+BU73</f>
        <v>#REF!</v>
      </c>
      <c r="DG73" s="207"/>
      <c r="DH73" s="225">
        <f t="shared" si="40"/>
        <v>0</v>
      </c>
      <c r="DI73" s="225">
        <f t="shared" si="41"/>
        <v>0</v>
      </c>
      <c r="DJ73" s="225">
        <f t="shared" si="42"/>
        <v>1039.7590600000001</v>
      </c>
      <c r="DK73" s="225" t="e">
        <f>SUM(BS73,#REF!,BV73)</f>
        <v>#REF!</v>
      </c>
      <c r="DL73" s="145">
        <v>1647.355</v>
      </c>
      <c r="DM73" s="145">
        <v>1325.75062</v>
      </c>
      <c r="DN73" s="145">
        <v>187.92833999999999</v>
      </c>
      <c r="DO73" s="145">
        <v>0</v>
      </c>
      <c r="DP73" s="145">
        <v>1513.67896</v>
      </c>
      <c r="DQ73" s="145">
        <v>133.67604</v>
      </c>
      <c r="DR73" s="21">
        <f>VLOOKUP(C73,[6]Database!$B$143:$AD$521,29,FALSE)</f>
        <v>286</v>
      </c>
      <c r="DS73" s="219">
        <f t="shared" si="43"/>
        <v>-136.80000000000001</v>
      </c>
    </row>
    <row r="74" spans="1:123" s="21" customFormat="1" ht="24" customHeight="1">
      <c r="A74" s="16"/>
      <c r="B74" s="2">
        <v>30</v>
      </c>
      <c r="C74" s="78" t="s">
        <v>11</v>
      </c>
      <c r="D74" s="78"/>
      <c r="E74" s="78"/>
      <c r="F74" s="3">
        <v>2016</v>
      </c>
      <c r="G74" s="4">
        <v>42473</v>
      </c>
      <c r="H74" s="4">
        <v>42502</v>
      </c>
      <c r="I74" s="4">
        <v>43671</v>
      </c>
      <c r="J74" s="13">
        <f t="shared" ca="1" si="21"/>
        <v>1169</v>
      </c>
      <c r="K74" s="165">
        <f t="shared" si="44"/>
        <v>43049</v>
      </c>
      <c r="L74" s="165">
        <f t="shared" si="45"/>
        <v>43232</v>
      </c>
      <c r="M74" s="165"/>
      <c r="N74" s="165"/>
      <c r="O74" s="165"/>
      <c r="P74" s="165"/>
      <c r="Q74" s="165"/>
      <c r="R74" s="3" t="s">
        <v>175</v>
      </c>
      <c r="S74" s="11" t="s">
        <v>222</v>
      </c>
      <c r="T74" s="11"/>
      <c r="U74" s="5" t="s">
        <v>8</v>
      </c>
      <c r="V74" s="251"/>
      <c r="W74" s="5" t="s">
        <v>602</v>
      </c>
      <c r="X74" s="5" t="s">
        <v>476</v>
      </c>
      <c r="Y74" s="5" t="s">
        <v>12</v>
      </c>
      <c r="Z74" s="3" t="s">
        <v>184</v>
      </c>
      <c r="AA74" s="6" t="s">
        <v>217</v>
      </c>
      <c r="AB74" s="141" t="s">
        <v>196</v>
      </c>
      <c r="AC74" s="165" t="s">
        <v>5</v>
      </c>
      <c r="AD74" s="165" t="s">
        <v>5</v>
      </c>
      <c r="AE74" s="165" t="s">
        <v>5</v>
      </c>
      <c r="AF74" s="5"/>
      <c r="AG74" s="5"/>
      <c r="AH74" s="210"/>
      <c r="AI74" s="76"/>
      <c r="AJ74" s="76"/>
      <c r="AK74" s="221" t="e">
        <f>SUM(#REF!,BT74,BV74)</f>
        <v>#REF!</v>
      </c>
      <c r="AL74" s="48"/>
      <c r="AM74" s="48"/>
      <c r="AN74" s="48"/>
      <c r="AO74" s="48"/>
      <c r="AP74" s="48"/>
      <c r="AQ74" s="48"/>
      <c r="AR74" s="51">
        <v>40.57</v>
      </c>
      <c r="AS74" s="51"/>
      <c r="AT74" s="51">
        <v>0</v>
      </c>
      <c r="AU74" s="51"/>
      <c r="AV74" s="36">
        <v>13168.052</v>
      </c>
      <c r="AW74" s="36">
        <v>28.95</v>
      </c>
      <c r="AX74" s="90">
        <f t="shared" si="24"/>
        <v>13197.002</v>
      </c>
      <c r="AY74" s="157">
        <f t="shared" si="46"/>
        <v>0</v>
      </c>
      <c r="AZ74" s="182">
        <v>0</v>
      </c>
      <c r="BA74" s="158"/>
      <c r="BB74" s="182">
        <v>0</v>
      </c>
      <c r="BC74" s="158"/>
      <c r="BD74" s="182">
        <v>0</v>
      </c>
      <c r="BE74" s="158">
        <v>0</v>
      </c>
      <c r="BF74" s="182">
        <v>0</v>
      </c>
      <c r="BG74" s="158"/>
      <c r="BH74" s="182">
        <v>0</v>
      </c>
      <c r="BI74" s="158"/>
      <c r="BJ74" s="182">
        <v>0</v>
      </c>
      <c r="BK74" s="158"/>
      <c r="BL74" s="182"/>
      <c r="BM74" s="158"/>
      <c r="BN74" s="182"/>
      <c r="BO74" s="158"/>
      <c r="BP74" s="182"/>
      <c r="BQ74" s="158"/>
      <c r="BR74" s="182"/>
      <c r="BS74" s="158"/>
      <c r="BT74" s="182"/>
      <c r="BU74" s="158"/>
      <c r="BV74" s="182"/>
      <c r="BW74" s="234"/>
      <c r="BX74" s="237"/>
      <c r="BY74" s="81">
        <f t="shared" si="47"/>
        <v>0</v>
      </c>
      <c r="BZ74" s="241"/>
      <c r="CA74" s="241"/>
      <c r="CB74" s="241"/>
      <c r="CC74" s="241"/>
      <c r="CD74" s="241"/>
      <c r="CE74" s="241"/>
      <c r="CF74" s="241"/>
      <c r="CG74" s="241"/>
      <c r="CH74" s="241"/>
      <c r="CI74" s="241"/>
      <c r="CJ74" s="241"/>
      <c r="CK74" s="241"/>
      <c r="CL74" s="195">
        <f t="shared" si="37"/>
        <v>0</v>
      </c>
      <c r="CM74" s="196"/>
      <c r="CN74" s="196"/>
      <c r="CO74" s="196"/>
      <c r="CP74" s="196"/>
      <c r="CQ74" s="196"/>
      <c r="CR74" s="196"/>
      <c r="CS74" s="196"/>
      <c r="CT74" s="196"/>
      <c r="CU74" s="196"/>
      <c r="CV74" s="196"/>
      <c r="CW74" s="196"/>
      <c r="CX74" s="196"/>
      <c r="CY74" s="200">
        <f t="shared" si="26"/>
        <v>0</v>
      </c>
      <c r="CZ74" s="172">
        <f t="shared" si="48"/>
        <v>0</v>
      </c>
      <c r="DA74" s="201">
        <f t="shared" si="27"/>
        <v>0</v>
      </c>
      <c r="DB74" s="201">
        <f t="shared" si="28"/>
        <v>0</v>
      </c>
      <c r="DC74" s="201">
        <f t="shared" si="38"/>
        <v>0</v>
      </c>
      <c r="DD74" s="239">
        <v>0</v>
      </c>
      <c r="DE74" s="201">
        <f t="shared" si="39"/>
        <v>0</v>
      </c>
      <c r="DF74" s="172" t="e">
        <f>SUM(DN74:DO74)-SUM(#REF!,BV74)+BU74</f>
        <v>#REF!</v>
      </c>
      <c r="DG74" s="207"/>
      <c r="DH74" s="225">
        <f t="shared" si="40"/>
        <v>0</v>
      </c>
      <c r="DI74" s="225">
        <f t="shared" si="41"/>
        <v>0</v>
      </c>
      <c r="DJ74" s="225">
        <f t="shared" si="42"/>
        <v>0</v>
      </c>
      <c r="DK74" s="225" t="e">
        <f>SUM(BS74,#REF!,BV74)</f>
        <v>#REF!</v>
      </c>
      <c r="DL74" s="145">
        <v>13168.052</v>
      </c>
      <c r="DM74" s="145">
        <v>13053.761689999999</v>
      </c>
      <c r="DN74" s="145">
        <v>0</v>
      </c>
      <c r="DO74" s="145">
        <v>0</v>
      </c>
      <c r="DP74" s="145">
        <v>13053.761689999999</v>
      </c>
      <c r="DQ74" s="145">
        <v>114.29030999999999</v>
      </c>
      <c r="DS74" s="219">
        <f t="shared" si="43"/>
        <v>0</v>
      </c>
    </row>
    <row r="75" spans="1:123" s="21" customFormat="1" ht="24" customHeight="1">
      <c r="A75" s="16"/>
      <c r="B75" s="2">
        <v>31</v>
      </c>
      <c r="C75" s="78" t="s">
        <v>13</v>
      </c>
      <c r="D75" s="78"/>
      <c r="E75" s="78"/>
      <c r="F75" s="3">
        <v>2016</v>
      </c>
      <c r="G75" s="4">
        <v>42552</v>
      </c>
      <c r="H75" s="4">
        <v>42552</v>
      </c>
      <c r="I75" s="4">
        <v>43727</v>
      </c>
      <c r="J75" s="13">
        <f t="shared" ca="1" si="21"/>
        <v>1175</v>
      </c>
      <c r="K75" s="165">
        <f t="shared" si="44"/>
        <v>43099</v>
      </c>
      <c r="L75" s="165">
        <f t="shared" si="45"/>
        <v>43282</v>
      </c>
      <c r="M75" s="165"/>
      <c r="N75" s="165"/>
      <c r="O75" s="165"/>
      <c r="P75" s="165"/>
      <c r="Q75" s="165"/>
      <c r="R75" s="3" t="s">
        <v>175</v>
      </c>
      <c r="S75" s="11" t="s">
        <v>223</v>
      </c>
      <c r="T75" s="11"/>
      <c r="U75" s="5" t="s">
        <v>8</v>
      </c>
      <c r="V75" s="251"/>
      <c r="W75" s="5" t="s">
        <v>602</v>
      </c>
      <c r="X75" s="5" t="s">
        <v>470</v>
      </c>
      <c r="Y75" s="5" t="s">
        <v>10</v>
      </c>
      <c r="Z75" s="3" t="s">
        <v>182</v>
      </c>
      <c r="AA75" s="6" t="s">
        <v>217</v>
      </c>
      <c r="AB75" s="141" t="s">
        <v>196</v>
      </c>
      <c r="AC75" s="165" t="s">
        <v>5</v>
      </c>
      <c r="AD75" s="165" t="s">
        <v>5</v>
      </c>
      <c r="AE75" s="165" t="s">
        <v>5</v>
      </c>
      <c r="AF75" s="5"/>
      <c r="AG75" s="5"/>
      <c r="AH75" s="210"/>
      <c r="AI75" s="76"/>
      <c r="AJ75" s="76"/>
      <c r="AK75" s="221" t="e">
        <f>SUM(#REF!,BT75,BV75)</f>
        <v>#REF!</v>
      </c>
      <c r="AL75" s="48"/>
      <c r="AM75" s="48"/>
      <c r="AN75" s="48"/>
      <c r="AO75" s="48"/>
      <c r="AP75" s="48"/>
      <c r="AQ75" s="48"/>
      <c r="AR75" s="51">
        <v>122.035467576513</v>
      </c>
      <c r="AS75" s="51"/>
      <c r="AT75" s="51">
        <v>0</v>
      </c>
      <c r="AU75" s="51"/>
      <c r="AV75" s="37">
        <v>1296.2</v>
      </c>
      <c r="AW75" s="222">
        <v>96</v>
      </c>
      <c r="AX75" s="90">
        <f t="shared" si="24"/>
        <v>1392.2</v>
      </c>
      <c r="AY75" s="157">
        <f t="shared" si="46"/>
        <v>0</v>
      </c>
      <c r="AZ75" s="182">
        <v>0</v>
      </c>
      <c r="BA75" s="158"/>
      <c r="BB75" s="182">
        <v>0</v>
      </c>
      <c r="BC75" s="158"/>
      <c r="BD75" s="182">
        <v>0</v>
      </c>
      <c r="BE75" s="158">
        <v>0</v>
      </c>
      <c r="BF75" s="182">
        <v>0</v>
      </c>
      <c r="BG75" s="158"/>
      <c r="BH75" s="182">
        <v>0</v>
      </c>
      <c r="BI75" s="158"/>
      <c r="BJ75" s="182">
        <v>0</v>
      </c>
      <c r="BK75" s="158"/>
      <c r="BL75" s="182"/>
      <c r="BM75" s="158"/>
      <c r="BN75" s="182"/>
      <c r="BO75" s="158"/>
      <c r="BP75" s="182"/>
      <c r="BQ75" s="158"/>
      <c r="BR75" s="182"/>
      <c r="BS75" s="158"/>
      <c r="BT75" s="182"/>
      <c r="BU75" s="158"/>
      <c r="BV75" s="182"/>
      <c r="BW75" s="234"/>
      <c r="BX75" s="237"/>
      <c r="BY75" s="81">
        <f t="shared" si="47"/>
        <v>0</v>
      </c>
      <c r="BZ75" s="241"/>
      <c r="CA75" s="241"/>
      <c r="CB75" s="241"/>
      <c r="CC75" s="241"/>
      <c r="CD75" s="241"/>
      <c r="CE75" s="241"/>
      <c r="CF75" s="241"/>
      <c r="CG75" s="241"/>
      <c r="CH75" s="241"/>
      <c r="CI75" s="241"/>
      <c r="CJ75" s="241"/>
      <c r="CK75" s="241"/>
      <c r="CL75" s="195">
        <f t="shared" si="37"/>
        <v>0</v>
      </c>
      <c r="CM75" s="196"/>
      <c r="CN75" s="196"/>
      <c r="CO75" s="196"/>
      <c r="CP75" s="196"/>
      <c r="CQ75" s="196"/>
      <c r="CR75" s="196"/>
      <c r="CS75" s="196"/>
      <c r="CT75" s="196"/>
      <c r="CU75" s="196"/>
      <c r="CV75" s="196"/>
      <c r="CW75" s="196"/>
      <c r="CX75" s="196"/>
      <c r="CY75" s="200">
        <f t="shared" si="26"/>
        <v>0</v>
      </c>
      <c r="CZ75" s="172">
        <f t="shared" si="48"/>
        <v>0</v>
      </c>
      <c r="DA75" s="201">
        <f t="shared" si="27"/>
        <v>0</v>
      </c>
      <c r="DB75" s="201">
        <f t="shared" si="28"/>
        <v>0</v>
      </c>
      <c r="DC75" s="201">
        <f t="shared" si="38"/>
        <v>0</v>
      </c>
      <c r="DD75" s="239">
        <v>0</v>
      </c>
      <c r="DE75" s="201">
        <f t="shared" si="39"/>
        <v>0</v>
      </c>
      <c r="DF75" s="172" t="e">
        <f>SUM(DN75:DO75)-SUM(#REF!,BV75)+BU75</f>
        <v>#REF!</v>
      </c>
      <c r="DG75" s="207"/>
      <c r="DH75" s="225">
        <f t="shared" si="40"/>
        <v>0</v>
      </c>
      <c r="DI75" s="225">
        <f t="shared" si="41"/>
        <v>0</v>
      </c>
      <c r="DJ75" s="225">
        <f t="shared" si="42"/>
        <v>0</v>
      </c>
      <c r="DK75" s="225" t="e">
        <f>SUM(BS75,#REF!,BV75)</f>
        <v>#REF!</v>
      </c>
      <c r="DL75" s="145">
        <v>1296.2</v>
      </c>
      <c r="DM75" s="145">
        <v>1267.7092399999999</v>
      </c>
      <c r="DN75" s="145">
        <v>0</v>
      </c>
      <c r="DO75" s="145">
        <v>0</v>
      </c>
      <c r="DP75" s="145">
        <v>1267.7092399999999</v>
      </c>
      <c r="DQ75" s="145">
        <v>28.490759999999998</v>
      </c>
      <c r="DS75" s="219">
        <f t="shared" si="43"/>
        <v>0</v>
      </c>
    </row>
    <row r="76" spans="1:123" s="21" customFormat="1" ht="24" customHeight="1">
      <c r="A76" s="16"/>
      <c r="B76" s="2">
        <v>32</v>
      </c>
      <c r="C76" s="78" t="s">
        <v>14</v>
      </c>
      <c r="D76" s="78"/>
      <c r="E76" s="78"/>
      <c r="F76" s="3">
        <v>2016</v>
      </c>
      <c r="G76" s="4">
        <v>42703</v>
      </c>
      <c r="H76" s="4">
        <v>42703</v>
      </c>
      <c r="I76" s="4">
        <v>43634</v>
      </c>
      <c r="J76" s="13">
        <f t="shared" ca="1" si="21"/>
        <v>931</v>
      </c>
      <c r="K76" s="165">
        <f t="shared" si="44"/>
        <v>43250</v>
      </c>
      <c r="L76" s="165">
        <f t="shared" si="45"/>
        <v>43433</v>
      </c>
      <c r="M76" s="165"/>
      <c r="N76" s="165"/>
      <c r="O76" s="165"/>
      <c r="P76" s="165"/>
      <c r="Q76" s="165"/>
      <c r="R76" s="3" t="s">
        <v>175</v>
      </c>
      <c r="S76" s="11" t="s">
        <v>221</v>
      </c>
      <c r="T76" s="11"/>
      <c r="U76" s="5" t="s">
        <v>8</v>
      </c>
      <c r="V76" s="251"/>
      <c r="W76" s="5" t="s">
        <v>602</v>
      </c>
      <c r="X76" s="5" t="s">
        <v>471</v>
      </c>
      <c r="Y76" s="5" t="s">
        <v>15</v>
      </c>
      <c r="Z76" s="3" t="s">
        <v>186</v>
      </c>
      <c r="AA76" s="6" t="s">
        <v>217</v>
      </c>
      <c r="AB76" s="141" t="s">
        <v>196</v>
      </c>
      <c r="AC76" s="165" t="s">
        <v>5</v>
      </c>
      <c r="AD76" s="165" t="s">
        <v>5</v>
      </c>
      <c r="AE76" s="165" t="s">
        <v>5</v>
      </c>
      <c r="AF76" s="5"/>
      <c r="AG76" s="5"/>
      <c r="AH76" s="210"/>
      <c r="AI76" s="76"/>
      <c r="AJ76" s="76"/>
      <c r="AK76" s="221" t="e">
        <f>SUM(#REF!,BT76,BV76)</f>
        <v>#REF!</v>
      </c>
      <c r="AL76" s="48"/>
      <c r="AM76" s="48"/>
      <c r="AN76" s="48"/>
      <c r="AO76" s="48"/>
      <c r="AP76" s="48"/>
      <c r="AQ76" s="48"/>
      <c r="AR76" s="51">
        <v>-6.8326061276296297</v>
      </c>
      <c r="AS76" s="51"/>
      <c r="AT76" s="51">
        <v>0</v>
      </c>
      <c r="AU76" s="51"/>
      <c r="AV76" s="37">
        <v>63.1</v>
      </c>
      <c r="AW76" s="36">
        <v>0</v>
      </c>
      <c r="AX76" s="90">
        <f t="shared" si="24"/>
        <v>63.1</v>
      </c>
      <c r="AY76" s="157">
        <f t="shared" si="46"/>
        <v>0</v>
      </c>
      <c r="AZ76" s="182">
        <v>0</v>
      </c>
      <c r="BA76" s="158"/>
      <c r="BB76" s="182">
        <v>0</v>
      </c>
      <c r="BC76" s="158"/>
      <c r="BD76" s="182">
        <v>0</v>
      </c>
      <c r="BE76" s="158">
        <v>0</v>
      </c>
      <c r="BF76" s="182">
        <v>0</v>
      </c>
      <c r="BG76" s="158"/>
      <c r="BH76" s="182">
        <v>0</v>
      </c>
      <c r="BI76" s="158"/>
      <c r="BJ76" s="182">
        <v>0</v>
      </c>
      <c r="BK76" s="158"/>
      <c r="BL76" s="182"/>
      <c r="BM76" s="158"/>
      <c r="BN76" s="182"/>
      <c r="BO76" s="158"/>
      <c r="BP76" s="182"/>
      <c r="BQ76" s="158"/>
      <c r="BR76" s="182"/>
      <c r="BS76" s="158"/>
      <c r="BT76" s="182"/>
      <c r="BU76" s="158"/>
      <c r="BV76" s="182"/>
      <c r="BW76" s="234"/>
      <c r="BX76" s="237"/>
      <c r="BY76" s="81">
        <f t="shared" si="47"/>
        <v>0</v>
      </c>
      <c r="BZ76" s="241"/>
      <c r="CA76" s="241"/>
      <c r="CB76" s="241"/>
      <c r="CC76" s="241"/>
      <c r="CD76" s="241"/>
      <c r="CE76" s="241"/>
      <c r="CF76" s="241"/>
      <c r="CG76" s="241"/>
      <c r="CH76" s="241"/>
      <c r="CI76" s="241"/>
      <c r="CJ76" s="241"/>
      <c r="CK76" s="241"/>
      <c r="CL76" s="195">
        <f t="shared" si="37"/>
        <v>0</v>
      </c>
      <c r="CM76" s="196"/>
      <c r="CN76" s="196"/>
      <c r="CO76" s="196"/>
      <c r="CP76" s="196"/>
      <c r="CQ76" s="196"/>
      <c r="CR76" s="196"/>
      <c r="CS76" s="196"/>
      <c r="CT76" s="196"/>
      <c r="CU76" s="196"/>
      <c r="CV76" s="196"/>
      <c r="CW76" s="196"/>
      <c r="CX76" s="196"/>
      <c r="CY76" s="200">
        <f t="shared" si="26"/>
        <v>0</v>
      </c>
      <c r="CZ76" s="172">
        <f t="shared" si="48"/>
        <v>0</v>
      </c>
      <c r="DA76" s="201">
        <f t="shared" si="27"/>
        <v>0</v>
      </c>
      <c r="DB76" s="201">
        <f t="shared" si="28"/>
        <v>0</v>
      </c>
      <c r="DC76" s="201">
        <f t="shared" si="38"/>
        <v>0</v>
      </c>
      <c r="DD76" s="239">
        <v>0</v>
      </c>
      <c r="DE76" s="201">
        <f t="shared" si="39"/>
        <v>0</v>
      </c>
      <c r="DF76" s="172" t="e">
        <f>SUM(DN76:DO76)-SUM(#REF!,BV76)+BU76</f>
        <v>#REF!</v>
      </c>
      <c r="DG76" s="207"/>
      <c r="DH76" s="225">
        <f t="shared" si="40"/>
        <v>0</v>
      </c>
      <c r="DI76" s="225">
        <f t="shared" si="41"/>
        <v>0</v>
      </c>
      <c r="DJ76" s="225">
        <f t="shared" si="42"/>
        <v>0</v>
      </c>
      <c r="DK76" s="225" t="e">
        <f>SUM(BS76,#REF!,BV76)</f>
        <v>#REF!</v>
      </c>
      <c r="DL76" s="145">
        <v>63.1</v>
      </c>
      <c r="DM76" s="145">
        <v>0</v>
      </c>
      <c r="DN76" s="145">
        <v>0</v>
      </c>
      <c r="DO76" s="145">
        <v>0</v>
      </c>
      <c r="DP76" s="145">
        <v>0</v>
      </c>
      <c r="DQ76" s="145">
        <v>63.1</v>
      </c>
      <c r="DS76" s="219">
        <f t="shared" si="43"/>
        <v>0</v>
      </c>
    </row>
    <row r="77" spans="1:123" s="21" customFormat="1" ht="24" customHeight="1">
      <c r="A77" s="16"/>
      <c r="B77" s="2">
        <v>33</v>
      </c>
      <c r="C77" s="78" t="s">
        <v>16</v>
      </c>
      <c r="D77" s="78"/>
      <c r="E77" s="78" t="s">
        <v>855</v>
      </c>
      <c r="F77" s="3">
        <v>2017</v>
      </c>
      <c r="G77" s="4">
        <v>42794</v>
      </c>
      <c r="H77" s="4">
        <v>42774</v>
      </c>
      <c r="I77" s="4">
        <v>43538</v>
      </c>
      <c r="J77" s="13">
        <f t="shared" ca="1" si="21"/>
        <v>764</v>
      </c>
      <c r="K77" s="165">
        <f t="shared" si="44"/>
        <v>43321</v>
      </c>
      <c r="L77" s="165">
        <f t="shared" si="45"/>
        <v>43504</v>
      </c>
      <c r="M77" s="165"/>
      <c r="N77" s="165"/>
      <c r="O77" s="165"/>
      <c r="P77" s="165"/>
      <c r="Q77" s="165"/>
      <c r="R77" s="3" t="s">
        <v>175</v>
      </c>
      <c r="S77" s="11" t="s">
        <v>222</v>
      </c>
      <c r="T77" s="11"/>
      <c r="U77" s="5" t="s">
        <v>8</v>
      </c>
      <c r="V77" s="251"/>
      <c r="W77" s="5" t="s">
        <v>602</v>
      </c>
      <c r="X77" s="5" t="s">
        <v>478</v>
      </c>
      <c r="Y77" s="5" t="s">
        <v>17</v>
      </c>
      <c r="Z77" s="3" t="s">
        <v>185</v>
      </c>
      <c r="AA77" s="6" t="s">
        <v>217</v>
      </c>
      <c r="AB77" s="141" t="s">
        <v>196</v>
      </c>
      <c r="AC77" s="165" t="s">
        <v>5</v>
      </c>
      <c r="AD77" s="165" t="s">
        <v>5</v>
      </c>
      <c r="AE77" s="165" t="s">
        <v>5</v>
      </c>
      <c r="AF77" s="5"/>
      <c r="AG77" s="5"/>
      <c r="AH77" s="210"/>
      <c r="AI77" s="76"/>
      <c r="AJ77" s="76"/>
      <c r="AK77" s="221" t="e">
        <f>SUM(#REF!,BT77,BV77)</f>
        <v>#REF!</v>
      </c>
      <c r="AL77" s="48"/>
      <c r="AM77" s="48"/>
      <c r="AN77" s="48"/>
      <c r="AO77" s="48"/>
      <c r="AP77" s="48"/>
      <c r="AQ77" s="48"/>
      <c r="AR77" s="51">
        <v>2.2000000000000002</v>
      </c>
      <c r="AS77" s="51"/>
      <c r="AT77" s="51">
        <v>0</v>
      </c>
      <c r="AU77" s="51"/>
      <c r="AV77" s="37">
        <v>350</v>
      </c>
      <c r="AW77" s="36">
        <v>5</v>
      </c>
      <c r="AX77" s="90">
        <f t="shared" si="24"/>
        <v>355</v>
      </c>
      <c r="AY77" s="157">
        <f t="shared" si="46"/>
        <v>0</v>
      </c>
      <c r="AZ77" s="182">
        <v>0</v>
      </c>
      <c r="BA77" s="158"/>
      <c r="BB77" s="182">
        <v>0</v>
      </c>
      <c r="BC77" s="158"/>
      <c r="BD77" s="182">
        <v>0</v>
      </c>
      <c r="BE77" s="158">
        <v>0</v>
      </c>
      <c r="BF77" s="182">
        <v>0</v>
      </c>
      <c r="BG77" s="158"/>
      <c r="BH77" s="182">
        <v>0</v>
      </c>
      <c r="BI77" s="158"/>
      <c r="BJ77" s="182">
        <v>0</v>
      </c>
      <c r="BK77" s="158"/>
      <c r="BL77" s="182"/>
      <c r="BM77" s="158"/>
      <c r="BN77" s="182"/>
      <c r="BO77" s="158"/>
      <c r="BP77" s="182"/>
      <c r="BQ77" s="158"/>
      <c r="BR77" s="182"/>
      <c r="BS77" s="158"/>
      <c r="BT77" s="182"/>
      <c r="BU77" s="158"/>
      <c r="BV77" s="182"/>
      <c r="BW77" s="234"/>
      <c r="BX77" s="237"/>
      <c r="BY77" s="81">
        <f t="shared" si="47"/>
        <v>0</v>
      </c>
      <c r="BZ77" s="241"/>
      <c r="CA77" s="241"/>
      <c r="CB77" s="241"/>
      <c r="CC77" s="241"/>
      <c r="CD77" s="241"/>
      <c r="CE77" s="241"/>
      <c r="CF77" s="241"/>
      <c r="CG77" s="241"/>
      <c r="CH77" s="241"/>
      <c r="CI77" s="241"/>
      <c r="CJ77" s="241"/>
      <c r="CK77" s="241"/>
      <c r="CL77" s="195">
        <f t="shared" si="37"/>
        <v>0</v>
      </c>
      <c r="CM77" s="196"/>
      <c r="CN77" s="196"/>
      <c r="CO77" s="196"/>
      <c r="CP77" s="196"/>
      <c r="CQ77" s="196"/>
      <c r="CR77" s="196"/>
      <c r="CS77" s="196"/>
      <c r="CT77" s="196"/>
      <c r="CU77" s="196"/>
      <c r="CV77" s="196"/>
      <c r="CW77" s="196"/>
      <c r="CX77" s="196"/>
      <c r="CY77" s="200">
        <f t="shared" si="26"/>
        <v>0</v>
      </c>
      <c r="CZ77" s="172">
        <f t="shared" si="48"/>
        <v>0</v>
      </c>
      <c r="DA77" s="201">
        <f t="shared" si="27"/>
        <v>0</v>
      </c>
      <c r="DB77" s="201">
        <f t="shared" si="28"/>
        <v>0</v>
      </c>
      <c r="DC77" s="201">
        <f t="shared" si="38"/>
        <v>0</v>
      </c>
      <c r="DD77" s="239">
        <v>0</v>
      </c>
      <c r="DE77" s="201">
        <f t="shared" si="39"/>
        <v>0</v>
      </c>
      <c r="DF77" s="172" t="e">
        <f>SUM(DN77:DO77)-SUM(#REF!,BV77)+BU77</f>
        <v>#REF!</v>
      </c>
      <c r="DG77" s="207"/>
      <c r="DH77" s="225">
        <f t="shared" si="40"/>
        <v>0</v>
      </c>
      <c r="DI77" s="225">
        <f t="shared" si="41"/>
        <v>0</v>
      </c>
      <c r="DJ77" s="225">
        <f t="shared" si="42"/>
        <v>0</v>
      </c>
      <c r="DK77" s="225" t="e">
        <f>SUM(BS77,#REF!,BV77)</f>
        <v>#REF!</v>
      </c>
      <c r="DL77" s="145">
        <v>350</v>
      </c>
      <c r="DM77" s="145">
        <v>347.07238000000001</v>
      </c>
      <c r="DN77" s="145">
        <v>0</v>
      </c>
      <c r="DO77" s="145">
        <v>0</v>
      </c>
      <c r="DP77" s="145">
        <v>347.07238000000001</v>
      </c>
      <c r="DQ77" s="145">
        <v>2.9276200000000001</v>
      </c>
      <c r="DS77" s="219">
        <f t="shared" si="43"/>
        <v>0</v>
      </c>
    </row>
    <row r="78" spans="1:123" s="21" customFormat="1" ht="24" customHeight="1">
      <c r="A78" s="16"/>
      <c r="B78" s="2">
        <v>34</v>
      </c>
      <c r="C78" s="78" t="s">
        <v>18</v>
      </c>
      <c r="D78" s="78"/>
      <c r="E78" s="78"/>
      <c r="F78" s="3">
        <v>2017</v>
      </c>
      <c r="G78" s="4">
        <v>42936</v>
      </c>
      <c r="H78" s="4">
        <v>42936</v>
      </c>
      <c r="I78" s="4">
        <v>43671</v>
      </c>
      <c r="J78" s="13">
        <f t="shared" ca="1" si="21"/>
        <v>735</v>
      </c>
      <c r="K78" s="165">
        <f t="shared" si="44"/>
        <v>43483</v>
      </c>
      <c r="L78" s="165">
        <f t="shared" si="45"/>
        <v>43666</v>
      </c>
      <c r="M78" s="165"/>
      <c r="N78" s="165"/>
      <c r="O78" s="165"/>
      <c r="P78" s="165"/>
      <c r="Q78" s="165"/>
      <c r="R78" s="3" t="s">
        <v>175</v>
      </c>
      <c r="S78" s="11" t="s">
        <v>221</v>
      </c>
      <c r="T78" s="11"/>
      <c r="U78" s="5" t="s">
        <v>8</v>
      </c>
      <c r="V78" s="251"/>
      <c r="W78" s="5" t="s">
        <v>602</v>
      </c>
      <c r="X78" s="5" t="s">
        <v>476</v>
      </c>
      <c r="Y78" s="5" t="s">
        <v>19</v>
      </c>
      <c r="Z78" s="3" t="s">
        <v>185</v>
      </c>
      <c r="AA78" s="6" t="s">
        <v>217</v>
      </c>
      <c r="AB78" s="141" t="s">
        <v>196</v>
      </c>
      <c r="AC78" s="165" t="s">
        <v>5</v>
      </c>
      <c r="AD78" s="165" t="s">
        <v>5</v>
      </c>
      <c r="AE78" s="165" t="s">
        <v>5</v>
      </c>
      <c r="AF78" s="5"/>
      <c r="AG78" s="5"/>
      <c r="AH78" s="210"/>
      <c r="AI78" s="76"/>
      <c r="AJ78" s="76"/>
      <c r="AK78" s="221" t="e">
        <f>SUM(#REF!,BT78,BV78)</f>
        <v>#REF!</v>
      </c>
      <c r="AL78" s="48"/>
      <c r="AM78" s="48"/>
      <c r="AN78" s="48"/>
      <c r="AO78" s="48"/>
      <c r="AP78" s="48"/>
      <c r="AQ78" s="48"/>
      <c r="AR78" s="51">
        <v>102.82130990852019</v>
      </c>
      <c r="AS78" s="51"/>
      <c r="AT78" s="51">
        <v>0</v>
      </c>
      <c r="AU78" s="51"/>
      <c r="AV78" s="37">
        <v>770.1</v>
      </c>
      <c r="AW78" s="36">
        <v>70</v>
      </c>
      <c r="AX78" s="90">
        <f t="shared" si="24"/>
        <v>840.1</v>
      </c>
      <c r="AY78" s="157">
        <f t="shared" si="46"/>
        <v>0</v>
      </c>
      <c r="AZ78" s="182">
        <v>0</v>
      </c>
      <c r="BA78" s="158"/>
      <c r="BB78" s="182">
        <v>0</v>
      </c>
      <c r="BC78" s="158"/>
      <c r="BD78" s="182">
        <v>0</v>
      </c>
      <c r="BE78" s="158">
        <v>0</v>
      </c>
      <c r="BF78" s="182">
        <v>0</v>
      </c>
      <c r="BG78" s="158"/>
      <c r="BH78" s="182">
        <v>0</v>
      </c>
      <c r="BI78" s="158"/>
      <c r="BJ78" s="182">
        <v>0</v>
      </c>
      <c r="BK78" s="158"/>
      <c r="BL78" s="182"/>
      <c r="BM78" s="158"/>
      <c r="BN78" s="182"/>
      <c r="BO78" s="158"/>
      <c r="BP78" s="182"/>
      <c r="BQ78" s="158"/>
      <c r="BR78" s="182"/>
      <c r="BS78" s="158"/>
      <c r="BT78" s="182"/>
      <c r="BU78" s="158"/>
      <c r="BV78" s="182"/>
      <c r="BW78" s="234"/>
      <c r="BX78" s="237"/>
      <c r="BY78" s="81">
        <f t="shared" si="47"/>
        <v>0</v>
      </c>
      <c r="BZ78" s="241"/>
      <c r="CA78" s="241"/>
      <c r="CB78" s="241"/>
      <c r="CC78" s="241"/>
      <c r="CD78" s="241"/>
      <c r="CE78" s="241"/>
      <c r="CF78" s="241"/>
      <c r="CG78" s="241"/>
      <c r="CH78" s="241"/>
      <c r="CI78" s="241"/>
      <c r="CJ78" s="241"/>
      <c r="CK78" s="241"/>
      <c r="CL78" s="195">
        <f t="shared" si="37"/>
        <v>0</v>
      </c>
      <c r="CM78" s="196"/>
      <c r="CN78" s="196"/>
      <c r="CO78" s="196"/>
      <c r="CP78" s="196"/>
      <c r="CQ78" s="196"/>
      <c r="CR78" s="196"/>
      <c r="CS78" s="196"/>
      <c r="CT78" s="196"/>
      <c r="CU78" s="196"/>
      <c r="CV78" s="196"/>
      <c r="CW78" s="196"/>
      <c r="CX78" s="196"/>
      <c r="CY78" s="200">
        <f t="shared" si="26"/>
        <v>0</v>
      </c>
      <c r="CZ78" s="172">
        <f t="shared" si="48"/>
        <v>0</v>
      </c>
      <c r="DA78" s="201">
        <f t="shared" si="27"/>
        <v>0</v>
      </c>
      <c r="DB78" s="201">
        <f t="shared" si="28"/>
        <v>0</v>
      </c>
      <c r="DC78" s="201">
        <f t="shared" si="38"/>
        <v>0</v>
      </c>
      <c r="DD78" s="239">
        <v>0</v>
      </c>
      <c r="DE78" s="201">
        <f t="shared" si="39"/>
        <v>0</v>
      </c>
      <c r="DF78" s="172" t="e">
        <f>SUM(DN78:DO78)-SUM(#REF!,BV78)+BU78</f>
        <v>#REF!</v>
      </c>
      <c r="DG78" s="207"/>
      <c r="DH78" s="225">
        <f t="shared" si="40"/>
        <v>0</v>
      </c>
      <c r="DI78" s="225">
        <f t="shared" si="41"/>
        <v>0</v>
      </c>
      <c r="DJ78" s="225">
        <f t="shared" si="42"/>
        <v>0</v>
      </c>
      <c r="DK78" s="225" t="e">
        <f>SUM(BS78,#REF!,BV78)</f>
        <v>#REF!</v>
      </c>
      <c r="DL78" s="145">
        <v>770.1</v>
      </c>
      <c r="DM78" s="145">
        <v>744.72299999999996</v>
      </c>
      <c r="DN78" s="145">
        <v>0</v>
      </c>
      <c r="DO78" s="145">
        <v>1.7999999999999998E-4</v>
      </c>
      <c r="DP78" s="145">
        <v>744.72318000000007</v>
      </c>
      <c r="DQ78" s="145">
        <v>25.376819999999999</v>
      </c>
      <c r="DS78" s="219">
        <f t="shared" si="43"/>
        <v>0</v>
      </c>
    </row>
    <row r="79" spans="1:123" s="21" customFormat="1" ht="28.5" customHeight="1">
      <c r="A79" s="16"/>
      <c r="B79" s="2">
        <v>35</v>
      </c>
      <c r="C79" s="78" t="s">
        <v>20</v>
      </c>
      <c r="D79" s="78"/>
      <c r="E79" s="78"/>
      <c r="F79" s="3">
        <v>2016</v>
      </c>
      <c r="G79" s="4">
        <v>42705</v>
      </c>
      <c r="H79" s="4">
        <v>42818</v>
      </c>
      <c r="I79" s="4">
        <v>43522</v>
      </c>
      <c r="J79" s="13">
        <f t="shared" ca="1" si="21"/>
        <v>704</v>
      </c>
      <c r="K79" s="165">
        <f t="shared" si="44"/>
        <v>43365</v>
      </c>
      <c r="L79" s="165">
        <f t="shared" si="45"/>
        <v>43548</v>
      </c>
      <c r="M79" s="165"/>
      <c r="N79" s="165"/>
      <c r="O79" s="165"/>
      <c r="P79" s="165"/>
      <c r="Q79" s="165"/>
      <c r="R79" s="3" t="s">
        <v>175</v>
      </c>
      <c r="S79" s="11" t="s">
        <v>221</v>
      </c>
      <c r="T79" s="11"/>
      <c r="U79" s="5" t="s">
        <v>8</v>
      </c>
      <c r="V79" s="251"/>
      <c r="W79" s="5" t="s">
        <v>602</v>
      </c>
      <c r="X79" s="5" t="s">
        <v>471</v>
      </c>
      <c r="Y79" s="5" t="s">
        <v>21</v>
      </c>
      <c r="Z79" s="3" t="s">
        <v>186</v>
      </c>
      <c r="AA79" s="6" t="s">
        <v>217</v>
      </c>
      <c r="AB79" s="141" t="s">
        <v>196</v>
      </c>
      <c r="AC79" s="165" t="s">
        <v>5</v>
      </c>
      <c r="AD79" s="165" t="s">
        <v>5</v>
      </c>
      <c r="AE79" s="165" t="s">
        <v>5</v>
      </c>
      <c r="AF79" s="5"/>
      <c r="AG79" s="5"/>
      <c r="AH79" s="210"/>
      <c r="AI79" s="76"/>
      <c r="AJ79" s="76"/>
      <c r="AK79" s="221" t="e">
        <f>SUM(#REF!,BT79,BV79)</f>
        <v>#REF!</v>
      </c>
      <c r="AL79" s="48"/>
      <c r="AM79" s="48"/>
      <c r="AN79" s="48"/>
      <c r="AO79" s="48"/>
      <c r="AP79" s="48"/>
      <c r="AQ79" s="48"/>
      <c r="AR79" s="51">
        <v>1.046</v>
      </c>
      <c r="AS79" s="51"/>
      <c r="AT79" s="51">
        <v>0</v>
      </c>
      <c r="AU79" s="51"/>
      <c r="AV79" s="37">
        <v>352</v>
      </c>
      <c r="AW79" s="36">
        <v>0</v>
      </c>
      <c r="AX79" s="90">
        <f t="shared" si="24"/>
        <v>352</v>
      </c>
      <c r="AY79" s="157">
        <f t="shared" si="46"/>
        <v>0</v>
      </c>
      <c r="AZ79" s="182">
        <v>0</v>
      </c>
      <c r="BA79" s="158"/>
      <c r="BB79" s="182">
        <v>0</v>
      </c>
      <c r="BC79" s="158"/>
      <c r="BD79" s="182">
        <v>0</v>
      </c>
      <c r="BE79" s="158">
        <v>0</v>
      </c>
      <c r="BF79" s="182">
        <v>0</v>
      </c>
      <c r="BG79" s="158"/>
      <c r="BH79" s="182">
        <v>0</v>
      </c>
      <c r="BI79" s="158"/>
      <c r="BJ79" s="182">
        <v>0</v>
      </c>
      <c r="BK79" s="158"/>
      <c r="BL79" s="182"/>
      <c r="BM79" s="158"/>
      <c r="BN79" s="182"/>
      <c r="BO79" s="158"/>
      <c r="BP79" s="182"/>
      <c r="BQ79" s="158"/>
      <c r="BR79" s="182"/>
      <c r="BS79" s="158"/>
      <c r="BT79" s="182"/>
      <c r="BU79" s="158"/>
      <c r="BV79" s="182"/>
      <c r="BW79" s="234"/>
      <c r="BX79" s="237"/>
      <c r="BY79" s="81">
        <f t="shared" si="47"/>
        <v>0</v>
      </c>
      <c r="BZ79" s="241"/>
      <c r="CA79" s="241"/>
      <c r="CB79" s="241"/>
      <c r="CC79" s="241"/>
      <c r="CD79" s="241"/>
      <c r="CE79" s="241"/>
      <c r="CF79" s="241"/>
      <c r="CG79" s="241"/>
      <c r="CH79" s="241"/>
      <c r="CI79" s="241"/>
      <c r="CJ79" s="241"/>
      <c r="CK79" s="241"/>
      <c r="CL79" s="195">
        <f t="shared" si="37"/>
        <v>0</v>
      </c>
      <c r="CM79" s="196"/>
      <c r="CN79" s="196"/>
      <c r="CO79" s="196"/>
      <c r="CP79" s="196"/>
      <c r="CQ79" s="196"/>
      <c r="CR79" s="196"/>
      <c r="CS79" s="196"/>
      <c r="CT79" s="196"/>
      <c r="CU79" s="196"/>
      <c r="CV79" s="196"/>
      <c r="CW79" s="196"/>
      <c r="CX79" s="196"/>
      <c r="CY79" s="200">
        <f t="shared" si="26"/>
        <v>0</v>
      </c>
      <c r="CZ79" s="172">
        <f t="shared" si="48"/>
        <v>0</v>
      </c>
      <c r="DA79" s="201">
        <f t="shared" si="27"/>
        <v>0</v>
      </c>
      <c r="DB79" s="201">
        <f t="shared" si="28"/>
        <v>0</v>
      </c>
      <c r="DC79" s="201">
        <f t="shared" si="38"/>
        <v>0</v>
      </c>
      <c r="DD79" s="239">
        <v>0</v>
      </c>
      <c r="DE79" s="201">
        <f t="shared" si="39"/>
        <v>0</v>
      </c>
      <c r="DF79" s="172" t="e">
        <f>SUM(DN79:DO79)-SUM(#REF!,BV79)+BU79</f>
        <v>#REF!</v>
      </c>
      <c r="DG79" s="207"/>
      <c r="DH79" s="225">
        <f t="shared" si="40"/>
        <v>0</v>
      </c>
      <c r="DI79" s="225">
        <f t="shared" si="41"/>
        <v>0</v>
      </c>
      <c r="DJ79" s="225">
        <f t="shared" si="42"/>
        <v>0</v>
      </c>
      <c r="DK79" s="225" t="e">
        <f>SUM(BS79,#REF!,BV79)</f>
        <v>#REF!</v>
      </c>
      <c r="DL79" s="145">
        <v>352</v>
      </c>
      <c r="DM79" s="145">
        <v>347.31648999999999</v>
      </c>
      <c r="DN79" s="145">
        <v>0</v>
      </c>
      <c r="DO79" s="145">
        <v>0</v>
      </c>
      <c r="DP79" s="145">
        <v>347.31648999999999</v>
      </c>
      <c r="DQ79" s="145">
        <v>4.6835100000000001</v>
      </c>
      <c r="DS79" s="219">
        <f t="shared" si="43"/>
        <v>0</v>
      </c>
    </row>
    <row r="80" spans="1:123" s="21" customFormat="1" ht="24" customHeight="1">
      <c r="A80" s="16"/>
      <c r="B80" s="2">
        <v>36</v>
      </c>
      <c r="C80" s="78" t="s">
        <v>22</v>
      </c>
      <c r="D80" s="78"/>
      <c r="E80" s="78"/>
      <c r="F80" s="3">
        <v>2017</v>
      </c>
      <c r="G80" s="4">
        <v>42844</v>
      </c>
      <c r="H80" s="4">
        <v>42844</v>
      </c>
      <c r="I80" s="4">
        <v>43719</v>
      </c>
      <c r="J80" s="13">
        <f t="shared" ca="1" si="21"/>
        <v>875</v>
      </c>
      <c r="K80" s="165">
        <f t="shared" si="44"/>
        <v>43391</v>
      </c>
      <c r="L80" s="165">
        <f t="shared" si="45"/>
        <v>43574</v>
      </c>
      <c r="M80" s="165"/>
      <c r="N80" s="165"/>
      <c r="O80" s="165"/>
      <c r="P80" s="165"/>
      <c r="Q80" s="165"/>
      <c r="R80" s="3" t="s">
        <v>175</v>
      </c>
      <c r="S80" s="11" t="s">
        <v>4</v>
      </c>
      <c r="T80" s="11"/>
      <c r="U80" s="5" t="s">
        <v>8</v>
      </c>
      <c r="V80" s="251"/>
      <c r="W80" s="5" t="s">
        <v>602</v>
      </c>
      <c r="X80" s="5" t="s">
        <v>472</v>
      </c>
      <c r="Y80" s="5" t="s">
        <v>23</v>
      </c>
      <c r="Z80" s="3" t="s">
        <v>180</v>
      </c>
      <c r="AA80" s="6" t="s">
        <v>217</v>
      </c>
      <c r="AB80" s="141" t="s">
        <v>196</v>
      </c>
      <c r="AC80" s="165" t="s">
        <v>5</v>
      </c>
      <c r="AD80" s="165" t="s">
        <v>5</v>
      </c>
      <c r="AE80" s="165" t="s">
        <v>5</v>
      </c>
      <c r="AF80" s="5"/>
      <c r="AG80" s="5"/>
      <c r="AH80" s="210"/>
      <c r="AI80" s="76"/>
      <c r="AJ80" s="76"/>
      <c r="AK80" s="221" t="e">
        <f>SUM(#REF!,BT80,BV80)</f>
        <v>#REF!</v>
      </c>
      <c r="AL80" s="48"/>
      <c r="AM80" s="48"/>
      <c r="AN80" s="48"/>
      <c r="AO80" s="48"/>
      <c r="AP80" s="48"/>
      <c r="AQ80" s="48"/>
      <c r="AR80" s="51">
        <v>147.10616030138567</v>
      </c>
      <c r="AS80" s="51"/>
      <c r="AT80" s="51">
        <v>0</v>
      </c>
      <c r="AU80" s="51"/>
      <c r="AV80" s="37">
        <v>1338.9</v>
      </c>
      <c r="AW80" s="36">
        <v>85</v>
      </c>
      <c r="AX80" s="90">
        <f t="shared" si="24"/>
        <v>1423.9</v>
      </c>
      <c r="AY80" s="157">
        <f t="shared" si="46"/>
        <v>0</v>
      </c>
      <c r="AZ80" s="182">
        <v>0</v>
      </c>
      <c r="BA80" s="158"/>
      <c r="BB80" s="182">
        <v>0</v>
      </c>
      <c r="BC80" s="158"/>
      <c r="BD80" s="182">
        <v>0</v>
      </c>
      <c r="BE80" s="158">
        <v>0</v>
      </c>
      <c r="BF80" s="182">
        <v>0</v>
      </c>
      <c r="BG80" s="158"/>
      <c r="BH80" s="182">
        <v>0</v>
      </c>
      <c r="BI80" s="158"/>
      <c r="BJ80" s="182">
        <v>0</v>
      </c>
      <c r="BK80" s="158"/>
      <c r="BL80" s="182"/>
      <c r="BM80" s="158"/>
      <c r="BN80" s="182"/>
      <c r="BO80" s="158"/>
      <c r="BP80" s="182"/>
      <c r="BQ80" s="158"/>
      <c r="BR80" s="182"/>
      <c r="BS80" s="158"/>
      <c r="BT80" s="182"/>
      <c r="BU80" s="158"/>
      <c r="BV80" s="182"/>
      <c r="BW80" s="234"/>
      <c r="BX80" s="237"/>
      <c r="BY80" s="81">
        <f t="shared" si="47"/>
        <v>0</v>
      </c>
      <c r="BZ80" s="241"/>
      <c r="CA80" s="241"/>
      <c r="CB80" s="241"/>
      <c r="CC80" s="241"/>
      <c r="CD80" s="241"/>
      <c r="CE80" s="241"/>
      <c r="CF80" s="241"/>
      <c r="CG80" s="241"/>
      <c r="CH80" s="241"/>
      <c r="CI80" s="241"/>
      <c r="CJ80" s="241"/>
      <c r="CK80" s="241"/>
      <c r="CL80" s="195">
        <f t="shared" si="37"/>
        <v>0</v>
      </c>
      <c r="CM80" s="196"/>
      <c r="CN80" s="196"/>
      <c r="CO80" s="196"/>
      <c r="CP80" s="196"/>
      <c r="CQ80" s="196"/>
      <c r="CR80" s="196"/>
      <c r="CS80" s="196"/>
      <c r="CT80" s="196"/>
      <c r="CU80" s="196"/>
      <c r="CV80" s="196"/>
      <c r="CW80" s="196"/>
      <c r="CX80" s="196"/>
      <c r="CY80" s="200">
        <f t="shared" si="26"/>
        <v>0</v>
      </c>
      <c r="CZ80" s="172">
        <f t="shared" si="48"/>
        <v>0</v>
      </c>
      <c r="DA80" s="201">
        <f t="shared" si="27"/>
        <v>0</v>
      </c>
      <c r="DB80" s="201">
        <f t="shared" si="28"/>
        <v>0</v>
      </c>
      <c r="DC80" s="201">
        <f t="shared" si="38"/>
        <v>0</v>
      </c>
      <c r="DD80" s="239">
        <v>0</v>
      </c>
      <c r="DE80" s="201">
        <f t="shared" si="39"/>
        <v>0</v>
      </c>
      <c r="DF80" s="172" t="e">
        <f>SUM(DN80:DO80)-SUM(#REF!,BV80)+BU80</f>
        <v>#REF!</v>
      </c>
      <c r="DG80" s="207"/>
      <c r="DH80" s="225">
        <f t="shared" si="40"/>
        <v>0</v>
      </c>
      <c r="DI80" s="225">
        <f t="shared" si="41"/>
        <v>0</v>
      </c>
      <c r="DJ80" s="225">
        <f t="shared" si="42"/>
        <v>0</v>
      </c>
      <c r="DK80" s="225" t="e">
        <f>SUM(BS80,#REF!,BV80)</f>
        <v>#REF!</v>
      </c>
      <c r="DL80" s="145">
        <v>1338.9</v>
      </c>
      <c r="DM80" s="145">
        <v>1335.95245</v>
      </c>
      <c r="DN80" s="145">
        <v>0</v>
      </c>
      <c r="DO80" s="145">
        <v>0</v>
      </c>
      <c r="DP80" s="145">
        <v>1335.95245</v>
      </c>
      <c r="DQ80" s="145">
        <v>2.9475500000000001</v>
      </c>
      <c r="DS80" s="219">
        <f t="shared" si="43"/>
        <v>0</v>
      </c>
    </row>
    <row r="81" spans="1:123" s="21" customFormat="1" ht="24" customHeight="1">
      <c r="A81" s="16"/>
      <c r="B81" s="2">
        <v>37</v>
      </c>
      <c r="C81" s="78" t="s">
        <v>24</v>
      </c>
      <c r="D81" s="78"/>
      <c r="E81" s="78"/>
      <c r="F81" s="3">
        <v>2016</v>
      </c>
      <c r="G81" s="4">
        <v>42705</v>
      </c>
      <c r="H81" s="4">
        <v>42818</v>
      </c>
      <c r="I81" s="4">
        <v>43547</v>
      </c>
      <c r="J81" s="13">
        <f t="shared" ca="1" si="21"/>
        <v>729</v>
      </c>
      <c r="K81" s="165">
        <f t="shared" si="44"/>
        <v>43365</v>
      </c>
      <c r="L81" s="165">
        <f t="shared" si="45"/>
        <v>43548</v>
      </c>
      <c r="M81" s="165"/>
      <c r="N81" s="165"/>
      <c r="O81" s="165"/>
      <c r="P81" s="165"/>
      <c r="Q81" s="165"/>
      <c r="R81" s="3" t="s">
        <v>175</v>
      </c>
      <c r="S81" s="11" t="s">
        <v>221</v>
      </c>
      <c r="T81" s="11"/>
      <c r="U81" s="5" t="s">
        <v>8</v>
      </c>
      <c r="V81" s="251"/>
      <c r="W81" s="5" t="s">
        <v>602</v>
      </c>
      <c r="X81" s="5" t="s">
        <v>472</v>
      </c>
      <c r="Y81" s="5" t="s">
        <v>25</v>
      </c>
      <c r="Z81" s="3" t="s">
        <v>185</v>
      </c>
      <c r="AA81" s="6" t="s">
        <v>217</v>
      </c>
      <c r="AB81" s="141" t="s">
        <v>196</v>
      </c>
      <c r="AC81" s="165" t="s">
        <v>5</v>
      </c>
      <c r="AD81" s="165" t="s">
        <v>5</v>
      </c>
      <c r="AE81" s="165" t="s">
        <v>5</v>
      </c>
      <c r="AF81" s="5"/>
      <c r="AG81" s="5"/>
      <c r="AH81" s="210"/>
      <c r="AI81" s="76"/>
      <c r="AJ81" s="76"/>
      <c r="AK81" s="221" t="e">
        <f>SUM(#REF!,BT81,BV81)</f>
        <v>#REF!</v>
      </c>
      <c r="AL81" s="48"/>
      <c r="AM81" s="48"/>
      <c r="AN81" s="48"/>
      <c r="AO81" s="48"/>
      <c r="AP81" s="48"/>
      <c r="AQ81" s="48"/>
      <c r="AR81" s="51">
        <v>4.6400000000000006</v>
      </c>
      <c r="AS81" s="51"/>
      <c r="AT81" s="51">
        <v>0</v>
      </c>
      <c r="AU81" s="51"/>
      <c r="AV81" s="37">
        <v>513</v>
      </c>
      <c r="AW81" s="36">
        <v>53</v>
      </c>
      <c r="AX81" s="90">
        <f t="shared" si="24"/>
        <v>566</v>
      </c>
      <c r="AY81" s="157">
        <f t="shared" si="46"/>
        <v>0</v>
      </c>
      <c r="AZ81" s="182">
        <v>0</v>
      </c>
      <c r="BA81" s="158"/>
      <c r="BB81" s="182">
        <v>0</v>
      </c>
      <c r="BC81" s="158"/>
      <c r="BD81" s="182">
        <v>0</v>
      </c>
      <c r="BE81" s="158">
        <v>0</v>
      </c>
      <c r="BF81" s="182">
        <v>0</v>
      </c>
      <c r="BG81" s="158"/>
      <c r="BH81" s="182">
        <v>0</v>
      </c>
      <c r="BI81" s="158"/>
      <c r="BJ81" s="182">
        <v>0</v>
      </c>
      <c r="BK81" s="158"/>
      <c r="BL81" s="182"/>
      <c r="BM81" s="158"/>
      <c r="BN81" s="182"/>
      <c r="BO81" s="158"/>
      <c r="BP81" s="182"/>
      <c r="BQ81" s="158"/>
      <c r="BR81" s="182"/>
      <c r="BS81" s="158"/>
      <c r="BT81" s="182"/>
      <c r="BU81" s="158"/>
      <c r="BV81" s="182"/>
      <c r="BW81" s="234"/>
      <c r="BX81" s="237"/>
      <c r="BY81" s="81">
        <f t="shared" si="47"/>
        <v>0</v>
      </c>
      <c r="BZ81" s="241"/>
      <c r="CA81" s="241"/>
      <c r="CB81" s="241"/>
      <c r="CC81" s="241"/>
      <c r="CD81" s="241"/>
      <c r="CE81" s="241"/>
      <c r="CF81" s="241"/>
      <c r="CG81" s="241"/>
      <c r="CH81" s="241"/>
      <c r="CI81" s="241"/>
      <c r="CJ81" s="241"/>
      <c r="CK81" s="241"/>
      <c r="CL81" s="195">
        <f t="shared" si="37"/>
        <v>0</v>
      </c>
      <c r="CM81" s="196"/>
      <c r="CN81" s="196"/>
      <c r="CO81" s="196"/>
      <c r="CP81" s="196"/>
      <c r="CQ81" s="196"/>
      <c r="CR81" s="196"/>
      <c r="CS81" s="196"/>
      <c r="CT81" s="196"/>
      <c r="CU81" s="196"/>
      <c r="CV81" s="196"/>
      <c r="CW81" s="196"/>
      <c r="CX81" s="196"/>
      <c r="CY81" s="200">
        <f t="shared" si="26"/>
        <v>0</v>
      </c>
      <c r="CZ81" s="172">
        <f t="shared" si="48"/>
        <v>0</v>
      </c>
      <c r="DA81" s="201">
        <f t="shared" si="27"/>
        <v>0</v>
      </c>
      <c r="DB81" s="201">
        <f t="shared" si="28"/>
        <v>0</v>
      </c>
      <c r="DC81" s="201">
        <f t="shared" si="38"/>
        <v>0</v>
      </c>
      <c r="DD81" s="239">
        <v>0</v>
      </c>
      <c r="DE81" s="201">
        <f t="shared" si="39"/>
        <v>0</v>
      </c>
      <c r="DF81" s="172" t="e">
        <f>SUM(DN81:DO81)-SUM(#REF!,BV81)+BU81</f>
        <v>#REF!</v>
      </c>
      <c r="DG81" s="207"/>
      <c r="DH81" s="225">
        <f t="shared" si="40"/>
        <v>0</v>
      </c>
      <c r="DI81" s="225">
        <f t="shared" si="41"/>
        <v>0</v>
      </c>
      <c r="DJ81" s="225">
        <f t="shared" si="42"/>
        <v>0</v>
      </c>
      <c r="DK81" s="225" t="e">
        <f>SUM(BS81,#REF!,BV81)</f>
        <v>#REF!</v>
      </c>
      <c r="DL81" s="145">
        <v>513</v>
      </c>
      <c r="DM81" s="145">
        <v>486.74603000000002</v>
      </c>
      <c r="DN81" s="145">
        <v>0</v>
      </c>
      <c r="DO81" s="145">
        <v>0</v>
      </c>
      <c r="DP81" s="145">
        <v>486.74603000000002</v>
      </c>
      <c r="DQ81" s="145">
        <v>26.253970000000002</v>
      </c>
      <c r="DS81" s="219">
        <f t="shared" si="43"/>
        <v>0</v>
      </c>
    </row>
    <row r="82" spans="1:123" s="21" customFormat="1" ht="24" customHeight="1">
      <c r="A82" s="16"/>
      <c r="B82" s="2">
        <v>38</v>
      </c>
      <c r="C82" s="78" t="s">
        <v>26</v>
      </c>
      <c r="D82" s="78"/>
      <c r="E82" s="78"/>
      <c r="F82" s="3">
        <v>2017</v>
      </c>
      <c r="G82" s="4">
        <v>42902</v>
      </c>
      <c r="H82" s="4">
        <v>42902</v>
      </c>
      <c r="I82" s="4">
        <v>43641</v>
      </c>
      <c r="J82" s="13">
        <f t="shared" ca="1" si="21"/>
        <v>739</v>
      </c>
      <c r="K82" s="165">
        <f t="shared" si="44"/>
        <v>43449</v>
      </c>
      <c r="L82" s="165">
        <f t="shared" si="45"/>
        <v>43632</v>
      </c>
      <c r="M82" s="165"/>
      <c r="N82" s="165"/>
      <c r="O82" s="165"/>
      <c r="P82" s="165"/>
      <c r="Q82" s="165"/>
      <c r="R82" s="3" t="s">
        <v>175</v>
      </c>
      <c r="S82" s="11" t="s">
        <v>222</v>
      </c>
      <c r="T82" s="11"/>
      <c r="U82" s="5" t="s">
        <v>8</v>
      </c>
      <c r="V82" s="251"/>
      <c r="W82" s="5" t="s">
        <v>602</v>
      </c>
      <c r="X82" s="5" t="s">
        <v>472</v>
      </c>
      <c r="Y82" s="5" t="s">
        <v>27</v>
      </c>
      <c r="Z82" s="3" t="s">
        <v>186</v>
      </c>
      <c r="AA82" s="6" t="s">
        <v>217</v>
      </c>
      <c r="AB82" s="141" t="s">
        <v>196</v>
      </c>
      <c r="AC82" s="165" t="s">
        <v>5</v>
      </c>
      <c r="AD82" s="165" t="s">
        <v>5</v>
      </c>
      <c r="AE82" s="165" t="s">
        <v>5</v>
      </c>
      <c r="AF82" s="5"/>
      <c r="AG82" s="5"/>
      <c r="AH82" s="210"/>
      <c r="AI82" s="76"/>
      <c r="AJ82" s="76"/>
      <c r="AK82" s="221" t="e">
        <f>SUM(#REF!,BT82,BV82)</f>
        <v>#REF!</v>
      </c>
      <c r="AL82" s="48"/>
      <c r="AM82" s="48"/>
      <c r="AN82" s="48"/>
      <c r="AO82" s="48"/>
      <c r="AP82" s="48"/>
      <c r="AQ82" s="48"/>
      <c r="AR82" s="51">
        <v>0</v>
      </c>
      <c r="AS82" s="51"/>
      <c r="AT82" s="51">
        <v>0</v>
      </c>
      <c r="AU82" s="51"/>
      <c r="AV82" s="37">
        <v>987.73</v>
      </c>
      <c r="AW82" s="36">
        <v>38</v>
      </c>
      <c r="AX82" s="90">
        <f t="shared" si="24"/>
        <v>1025.73</v>
      </c>
      <c r="AY82" s="157">
        <f t="shared" si="46"/>
        <v>0</v>
      </c>
      <c r="AZ82" s="182">
        <v>0</v>
      </c>
      <c r="BA82" s="158"/>
      <c r="BB82" s="182">
        <v>0</v>
      </c>
      <c r="BC82" s="158"/>
      <c r="BD82" s="182">
        <v>0</v>
      </c>
      <c r="BE82" s="158">
        <v>0</v>
      </c>
      <c r="BF82" s="182">
        <v>0</v>
      </c>
      <c r="BG82" s="158"/>
      <c r="BH82" s="182">
        <v>0</v>
      </c>
      <c r="BI82" s="158"/>
      <c r="BJ82" s="182">
        <v>0</v>
      </c>
      <c r="BK82" s="158"/>
      <c r="BL82" s="182"/>
      <c r="BM82" s="158"/>
      <c r="BN82" s="182"/>
      <c r="BO82" s="158"/>
      <c r="BP82" s="182"/>
      <c r="BQ82" s="158"/>
      <c r="BR82" s="182"/>
      <c r="BS82" s="158"/>
      <c r="BT82" s="182"/>
      <c r="BU82" s="158"/>
      <c r="BV82" s="182"/>
      <c r="BW82" s="234"/>
      <c r="BX82" s="237"/>
      <c r="BY82" s="81">
        <f t="shared" si="47"/>
        <v>0</v>
      </c>
      <c r="BZ82" s="241"/>
      <c r="CA82" s="241"/>
      <c r="CB82" s="241"/>
      <c r="CC82" s="241"/>
      <c r="CD82" s="241"/>
      <c r="CE82" s="241"/>
      <c r="CF82" s="241"/>
      <c r="CG82" s="241"/>
      <c r="CH82" s="241"/>
      <c r="CI82" s="241"/>
      <c r="CJ82" s="241"/>
      <c r="CK82" s="241"/>
      <c r="CL82" s="195">
        <f t="shared" si="37"/>
        <v>0</v>
      </c>
      <c r="CM82" s="196"/>
      <c r="CN82" s="196"/>
      <c r="CO82" s="196"/>
      <c r="CP82" s="196"/>
      <c r="CQ82" s="196"/>
      <c r="CR82" s="196"/>
      <c r="CS82" s="196"/>
      <c r="CT82" s="196"/>
      <c r="CU82" s="196"/>
      <c r="CV82" s="196"/>
      <c r="CW82" s="196"/>
      <c r="CX82" s="196"/>
      <c r="CY82" s="200">
        <f t="shared" si="26"/>
        <v>0</v>
      </c>
      <c r="CZ82" s="172">
        <f t="shared" si="48"/>
        <v>0</v>
      </c>
      <c r="DA82" s="201">
        <f t="shared" si="27"/>
        <v>0</v>
      </c>
      <c r="DB82" s="201">
        <f t="shared" si="28"/>
        <v>0</v>
      </c>
      <c r="DC82" s="201">
        <f t="shared" si="38"/>
        <v>0</v>
      </c>
      <c r="DD82" s="239">
        <v>0</v>
      </c>
      <c r="DE82" s="201">
        <f t="shared" si="39"/>
        <v>0</v>
      </c>
      <c r="DF82" s="172" t="e">
        <f>SUM(DN82:DO82)-SUM(#REF!,BV82)+BU82</f>
        <v>#REF!</v>
      </c>
      <c r="DG82" s="207"/>
      <c r="DH82" s="225">
        <f t="shared" si="40"/>
        <v>0</v>
      </c>
      <c r="DI82" s="225">
        <f t="shared" si="41"/>
        <v>0</v>
      </c>
      <c r="DJ82" s="225">
        <f t="shared" si="42"/>
        <v>0</v>
      </c>
      <c r="DK82" s="225" t="e">
        <f>SUM(BS82,#REF!,BV82)</f>
        <v>#REF!</v>
      </c>
      <c r="DL82" s="145">
        <v>987.73099999999999</v>
      </c>
      <c r="DM82" s="145">
        <v>801.61338999999998</v>
      </c>
      <c r="DN82" s="145">
        <v>0</v>
      </c>
      <c r="DO82" s="145">
        <v>0</v>
      </c>
      <c r="DP82" s="145">
        <v>801.61338999999998</v>
      </c>
      <c r="DQ82" s="145">
        <v>186.11760999999998</v>
      </c>
      <c r="DS82" s="219">
        <f t="shared" si="43"/>
        <v>0</v>
      </c>
    </row>
    <row r="83" spans="1:123" s="21" customFormat="1" ht="24" customHeight="1">
      <c r="A83" s="16"/>
      <c r="B83" s="2">
        <v>39</v>
      </c>
      <c r="C83" s="78" t="s">
        <v>28</v>
      </c>
      <c r="D83" s="78"/>
      <c r="E83" s="78"/>
      <c r="F83" s="3">
        <v>2017</v>
      </c>
      <c r="G83" s="4">
        <v>42909</v>
      </c>
      <c r="H83" s="4">
        <v>42909</v>
      </c>
      <c r="I83" s="4">
        <v>43676</v>
      </c>
      <c r="J83" s="13">
        <f t="shared" ca="1" si="21"/>
        <v>767</v>
      </c>
      <c r="K83" s="165">
        <f t="shared" si="44"/>
        <v>43456</v>
      </c>
      <c r="L83" s="165">
        <f t="shared" si="45"/>
        <v>43639</v>
      </c>
      <c r="M83" s="165"/>
      <c r="N83" s="165"/>
      <c r="O83" s="165"/>
      <c r="P83" s="165"/>
      <c r="Q83" s="165"/>
      <c r="R83" s="3" t="s">
        <v>175</v>
      </c>
      <c r="S83" s="11" t="s">
        <v>4</v>
      </c>
      <c r="T83" s="11"/>
      <c r="U83" s="5" t="s">
        <v>8</v>
      </c>
      <c r="V83" s="251"/>
      <c r="W83" s="5" t="s">
        <v>602</v>
      </c>
      <c r="X83" s="5" t="s">
        <v>472</v>
      </c>
      <c r="Y83" s="5" t="s">
        <v>29</v>
      </c>
      <c r="Z83" s="78" t="s">
        <v>315</v>
      </c>
      <c r="AA83" s="6" t="s">
        <v>217</v>
      </c>
      <c r="AB83" s="141" t="s">
        <v>196</v>
      </c>
      <c r="AC83" s="165" t="s">
        <v>5</v>
      </c>
      <c r="AD83" s="165" t="s">
        <v>5</v>
      </c>
      <c r="AE83" s="165" t="s">
        <v>5</v>
      </c>
      <c r="AF83" s="5"/>
      <c r="AG83" s="5"/>
      <c r="AH83" s="210"/>
      <c r="AI83" s="76"/>
      <c r="AJ83" s="76"/>
      <c r="AK83" s="221" t="e">
        <f>SUM(#REF!,BT83,BV83)</f>
        <v>#REF!</v>
      </c>
      <c r="AL83" s="48"/>
      <c r="AM83" s="48"/>
      <c r="AN83" s="48"/>
      <c r="AO83" s="48"/>
      <c r="AP83" s="48"/>
      <c r="AQ83" s="48"/>
      <c r="AR83" s="51">
        <v>117.94380895425567</v>
      </c>
      <c r="AS83" s="51"/>
      <c r="AT83" s="51">
        <v>0</v>
      </c>
      <c r="AU83" s="51"/>
      <c r="AV83" s="37">
        <v>713.3</v>
      </c>
      <c r="AW83" s="36">
        <v>23</v>
      </c>
      <c r="AX83" s="90">
        <f t="shared" si="24"/>
        <v>736.3</v>
      </c>
      <c r="AY83" s="157">
        <f t="shared" si="46"/>
        <v>0</v>
      </c>
      <c r="AZ83" s="182">
        <v>0</v>
      </c>
      <c r="BA83" s="158"/>
      <c r="BB83" s="182">
        <v>0</v>
      </c>
      <c r="BC83" s="158"/>
      <c r="BD83" s="182">
        <v>0</v>
      </c>
      <c r="BE83" s="158">
        <v>0</v>
      </c>
      <c r="BF83" s="182">
        <v>0</v>
      </c>
      <c r="BG83" s="158"/>
      <c r="BH83" s="182">
        <v>0</v>
      </c>
      <c r="BI83" s="158"/>
      <c r="BJ83" s="182">
        <v>0</v>
      </c>
      <c r="BK83" s="158"/>
      <c r="BL83" s="182"/>
      <c r="BM83" s="158"/>
      <c r="BN83" s="182"/>
      <c r="BO83" s="158"/>
      <c r="BP83" s="182"/>
      <c r="BQ83" s="158"/>
      <c r="BR83" s="182"/>
      <c r="BS83" s="158"/>
      <c r="BT83" s="182"/>
      <c r="BU83" s="158"/>
      <c r="BV83" s="182"/>
      <c r="BW83" s="234"/>
      <c r="BX83" s="237"/>
      <c r="BY83" s="81">
        <f t="shared" si="47"/>
        <v>0</v>
      </c>
      <c r="BZ83" s="241"/>
      <c r="CA83" s="241"/>
      <c r="CB83" s="241"/>
      <c r="CC83" s="241"/>
      <c r="CD83" s="241"/>
      <c r="CE83" s="241"/>
      <c r="CF83" s="241"/>
      <c r="CG83" s="241"/>
      <c r="CH83" s="241"/>
      <c r="CI83" s="241"/>
      <c r="CJ83" s="241"/>
      <c r="CK83" s="241"/>
      <c r="CL83" s="195">
        <f t="shared" si="37"/>
        <v>0</v>
      </c>
      <c r="CM83" s="196"/>
      <c r="CN83" s="196"/>
      <c r="CO83" s="196"/>
      <c r="CP83" s="196"/>
      <c r="CQ83" s="196"/>
      <c r="CR83" s="196"/>
      <c r="CS83" s="196"/>
      <c r="CT83" s="196"/>
      <c r="CU83" s="196"/>
      <c r="CV83" s="196"/>
      <c r="CW83" s="196"/>
      <c r="CX83" s="196"/>
      <c r="CY83" s="200">
        <f t="shared" si="26"/>
        <v>0</v>
      </c>
      <c r="CZ83" s="172">
        <f t="shared" si="48"/>
        <v>0</v>
      </c>
      <c r="DA83" s="201">
        <f t="shared" si="27"/>
        <v>0</v>
      </c>
      <c r="DB83" s="201">
        <f t="shared" si="28"/>
        <v>0</v>
      </c>
      <c r="DC83" s="201">
        <f t="shared" si="38"/>
        <v>0</v>
      </c>
      <c r="DD83" s="239">
        <v>0</v>
      </c>
      <c r="DE83" s="201">
        <f t="shared" si="39"/>
        <v>0</v>
      </c>
      <c r="DF83" s="172" t="e">
        <f>SUM(DN83:DO83)-SUM(#REF!,BV83)+BU83</f>
        <v>#REF!</v>
      </c>
      <c r="DG83" s="207"/>
      <c r="DH83" s="225">
        <f t="shared" si="40"/>
        <v>0</v>
      </c>
      <c r="DI83" s="225">
        <f t="shared" si="41"/>
        <v>0</v>
      </c>
      <c r="DJ83" s="225">
        <f t="shared" si="42"/>
        <v>0</v>
      </c>
      <c r="DK83" s="225" t="e">
        <f>SUM(BS83,#REF!,BV83)</f>
        <v>#REF!</v>
      </c>
      <c r="DL83" s="145">
        <v>713.3</v>
      </c>
      <c r="DM83" s="145">
        <v>659.17750000000001</v>
      </c>
      <c r="DN83" s="145">
        <v>0</v>
      </c>
      <c r="DO83" s="145">
        <v>0</v>
      </c>
      <c r="DP83" s="145">
        <v>659.17750000000001</v>
      </c>
      <c r="DQ83" s="145">
        <v>54.122500000000002</v>
      </c>
      <c r="DS83" s="219">
        <f t="shared" si="43"/>
        <v>0</v>
      </c>
    </row>
    <row r="84" spans="1:123" s="21" customFormat="1" ht="24" customHeight="1">
      <c r="A84" s="16"/>
      <c r="B84" s="2">
        <v>40</v>
      </c>
      <c r="C84" s="78" t="s">
        <v>30</v>
      </c>
      <c r="D84" s="78"/>
      <c r="E84" s="78" t="s">
        <v>856</v>
      </c>
      <c r="F84" s="3">
        <v>2017</v>
      </c>
      <c r="G84" s="4">
        <v>42860</v>
      </c>
      <c r="H84" s="4">
        <v>42860</v>
      </c>
      <c r="I84" s="4">
        <v>43752</v>
      </c>
      <c r="J84" s="13">
        <f t="shared" ca="1" si="21"/>
        <v>892</v>
      </c>
      <c r="K84" s="165">
        <f t="shared" si="44"/>
        <v>43407</v>
      </c>
      <c r="L84" s="165">
        <f t="shared" si="45"/>
        <v>43590</v>
      </c>
      <c r="M84" s="165"/>
      <c r="N84" s="165"/>
      <c r="O84" s="165"/>
      <c r="P84" s="165"/>
      <c r="Q84" s="165"/>
      <c r="R84" s="3" t="s">
        <v>176</v>
      </c>
      <c r="S84" s="11" t="s">
        <v>222</v>
      </c>
      <c r="T84" s="11"/>
      <c r="U84" s="5" t="s">
        <v>8</v>
      </c>
      <c r="V84" s="251"/>
      <c r="W84" s="5" t="s">
        <v>602</v>
      </c>
      <c r="X84" s="5" t="s">
        <v>473</v>
      </c>
      <c r="Y84" s="5" t="s">
        <v>31</v>
      </c>
      <c r="Z84" s="3" t="s">
        <v>180</v>
      </c>
      <c r="AA84" s="6" t="s">
        <v>217</v>
      </c>
      <c r="AB84" s="141" t="s">
        <v>196</v>
      </c>
      <c r="AC84" s="165" t="s">
        <v>5</v>
      </c>
      <c r="AD84" s="165" t="s">
        <v>5</v>
      </c>
      <c r="AE84" s="165" t="s">
        <v>5</v>
      </c>
      <c r="AF84" s="5"/>
      <c r="AG84" s="5"/>
      <c r="AH84" s="210"/>
      <c r="AI84" s="76"/>
      <c r="AJ84" s="76"/>
      <c r="AK84" s="221" t="e">
        <f>SUM(#REF!,BT84,BV84)</f>
        <v>#REF!</v>
      </c>
      <c r="AL84" s="48"/>
      <c r="AM84" s="48"/>
      <c r="AN84" s="48"/>
      <c r="AO84" s="48"/>
      <c r="AP84" s="48"/>
      <c r="AQ84" s="48"/>
      <c r="AR84" s="51">
        <v>37.529719621779648</v>
      </c>
      <c r="AS84" s="51">
        <v>0</v>
      </c>
      <c r="AT84" s="51">
        <v>1.10694</v>
      </c>
      <c r="AU84" s="51"/>
      <c r="AV84" s="37">
        <v>248</v>
      </c>
      <c r="AW84" s="36">
        <v>95</v>
      </c>
      <c r="AX84" s="90">
        <f t="shared" si="24"/>
        <v>343</v>
      </c>
      <c r="AY84" s="157">
        <f t="shared" si="46"/>
        <v>0</v>
      </c>
      <c r="AZ84" s="182">
        <v>0</v>
      </c>
      <c r="BA84" s="158"/>
      <c r="BB84" s="182">
        <v>0</v>
      </c>
      <c r="BC84" s="158"/>
      <c r="BD84" s="182">
        <v>0</v>
      </c>
      <c r="BE84" s="158">
        <v>0</v>
      </c>
      <c r="BF84" s="182">
        <v>0</v>
      </c>
      <c r="BG84" s="158"/>
      <c r="BH84" s="182">
        <v>0</v>
      </c>
      <c r="BI84" s="158"/>
      <c r="BJ84" s="182">
        <v>0</v>
      </c>
      <c r="BK84" s="158"/>
      <c r="BL84" s="182"/>
      <c r="BM84" s="158"/>
      <c r="BN84" s="182"/>
      <c r="BO84" s="158"/>
      <c r="BP84" s="182"/>
      <c r="BQ84" s="158"/>
      <c r="BR84" s="182"/>
      <c r="BS84" s="158"/>
      <c r="BT84" s="182"/>
      <c r="BU84" s="158"/>
      <c r="BV84" s="182"/>
      <c r="BW84" s="234"/>
      <c r="BX84" s="237"/>
      <c r="BY84" s="81">
        <f t="shared" si="47"/>
        <v>0</v>
      </c>
      <c r="BZ84" s="198"/>
      <c r="CA84" s="198"/>
      <c r="CB84" s="198"/>
      <c r="CC84" s="198"/>
      <c r="CD84" s="198"/>
      <c r="CE84" s="198"/>
      <c r="CF84" s="198"/>
      <c r="CG84" s="198"/>
      <c r="CH84" s="198"/>
      <c r="CI84" s="198"/>
      <c r="CJ84" s="198"/>
      <c r="CK84" s="198"/>
      <c r="CL84" s="195">
        <f t="shared" si="37"/>
        <v>0</v>
      </c>
      <c r="CM84" s="196"/>
      <c r="CN84" s="196"/>
      <c r="CO84" s="196"/>
      <c r="CP84" s="196"/>
      <c r="CQ84" s="196"/>
      <c r="CR84" s="196"/>
      <c r="CS84" s="196"/>
      <c r="CT84" s="196"/>
      <c r="CU84" s="196"/>
      <c r="CV84" s="196"/>
      <c r="CW84" s="196"/>
      <c r="CX84" s="196"/>
      <c r="CY84" s="200">
        <f t="shared" si="26"/>
        <v>0</v>
      </c>
      <c r="CZ84" s="172">
        <f t="shared" si="48"/>
        <v>0</v>
      </c>
      <c r="DA84" s="201">
        <f t="shared" si="27"/>
        <v>0</v>
      </c>
      <c r="DB84" s="201">
        <f t="shared" si="28"/>
        <v>0</v>
      </c>
      <c r="DC84" s="201">
        <f t="shared" si="38"/>
        <v>0</v>
      </c>
      <c r="DD84" s="239">
        <v>0</v>
      </c>
      <c r="DE84" s="201">
        <f t="shared" si="39"/>
        <v>0</v>
      </c>
      <c r="DF84" s="172" t="e">
        <f>SUM(DN84:DO84)-SUM(#REF!,BV84)+BU84</f>
        <v>#REF!</v>
      </c>
      <c r="DG84" s="207"/>
      <c r="DH84" s="225">
        <f t="shared" si="40"/>
        <v>0</v>
      </c>
      <c r="DI84" s="225">
        <f t="shared" si="41"/>
        <v>0</v>
      </c>
      <c r="DJ84" s="225">
        <f t="shared" si="42"/>
        <v>0</v>
      </c>
      <c r="DK84" s="225" t="e">
        <f>SUM(BS84,#REF!,BV84)</f>
        <v>#REF!</v>
      </c>
      <c r="DL84" s="145">
        <v>248</v>
      </c>
      <c r="DM84" s="145">
        <v>203.21110000000002</v>
      </c>
      <c r="DN84" s="145">
        <v>0</v>
      </c>
      <c r="DO84" s="145">
        <v>0</v>
      </c>
      <c r="DP84" s="145">
        <v>203.21110000000002</v>
      </c>
      <c r="DQ84" s="145">
        <v>44.788899999999998</v>
      </c>
      <c r="DS84" s="219">
        <f t="shared" si="43"/>
        <v>0</v>
      </c>
    </row>
    <row r="85" spans="1:123" s="21" customFormat="1" ht="24" customHeight="1">
      <c r="A85" s="17"/>
      <c r="B85" s="2">
        <v>41</v>
      </c>
      <c r="C85" s="78" t="s">
        <v>32</v>
      </c>
      <c r="D85" s="78"/>
      <c r="E85" s="78"/>
      <c r="F85" s="3">
        <v>2017</v>
      </c>
      <c r="G85" s="4">
        <v>42893</v>
      </c>
      <c r="H85" s="4">
        <v>43087</v>
      </c>
      <c r="I85" s="4">
        <v>44068</v>
      </c>
      <c r="J85" s="13">
        <f t="shared" ca="1" si="21"/>
        <v>981</v>
      </c>
      <c r="K85" s="165">
        <f t="shared" si="44"/>
        <v>43634</v>
      </c>
      <c r="L85" s="165">
        <f t="shared" si="45"/>
        <v>43817</v>
      </c>
      <c r="M85" s="165"/>
      <c r="N85" s="165"/>
      <c r="O85" s="165"/>
      <c r="P85" s="165"/>
      <c r="Q85" s="165"/>
      <c r="R85" s="3" t="s">
        <v>177</v>
      </c>
      <c r="S85" s="11" t="s">
        <v>221</v>
      </c>
      <c r="T85" s="11"/>
      <c r="U85" s="5" t="s">
        <v>8</v>
      </c>
      <c r="V85" s="251"/>
      <c r="W85" s="5" t="s">
        <v>602</v>
      </c>
      <c r="X85" s="5" t="s">
        <v>480</v>
      </c>
      <c r="Y85" s="5" t="s">
        <v>33</v>
      </c>
      <c r="Z85" s="3" t="s">
        <v>187</v>
      </c>
      <c r="AA85" s="6" t="s">
        <v>217</v>
      </c>
      <c r="AB85" s="141" t="s">
        <v>196</v>
      </c>
      <c r="AC85" s="165" t="s">
        <v>5</v>
      </c>
      <c r="AD85" s="165" t="s">
        <v>5</v>
      </c>
      <c r="AE85" s="165" t="s">
        <v>5</v>
      </c>
      <c r="AF85" s="5" t="s">
        <v>1037</v>
      </c>
      <c r="AG85" s="5"/>
      <c r="AH85" s="210"/>
      <c r="AI85" s="76"/>
      <c r="AJ85" s="76"/>
      <c r="AK85" s="221" t="e">
        <f>SUM(#REF!,BT85,BV85)</f>
        <v>#REF!</v>
      </c>
      <c r="AL85" s="154"/>
      <c r="AM85" s="154"/>
      <c r="AN85" s="154"/>
      <c r="AO85" s="154"/>
      <c r="AP85" s="154"/>
      <c r="AQ85" s="154"/>
      <c r="AR85" s="51">
        <v>1070.1851485216268</v>
      </c>
      <c r="AS85" s="51">
        <v>211.95524</v>
      </c>
      <c r="AT85" s="51">
        <v>134.14262000000002</v>
      </c>
      <c r="AU85" s="51">
        <v>0.7</v>
      </c>
      <c r="AV85" s="37">
        <v>2866.6</v>
      </c>
      <c r="AW85" s="36">
        <v>119</v>
      </c>
      <c r="AX85" s="90">
        <f t="shared" si="24"/>
        <v>2985.6</v>
      </c>
      <c r="AY85" s="157">
        <f t="shared" si="46"/>
        <v>0</v>
      </c>
      <c r="AZ85" s="182">
        <v>0</v>
      </c>
      <c r="BA85" s="158">
        <v>0</v>
      </c>
      <c r="BB85" s="182">
        <v>0</v>
      </c>
      <c r="BC85" s="158"/>
      <c r="BD85" s="182">
        <v>0</v>
      </c>
      <c r="BE85" s="158">
        <v>0</v>
      </c>
      <c r="BF85" s="182">
        <v>0</v>
      </c>
      <c r="BG85" s="158"/>
      <c r="BH85" s="182">
        <v>0</v>
      </c>
      <c r="BI85" s="158"/>
      <c r="BJ85" s="182">
        <v>0</v>
      </c>
      <c r="BK85" s="158"/>
      <c r="BL85" s="182"/>
      <c r="BM85" s="158"/>
      <c r="BN85" s="182"/>
      <c r="BO85" s="158"/>
      <c r="BP85" s="182"/>
      <c r="BQ85" s="158"/>
      <c r="BR85" s="182"/>
      <c r="BS85" s="158"/>
      <c r="BT85" s="182"/>
      <c r="BU85" s="158"/>
      <c r="BV85" s="182"/>
      <c r="BW85" s="234"/>
      <c r="BX85" s="237"/>
      <c r="BY85" s="81">
        <f t="shared" si="47"/>
        <v>0</v>
      </c>
      <c r="BZ85" s="198"/>
      <c r="CA85" s="198"/>
      <c r="CB85" s="198"/>
      <c r="CC85" s="198"/>
      <c r="CD85" s="198"/>
      <c r="CE85" s="198"/>
      <c r="CF85" s="198"/>
      <c r="CG85" s="198"/>
      <c r="CH85" s="198"/>
      <c r="CI85" s="198"/>
      <c r="CJ85" s="198"/>
      <c r="CK85" s="198"/>
      <c r="CL85" s="195">
        <f t="shared" si="37"/>
        <v>0</v>
      </c>
      <c r="CM85" s="196"/>
      <c r="CN85" s="196"/>
      <c r="CO85" s="196"/>
      <c r="CP85" s="196"/>
      <c r="CQ85" s="196"/>
      <c r="CR85" s="196"/>
      <c r="CS85" s="196"/>
      <c r="CT85" s="196"/>
      <c r="CU85" s="196"/>
      <c r="CV85" s="196"/>
      <c r="CW85" s="196"/>
      <c r="CX85" s="196"/>
      <c r="CY85" s="200">
        <f t="shared" si="26"/>
        <v>0</v>
      </c>
      <c r="CZ85" s="172">
        <f t="shared" si="48"/>
        <v>0</v>
      </c>
      <c r="DA85" s="201">
        <f t="shared" si="27"/>
        <v>0</v>
      </c>
      <c r="DB85" s="201">
        <f t="shared" si="28"/>
        <v>0</v>
      </c>
      <c r="DC85" s="201">
        <f t="shared" si="38"/>
        <v>0</v>
      </c>
      <c r="DD85" s="239">
        <v>0</v>
      </c>
      <c r="DE85" s="201">
        <f t="shared" si="39"/>
        <v>0</v>
      </c>
      <c r="DF85" s="172" t="e">
        <f>SUM(DN85:DO85)-SUM(#REF!,BV85)+BU85</f>
        <v>#REF!</v>
      </c>
      <c r="DG85" s="207"/>
      <c r="DH85" s="225">
        <f t="shared" si="40"/>
        <v>0</v>
      </c>
      <c r="DI85" s="225">
        <f t="shared" si="41"/>
        <v>0</v>
      </c>
      <c r="DJ85" s="225">
        <f t="shared" si="42"/>
        <v>0</v>
      </c>
      <c r="DK85" s="225" t="e">
        <f>SUM(BS85,#REF!,BV85)</f>
        <v>#REF!</v>
      </c>
      <c r="DL85" s="145">
        <v>2866.6</v>
      </c>
      <c r="DM85" s="145">
        <v>2781.0119900000004</v>
      </c>
      <c r="DN85" s="145">
        <v>0</v>
      </c>
      <c r="DO85" s="145">
        <v>0</v>
      </c>
      <c r="DP85" s="145">
        <v>2781.0119900000004</v>
      </c>
      <c r="DQ85" s="145">
        <v>85.588009999999997</v>
      </c>
      <c r="DR85" s="21">
        <f>VLOOKUP(C85,[6]Database!$B$143:$AD$521,29,FALSE)</f>
        <v>0</v>
      </c>
      <c r="DS85" s="219">
        <f t="shared" si="43"/>
        <v>0</v>
      </c>
    </row>
    <row r="86" spans="1:123" s="21" customFormat="1" ht="24" customHeight="1">
      <c r="A86" s="16"/>
      <c r="B86" s="2">
        <v>42</v>
      </c>
      <c r="C86" s="78" t="s">
        <v>34</v>
      </c>
      <c r="D86" s="78"/>
      <c r="E86" s="78"/>
      <c r="F86" s="3">
        <v>2017</v>
      </c>
      <c r="G86" s="4">
        <v>42964</v>
      </c>
      <c r="H86" s="4">
        <v>42964</v>
      </c>
      <c r="I86" s="4">
        <v>43560</v>
      </c>
      <c r="J86" s="13">
        <f t="shared" ca="1" si="21"/>
        <v>596</v>
      </c>
      <c r="K86" s="165">
        <f t="shared" si="44"/>
        <v>43511</v>
      </c>
      <c r="L86" s="165">
        <f t="shared" si="45"/>
        <v>43694</v>
      </c>
      <c r="M86" s="165"/>
      <c r="N86" s="165"/>
      <c r="O86" s="165"/>
      <c r="P86" s="165"/>
      <c r="Q86" s="165"/>
      <c r="R86" s="3" t="s">
        <v>175</v>
      </c>
      <c r="S86" s="11" t="s">
        <v>223</v>
      </c>
      <c r="T86" s="11"/>
      <c r="U86" s="5" t="s">
        <v>8</v>
      </c>
      <c r="V86" s="251"/>
      <c r="W86" s="5" t="s">
        <v>602</v>
      </c>
      <c r="X86" s="5" t="s">
        <v>478</v>
      </c>
      <c r="Y86" s="5" t="s">
        <v>35</v>
      </c>
      <c r="Z86" s="3" t="s">
        <v>186</v>
      </c>
      <c r="AA86" s="6" t="s">
        <v>217</v>
      </c>
      <c r="AB86" s="141" t="s">
        <v>196</v>
      </c>
      <c r="AC86" s="165" t="s">
        <v>5</v>
      </c>
      <c r="AD86" s="165" t="s">
        <v>5</v>
      </c>
      <c r="AE86" s="165" t="s">
        <v>5</v>
      </c>
      <c r="AF86" s="5"/>
      <c r="AG86" s="5"/>
      <c r="AH86" s="210"/>
      <c r="AI86" s="76"/>
      <c r="AJ86" s="76"/>
      <c r="AK86" s="221" t="e">
        <f>SUM(#REF!,BT86,BV86)</f>
        <v>#REF!</v>
      </c>
      <c r="AL86" s="154"/>
      <c r="AM86" s="154"/>
      <c r="AN86" s="154"/>
      <c r="AO86" s="154"/>
      <c r="AP86" s="154"/>
      <c r="AQ86" s="154"/>
      <c r="AR86" s="51">
        <v>35.333172788543564</v>
      </c>
      <c r="AS86" s="51">
        <v>0</v>
      </c>
      <c r="AT86" s="51">
        <v>0</v>
      </c>
      <c r="AU86" s="51"/>
      <c r="AV86" s="36">
        <v>355.02</v>
      </c>
      <c r="AW86" s="36">
        <v>45</v>
      </c>
      <c r="AX86" s="90">
        <f t="shared" si="24"/>
        <v>400.02</v>
      </c>
      <c r="AY86" s="157">
        <f t="shared" si="46"/>
        <v>0</v>
      </c>
      <c r="AZ86" s="182">
        <v>0</v>
      </c>
      <c r="BA86" s="158"/>
      <c r="BB86" s="182">
        <v>0</v>
      </c>
      <c r="BC86" s="158"/>
      <c r="BD86" s="182">
        <v>0</v>
      </c>
      <c r="BE86" s="158">
        <v>0</v>
      </c>
      <c r="BF86" s="182">
        <v>0</v>
      </c>
      <c r="BG86" s="158"/>
      <c r="BH86" s="182">
        <v>0</v>
      </c>
      <c r="BI86" s="158"/>
      <c r="BJ86" s="182">
        <v>0</v>
      </c>
      <c r="BK86" s="158"/>
      <c r="BL86" s="182"/>
      <c r="BM86" s="158"/>
      <c r="BN86" s="182"/>
      <c r="BO86" s="158"/>
      <c r="BP86" s="182"/>
      <c r="BQ86" s="158"/>
      <c r="BR86" s="182"/>
      <c r="BS86" s="158"/>
      <c r="BT86" s="182"/>
      <c r="BU86" s="158"/>
      <c r="BV86" s="182"/>
      <c r="BW86" s="234"/>
      <c r="BX86" s="237"/>
      <c r="BY86" s="81">
        <f t="shared" si="47"/>
        <v>0</v>
      </c>
      <c r="BZ86" s="241"/>
      <c r="CA86" s="241"/>
      <c r="CB86" s="241"/>
      <c r="CC86" s="241"/>
      <c r="CD86" s="241"/>
      <c r="CE86" s="241"/>
      <c r="CF86" s="241"/>
      <c r="CG86" s="241"/>
      <c r="CH86" s="241"/>
      <c r="CI86" s="241"/>
      <c r="CJ86" s="241"/>
      <c r="CK86" s="241"/>
      <c r="CL86" s="195">
        <f t="shared" si="37"/>
        <v>0</v>
      </c>
      <c r="CM86" s="196"/>
      <c r="CN86" s="196"/>
      <c r="CO86" s="196"/>
      <c r="CP86" s="196"/>
      <c r="CQ86" s="196"/>
      <c r="CR86" s="196"/>
      <c r="CS86" s="196"/>
      <c r="CT86" s="196"/>
      <c r="CU86" s="196"/>
      <c r="CV86" s="196"/>
      <c r="CW86" s="196"/>
      <c r="CX86" s="196"/>
      <c r="CY86" s="200">
        <f t="shared" si="26"/>
        <v>0</v>
      </c>
      <c r="CZ86" s="172">
        <f t="shared" si="48"/>
        <v>0</v>
      </c>
      <c r="DA86" s="201">
        <f t="shared" si="27"/>
        <v>0</v>
      </c>
      <c r="DB86" s="201">
        <f t="shared" si="28"/>
        <v>0</v>
      </c>
      <c r="DC86" s="201">
        <f t="shared" si="38"/>
        <v>0</v>
      </c>
      <c r="DD86" s="239">
        <v>0</v>
      </c>
      <c r="DE86" s="201">
        <f t="shared" si="39"/>
        <v>0</v>
      </c>
      <c r="DF86" s="172" t="e">
        <f>SUM(DN86:DO86)-SUM(#REF!,BV86)+BU86</f>
        <v>#REF!</v>
      </c>
      <c r="DG86" s="207"/>
      <c r="DH86" s="225">
        <f t="shared" si="40"/>
        <v>0</v>
      </c>
      <c r="DI86" s="225">
        <f t="shared" si="41"/>
        <v>0</v>
      </c>
      <c r="DJ86" s="225">
        <f t="shared" si="42"/>
        <v>0</v>
      </c>
      <c r="DK86" s="225" t="e">
        <f>SUM(BS86,#REF!,BV86)</f>
        <v>#REF!</v>
      </c>
      <c r="DL86" s="145">
        <v>355.017</v>
      </c>
      <c r="DM86" s="145">
        <v>341.41795999999999</v>
      </c>
      <c r="DN86" s="145">
        <v>0</v>
      </c>
      <c r="DO86" s="145">
        <v>0</v>
      </c>
      <c r="DP86" s="145">
        <v>341.41795999999999</v>
      </c>
      <c r="DQ86" s="145">
        <v>13.59904</v>
      </c>
      <c r="DS86" s="219">
        <f t="shared" si="43"/>
        <v>0</v>
      </c>
    </row>
    <row r="87" spans="1:123" s="21" customFormat="1" ht="24" customHeight="1">
      <c r="A87" s="16"/>
      <c r="B87" s="2">
        <v>43</v>
      </c>
      <c r="C87" s="78" t="s">
        <v>36</v>
      </c>
      <c r="D87" s="78"/>
      <c r="E87" s="78"/>
      <c r="F87" s="3">
        <v>2017</v>
      </c>
      <c r="G87" s="4">
        <v>42915</v>
      </c>
      <c r="H87" s="4">
        <v>42943</v>
      </c>
      <c r="I87" s="4">
        <v>43525</v>
      </c>
      <c r="J87" s="13">
        <f t="shared" ca="1" si="21"/>
        <v>582</v>
      </c>
      <c r="K87" s="165">
        <f t="shared" si="44"/>
        <v>43490</v>
      </c>
      <c r="L87" s="165">
        <f t="shared" si="45"/>
        <v>43673</v>
      </c>
      <c r="M87" s="165"/>
      <c r="N87" s="165"/>
      <c r="O87" s="165"/>
      <c r="P87" s="165"/>
      <c r="Q87" s="165"/>
      <c r="R87" s="3" t="s">
        <v>177</v>
      </c>
      <c r="S87" s="11" t="s">
        <v>222</v>
      </c>
      <c r="T87" s="11"/>
      <c r="U87" s="5" t="s">
        <v>8</v>
      </c>
      <c r="V87" s="251"/>
      <c r="W87" s="5" t="s">
        <v>602</v>
      </c>
      <c r="X87" s="5" t="s">
        <v>478</v>
      </c>
      <c r="Y87" s="5" t="s">
        <v>37</v>
      </c>
      <c r="Z87" s="3" t="s">
        <v>187</v>
      </c>
      <c r="AA87" s="6" t="s">
        <v>217</v>
      </c>
      <c r="AB87" s="141" t="s">
        <v>196</v>
      </c>
      <c r="AC87" s="165" t="s">
        <v>5</v>
      </c>
      <c r="AD87" s="165" t="s">
        <v>5</v>
      </c>
      <c r="AE87" s="165" t="s">
        <v>5</v>
      </c>
      <c r="AF87" s="5"/>
      <c r="AG87" s="5"/>
      <c r="AH87" s="210"/>
      <c r="AI87" s="76"/>
      <c r="AJ87" s="76"/>
      <c r="AK87" s="221" t="e">
        <f>SUM(#REF!,BT87,BV87)</f>
        <v>#REF!</v>
      </c>
      <c r="AL87" s="48"/>
      <c r="AM87" s="48"/>
      <c r="AN87" s="48"/>
      <c r="AO87" s="48"/>
      <c r="AP87" s="48"/>
      <c r="AQ87" s="48"/>
      <c r="AR87" s="51">
        <v>32.226922696860782</v>
      </c>
      <c r="AS87" s="51">
        <v>0</v>
      </c>
      <c r="AT87" s="51">
        <v>0</v>
      </c>
      <c r="AU87" s="51"/>
      <c r="AV87" s="36">
        <v>464.6</v>
      </c>
      <c r="AW87" s="36">
        <v>3.2</v>
      </c>
      <c r="AX87" s="90">
        <f t="shared" si="24"/>
        <v>467.8</v>
      </c>
      <c r="AY87" s="157">
        <f t="shared" si="46"/>
        <v>0</v>
      </c>
      <c r="AZ87" s="182">
        <v>0</v>
      </c>
      <c r="BA87" s="158"/>
      <c r="BB87" s="182">
        <v>0</v>
      </c>
      <c r="BC87" s="158"/>
      <c r="BD87" s="182">
        <v>0</v>
      </c>
      <c r="BE87" s="158">
        <v>0</v>
      </c>
      <c r="BF87" s="182">
        <v>0</v>
      </c>
      <c r="BG87" s="158"/>
      <c r="BH87" s="182">
        <v>0</v>
      </c>
      <c r="BI87" s="158"/>
      <c r="BJ87" s="182">
        <v>0</v>
      </c>
      <c r="BK87" s="158"/>
      <c r="BL87" s="182"/>
      <c r="BM87" s="158"/>
      <c r="BN87" s="182"/>
      <c r="BO87" s="158"/>
      <c r="BP87" s="182"/>
      <c r="BQ87" s="158"/>
      <c r="BR87" s="182"/>
      <c r="BS87" s="158"/>
      <c r="BT87" s="182"/>
      <c r="BU87" s="158"/>
      <c r="BV87" s="182"/>
      <c r="BW87" s="234"/>
      <c r="BX87" s="237"/>
      <c r="BY87" s="81">
        <f t="shared" si="47"/>
        <v>0</v>
      </c>
      <c r="BZ87" s="198"/>
      <c r="CA87" s="198"/>
      <c r="CB87" s="198"/>
      <c r="CC87" s="198"/>
      <c r="CD87" s="198"/>
      <c r="CE87" s="198"/>
      <c r="CF87" s="198"/>
      <c r="CG87" s="198"/>
      <c r="CH87" s="198"/>
      <c r="CI87" s="198"/>
      <c r="CJ87" s="198"/>
      <c r="CK87" s="198"/>
      <c r="CL87" s="195">
        <f t="shared" si="37"/>
        <v>0</v>
      </c>
      <c r="CM87" s="196"/>
      <c r="CN87" s="196"/>
      <c r="CO87" s="196"/>
      <c r="CP87" s="196"/>
      <c r="CQ87" s="196"/>
      <c r="CR87" s="196"/>
      <c r="CS87" s="196"/>
      <c r="CT87" s="196"/>
      <c r="CU87" s="196"/>
      <c r="CV87" s="196"/>
      <c r="CW87" s="196"/>
      <c r="CX87" s="196"/>
      <c r="CY87" s="200">
        <f t="shared" si="26"/>
        <v>0</v>
      </c>
      <c r="CZ87" s="172">
        <f t="shared" si="48"/>
        <v>0</v>
      </c>
      <c r="DA87" s="201">
        <f t="shared" si="27"/>
        <v>0</v>
      </c>
      <c r="DB87" s="201">
        <f t="shared" si="28"/>
        <v>0</v>
      </c>
      <c r="DC87" s="201">
        <f t="shared" si="38"/>
        <v>0</v>
      </c>
      <c r="DD87" s="239">
        <v>0</v>
      </c>
      <c r="DE87" s="201">
        <f t="shared" si="39"/>
        <v>0</v>
      </c>
      <c r="DF87" s="172" t="e">
        <f>SUM(DN87:DO87)-SUM(#REF!,BV87)+BU87</f>
        <v>#REF!</v>
      </c>
      <c r="DG87" s="207"/>
      <c r="DH87" s="225">
        <f t="shared" si="40"/>
        <v>0</v>
      </c>
      <c r="DI87" s="225">
        <f t="shared" si="41"/>
        <v>0</v>
      </c>
      <c r="DJ87" s="225">
        <f t="shared" si="42"/>
        <v>0</v>
      </c>
      <c r="DK87" s="225" t="e">
        <f>SUM(BS87,#REF!,BV87)</f>
        <v>#REF!</v>
      </c>
      <c r="DL87" s="145">
        <v>464.6</v>
      </c>
      <c r="DM87" s="145">
        <v>450.6737</v>
      </c>
      <c r="DN87" s="145">
        <v>0</v>
      </c>
      <c r="DO87" s="145">
        <v>0</v>
      </c>
      <c r="DP87" s="145">
        <v>450.6737</v>
      </c>
      <c r="DQ87" s="145">
        <v>13.926299999999999</v>
      </c>
      <c r="DS87" s="219">
        <f t="shared" si="43"/>
        <v>0</v>
      </c>
    </row>
    <row r="88" spans="1:123" s="21" customFormat="1" ht="24" customHeight="1">
      <c r="A88" s="16"/>
      <c r="B88" s="2">
        <v>44</v>
      </c>
      <c r="C88" s="78" t="s">
        <v>38</v>
      </c>
      <c r="D88" s="78"/>
      <c r="E88" s="78"/>
      <c r="F88" s="3">
        <v>2017</v>
      </c>
      <c r="G88" s="4">
        <v>42943</v>
      </c>
      <c r="H88" s="4">
        <v>42943</v>
      </c>
      <c r="I88" s="4">
        <v>43500</v>
      </c>
      <c r="J88" s="13">
        <f t="shared" ca="1" si="21"/>
        <v>557</v>
      </c>
      <c r="K88" s="165">
        <f t="shared" si="44"/>
        <v>43490</v>
      </c>
      <c r="L88" s="165">
        <f t="shared" si="45"/>
        <v>43673</v>
      </c>
      <c r="M88" s="165"/>
      <c r="N88" s="165"/>
      <c r="O88" s="165"/>
      <c r="P88" s="165"/>
      <c r="Q88" s="165"/>
      <c r="R88" s="3" t="s">
        <v>175</v>
      </c>
      <c r="S88" s="11" t="s">
        <v>223</v>
      </c>
      <c r="T88" s="11"/>
      <c r="U88" s="5" t="s">
        <v>8</v>
      </c>
      <c r="V88" s="251"/>
      <c r="W88" s="5" t="s">
        <v>602</v>
      </c>
      <c r="X88" s="5" t="s">
        <v>478</v>
      </c>
      <c r="Y88" s="5" t="s">
        <v>39</v>
      </c>
      <c r="Z88" s="3" t="s">
        <v>186</v>
      </c>
      <c r="AA88" s="6" t="s">
        <v>217</v>
      </c>
      <c r="AB88" s="141" t="s">
        <v>196</v>
      </c>
      <c r="AC88" s="165" t="s">
        <v>5</v>
      </c>
      <c r="AD88" s="165" t="s">
        <v>5</v>
      </c>
      <c r="AE88" s="165" t="s">
        <v>5</v>
      </c>
      <c r="AF88" s="5"/>
      <c r="AG88" s="5"/>
      <c r="AH88" s="210"/>
      <c r="AI88" s="76"/>
      <c r="AJ88" s="76"/>
      <c r="AK88" s="221" t="e">
        <f>SUM(#REF!,BT88,BV88)</f>
        <v>#REF!</v>
      </c>
      <c r="AL88" s="48"/>
      <c r="AM88" s="48"/>
      <c r="AN88" s="48"/>
      <c r="AO88" s="48"/>
      <c r="AP88" s="48"/>
      <c r="AQ88" s="48"/>
      <c r="AR88" s="51">
        <v>0.16700000000000001</v>
      </c>
      <c r="AS88" s="51"/>
      <c r="AT88" s="51">
        <v>0</v>
      </c>
      <c r="AU88" s="51"/>
      <c r="AV88" s="36">
        <v>198</v>
      </c>
      <c r="AW88" s="36">
        <v>0</v>
      </c>
      <c r="AX88" s="90">
        <f t="shared" si="24"/>
        <v>198</v>
      </c>
      <c r="AY88" s="157">
        <f t="shared" si="46"/>
        <v>0</v>
      </c>
      <c r="AZ88" s="182">
        <v>0</v>
      </c>
      <c r="BA88" s="158"/>
      <c r="BB88" s="182">
        <v>0</v>
      </c>
      <c r="BC88" s="158"/>
      <c r="BD88" s="182">
        <v>0</v>
      </c>
      <c r="BE88" s="158">
        <v>0</v>
      </c>
      <c r="BF88" s="182">
        <v>0</v>
      </c>
      <c r="BG88" s="158"/>
      <c r="BH88" s="182">
        <v>0</v>
      </c>
      <c r="BI88" s="158"/>
      <c r="BJ88" s="182">
        <v>0</v>
      </c>
      <c r="BK88" s="158"/>
      <c r="BL88" s="182"/>
      <c r="BM88" s="158"/>
      <c r="BN88" s="182"/>
      <c r="BO88" s="158"/>
      <c r="BP88" s="182"/>
      <c r="BQ88" s="158"/>
      <c r="BR88" s="182"/>
      <c r="BS88" s="158"/>
      <c r="BT88" s="182"/>
      <c r="BU88" s="158"/>
      <c r="BV88" s="182"/>
      <c r="BW88" s="234"/>
      <c r="BX88" s="237"/>
      <c r="BY88" s="81">
        <f t="shared" si="47"/>
        <v>0</v>
      </c>
      <c r="BZ88" s="241"/>
      <c r="CA88" s="241"/>
      <c r="CB88" s="241"/>
      <c r="CC88" s="241"/>
      <c r="CD88" s="241"/>
      <c r="CE88" s="241"/>
      <c r="CF88" s="241"/>
      <c r="CG88" s="241"/>
      <c r="CH88" s="241"/>
      <c r="CI88" s="241"/>
      <c r="CJ88" s="241"/>
      <c r="CK88" s="241"/>
      <c r="CL88" s="195">
        <f t="shared" si="37"/>
        <v>0</v>
      </c>
      <c r="CM88" s="196"/>
      <c r="CN88" s="196"/>
      <c r="CO88" s="196"/>
      <c r="CP88" s="196"/>
      <c r="CQ88" s="196"/>
      <c r="CR88" s="196"/>
      <c r="CS88" s="196"/>
      <c r="CT88" s="196"/>
      <c r="CU88" s="196"/>
      <c r="CV88" s="196"/>
      <c r="CW88" s="196"/>
      <c r="CX88" s="196"/>
      <c r="CY88" s="200">
        <f t="shared" si="26"/>
        <v>0</v>
      </c>
      <c r="CZ88" s="172">
        <f t="shared" si="48"/>
        <v>0</v>
      </c>
      <c r="DA88" s="201">
        <f t="shared" si="27"/>
        <v>0</v>
      </c>
      <c r="DB88" s="201">
        <f t="shared" si="28"/>
        <v>0</v>
      </c>
      <c r="DC88" s="201">
        <f t="shared" si="38"/>
        <v>0</v>
      </c>
      <c r="DD88" s="239">
        <v>0</v>
      </c>
      <c r="DE88" s="201">
        <f t="shared" si="39"/>
        <v>0</v>
      </c>
      <c r="DF88" s="172" t="e">
        <f>SUM(DN88:DO88)-SUM(#REF!,BV88)+BU88</f>
        <v>#REF!</v>
      </c>
      <c r="DG88" s="207"/>
      <c r="DH88" s="225">
        <f t="shared" si="40"/>
        <v>0</v>
      </c>
      <c r="DI88" s="225">
        <f t="shared" si="41"/>
        <v>0</v>
      </c>
      <c r="DJ88" s="225">
        <f t="shared" si="42"/>
        <v>0</v>
      </c>
      <c r="DK88" s="225" t="e">
        <f>SUM(BS88,#REF!,BV88)</f>
        <v>#REF!</v>
      </c>
      <c r="DL88" s="145">
        <v>198</v>
      </c>
      <c r="DM88" s="145">
        <v>196.42189000000002</v>
      </c>
      <c r="DN88" s="145">
        <v>0</v>
      </c>
      <c r="DO88" s="145">
        <v>0</v>
      </c>
      <c r="DP88" s="145">
        <v>196.42189000000002</v>
      </c>
      <c r="DQ88" s="145">
        <v>1.5781099999999999</v>
      </c>
      <c r="DS88" s="219">
        <f t="shared" si="43"/>
        <v>0</v>
      </c>
    </row>
    <row r="89" spans="1:123" s="21" customFormat="1" ht="24" customHeight="1">
      <c r="A89" s="16"/>
      <c r="B89" s="2">
        <v>45</v>
      </c>
      <c r="C89" s="78" t="s">
        <v>40</v>
      </c>
      <c r="D89" s="78"/>
      <c r="E89" s="78"/>
      <c r="F89" s="3">
        <v>2017</v>
      </c>
      <c r="G89" s="4">
        <v>42979</v>
      </c>
      <c r="H89" s="4">
        <v>42979</v>
      </c>
      <c r="I89" s="4">
        <v>43517</v>
      </c>
      <c r="J89" s="13">
        <f t="shared" ca="1" si="21"/>
        <v>538</v>
      </c>
      <c r="K89" s="165">
        <f t="shared" si="44"/>
        <v>43526</v>
      </c>
      <c r="L89" s="165">
        <f t="shared" si="45"/>
        <v>43709</v>
      </c>
      <c r="M89" s="165"/>
      <c r="N89" s="165"/>
      <c r="O89" s="165"/>
      <c r="P89" s="165"/>
      <c r="Q89" s="165"/>
      <c r="R89" s="3" t="s">
        <v>178</v>
      </c>
      <c r="S89" s="11"/>
      <c r="T89" s="11"/>
      <c r="U89" s="5" t="s">
        <v>8</v>
      </c>
      <c r="V89" s="251"/>
      <c r="W89" s="5" t="s">
        <v>602</v>
      </c>
      <c r="X89" s="5" t="s">
        <v>473</v>
      </c>
      <c r="Y89" s="5" t="s">
        <v>41</v>
      </c>
      <c r="Z89" s="3" t="s">
        <v>180</v>
      </c>
      <c r="AA89" s="6" t="s">
        <v>217</v>
      </c>
      <c r="AB89" s="141" t="s">
        <v>196</v>
      </c>
      <c r="AC89" s="165" t="s">
        <v>5</v>
      </c>
      <c r="AD89" s="165" t="s">
        <v>5</v>
      </c>
      <c r="AE89" s="165" t="s">
        <v>5</v>
      </c>
      <c r="AF89" s="5"/>
      <c r="AG89" s="5"/>
      <c r="AH89" s="210"/>
      <c r="AI89" s="76"/>
      <c r="AJ89" s="76"/>
      <c r="AK89" s="221" t="e">
        <f>SUM(#REF!,BT89,BV89)</f>
        <v>#REF!</v>
      </c>
      <c r="AL89" s="48"/>
      <c r="AM89" s="48"/>
      <c r="AN89" s="48"/>
      <c r="AO89" s="48"/>
      <c r="AP89" s="48"/>
      <c r="AQ89" s="48"/>
      <c r="AR89" s="51">
        <v>-2.6</v>
      </c>
      <c r="AS89" s="51"/>
      <c r="AT89" s="51">
        <v>0</v>
      </c>
      <c r="AU89" s="51"/>
      <c r="AV89" s="36">
        <v>234</v>
      </c>
      <c r="AW89" s="36">
        <v>0</v>
      </c>
      <c r="AX89" s="90">
        <f t="shared" si="24"/>
        <v>234</v>
      </c>
      <c r="AY89" s="157">
        <f t="shared" si="46"/>
        <v>0</v>
      </c>
      <c r="AZ89" s="182">
        <v>0</v>
      </c>
      <c r="BA89" s="158"/>
      <c r="BB89" s="182">
        <v>0</v>
      </c>
      <c r="BC89" s="158"/>
      <c r="BD89" s="182">
        <v>0</v>
      </c>
      <c r="BE89" s="158">
        <v>0</v>
      </c>
      <c r="BF89" s="182">
        <v>0</v>
      </c>
      <c r="BG89" s="158"/>
      <c r="BH89" s="182">
        <v>0</v>
      </c>
      <c r="BI89" s="158"/>
      <c r="BJ89" s="182">
        <v>0</v>
      </c>
      <c r="BK89" s="158"/>
      <c r="BL89" s="182"/>
      <c r="BM89" s="158"/>
      <c r="BN89" s="182"/>
      <c r="BO89" s="158"/>
      <c r="BP89" s="182"/>
      <c r="BQ89" s="158"/>
      <c r="BR89" s="182"/>
      <c r="BS89" s="158"/>
      <c r="BT89" s="182"/>
      <c r="BU89" s="158"/>
      <c r="BV89" s="182"/>
      <c r="BW89" s="234"/>
      <c r="BX89" s="237"/>
      <c r="BY89" s="81">
        <f t="shared" si="47"/>
        <v>0</v>
      </c>
      <c r="BZ89" s="198"/>
      <c r="CA89" s="198"/>
      <c r="CB89" s="198"/>
      <c r="CC89" s="198"/>
      <c r="CD89" s="198"/>
      <c r="CE89" s="198"/>
      <c r="CF89" s="198"/>
      <c r="CG89" s="198"/>
      <c r="CH89" s="198"/>
      <c r="CI89" s="198"/>
      <c r="CJ89" s="198"/>
      <c r="CK89" s="198"/>
      <c r="CL89" s="195">
        <f t="shared" si="37"/>
        <v>0</v>
      </c>
      <c r="CM89" s="196"/>
      <c r="CN89" s="196"/>
      <c r="CO89" s="196"/>
      <c r="CP89" s="196"/>
      <c r="CQ89" s="196"/>
      <c r="CR89" s="196"/>
      <c r="CS89" s="196"/>
      <c r="CT89" s="196"/>
      <c r="CU89" s="196"/>
      <c r="CV89" s="196"/>
      <c r="CW89" s="196"/>
      <c r="CX89" s="196"/>
      <c r="CY89" s="200">
        <f t="shared" si="26"/>
        <v>0</v>
      </c>
      <c r="CZ89" s="172">
        <f t="shared" si="48"/>
        <v>0</v>
      </c>
      <c r="DA89" s="201">
        <f t="shared" si="27"/>
        <v>0</v>
      </c>
      <c r="DB89" s="201">
        <f t="shared" si="28"/>
        <v>0</v>
      </c>
      <c r="DC89" s="201">
        <f t="shared" si="38"/>
        <v>0</v>
      </c>
      <c r="DD89" s="239">
        <v>0</v>
      </c>
      <c r="DE89" s="201">
        <f t="shared" si="39"/>
        <v>0</v>
      </c>
      <c r="DF89" s="172" t="e">
        <f>SUM(DN89:DO89)-SUM(#REF!,BV89)+BU89</f>
        <v>#REF!</v>
      </c>
      <c r="DG89" s="207"/>
      <c r="DH89" s="225">
        <f t="shared" si="40"/>
        <v>0</v>
      </c>
      <c r="DI89" s="225">
        <f t="shared" si="41"/>
        <v>0</v>
      </c>
      <c r="DJ89" s="225">
        <f t="shared" si="42"/>
        <v>0</v>
      </c>
      <c r="DK89" s="225" t="e">
        <f>SUM(BS89,#REF!,BV89)</f>
        <v>#REF!</v>
      </c>
      <c r="DL89" s="145">
        <v>234</v>
      </c>
      <c r="DM89" s="145">
        <v>217.42175</v>
      </c>
      <c r="DN89" s="145">
        <v>0</v>
      </c>
      <c r="DO89" s="145">
        <v>0</v>
      </c>
      <c r="DP89" s="145">
        <v>217.42175</v>
      </c>
      <c r="DQ89" s="145">
        <v>16.578250000000001</v>
      </c>
      <c r="DS89" s="219">
        <f t="shared" si="43"/>
        <v>0</v>
      </c>
    </row>
    <row r="90" spans="1:123" s="21" customFormat="1" ht="24" customHeight="1">
      <c r="A90" s="16"/>
      <c r="B90" s="2">
        <v>46</v>
      </c>
      <c r="C90" s="78" t="s">
        <v>42</v>
      </c>
      <c r="D90" s="78"/>
      <c r="E90" s="78"/>
      <c r="F90" s="3">
        <v>2017</v>
      </c>
      <c r="G90" s="4">
        <v>43027</v>
      </c>
      <c r="H90" s="4">
        <v>43027</v>
      </c>
      <c r="I90" s="4">
        <v>43588</v>
      </c>
      <c r="J90" s="13">
        <f t="shared" ca="1" si="21"/>
        <v>561</v>
      </c>
      <c r="K90" s="165">
        <f t="shared" si="44"/>
        <v>43574</v>
      </c>
      <c r="L90" s="165">
        <f t="shared" si="45"/>
        <v>43757</v>
      </c>
      <c r="M90" s="165"/>
      <c r="N90" s="165"/>
      <c r="O90" s="165"/>
      <c r="P90" s="165"/>
      <c r="Q90" s="165"/>
      <c r="R90" s="3" t="s">
        <v>179</v>
      </c>
      <c r="S90" s="11" t="s">
        <v>222</v>
      </c>
      <c r="T90" s="11"/>
      <c r="U90" s="5" t="s">
        <v>8</v>
      </c>
      <c r="V90" s="251"/>
      <c r="W90" s="5" t="s">
        <v>602</v>
      </c>
      <c r="X90" s="5" t="s">
        <v>473</v>
      </c>
      <c r="Y90" s="5" t="s">
        <v>43</v>
      </c>
      <c r="Z90" s="3" t="s">
        <v>185</v>
      </c>
      <c r="AA90" s="6" t="s">
        <v>217</v>
      </c>
      <c r="AB90" s="141" t="s">
        <v>196</v>
      </c>
      <c r="AC90" s="165" t="s">
        <v>5</v>
      </c>
      <c r="AD90" s="165" t="s">
        <v>5</v>
      </c>
      <c r="AE90" s="165" t="s">
        <v>5</v>
      </c>
      <c r="AF90" s="5"/>
      <c r="AG90" s="5"/>
      <c r="AH90" s="210"/>
      <c r="AI90" s="76"/>
      <c r="AJ90" s="76"/>
      <c r="AK90" s="221" t="e">
        <f>SUM(#REF!,BT90,BV90)</f>
        <v>#REF!</v>
      </c>
      <c r="AL90" s="48"/>
      <c r="AM90" s="48"/>
      <c r="AN90" s="48"/>
      <c r="AO90" s="48"/>
      <c r="AP90" s="48"/>
      <c r="AQ90" s="48"/>
      <c r="AR90" s="51">
        <v>0</v>
      </c>
      <c r="AS90" s="51"/>
      <c r="AT90" s="51">
        <v>0</v>
      </c>
      <c r="AU90" s="51"/>
      <c r="AV90" s="36">
        <v>68</v>
      </c>
      <c r="AW90" s="36">
        <v>0</v>
      </c>
      <c r="AX90" s="90">
        <f t="shared" si="24"/>
        <v>68</v>
      </c>
      <c r="AY90" s="157">
        <f t="shared" si="46"/>
        <v>0</v>
      </c>
      <c r="AZ90" s="182">
        <v>0</v>
      </c>
      <c r="BA90" s="158"/>
      <c r="BB90" s="182">
        <v>0</v>
      </c>
      <c r="BC90" s="158"/>
      <c r="BD90" s="182">
        <v>0</v>
      </c>
      <c r="BE90" s="158">
        <v>0</v>
      </c>
      <c r="BF90" s="182">
        <v>0</v>
      </c>
      <c r="BG90" s="158"/>
      <c r="BH90" s="182">
        <v>0</v>
      </c>
      <c r="BI90" s="158"/>
      <c r="BJ90" s="182">
        <v>0</v>
      </c>
      <c r="BK90" s="158"/>
      <c r="BL90" s="182"/>
      <c r="BM90" s="158"/>
      <c r="BN90" s="182"/>
      <c r="BO90" s="158"/>
      <c r="BP90" s="182"/>
      <c r="BQ90" s="158"/>
      <c r="BR90" s="182"/>
      <c r="BS90" s="158"/>
      <c r="BT90" s="182"/>
      <c r="BU90" s="158"/>
      <c r="BV90" s="182"/>
      <c r="BW90" s="234"/>
      <c r="BX90" s="237"/>
      <c r="BY90" s="81">
        <f t="shared" si="47"/>
        <v>0</v>
      </c>
      <c r="BZ90" s="198"/>
      <c r="CA90" s="198"/>
      <c r="CB90" s="198"/>
      <c r="CC90" s="198"/>
      <c r="CD90" s="198"/>
      <c r="CE90" s="198"/>
      <c r="CF90" s="198"/>
      <c r="CG90" s="198"/>
      <c r="CH90" s="198"/>
      <c r="CI90" s="198"/>
      <c r="CJ90" s="198"/>
      <c r="CK90" s="198"/>
      <c r="CL90" s="195">
        <f t="shared" si="37"/>
        <v>0</v>
      </c>
      <c r="CM90" s="196"/>
      <c r="CN90" s="196"/>
      <c r="CO90" s="196"/>
      <c r="CP90" s="196"/>
      <c r="CQ90" s="196"/>
      <c r="CR90" s="196"/>
      <c r="CS90" s="196"/>
      <c r="CT90" s="196"/>
      <c r="CU90" s="196"/>
      <c r="CV90" s="196"/>
      <c r="CW90" s="196"/>
      <c r="CX90" s="196"/>
      <c r="CY90" s="200">
        <f t="shared" si="26"/>
        <v>0</v>
      </c>
      <c r="CZ90" s="172">
        <f t="shared" si="48"/>
        <v>0</v>
      </c>
      <c r="DA90" s="201">
        <f t="shared" si="27"/>
        <v>0</v>
      </c>
      <c r="DB90" s="201">
        <f t="shared" si="28"/>
        <v>0</v>
      </c>
      <c r="DC90" s="201">
        <f t="shared" si="38"/>
        <v>0</v>
      </c>
      <c r="DD90" s="239">
        <v>0</v>
      </c>
      <c r="DE90" s="201">
        <f t="shared" si="39"/>
        <v>0</v>
      </c>
      <c r="DF90" s="172" t="e">
        <f>SUM(DN90:DO90)-SUM(#REF!,BV90)+BU90</f>
        <v>#REF!</v>
      </c>
      <c r="DG90" s="207"/>
      <c r="DH90" s="225">
        <f t="shared" si="40"/>
        <v>0</v>
      </c>
      <c r="DI90" s="225">
        <f t="shared" si="41"/>
        <v>0</v>
      </c>
      <c r="DJ90" s="225">
        <f t="shared" si="42"/>
        <v>0</v>
      </c>
      <c r="DK90" s="225" t="e">
        <f>SUM(BS90,#REF!,BV90)</f>
        <v>#REF!</v>
      </c>
      <c r="DL90" s="145">
        <v>68</v>
      </c>
      <c r="DM90" s="145">
        <v>62.697220000000002</v>
      </c>
      <c r="DN90" s="145">
        <v>0</v>
      </c>
      <c r="DO90" s="145">
        <v>0</v>
      </c>
      <c r="DP90" s="145">
        <v>62.697220000000002</v>
      </c>
      <c r="DQ90" s="145">
        <v>5.3027799999999994</v>
      </c>
      <c r="DS90" s="219">
        <f t="shared" si="43"/>
        <v>0</v>
      </c>
    </row>
    <row r="91" spans="1:123" s="21" customFormat="1" ht="24" customHeight="1">
      <c r="A91" s="16"/>
      <c r="B91" s="2">
        <v>47</v>
      </c>
      <c r="C91" s="78" t="s">
        <v>44</v>
      </c>
      <c r="D91" s="78"/>
      <c r="E91" s="78" t="s">
        <v>847</v>
      </c>
      <c r="F91" s="3">
        <v>2018</v>
      </c>
      <c r="G91" s="4">
        <v>43186</v>
      </c>
      <c r="H91" s="4">
        <v>43186</v>
      </c>
      <c r="I91" s="4">
        <v>44251</v>
      </c>
      <c r="J91" s="13">
        <f t="shared" ca="1" si="21"/>
        <v>1065</v>
      </c>
      <c r="K91" s="165">
        <f t="shared" si="44"/>
        <v>43733</v>
      </c>
      <c r="L91" s="165">
        <f t="shared" si="45"/>
        <v>43916</v>
      </c>
      <c r="M91" s="165"/>
      <c r="N91" s="165"/>
      <c r="O91" s="165"/>
      <c r="P91" s="165"/>
      <c r="Q91" s="165"/>
      <c r="R91" s="3" t="s">
        <v>175</v>
      </c>
      <c r="S91" s="11" t="s">
        <v>222</v>
      </c>
      <c r="T91" s="45" t="s">
        <v>185</v>
      </c>
      <c r="U91" s="5" t="s">
        <v>8</v>
      </c>
      <c r="V91" s="251">
        <v>1450024</v>
      </c>
      <c r="W91" s="5" t="s">
        <v>602</v>
      </c>
      <c r="X91" s="5" t="s">
        <v>480</v>
      </c>
      <c r="Y91" s="5" t="s">
        <v>45</v>
      </c>
      <c r="Z91" s="78" t="s">
        <v>185</v>
      </c>
      <c r="AA91" s="6" t="s">
        <v>217</v>
      </c>
      <c r="AB91" s="141" t="s">
        <v>196</v>
      </c>
      <c r="AC91" s="165" t="s">
        <v>5</v>
      </c>
      <c r="AD91" s="165" t="s">
        <v>5</v>
      </c>
      <c r="AE91" s="165" t="s">
        <v>5</v>
      </c>
      <c r="AF91" s="5"/>
      <c r="AG91" s="5"/>
      <c r="AH91" s="210"/>
      <c r="AI91" s="76"/>
      <c r="AJ91" s="76"/>
      <c r="AK91" s="221" t="e">
        <f>SUM(#REF!,BT91,BV91)</f>
        <v>#REF!</v>
      </c>
      <c r="AL91" s="154"/>
      <c r="AM91" s="154"/>
      <c r="AN91" s="154"/>
      <c r="AO91" s="154"/>
      <c r="AP91" s="154"/>
      <c r="AQ91" s="154"/>
      <c r="AR91" s="51">
        <v>1618.2744330234984</v>
      </c>
      <c r="AS91" s="51">
        <v>190</v>
      </c>
      <c r="AT91" s="51">
        <v>26.127699999999994</v>
      </c>
      <c r="AU91" s="51">
        <v>75</v>
      </c>
      <c r="AV91" s="36">
        <v>3492</v>
      </c>
      <c r="AW91" s="36">
        <v>160.4</v>
      </c>
      <c r="AX91" s="90">
        <f t="shared" si="24"/>
        <v>3652.4</v>
      </c>
      <c r="AY91" s="157">
        <f t="shared" si="46"/>
        <v>9.7633700000000001</v>
      </c>
      <c r="AZ91" s="182">
        <v>0</v>
      </c>
      <c r="BA91" s="158">
        <v>0</v>
      </c>
      <c r="BB91" s="182">
        <v>0</v>
      </c>
      <c r="BC91" s="158">
        <v>9.7633700000000001</v>
      </c>
      <c r="BD91" s="182">
        <v>0</v>
      </c>
      <c r="BE91" s="158">
        <v>0</v>
      </c>
      <c r="BF91" s="182">
        <v>0</v>
      </c>
      <c r="BG91" s="158"/>
      <c r="BH91" s="182">
        <v>0</v>
      </c>
      <c r="BI91" s="158"/>
      <c r="BJ91" s="182">
        <v>0</v>
      </c>
      <c r="BK91" s="158"/>
      <c r="BL91" s="182"/>
      <c r="BM91" s="158"/>
      <c r="BN91" s="182"/>
      <c r="BO91" s="158"/>
      <c r="BP91" s="182"/>
      <c r="BQ91" s="158"/>
      <c r="BR91" s="182"/>
      <c r="BS91" s="158"/>
      <c r="BT91" s="182"/>
      <c r="BU91" s="158"/>
      <c r="BV91" s="182"/>
      <c r="BW91" s="234"/>
      <c r="BX91" s="237"/>
      <c r="BY91" s="81">
        <f t="shared" si="47"/>
        <v>0</v>
      </c>
      <c r="BZ91" s="241"/>
      <c r="CA91" s="241"/>
      <c r="CB91" s="241"/>
      <c r="CC91" s="241"/>
      <c r="CD91" s="241"/>
      <c r="CE91" s="241"/>
      <c r="CF91" s="241"/>
      <c r="CG91" s="241"/>
      <c r="CH91" s="241"/>
      <c r="CI91" s="241"/>
      <c r="CJ91" s="241"/>
      <c r="CK91" s="241"/>
      <c r="CL91" s="195">
        <f t="shared" si="37"/>
        <v>0</v>
      </c>
      <c r="CM91" s="196"/>
      <c r="CN91" s="196"/>
      <c r="CO91" s="196"/>
      <c r="CP91" s="196"/>
      <c r="CQ91" s="196"/>
      <c r="CR91" s="196"/>
      <c r="CS91" s="196"/>
      <c r="CT91" s="196"/>
      <c r="CU91" s="196"/>
      <c r="CV91" s="196"/>
      <c r="CW91" s="196"/>
      <c r="CX91" s="196"/>
      <c r="CY91" s="200">
        <f t="shared" si="26"/>
        <v>0</v>
      </c>
      <c r="CZ91" s="172">
        <f t="shared" si="48"/>
        <v>0</v>
      </c>
      <c r="DA91" s="201">
        <f t="shared" si="27"/>
        <v>9.7633700000000001</v>
      </c>
      <c r="DB91" s="201">
        <f t="shared" si="28"/>
        <v>0</v>
      </c>
      <c r="DC91" s="201">
        <f t="shared" si="38"/>
        <v>9.7633700000000001</v>
      </c>
      <c r="DD91" s="239">
        <v>9.7633700000000001</v>
      </c>
      <c r="DE91" s="201">
        <f t="shared" si="39"/>
        <v>0</v>
      </c>
      <c r="DF91" s="172" t="e">
        <f>SUM(DN91:DO91)-SUM(#REF!,BV91)+BU91</f>
        <v>#REF!</v>
      </c>
      <c r="DG91" s="207"/>
      <c r="DH91" s="225">
        <f t="shared" si="40"/>
        <v>9.7633700000000001</v>
      </c>
      <c r="DI91" s="225">
        <f t="shared" si="41"/>
        <v>0</v>
      </c>
      <c r="DJ91" s="225">
        <f t="shared" si="42"/>
        <v>0</v>
      </c>
      <c r="DK91" s="225" t="e">
        <f>SUM(BS91,#REF!,BV91)</f>
        <v>#REF!</v>
      </c>
      <c r="DL91" s="145">
        <v>3492</v>
      </c>
      <c r="DM91" s="145">
        <v>3328.79475</v>
      </c>
      <c r="DN91" s="145">
        <v>0</v>
      </c>
      <c r="DO91" s="145">
        <v>0</v>
      </c>
      <c r="DP91" s="145">
        <v>3328.79475</v>
      </c>
      <c r="DQ91" s="145">
        <v>163.20525000000001</v>
      </c>
      <c r="DR91" s="21">
        <f>VLOOKUP(C91,[6]Database!$B$143:$AD$521,29,FALSE)</f>
        <v>0</v>
      </c>
      <c r="DS91" s="219">
        <f t="shared" si="43"/>
        <v>0</v>
      </c>
    </row>
    <row r="92" spans="1:123" s="21" customFormat="1" ht="24" customHeight="1">
      <c r="A92" s="16"/>
      <c r="B92" s="2">
        <v>48</v>
      </c>
      <c r="C92" s="78" t="s">
        <v>46</v>
      </c>
      <c r="D92" s="78"/>
      <c r="E92" s="78"/>
      <c r="F92" s="3">
        <v>2017</v>
      </c>
      <c r="G92" s="4">
        <v>43090</v>
      </c>
      <c r="H92" s="4">
        <v>43090</v>
      </c>
      <c r="I92" s="4">
        <v>44193</v>
      </c>
      <c r="J92" s="13">
        <f t="shared" ca="1" si="21"/>
        <v>1103</v>
      </c>
      <c r="K92" s="165">
        <f t="shared" si="44"/>
        <v>43637</v>
      </c>
      <c r="L92" s="165">
        <f t="shared" si="45"/>
        <v>43820</v>
      </c>
      <c r="M92" s="165"/>
      <c r="N92" s="165"/>
      <c r="O92" s="165"/>
      <c r="P92" s="165"/>
      <c r="Q92" s="165"/>
      <c r="R92" s="3" t="s">
        <v>178</v>
      </c>
      <c r="S92" s="11"/>
      <c r="T92" s="11"/>
      <c r="U92" s="5" t="s">
        <v>8</v>
      </c>
      <c r="V92" s="251">
        <v>1486809</v>
      </c>
      <c r="W92" s="5" t="s">
        <v>602</v>
      </c>
      <c r="X92" s="5" t="s">
        <v>480</v>
      </c>
      <c r="Y92" s="5" t="s">
        <v>47</v>
      </c>
      <c r="Z92" s="3" t="s">
        <v>187</v>
      </c>
      <c r="AA92" s="6" t="s">
        <v>217</v>
      </c>
      <c r="AB92" s="141" t="s">
        <v>196</v>
      </c>
      <c r="AC92" s="165" t="s">
        <v>5</v>
      </c>
      <c r="AD92" s="165" t="s">
        <v>5</v>
      </c>
      <c r="AE92" s="165" t="s">
        <v>5</v>
      </c>
      <c r="AF92" s="5"/>
      <c r="AG92" s="5"/>
      <c r="AH92" s="210"/>
      <c r="AI92" s="76"/>
      <c r="AJ92" s="76"/>
      <c r="AK92" s="221" t="e">
        <f>SUM(#REF!,BT92,BV92)</f>
        <v>#REF!</v>
      </c>
      <c r="AL92" s="154"/>
      <c r="AM92" s="154"/>
      <c r="AN92" s="154"/>
      <c r="AO92" s="154"/>
      <c r="AP92" s="154"/>
      <c r="AQ92" s="154"/>
      <c r="AR92" s="51">
        <v>840.84277365410708</v>
      </c>
      <c r="AS92" s="51">
        <v>150</v>
      </c>
      <c r="AT92" s="51">
        <v>154.31023999999999</v>
      </c>
      <c r="AU92" s="51">
        <v>10.029610000000002</v>
      </c>
      <c r="AV92" s="36">
        <v>3767.5</v>
      </c>
      <c r="AW92" s="36">
        <v>250</v>
      </c>
      <c r="AX92" s="90">
        <f t="shared" si="24"/>
        <v>4017.5</v>
      </c>
      <c r="AY92" s="157">
        <f t="shared" si="46"/>
        <v>6.4281500000000014</v>
      </c>
      <c r="AZ92" s="182">
        <v>0</v>
      </c>
      <c r="BA92" s="158">
        <v>-6.9703899999999992</v>
      </c>
      <c r="BB92" s="182">
        <v>7</v>
      </c>
      <c r="BC92" s="158">
        <v>13.398540000000001</v>
      </c>
      <c r="BD92" s="182">
        <v>0</v>
      </c>
      <c r="BE92" s="158">
        <v>0</v>
      </c>
      <c r="BF92" s="182">
        <v>0</v>
      </c>
      <c r="BG92" s="158"/>
      <c r="BH92" s="182">
        <v>0</v>
      </c>
      <c r="BI92" s="158"/>
      <c r="BJ92" s="182">
        <v>0</v>
      </c>
      <c r="BK92" s="158"/>
      <c r="BL92" s="182"/>
      <c r="BM92" s="158"/>
      <c r="BN92" s="182"/>
      <c r="BO92" s="158"/>
      <c r="BP92" s="182"/>
      <c r="BQ92" s="158"/>
      <c r="BR92" s="182"/>
      <c r="BS92" s="158"/>
      <c r="BT92" s="182"/>
      <c r="BU92" s="158"/>
      <c r="BV92" s="182"/>
      <c r="BW92" s="234"/>
      <c r="BX92" s="237"/>
      <c r="BY92" s="81">
        <f t="shared" si="47"/>
        <v>0</v>
      </c>
      <c r="BZ92" s="198"/>
      <c r="CA92" s="198"/>
      <c r="CB92" s="198"/>
      <c r="CC92" s="198"/>
      <c r="CD92" s="198"/>
      <c r="CE92" s="198"/>
      <c r="CF92" s="198"/>
      <c r="CG92" s="198"/>
      <c r="CH92" s="198"/>
      <c r="CI92" s="198"/>
      <c r="CJ92" s="198"/>
      <c r="CK92" s="198"/>
      <c r="CL92" s="195">
        <f t="shared" si="37"/>
        <v>0</v>
      </c>
      <c r="CM92" s="196"/>
      <c r="CN92" s="196"/>
      <c r="CO92" s="196"/>
      <c r="CP92" s="196"/>
      <c r="CQ92" s="196"/>
      <c r="CR92" s="196"/>
      <c r="CS92" s="196"/>
      <c r="CT92" s="196"/>
      <c r="CU92" s="196"/>
      <c r="CV92" s="196"/>
      <c r="CW92" s="196"/>
      <c r="CX92" s="196"/>
      <c r="CY92" s="200">
        <f t="shared" si="26"/>
        <v>0</v>
      </c>
      <c r="CZ92" s="172">
        <f t="shared" si="48"/>
        <v>0</v>
      </c>
      <c r="DA92" s="201">
        <f t="shared" si="27"/>
        <v>6.4281500000000014</v>
      </c>
      <c r="DB92" s="201">
        <f t="shared" si="28"/>
        <v>0</v>
      </c>
      <c r="DC92" s="201">
        <f t="shared" si="38"/>
        <v>6.4281500000000014</v>
      </c>
      <c r="DD92" s="239">
        <v>6.4281500000000014</v>
      </c>
      <c r="DE92" s="201">
        <f t="shared" si="39"/>
        <v>0</v>
      </c>
      <c r="DF92" s="172" t="e">
        <f>SUM(DN92:DO92)-SUM(#REF!,BV92)+BU92</f>
        <v>#REF!</v>
      </c>
      <c r="DG92" s="207"/>
      <c r="DH92" s="225">
        <f t="shared" si="40"/>
        <v>6.4281500000000014</v>
      </c>
      <c r="DI92" s="225">
        <f t="shared" si="41"/>
        <v>0</v>
      </c>
      <c r="DJ92" s="225">
        <f t="shared" si="42"/>
        <v>0</v>
      </c>
      <c r="DK92" s="225" t="e">
        <f>SUM(BS92,#REF!,BV92)</f>
        <v>#REF!</v>
      </c>
      <c r="DL92" s="145">
        <v>3767.5</v>
      </c>
      <c r="DM92" s="145">
        <v>3610.5725600000001</v>
      </c>
      <c r="DN92" s="145">
        <v>0</v>
      </c>
      <c r="DO92" s="145">
        <v>0</v>
      </c>
      <c r="DP92" s="145">
        <v>3610.5725600000001</v>
      </c>
      <c r="DQ92" s="145">
        <v>156.92743999999999</v>
      </c>
      <c r="DR92" s="21">
        <f>VLOOKUP(C92,[6]Database!$B$143:$AD$521,29,FALSE)</f>
        <v>0</v>
      </c>
      <c r="DS92" s="219">
        <f t="shared" si="43"/>
        <v>0</v>
      </c>
    </row>
    <row r="93" spans="1:123" s="21" customFormat="1" ht="24" customHeight="1">
      <c r="A93" s="16"/>
      <c r="B93" s="2">
        <v>49</v>
      </c>
      <c r="C93" s="78" t="s">
        <v>48</v>
      </c>
      <c r="D93" s="78"/>
      <c r="E93" s="78"/>
      <c r="F93" s="3">
        <v>2018</v>
      </c>
      <c r="G93" s="4">
        <v>43137</v>
      </c>
      <c r="H93" s="4">
        <v>43137</v>
      </c>
      <c r="I93" s="4">
        <v>43697</v>
      </c>
      <c r="J93" s="13">
        <f t="shared" ca="1" si="21"/>
        <v>560</v>
      </c>
      <c r="K93" s="165">
        <f t="shared" si="44"/>
        <v>43684</v>
      </c>
      <c r="L93" s="165">
        <f t="shared" si="45"/>
        <v>43867</v>
      </c>
      <c r="M93" s="165"/>
      <c r="N93" s="165"/>
      <c r="O93" s="165"/>
      <c r="P93" s="165"/>
      <c r="Q93" s="165"/>
      <c r="R93" s="3" t="s">
        <v>175</v>
      </c>
      <c r="S93" s="11" t="s">
        <v>221</v>
      </c>
      <c r="T93" s="11"/>
      <c r="U93" s="5" t="s">
        <v>8</v>
      </c>
      <c r="V93" s="251"/>
      <c r="W93" s="5" t="s">
        <v>602</v>
      </c>
      <c r="X93" s="5" t="s">
        <v>472</v>
      </c>
      <c r="Y93" s="5" t="s">
        <v>49</v>
      </c>
      <c r="Z93" s="3" t="s">
        <v>186</v>
      </c>
      <c r="AA93" s="6" t="s">
        <v>217</v>
      </c>
      <c r="AB93" s="141" t="s">
        <v>196</v>
      </c>
      <c r="AC93" s="165" t="s">
        <v>5</v>
      </c>
      <c r="AD93" s="165" t="s">
        <v>5</v>
      </c>
      <c r="AE93" s="165" t="s">
        <v>5</v>
      </c>
      <c r="AF93" s="5"/>
      <c r="AG93" s="5"/>
      <c r="AH93" s="210"/>
      <c r="AI93" s="76"/>
      <c r="AJ93" s="76"/>
      <c r="AK93" s="221" t="e">
        <f>SUM(#REF!,BT93,BV93)</f>
        <v>#REF!</v>
      </c>
      <c r="AL93" s="48"/>
      <c r="AM93" s="48"/>
      <c r="AN93" s="48"/>
      <c r="AO93" s="48"/>
      <c r="AP93" s="48"/>
      <c r="AQ93" s="48"/>
      <c r="AR93" s="51">
        <v>216.93427830589269</v>
      </c>
      <c r="AS93" s="51"/>
      <c r="AT93" s="51">
        <v>0</v>
      </c>
      <c r="AU93" s="51"/>
      <c r="AV93" s="36">
        <v>499.89</v>
      </c>
      <c r="AW93" s="36">
        <v>68</v>
      </c>
      <c r="AX93" s="90">
        <f t="shared" si="24"/>
        <v>567.89</v>
      </c>
      <c r="AY93" s="157">
        <f t="shared" si="46"/>
        <v>0</v>
      </c>
      <c r="AZ93" s="182">
        <v>0</v>
      </c>
      <c r="BA93" s="158"/>
      <c r="BB93" s="182">
        <v>0</v>
      </c>
      <c r="BC93" s="158"/>
      <c r="BD93" s="182">
        <v>0</v>
      </c>
      <c r="BE93" s="158">
        <v>0</v>
      </c>
      <c r="BF93" s="182">
        <v>0</v>
      </c>
      <c r="BG93" s="158"/>
      <c r="BH93" s="182">
        <v>0</v>
      </c>
      <c r="BI93" s="158"/>
      <c r="BJ93" s="182">
        <v>0</v>
      </c>
      <c r="BK93" s="158"/>
      <c r="BL93" s="182"/>
      <c r="BM93" s="158"/>
      <c r="BN93" s="182"/>
      <c r="BO93" s="158"/>
      <c r="BP93" s="182"/>
      <c r="BQ93" s="158"/>
      <c r="BR93" s="182"/>
      <c r="BS93" s="158"/>
      <c r="BT93" s="182"/>
      <c r="BU93" s="158"/>
      <c r="BV93" s="182"/>
      <c r="BW93" s="234"/>
      <c r="BX93" s="237"/>
      <c r="BY93" s="81">
        <f t="shared" si="47"/>
        <v>0</v>
      </c>
      <c r="BZ93" s="241"/>
      <c r="CA93" s="241"/>
      <c r="CB93" s="241"/>
      <c r="CC93" s="241"/>
      <c r="CD93" s="241"/>
      <c r="CE93" s="241"/>
      <c r="CF93" s="241"/>
      <c r="CG93" s="241"/>
      <c r="CH93" s="241"/>
      <c r="CI93" s="241"/>
      <c r="CJ93" s="241"/>
      <c r="CK93" s="241"/>
      <c r="CL93" s="195">
        <f t="shared" ref="CL93:CL124" si="49">SUM(CM93:CX93)</f>
        <v>0</v>
      </c>
      <c r="CM93" s="196"/>
      <c r="CN93" s="196"/>
      <c r="CO93" s="196"/>
      <c r="CP93" s="196"/>
      <c r="CQ93" s="196"/>
      <c r="CR93" s="196"/>
      <c r="CS93" s="196"/>
      <c r="CT93" s="196"/>
      <c r="CU93" s="196"/>
      <c r="CV93" s="196"/>
      <c r="CW93" s="196"/>
      <c r="CX93" s="196"/>
      <c r="CY93" s="200">
        <f t="shared" si="26"/>
        <v>0</v>
      </c>
      <c r="CZ93" s="172">
        <f t="shared" si="48"/>
        <v>0</v>
      </c>
      <c r="DA93" s="201">
        <f t="shared" si="27"/>
        <v>0</v>
      </c>
      <c r="DB93" s="201">
        <f t="shared" si="28"/>
        <v>0</v>
      </c>
      <c r="DC93" s="201">
        <f t="shared" ref="DC93:DC124" si="50">SUM(AY93,BY93)</f>
        <v>0</v>
      </c>
      <c r="DD93" s="239">
        <v>0</v>
      </c>
      <c r="DE93" s="201">
        <f t="shared" ref="DE93:DE124" si="51">DC93-DD93</f>
        <v>0</v>
      </c>
      <c r="DF93" s="172" t="e">
        <f>SUM(DN93:DO93)-SUM(#REF!,BV93)+BU93</f>
        <v>#REF!</v>
      </c>
      <c r="DG93" s="207"/>
      <c r="DH93" s="225">
        <f t="shared" ref="DH93:DH124" si="52">SUM(BA93,BC93,BE93)</f>
        <v>0</v>
      </c>
      <c r="DI93" s="225">
        <f t="shared" ref="DI93:DI124" si="53">SUM(BG93,BI93,BK93)</f>
        <v>0</v>
      </c>
      <c r="DJ93" s="225">
        <f t="shared" ref="DJ93:DJ124" si="54">SUM(BM93,BO93,BQ93)</f>
        <v>0</v>
      </c>
      <c r="DK93" s="225" t="e">
        <f>SUM(BS93,#REF!,BV93)</f>
        <v>#REF!</v>
      </c>
      <c r="DL93" s="145">
        <v>499.89</v>
      </c>
      <c r="DM93" s="145">
        <v>469.43390000000005</v>
      </c>
      <c r="DN93" s="145">
        <v>0</v>
      </c>
      <c r="DO93" s="145">
        <v>0</v>
      </c>
      <c r="DP93" s="145">
        <v>469.43390000000005</v>
      </c>
      <c r="DQ93" s="145">
        <v>30.456099999999999</v>
      </c>
      <c r="DS93" s="219">
        <f t="shared" ref="DS93:DS124" si="55">BY93-DR93</f>
        <v>0</v>
      </c>
    </row>
    <row r="94" spans="1:123" s="21" customFormat="1" ht="24" customHeight="1">
      <c r="A94" s="16"/>
      <c r="B94" s="2">
        <v>50</v>
      </c>
      <c r="C94" s="78" t="s">
        <v>50</v>
      </c>
      <c r="D94" s="78"/>
      <c r="E94" s="78" t="s">
        <v>857</v>
      </c>
      <c r="F94" s="3">
        <v>2018</v>
      </c>
      <c r="G94" s="4">
        <v>43115</v>
      </c>
      <c r="H94" s="4">
        <v>43115</v>
      </c>
      <c r="I94" s="4">
        <v>43719</v>
      </c>
      <c r="J94" s="13">
        <f t="shared" ca="1" si="21"/>
        <v>604</v>
      </c>
      <c r="K94" s="165">
        <f t="shared" si="44"/>
        <v>43662</v>
      </c>
      <c r="L94" s="165">
        <f t="shared" si="45"/>
        <v>43845</v>
      </c>
      <c r="M94" s="165"/>
      <c r="N94" s="165"/>
      <c r="O94" s="165"/>
      <c r="P94" s="165"/>
      <c r="Q94" s="165"/>
      <c r="R94" s="3" t="s">
        <v>175</v>
      </c>
      <c r="S94" s="11" t="s">
        <v>221</v>
      </c>
      <c r="T94" s="11"/>
      <c r="U94" s="5" t="s">
        <v>8</v>
      </c>
      <c r="V94" s="251"/>
      <c r="W94" s="5" t="s">
        <v>602</v>
      </c>
      <c r="X94" s="5" t="s">
        <v>471</v>
      </c>
      <c r="Y94" s="5" t="s">
        <v>51</v>
      </c>
      <c r="Z94" s="3" t="s">
        <v>185</v>
      </c>
      <c r="AA94" s="6" t="s">
        <v>217</v>
      </c>
      <c r="AB94" s="141" t="s">
        <v>196</v>
      </c>
      <c r="AC94" s="165" t="s">
        <v>5</v>
      </c>
      <c r="AD94" s="165" t="s">
        <v>5</v>
      </c>
      <c r="AE94" s="165" t="s">
        <v>5</v>
      </c>
      <c r="AF94" s="5"/>
      <c r="AG94" s="5"/>
      <c r="AH94" s="210"/>
      <c r="AI94" s="76"/>
      <c r="AJ94" s="76"/>
      <c r="AK94" s="221" t="e">
        <f>SUM(#REF!,BT94,BV94)</f>
        <v>#REF!</v>
      </c>
      <c r="AL94" s="48"/>
      <c r="AM94" s="48"/>
      <c r="AN94" s="48"/>
      <c r="AO94" s="48"/>
      <c r="AP94" s="48"/>
      <c r="AQ94" s="48"/>
      <c r="AR94" s="51">
        <v>29.02616680231727</v>
      </c>
      <c r="AS94" s="51"/>
      <c r="AT94" s="51">
        <v>0</v>
      </c>
      <c r="AU94" s="51"/>
      <c r="AV94" s="36">
        <v>206.3</v>
      </c>
      <c r="AW94" s="36">
        <v>22.5</v>
      </c>
      <c r="AX94" s="90">
        <f t="shared" si="24"/>
        <v>228.8</v>
      </c>
      <c r="AY94" s="157">
        <f t="shared" si="46"/>
        <v>0</v>
      </c>
      <c r="AZ94" s="182">
        <v>0</v>
      </c>
      <c r="BA94" s="158"/>
      <c r="BB94" s="182">
        <v>0</v>
      </c>
      <c r="BC94" s="158"/>
      <c r="BD94" s="182">
        <v>0</v>
      </c>
      <c r="BE94" s="158">
        <v>0</v>
      </c>
      <c r="BF94" s="182">
        <v>0</v>
      </c>
      <c r="BG94" s="158"/>
      <c r="BH94" s="182">
        <v>0</v>
      </c>
      <c r="BI94" s="158"/>
      <c r="BJ94" s="182">
        <v>0</v>
      </c>
      <c r="BK94" s="158"/>
      <c r="BL94" s="182"/>
      <c r="BM94" s="158"/>
      <c r="BN94" s="182"/>
      <c r="BO94" s="158"/>
      <c r="BP94" s="182"/>
      <c r="BQ94" s="158"/>
      <c r="BR94" s="182"/>
      <c r="BS94" s="158"/>
      <c r="BT94" s="182"/>
      <c r="BU94" s="158"/>
      <c r="BV94" s="182"/>
      <c r="BW94" s="234"/>
      <c r="BX94" s="237"/>
      <c r="BY94" s="81">
        <f t="shared" si="47"/>
        <v>0</v>
      </c>
      <c r="BZ94" s="241"/>
      <c r="CA94" s="241"/>
      <c r="CB94" s="241"/>
      <c r="CC94" s="241"/>
      <c r="CD94" s="241"/>
      <c r="CE94" s="241"/>
      <c r="CF94" s="241"/>
      <c r="CG94" s="241"/>
      <c r="CH94" s="241"/>
      <c r="CI94" s="241"/>
      <c r="CJ94" s="241"/>
      <c r="CK94" s="241"/>
      <c r="CL94" s="195">
        <f t="shared" si="49"/>
        <v>0</v>
      </c>
      <c r="CM94" s="196"/>
      <c r="CN94" s="196"/>
      <c r="CO94" s="196"/>
      <c r="CP94" s="196"/>
      <c r="CQ94" s="196"/>
      <c r="CR94" s="196"/>
      <c r="CS94" s="196"/>
      <c r="CT94" s="196"/>
      <c r="CU94" s="196"/>
      <c r="CV94" s="196"/>
      <c r="CW94" s="196"/>
      <c r="CX94" s="196"/>
      <c r="CY94" s="200">
        <f t="shared" si="26"/>
        <v>0</v>
      </c>
      <c r="CZ94" s="172">
        <f t="shared" si="48"/>
        <v>0</v>
      </c>
      <c r="DA94" s="201">
        <f t="shared" si="27"/>
        <v>0</v>
      </c>
      <c r="DB94" s="201">
        <f t="shared" si="28"/>
        <v>0</v>
      </c>
      <c r="DC94" s="201">
        <f t="shared" si="50"/>
        <v>0</v>
      </c>
      <c r="DD94" s="239">
        <v>0</v>
      </c>
      <c r="DE94" s="201">
        <f t="shared" si="51"/>
        <v>0</v>
      </c>
      <c r="DF94" s="172" t="e">
        <f>SUM(DN94:DO94)-SUM(#REF!,BV94)+BU94</f>
        <v>#REF!</v>
      </c>
      <c r="DG94" s="207"/>
      <c r="DH94" s="225">
        <f t="shared" si="52"/>
        <v>0</v>
      </c>
      <c r="DI94" s="225">
        <f t="shared" si="53"/>
        <v>0</v>
      </c>
      <c r="DJ94" s="225">
        <f t="shared" si="54"/>
        <v>0</v>
      </c>
      <c r="DK94" s="225" t="e">
        <f>SUM(BS94,#REF!,BV94)</f>
        <v>#REF!</v>
      </c>
      <c r="DL94" s="145">
        <v>206.3</v>
      </c>
      <c r="DM94" s="145">
        <v>205.14036999999999</v>
      </c>
      <c r="DN94" s="145">
        <v>0</v>
      </c>
      <c r="DO94" s="145">
        <v>0</v>
      </c>
      <c r="DP94" s="145">
        <v>205.14036999999999</v>
      </c>
      <c r="DQ94" s="145">
        <v>1.1596300000000002</v>
      </c>
      <c r="DS94" s="219">
        <f t="shared" si="55"/>
        <v>0</v>
      </c>
    </row>
    <row r="95" spans="1:123" s="21" customFormat="1" ht="24" customHeight="1">
      <c r="A95" s="16"/>
      <c r="B95" s="2">
        <v>51</v>
      </c>
      <c r="C95" s="78" t="s">
        <v>52</v>
      </c>
      <c r="D95" s="78"/>
      <c r="E95" s="78"/>
      <c r="F95" s="3">
        <v>2018</v>
      </c>
      <c r="G95" s="4">
        <v>43185</v>
      </c>
      <c r="H95" s="4">
        <v>43185</v>
      </c>
      <c r="I95" s="4">
        <v>44201</v>
      </c>
      <c r="J95" s="13">
        <f t="shared" ca="1" si="21"/>
        <v>1016</v>
      </c>
      <c r="K95" s="165">
        <f t="shared" ref="K95:K126" si="56">IF(H95="","",H95+547)</f>
        <v>43732</v>
      </c>
      <c r="L95" s="165">
        <f t="shared" ref="L95:L126" si="57">IF(H95="","",H95+730)</f>
        <v>43915</v>
      </c>
      <c r="M95" s="165"/>
      <c r="N95" s="165"/>
      <c r="O95" s="165"/>
      <c r="P95" s="165"/>
      <c r="Q95" s="165"/>
      <c r="R95" s="3" t="s">
        <v>175</v>
      </c>
      <c r="S95" s="11" t="s">
        <v>223</v>
      </c>
      <c r="T95" s="11" t="s">
        <v>916</v>
      </c>
      <c r="U95" s="5" t="s">
        <v>8</v>
      </c>
      <c r="V95" s="251"/>
      <c r="W95" s="5" t="s">
        <v>602</v>
      </c>
      <c r="X95" s="5" t="s">
        <v>478</v>
      </c>
      <c r="Y95" s="5" t="s">
        <v>53</v>
      </c>
      <c r="Z95" s="3" t="s">
        <v>182</v>
      </c>
      <c r="AA95" s="6" t="s">
        <v>217</v>
      </c>
      <c r="AB95" s="141" t="s">
        <v>196</v>
      </c>
      <c r="AC95" s="165" t="s">
        <v>5</v>
      </c>
      <c r="AD95" s="165" t="s">
        <v>5</v>
      </c>
      <c r="AE95" s="165" t="s">
        <v>5</v>
      </c>
      <c r="AF95" s="5"/>
      <c r="AG95" s="5"/>
      <c r="AH95" s="210"/>
      <c r="AI95" s="76" t="s">
        <v>649</v>
      </c>
      <c r="AJ95" s="76"/>
      <c r="AK95" s="221" t="e">
        <f>SUM(#REF!,BT95,BV95)</f>
        <v>#REF!</v>
      </c>
      <c r="AL95" s="154"/>
      <c r="AM95" s="154"/>
      <c r="AN95" s="154"/>
      <c r="AO95" s="154"/>
      <c r="AP95" s="154"/>
      <c r="AQ95" s="154"/>
      <c r="AR95" s="51">
        <v>2023.9338151428246</v>
      </c>
      <c r="AS95" s="51">
        <v>39.430790000000002</v>
      </c>
      <c r="AT95" s="51">
        <v>260.41636000000005</v>
      </c>
      <c r="AU95" s="51">
        <v>63.749110000000002</v>
      </c>
      <c r="AV95" s="36">
        <v>2961.5</v>
      </c>
      <c r="AW95" s="36">
        <v>245</v>
      </c>
      <c r="AX95" s="90">
        <f t="shared" si="24"/>
        <v>3206.5</v>
      </c>
      <c r="AY95" s="157">
        <f t="shared" si="46"/>
        <v>54.710639999999998</v>
      </c>
      <c r="AZ95" s="182">
        <v>15</v>
      </c>
      <c r="BA95" s="158">
        <v>14.057490000000001</v>
      </c>
      <c r="BB95" s="182">
        <v>8.8916199999999996</v>
      </c>
      <c r="BC95" s="158">
        <v>40.653149999999997</v>
      </c>
      <c r="BD95" s="182">
        <v>0</v>
      </c>
      <c r="BE95" s="158">
        <v>0</v>
      </c>
      <c r="BF95" s="182">
        <v>0</v>
      </c>
      <c r="BG95" s="158"/>
      <c r="BH95" s="182">
        <v>0</v>
      </c>
      <c r="BI95" s="158"/>
      <c r="BJ95" s="182">
        <v>0</v>
      </c>
      <c r="BK95" s="158"/>
      <c r="BL95" s="182"/>
      <c r="BM95" s="158"/>
      <c r="BN95" s="182"/>
      <c r="BO95" s="158"/>
      <c r="BP95" s="182"/>
      <c r="BQ95" s="158"/>
      <c r="BR95" s="182"/>
      <c r="BS95" s="158"/>
      <c r="BT95" s="182"/>
      <c r="BU95" s="158"/>
      <c r="BV95" s="182"/>
      <c r="BW95" s="234"/>
      <c r="BX95" s="237"/>
      <c r="BY95" s="81">
        <f t="shared" si="47"/>
        <v>0</v>
      </c>
      <c r="BZ95" s="241"/>
      <c r="CA95" s="241"/>
      <c r="CB95" s="241"/>
      <c r="CC95" s="241"/>
      <c r="CD95" s="241"/>
      <c r="CE95" s="241"/>
      <c r="CF95" s="241"/>
      <c r="CG95" s="241"/>
      <c r="CH95" s="241"/>
      <c r="CI95" s="241"/>
      <c r="CJ95" s="241"/>
      <c r="CK95" s="241"/>
      <c r="CL95" s="195">
        <f t="shared" si="49"/>
        <v>0</v>
      </c>
      <c r="CM95" s="196"/>
      <c r="CN95" s="196"/>
      <c r="CO95" s="196"/>
      <c r="CP95" s="196"/>
      <c r="CQ95" s="196"/>
      <c r="CR95" s="196"/>
      <c r="CS95" s="196"/>
      <c r="CT95" s="196"/>
      <c r="CU95" s="196"/>
      <c r="CV95" s="196"/>
      <c r="CW95" s="196"/>
      <c r="CX95" s="196"/>
      <c r="CY95" s="200">
        <f t="shared" si="26"/>
        <v>0</v>
      </c>
      <c r="CZ95" s="172">
        <f t="shared" si="48"/>
        <v>0</v>
      </c>
      <c r="DA95" s="201">
        <f t="shared" si="27"/>
        <v>54.710639999999998</v>
      </c>
      <c r="DB95" s="201">
        <f t="shared" si="28"/>
        <v>0</v>
      </c>
      <c r="DC95" s="201">
        <f t="shared" si="50"/>
        <v>54.710639999999998</v>
      </c>
      <c r="DD95" s="239">
        <v>54.710639999999998</v>
      </c>
      <c r="DE95" s="201">
        <f t="shared" si="51"/>
        <v>0</v>
      </c>
      <c r="DF95" s="172" t="e">
        <f>SUM(DN95:DO95)-SUM(#REF!,BV95)+BU95</f>
        <v>#REF!</v>
      </c>
      <c r="DG95" s="207"/>
      <c r="DH95" s="225">
        <f t="shared" si="52"/>
        <v>54.710639999999998</v>
      </c>
      <c r="DI95" s="225">
        <f t="shared" si="53"/>
        <v>0</v>
      </c>
      <c r="DJ95" s="225">
        <f t="shared" si="54"/>
        <v>0</v>
      </c>
      <c r="DK95" s="225" t="e">
        <f>SUM(BS95,#REF!,BV95)</f>
        <v>#REF!</v>
      </c>
      <c r="DL95" s="145">
        <v>2961.5</v>
      </c>
      <c r="DM95" s="145">
        <v>2734.63661</v>
      </c>
      <c r="DN95" s="145">
        <v>0</v>
      </c>
      <c r="DO95" s="145">
        <v>0</v>
      </c>
      <c r="DP95" s="145">
        <v>2734.63661</v>
      </c>
      <c r="DQ95" s="145">
        <v>226.86339000000001</v>
      </c>
      <c r="DR95" s="21">
        <f>VLOOKUP(C95,[6]Database!$B$143:$AD$521,29,FALSE)</f>
        <v>0</v>
      </c>
      <c r="DS95" s="219">
        <f t="shared" si="55"/>
        <v>0</v>
      </c>
    </row>
    <row r="96" spans="1:123" s="21" customFormat="1" ht="24" customHeight="1">
      <c r="A96" s="16"/>
      <c r="B96" s="2">
        <v>52</v>
      </c>
      <c r="C96" s="78" t="s">
        <v>54</v>
      </c>
      <c r="D96" s="78"/>
      <c r="E96" s="78"/>
      <c r="F96" s="3">
        <v>2017</v>
      </c>
      <c r="G96" s="4">
        <v>43083</v>
      </c>
      <c r="H96" s="4">
        <v>43084</v>
      </c>
      <c r="I96" s="4">
        <v>43084</v>
      </c>
      <c r="J96" s="13">
        <f t="shared" ca="1" si="21"/>
        <v>0</v>
      </c>
      <c r="K96" s="165">
        <f t="shared" si="56"/>
        <v>43631</v>
      </c>
      <c r="L96" s="165">
        <f t="shared" si="57"/>
        <v>43814</v>
      </c>
      <c r="M96" s="165"/>
      <c r="N96" s="165"/>
      <c r="O96" s="165"/>
      <c r="P96" s="165"/>
      <c r="Q96" s="165"/>
      <c r="R96" s="3" t="s">
        <v>175</v>
      </c>
      <c r="S96" s="11" t="s">
        <v>221</v>
      </c>
      <c r="T96" s="11"/>
      <c r="U96" s="5" t="s">
        <v>8</v>
      </c>
      <c r="V96" s="251"/>
      <c r="W96" s="5" t="s">
        <v>602</v>
      </c>
      <c r="X96" s="5" t="s">
        <v>472</v>
      </c>
      <c r="Y96" s="5" t="s">
        <v>55</v>
      </c>
      <c r="Z96" s="3" t="s">
        <v>185</v>
      </c>
      <c r="AA96" s="6" t="s">
        <v>217</v>
      </c>
      <c r="AB96" s="150" t="s">
        <v>195</v>
      </c>
      <c r="AC96" s="165" t="s">
        <v>5</v>
      </c>
      <c r="AD96" s="165" t="s">
        <v>5</v>
      </c>
      <c r="AE96" s="165" t="s">
        <v>5</v>
      </c>
      <c r="AF96" s="5"/>
      <c r="AG96" s="5"/>
      <c r="AH96" s="210"/>
      <c r="AI96" s="76"/>
      <c r="AJ96" s="76"/>
      <c r="AK96" s="221" t="e">
        <f>SUM(#REF!,BT96,BV96)</f>
        <v>#REF!</v>
      </c>
      <c r="AL96" s="48"/>
      <c r="AM96" s="48"/>
      <c r="AN96" s="48"/>
      <c r="AO96" s="48"/>
      <c r="AP96" s="48"/>
      <c r="AQ96" s="48"/>
      <c r="AR96" s="51">
        <v>0</v>
      </c>
      <c r="AS96" s="51"/>
      <c r="AT96" s="51">
        <v>0</v>
      </c>
      <c r="AU96" s="51"/>
      <c r="AV96" s="36">
        <v>0</v>
      </c>
      <c r="AW96" s="36">
        <v>0</v>
      </c>
      <c r="AX96" s="90">
        <f t="shared" si="24"/>
        <v>0</v>
      </c>
      <c r="AY96" s="157">
        <f t="shared" si="46"/>
        <v>0</v>
      </c>
      <c r="AZ96" s="182">
        <v>0</v>
      </c>
      <c r="BA96" s="158"/>
      <c r="BB96" s="182">
        <v>0</v>
      </c>
      <c r="BC96" s="158"/>
      <c r="BD96" s="182">
        <v>0</v>
      </c>
      <c r="BE96" s="158">
        <v>0</v>
      </c>
      <c r="BF96" s="182">
        <v>0</v>
      </c>
      <c r="BG96" s="158"/>
      <c r="BH96" s="182">
        <v>0</v>
      </c>
      <c r="BI96" s="158"/>
      <c r="BJ96" s="182">
        <v>0</v>
      </c>
      <c r="BK96" s="158"/>
      <c r="BL96" s="182"/>
      <c r="BM96" s="158"/>
      <c r="BN96" s="182"/>
      <c r="BO96" s="158"/>
      <c r="BP96" s="182"/>
      <c r="BQ96" s="158"/>
      <c r="BR96" s="182"/>
      <c r="BS96" s="158"/>
      <c r="BT96" s="182"/>
      <c r="BU96" s="158"/>
      <c r="BV96" s="182"/>
      <c r="BW96" s="234"/>
      <c r="BX96" s="237"/>
      <c r="BY96" s="81">
        <f t="shared" si="47"/>
        <v>0</v>
      </c>
      <c r="BZ96" s="241"/>
      <c r="CA96" s="241"/>
      <c r="CB96" s="241"/>
      <c r="CC96" s="241"/>
      <c r="CD96" s="241"/>
      <c r="CE96" s="241"/>
      <c r="CF96" s="241"/>
      <c r="CG96" s="241"/>
      <c r="CH96" s="241"/>
      <c r="CI96" s="241"/>
      <c r="CJ96" s="241"/>
      <c r="CK96" s="241"/>
      <c r="CL96" s="195">
        <f t="shared" si="49"/>
        <v>0</v>
      </c>
      <c r="CM96" s="196"/>
      <c r="CN96" s="196"/>
      <c r="CO96" s="196"/>
      <c r="CP96" s="196"/>
      <c r="CQ96" s="196"/>
      <c r="CR96" s="196"/>
      <c r="CS96" s="196"/>
      <c r="CT96" s="196"/>
      <c r="CU96" s="196"/>
      <c r="CV96" s="196"/>
      <c r="CW96" s="196"/>
      <c r="CX96" s="196"/>
      <c r="CY96" s="200">
        <f t="shared" si="26"/>
        <v>0</v>
      </c>
      <c r="CZ96" s="172">
        <f t="shared" si="48"/>
        <v>0</v>
      </c>
      <c r="DA96" s="201">
        <f t="shared" si="27"/>
        <v>0</v>
      </c>
      <c r="DB96" s="201">
        <f t="shared" si="28"/>
        <v>0</v>
      </c>
      <c r="DC96" s="201">
        <f t="shared" si="50"/>
        <v>0</v>
      </c>
      <c r="DD96" s="239">
        <v>0</v>
      </c>
      <c r="DE96" s="201">
        <f t="shared" si="51"/>
        <v>0</v>
      </c>
      <c r="DF96" s="172" t="e">
        <f>SUM(DN96:DO96)-SUM(#REF!,BV96)+BU96</f>
        <v>#REF!</v>
      </c>
      <c r="DG96" s="207"/>
      <c r="DH96" s="225">
        <f t="shared" si="52"/>
        <v>0</v>
      </c>
      <c r="DI96" s="225">
        <f t="shared" si="53"/>
        <v>0</v>
      </c>
      <c r="DJ96" s="225">
        <f t="shared" si="54"/>
        <v>0</v>
      </c>
      <c r="DK96" s="225" t="e">
        <f>SUM(BS96,#REF!,BV96)</f>
        <v>#REF!</v>
      </c>
      <c r="DL96" s="145">
        <v>0</v>
      </c>
      <c r="DM96" s="145">
        <v>0</v>
      </c>
      <c r="DN96" s="145">
        <v>0</v>
      </c>
      <c r="DO96" s="145">
        <v>0</v>
      </c>
      <c r="DP96" s="145">
        <v>0</v>
      </c>
      <c r="DQ96" s="145">
        <v>0</v>
      </c>
      <c r="DS96" s="219">
        <f t="shared" si="55"/>
        <v>0</v>
      </c>
    </row>
    <row r="97" spans="1:123" s="21" customFormat="1" ht="24" customHeight="1">
      <c r="A97" s="16"/>
      <c r="B97" s="2">
        <v>53</v>
      </c>
      <c r="C97" s="78" t="s">
        <v>56</v>
      </c>
      <c r="D97" s="78"/>
      <c r="E97" s="78" t="s">
        <v>858</v>
      </c>
      <c r="F97" s="3">
        <v>2018</v>
      </c>
      <c r="G97" s="4">
        <v>43180</v>
      </c>
      <c r="H97" s="4">
        <v>43180</v>
      </c>
      <c r="I97" s="4">
        <v>43775</v>
      </c>
      <c r="J97" s="13">
        <f t="shared" ca="1" si="21"/>
        <v>595</v>
      </c>
      <c r="K97" s="165">
        <f t="shared" si="56"/>
        <v>43727</v>
      </c>
      <c r="L97" s="165">
        <f t="shared" si="57"/>
        <v>43910</v>
      </c>
      <c r="M97" s="165"/>
      <c r="N97" s="165"/>
      <c r="O97" s="165"/>
      <c r="P97" s="165"/>
      <c r="Q97" s="165"/>
      <c r="R97" s="3" t="s">
        <v>175</v>
      </c>
      <c r="S97" s="11" t="s">
        <v>4</v>
      </c>
      <c r="T97" s="11"/>
      <c r="U97" s="5" t="s">
        <v>8</v>
      </c>
      <c r="V97" s="251"/>
      <c r="W97" s="5" t="s">
        <v>602</v>
      </c>
      <c r="X97" s="5" t="s">
        <v>475</v>
      </c>
      <c r="Y97" s="5" t="s">
        <v>57</v>
      </c>
      <c r="Z97" s="3" t="s">
        <v>180</v>
      </c>
      <c r="AA97" s="6" t="s">
        <v>217</v>
      </c>
      <c r="AB97" s="141" t="s">
        <v>196</v>
      </c>
      <c r="AC97" s="165" t="s">
        <v>5</v>
      </c>
      <c r="AD97" s="165" t="s">
        <v>5</v>
      </c>
      <c r="AE97" s="165" t="s">
        <v>5</v>
      </c>
      <c r="AF97" s="5"/>
      <c r="AG97" s="5"/>
      <c r="AH97" s="210"/>
      <c r="AI97" s="76"/>
      <c r="AJ97" s="76"/>
      <c r="AK97" s="221" t="e">
        <f>SUM(#REF!,BT97,BV97)</f>
        <v>#REF!</v>
      </c>
      <c r="AL97" s="48"/>
      <c r="AM97" s="48"/>
      <c r="AN97" s="48"/>
      <c r="AO97" s="48"/>
      <c r="AP97" s="48"/>
      <c r="AQ97" s="48"/>
      <c r="AR97" s="51">
        <v>377.77976762665605</v>
      </c>
      <c r="AS97" s="51">
        <v>0</v>
      </c>
      <c r="AT97" s="51">
        <v>7.0725299999999995</v>
      </c>
      <c r="AU97" s="51"/>
      <c r="AV97" s="36">
        <v>1426.22</v>
      </c>
      <c r="AW97" s="36">
        <v>55.55</v>
      </c>
      <c r="AX97" s="90">
        <f t="shared" si="24"/>
        <v>1481.77</v>
      </c>
      <c r="AY97" s="157">
        <f t="shared" si="46"/>
        <v>0</v>
      </c>
      <c r="AZ97" s="182">
        <v>0</v>
      </c>
      <c r="BA97" s="158"/>
      <c r="BB97" s="182">
        <v>0</v>
      </c>
      <c r="BC97" s="158"/>
      <c r="BD97" s="182">
        <v>0</v>
      </c>
      <c r="BE97" s="158">
        <v>0</v>
      </c>
      <c r="BF97" s="182">
        <v>0</v>
      </c>
      <c r="BG97" s="158"/>
      <c r="BH97" s="182">
        <v>0</v>
      </c>
      <c r="BI97" s="158"/>
      <c r="BJ97" s="182">
        <v>0</v>
      </c>
      <c r="BK97" s="158"/>
      <c r="BL97" s="182"/>
      <c r="BM97" s="158"/>
      <c r="BN97" s="182"/>
      <c r="BO97" s="158"/>
      <c r="BP97" s="182"/>
      <c r="BQ97" s="158"/>
      <c r="BR97" s="182"/>
      <c r="BS97" s="158"/>
      <c r="BT97" s="182"/>
      <c r="BU97" s="158"/>
      <c r="BV97" s="182"/>
      <c r="BW97" s="234"/>
      <c r="BX97" s="237"/>
      <c r="BY97" s="81">
        <f t="shared" si="47"/>
        <v>0</v>
      </c>
      <c r="BZ97" s="241"/>
      <c r="CA97" s="241"/>
      <c r="CB97" s="241"/>
      <c r="CC97" s="241"/>
      <c r="CD97" s="241"/>
      <c r="CE97" s="241"/>
      <c r="CF97" s="241"/>
      <c r="CG97" s="241"/>
      <c r="CH97" s="241"/>
      <c r="CI97" s="241"/>
      <c r="CJ97" s="241"/>
      <c r="CK97" s="241"/>
      <c r="CL97" s="195">
        <f t="shared" si="49"/>
        <v>0</v>
      </c>
      <c r="CM97" s="196"/>
      <c r="CN97" s="196"/>
      <c r="CO97" s="196"/>
      <c r="CP97" s="196"/>
      <c r="CQ97" s="196"/>
      <c r="CR97" s="196"/>
      <c r="CS97" s="196"/>
      <c r="CT97" s="196"/>
      <c r="CU97" s="196"/>
      <c r="CV97" s="196"/>
      <c r="CW97" s="196"/>
      <c r="CX97" s="196"/>
      <c r="CY97" s="200">
        <f t="shared" si="26"/>
        <v>0</v>
      </c>
      <c r="CZ97" s="172">
        <f t="shared" si="48"/>
        <v>0</v>
      </c>
      <c r="DA97" s="201">
        <f t="shared" si="27"/>
        <v>0</v>
      </c>
      <c r="DB97" s="201">
        <f t="shared" si="28"/>
        <v>0</v>
      </c>
      <c r="DC97" s="201">
        <f t="shared" si="50"/>
        <v>0</v>
      </c>
      <c r="DD97" s="239">
        <v>0</v>
      </c>
      <c r="DE97" s="201">
        <f t="shared" si="51"/>
        <v>0</v>
      </c>
      <c r="DF97" s="172" t="e">
        <f>SUM(DN97:DO97)-SUM(#REF!,BV97)+BU97</f>
        <v>#REF!</v>
      </c>
      <c r="DG97" s="207"/>
      <c r="DH97" s="225">
        <f t="shared" si="52"/>
        <v>0</v>
      </c>
      <c r="DI97" s="225">
        <f t="shared" si="53"/>
        <v>0</v>
      </c>
      <c r="DJ97" s="225">
        <f t="shared" si="54"/>
        <v>0</v>
      </c>
      <c r="DK97" s="225" t="e">
        <f>SUM(BS97,#REF!,BV97)</f>
        <v>#REF!</v>
      </c>
      <c r="DL97" s="145">
        <v>1426.2149999999999</v>
      </c>
      <c r="DM97" s="145">
        <v>1422.4791299999999</v>
      </c>
      <c r="DN97" s="145">
        <v>0</v>
      </c>
      <c r="DO97" s="145">
        <v>0</v>
      </c>
      <c r="DP97" s="145">
        <v>1422.4791299999999</v>
      </c>
      <c r="DQ97" s="145">
        <v>3.7358699999999998</v>
      </c>
      <c r="DS97" s="219">
        <f t="shared" si="55"/>
        <v>0</v>
      </c>
    </row>
    <row r="98" spans="1:123" s="21" customFormat="1" ht="24" customHeight="1">
      <c r="A98" s="16"/>
      <c r="B98" s="2">
        <v>54</v>
      </c>
      <c r="C98" s="78" t="s">
        <v>58</v>
      </c>
      <c r="D98" s="78"/>
      <c r="E98" s="78" t="s">
        <v>859</v>
      </c>
      <c r="F98" s="3">
        <v>2018</v>
      </c>
      <c r="G98" s="4">
        <v>43139</v>
      </c>
      <c r="H98" s="4">
        <v>43139</v>
      </c>
      <c r="I98" s="4">
        <v>44193</v>
      </c>
      <c r="J98" s="13">
        <f t="shared" ca="1" si="21"/>
        <v>1054</v>
      </c>
      <c r="K98" s="165">
        <f t="shared" si="56"/>
        <v>43686</v>
      </c>
      <c r="L98" s="165">
        <f t="shared" si="57"/>
        <v>43869</v>
      </c>
      <c r="M98" s="165"/>
      <c r="N98" s="165"/>
      <c r="O98" s="165"/>
      <c r="P98" s="165"/>
      <c r="Q98" s="165"/>
      <c r="R98" s="3" t="s">
        <v>175</v>
      </c>
      <c r="S98" s="11" t="s">
        <v>4</v>
      </c>
      <c r="T98" s="11"/>
      <c r="U98" s="5" t="s">
        <v>8</v>
      </c>
      <c r="V98" s="251"/>
      <c r="W98" s="5" t="s">
        <v>602</v>
      </c>
      <c r="X98" s="5" t="s">
        <v>475</v>
      </c>
      <c r="Y98" s="5" t="s">
        <v>59</v>
      </c>
      <c r="Z98" s="3" t="s">
        <v>186</v>
      </c>
      <c r="AA98" s="6" t="s">
        <v>217</v>
      </c>
      <c r="AB98" s="141" t="s">
        <v>196</v>
      </c>
      <c r="AC98" s="165" t="s">
        <v>5</v>
      </c>
      <c r="AD98" s="165" t="s">
        <v>5</v>
      </c>
      <c r="AE98" s="165" t="s">
        <v>5</v>
      </c>
      <c r="AF98" s="5"/>
      <c r="AG98" s="5"/>
      <c r="AH98" s="210"/>
      <c r="AI98" s="76"/>
      <c r="AJ98" s="76"/>
      <c r="AK98" s="221" t="e">
        <f>SUM(#REF!,BT98,BV98)</f>
        <v>#REF!</v>
      </c>
      <c r="AL98" s="154"/>
      <c r="AM98" s="154"/>
      <c r="AN98" s="154"/>
      <c r="AO98" s="154"/>
      <c r="AP98" s="154"/>
      <c r="AQ98" s="154"/>
      <c r="AR98" s="51">
        <v>65.352544928269793</v>
      </c>
      <c r="AS98" s="51">
        <v>46.4</v>
      </c>
      <c r="AT98" s="51">
        <v>0.59936</v>
      </c>
      <c r="AU98" s="51"/>
      <c r="AV98" s="36">
        <v>271</v>
      </c>
      <c r="AW98" s="36">
        <v>10</v>
      </c>
      <c r="AX98" s="90">
        <f t="shared" si="24"/>
        <v>281</v>
      </c>
      <c r="AY98" s="157">
        <f t="shared" si="46"/>
        <v>0</v>
      </c>
      <c r="AZ98" s="182">
        <v>0</v>
      </c>
      <c r="BA98" s="158"/>
      <c r="BB98" s="182">
        <v>0</v>
      </c>
      <c r="BC98" s="158"/>
      <c r="BD98" s="182">
        <v>0</v>
      </c>
      <c r="BE98" s="158">
        <v>0</v>
      </c>
      <c r="BF98" s="182">
        <v>0</v>
      </c>
      <c r="BG98" s="158"/>
      <c r="BH98" s="182">
        <v>0</v>
      </c>
      <c r="BI98" s="158"/>
      <c r="BJ98" s="182">
        <v>0</v>
      </c>
      <c r="BK98" s="158"/>
      <c r="BL98" s="182"/>
      <c r="BM98" s="158"/>
      <c r="BN98" s="182"/>
      <c r="BO98" s="158"/>
      <c r="BP98" s="182"/>
      <c r="BQ98" s="158"/>
      <c r="BR98" s="182"/>
      <c r="BS98" s="158"/>
      <c r="BT98" s="182"/>
      <c r="BU98" s="158"/>
      <c r="BV98" s="182"/>
      <c r="BW98" s="234"/>
      <c r="BX98" s="237"/>
      <c r="BY98" s="81">
        <f t="shared" si="47"/>
        <v>0</v>
      </c>
      <c r="BZ98" s="241"/>
      <c r="CA98" s="241"/>
      <c r="CB98" s="241"/>
      <c r="CC98" s="241"/>
      <c r="CD98" s="241"/>
      <c r="CE98" s="241"/>
      <c r="CF98" s="241"/>
      <c r="CG98" s="241"/>
      <c r="CH98" s="241"/>
      <c r="CI98" s="241"/>
      <c r="CJ98" s="241"/>
      <c r="CK98" s="241"/>
      <c r="CL98" s="195">
        <f t="shared" si="49"/>
        <v>0</v>
      </c>
      <c r="CM98" s="196"/>
      <c r="CN98" s="196"/>
      <c r="CO98" s="196"/>
      <c r="CP98" s="196"/>
      <c r="CQ98" s="196"/>
      <c r="CR98" s="196"/>
      <c r="CS98" s="196"/>
      <c r="CT98" s="196"/>
      <c r="CU98" s="196"/>
      <c r="CV98" s="196"/>
      <c r="CW98" s="196"/>
      <c r="CX98" s="196"/>
      <c r="CY98" s="200">
        <f t="shared" si="26"/>
        <v>0</v>
      </c>
      <c r="CZ98" s="172">
        <f t="shared" si="48"/>
        <v>0</v>
      </c>
      <c r="DA98" s="201">
        <f t="shared" si="27"/>
        <v>0</v>
      </c>
      <c r="DB98" s="201">
        <f t="shared" si="28"/>
        <v>0</v>
      </c>
      <c r="DC98" s="201">
        <f t="shared" si="50"/>
        <v>0</v>
      </c>
      <c r="DD98" s="239">
        <v>0</v>
      </c>
      <c r="DE98" s="201">
        <f t="shared" si="51"/>
        <v>0</v>
      </c>
      <c r="DF98" s="172" t="e">
        <f>SUM(DN98:DO98)-SUM(#REF!,BV98)+BU98</f>
        <v>#REF!</v>
      </c>
      <c r="DG98" s="207"/>
      <c r="DH98" s="225">
        <f t="shared" si="52"/>
        <v>0</v>
      </c>
      <c r="DI98" s="225">
        <f t="shared" si="53"/>
        <v>0</v>
      </c>
      <c r="DJ98" s="225">
        <f t="shared" si="54"/>
        <v>0</v>
      </c>
      <c r="DK98" s="225" t="e">
        <f>SUM(BS98,#REF!,BV98)</f>
        <v>#REF!</v>
      </c>
      <c r="DL98" s="145">
        <v>271</v>
      </c>
      <c r="DM98" s="145">
        <v>225.2098</v>
      </c>
      <c r="DN98" s="145">
        <v>0</v>
      </c>
      <c r="DO98" s="145">
        <v>0</v>
      </c>
      <c r="DP98" s="145">
        <v>225.2098</v>
      </c>
      <c r="DQ98" s="145">
        <v>45.790199999999999</v>
      </c>
      <c r="DS98" s="219">
        <f t="shared" si="55"/>
        <v>0</v>
      </c>
    </row>
    <row r="99" spans="1:123" s="21" customFormat="1" ht="24" customHeight="1">
      <c r="A99" s="16">
        <v>0</v>
      </c>
      <c r="B99" s="2">
        <v>55</v>
      </c>
      <c r="C99" s="78" t="s">
        <v>60</v>
      </c>
      <c r="D99" s="78"/>
      <c r="E99" s="78" t="s">
        <v>860</v>
      </c>
      <c r="F99" s="3">
        <v>2018</v>
      </c>
      <c r="G99" s="4">
        <v>43174</v>
      </c>
      <c r="H99" s="4">
        <v>43174</v>
      </c>
      <c r="I99" s="4">
        <v>43861</v>
      </c>
      <c r="J99" s="13">
        <f t="shared" ca="1" si="21"/>
        <v>687</v>
      </c>
      <c r="K99" s="165">
        <f t="shared" si="56"/>
        <v>43721</v>
      </c>
      <c r="L99" s="165">
        <f t="shared" si="57"/>
        <v>43904</v>
      </c>
      <c r="M99" s="165"/>
      <c r="N99" s="165"/>
      <c r="O99" s="165"/>
      <c r="P99" s="165"/>
      <c r="Q99" s="165"/>
      <c r="R99" s="3" t="s">
        <v>175</v>
      </c>
      <c r="S99" s="11" t="s">
        <v>4</v>
      </c>
      <c r="T99" s="11"/>
      <c r="U99" s="5" t="s">
        <v>8</v>
      </c>
      <c r="V99" s="251"/>
      <c r="W99" s="5" t="s">
        <v>602</v>
      </c>
      <c r="X99" s="5" t="s">
        <v>475</v>
      </c>
      <c r="Y99" s="5" t="s">
        <v>61</v>
      </c>
      <c r="Z99" s="3" t="s">
        <v>180</v>
      </c>
      <c r="AA99" s="6" t="s">
        <v>217</v>
      </c>
      <c r="AB99" s="141" t="s">
        <v>196</v>
      </c>
      <c r="AC99" s="165" t="s">
        <v>5</v>
      </c>
      <c r="AD99" s="165" t="s">
        <v>5</v>
      </c>
      <c r="AE99" s="165" t="s">
        <v>5</v>
      </c>
      <c r="AF99" s="5"/>
      <c r="AG99" s="5"/>
      <c r="AH99" s="210"/>
      <c r="AI99" s="76"/>
      <c r="AJ99" s="76"/>
      <c r="AK99" s="221" t="e">
        <f>SUM(#REF!,BT99,BV99)</f>
        <v>#REF!</v>
      </c>
      <c r="AL99" s="48"/>
      <c r="AM99" s="48"/>
      <c r="AN99" s="48"/>
      <c r="AO99" s="48"/>
      <c r="AP99" s="48"/>
      <c r="AQ99" s="48"/>
      <c r="AR99" s="51">
        <v>71.77911440249683</v>
      </c>
      <c r="AS99" s="51">
        <v>39.591320000000003</v>
      </c>
      <c r="AT99" s="51">
        <v>9.1708499999999997</v>
      </c>
      <c r="AU99" s="51"/>
      <c r="AV99" s="36">
        <v>454</v>
      </c>
      <c r="AW99" s="36">
        <v>5</v>
      </c>
      <c r="AX99" s="90">
        <f t="shared" si="24"/>
        <v>459</v>
      </c>
      <c r="AY99" s="157">
        <f t="shared" si="46"/>
        <v>0</v>
      </c>
      <c r="AZ99" s="182">
        <v>0</v>
      </c>
      <c r="BA99" s="158"/>
      <c r="BB99" s="182">
        <v>0</v>
      </c>
      <c r="BC99" s="158"/>
      <c r="BD99" s="182">
        <v>0</v>
      </c>
      <c r="BE99" s="158">
        <v>0</v>
      </c>
      <c r="BF99" s="182">
        <v>0</v>
      </c>
      <c r="BG99" s="158"/>
      <c r="BH99" s="182">
        <v>0</v>
      </c>
      <c r="BI99" s="158"/>
      <c r="BJ99" s="182">
        <v>0</v>
      </c>
      <c r="BK99" s="158"/>
      <c r="BL99" s="182"/>
      <c r="BM99" s="158"/>
      <c r="BN99" s="182"/>
      <c r="BO99" s="158"/>
      <c r="BP99" s="182"/>
      <c r="BQ99" s="158"/>
      <c r="BR99" s="182"/>
      <c r="BS99" s="158"/>
      <c r="BT99" s="182"/>
      <c r="BU99" s="158"/>
      <c r="BV99" s="182"/>
      <c r="BW99" s="234"/>
      <c r="BX99" s="237"/>
      <c r="BY99" s="81">
        <f t="shared" si="47"/>
        <v>0</v>
      </c>
      <c r="BZ99" s="241"/>
      <c r="CA99" s="241"/>
      <c r="CB99" s="241"/>
      <c r="CC99" s="241"/>
      <c r="CD99" s="241"/>
      <c r="CE99" s="241"/>
      <c r="CF99" s="241"/>
      <c r="CG99" s="241"/>
      <c r="CH99" s="241"/>
      <c r="CI99" s="241"/>
      <c r="CJ99" s="241"/>
      <c r="CK99" s="241"/>
      <c r="CL99" s="195">
        <f t="shared" si="49"/>
        <v>0</v>
      </c>
      <c r="CM99" s="196"/>
      <c r="CN99" s="196"/>
      <c r="CO99" s="196"/>
      <c r="CP99" s="196"/>
      <c r="CQ99" s="196"/>
      <c r="CR99" s="196"/>
      <c r="CS99" s="196"/>
      <c r="CT99" s="196"/>
      <c r="CU99" s="196"/>
      <c r="CV99" s="196"/>
      <c r="CW99" s="196"/>
      <c r="CX99" s="196"/>
      <c r="CY99" s="200">
        <f t="shared" si="26"/>
        <v>0</v>
      </c>
      <c r="CZ99" s="172">
        <f t="shared" si="48"/>
        <v>0</v>
      </c>
      <c r="DA99" s="201">
        <f t="shared" si="27"/>
        <v>0</v>
      </c>
      <c r="DB99" s="201">
        <f t="shared" si="28"/>
        <v>0</v>
      </c>
      <c r="DC99" s="201">
        <f t="shared" si="50"/>
        <v>0</v>
      </c>
      <c r="DD99" s="239">
        <v>0</v>
      </c>
      <c r="DE99" s="201">
        <f t="shared" si="51"/>
        <v>0</v>
      </c>
      <c r="DF99" s="172" t="e">
        <f>SUM(DN99:DO99)-SUM(#REF!,BV99)+BU99</f>
        <v>#REF!</v>
      </c>
      <c r="DG99" s="207"/>
      <c r="DH99" s="225">
        <f t="shared" si="52"/>
        <v>0</v>
      </c>
      <c r="DI99" s="225">
        <f t="shared" si="53"/>
        <v>0</v>
      </c>
      <c r="DJ99" s="225">
        <f t="shared" si="54"/>
        <v>0</v>
      </c>
      <c r="DK99" s="225" t="e">
        <f>SUM(BS99,#REF!,BV99)</f>
        <v>#REF!</v>
      </c>
      <c r="DL99" s="145">
        <v>454</v>
      </c>
      <c r="DM99" s="145">
        <v>424.08559000000002</v>
      </c>
      <c r="DN99" s="145">
        <v>0</v>
      </c>
      <c r="DO99" s="145">
        <v>0</v>
      </c>
      <c r="DP99" s="145">
        <v>424.08559000000002</v>
      </c>
      <c r="DQ99" s="145">
        <v>29.91441</v>
      </c>
      <c r="DS99" s="219">
        <f t="shared" si="55"/>
        <v>0</v>
      </c>
    </row>
    <row r="100" spans="1:123" s="21" customFormat="1" ht="24" customHeight="1">
      <c r="A100" s="16"/>
      <c r="B100" s="2">
        <v>56</v>
      </c>
      <c r="C100" s="78" t="s">
        <v>107</v>
      </c>
      <c r="D100" s="78"/>
      <c r="E100" s="78"/>
      <c r="F100" s="3">
        <v>2018</v>
      </c>
      <c r="G100" s="4">
        <v>43241</v>
      </c>
      <c r="H100" s="4">
        <v>43241</v>
      </c>
      <c r="I100" s="4">
        <v>43671</v>
      </c>
      <c r="J100" s="13">
        <f t="shared" ca="1" si="21"/>
        <v>430</v>
      </c>
      <c r="K100" s="165">
        <f t="shared" si="56"/>
        <v>43788</v>
      </c>
      <c r="L100" s="165">
        <f t="shared" si="57"/>
        <v>43971</v>
      </c>
      <c r="M100" s="165"/>
      <c r="N100" s="165"/>
      <c r="O100" s="165"/>
      <c r="P100" s="165"/>
      <c r="Q100" s="165"/>
      <c r="R100" s="3" t="s">
        <v>175</v>
      </c>
      <c r="S100" s="11" t="s">
        <v>223</v>
      </c>
      <c r="T100" s="11"/>
      <c r="U100" s="5" t="s">
        <v>8</v>
      </c>
      <c r="V100" s="251"/>
      <c r="W100" s="5" t="s">
        <v>602</v>
      </c>
      <c r="X100" s="5" t="s">
        <v>478</v>
      </c>
      <c r="Y100" s="5" t="s">
        <v>108</v>
      </c>
      <c r="Z100" s="3" t="s">
        <v>186</v>
      </c>
      <c r="AA100" s="6" t="s">
        <v>217</v>
      </c>
      <c r="AB100" s="141" t="s">
        <v>196</v>
      </c>
      <c r="AC100" s="165" t="s">
        <v>5</v>
      </c>
      <c r="AD100" s="165" t="s">
        <v>5</v>
      </c>
      <c r="AE100" s="165" t="s">
        <v>5</v>
      </c>
      <c r="AF100" s="5"/>
      <c r="AG100" s="5"/>
      <c r="AH100" s="210"/>
      <c r="AI100" s="76"/>
      <c r="AJ100" s="76"/>
      <c r="AK100" s="221" t="e">
        <f>SUM(#REF!,BT100,BV100)</f>
        <v>#REF!</v>
      </c>
      <c r="AL100" s="48"/>
      <c r="AM100" s="48"/>
      <c r="AN100" s="48"/>
      <c r="AO100" s="48"/>
      <c r="AP100" s="48"/>
      <c r="AQ100" s="48"/>
      <c r="AR100" s="51">
        <v>35.516774734354165</v>
      </c>
      <c r="AS100" s="51">
        <v>0</v>
      </c>
      <c r="AT100" s="51">
        <v>0.31917000000000001</v>
      </c>
      <c r="AU100" s="51"/>
      <c r="AV100" s="36">
        <v>160</v>
      </c>
      <c r="AW100" s="36">
        <v>15</v>
      </c>
      <c r="AX100" s="90">
        <f t="shared" si="24"/>
        <v>175</v>
      </c>
      <c r="AY100" s="157">
        <f t="shared" si="46"/>
        <v>0</v>
      </c>
      <c r="AZ100" s="182">
        <v>0</v>
      </c>
      <c r="BA100" s="158"/>
      <c r="BB100" s="182">
        <v>0</v>
      </c>
      <c r="BC100" s="158"/>
      <c r="BD100" s="182">
        <v>0</v>
      </c>
      <c r="BE100" s="158">
        <v>0</v>
      </c>
      <c r="BF100" s="182">
        <v>0</v>
      </c>
      <c r="BG100" s="158"/>
      <c r="BH100" s="182">
        <v>0</v>
      </c>
      <c r="BI100" s="158"/>
      <c r="BJ100" s="182">
        <v>0</v>
      </c>
      <c r="BK100" s="158"/>
      <c r="BL100" s="182"/>
      <c r="BM100" s="158"/>
      <c r="BN100" s="182"/>
      <c r="BO100" s="158"/>
      <c r="BP100" s="182"/>
      <c r="BQ100" s="158"/>
      <c r="BR100" s="182"/>
      <c r="BS100" s="158"/>
      <c r="BT100" s="182"/>
      <c r="BU100" s="158"/>
      <c r="BV100" s="182"/>
      <c r="BW100" s="234"/>
      <c r="BX100" s="237"/>
      <c r="BY100" s="81">
        <f t="shared" si="47"/>
        <v>0</v>
      </c>
      <c r="BZ100" s="241"/>
      <c r="CA100" s="241"/>
      <c r="CB100" s="241"/>
      <c r="CC100" s="241"/>
      <c r="CD100" s="241"/>
      <c r="CE100" s="241"/>
      <c r="CF100" s="241"/>
      <c r="CG100" s="241"/>
      <c r="CH100" s="241"/>
      <c r="CI100" s="241"/>
      <c r="CJ100" s="241"/>
      <c r="CK100" s="241"/>
      <c r="CL100" s="195">
        <f t="shared" si="49"/>
        <v>0</v>
      </c>
      <c r="CM100" s="196"/>
      <c r="CN100" s="196"/>
      <c r="CO100" s="196"/>
      <c r="CP100" s="196"/>
      <c r="CQ100" s="196"/>
      <c r="CR100" s="196"/>
      <c r="CS100" s="196"/>
      <c r="CT100" s="196"/>
      <c r="CU100" s="196"/>
      <c r="CV100" s="196"/>
      <c r="CW100" s="196"/>
      <c r="CX100" s="196"/>
      <c r="CY100" s="200">
        <f t="shared" si="26"/>
        <v>0</v>
      </c>
      <c r="CZ100" s="172">
        <f t="shared" si="48"/>
        <v>0</v>
      </c>
      <c r="DA100" s="201">
        <f t="shared" si="27"/>
        <v>0</v>
      </c>
      <c r="DB100" s="201">
        <f t="shared" si="28"/>
        <v>0</v>
      </c>
      <c r="DC100" s="201">
        <f t="shared" si="50"/>
        <v>0</v>
      </c>
      <c r="DD100" s="239">
        <v>0</v>
      </c>
      <c r="DE100" s="201">
        <f t="shared" si="51"/>
        <v>0</v>
      </c>
      <c r="DF100" s="172" t="e">
        <f>SUM(DN100:DO100)-SUM(#REF!,BV100)+BU100</f>
        <v>#REF!</v>
      </c>
      <c r="DG100" s="207"/>
      <c r="DH100" s="225">
        <f t="shared" si="52"/>
        <v>0</v>
      </c>
      <c r="DI100" s="225">
        <f t="shared" si="53"/>
        <v>0</v>
      </c>
      <c r="DJ100" s="225">
        <f t="shared" si="54"/>
        <v>0</v>
      </c>
      <c r="DK100" s="225" t="e">
        <f>SUM(BS100,#REF!,BV100)</f>
        <v>#REF!</v>
      </c>
      <c r="DL100" s="145">
        <v>160</v>
      </c>
      <c r="DM100" s="145">
        <v>156.63091</v>
      </c>
      <c r="DN100" s="145">
        <v>0</v>
      </c>
      <c r="DO100" s="145">
        <v>0</v>
      </c>
      <c r="DP100" s="145">
        <v>156.63091</v>
      </c>
      <c r="DQ100" s="145">
        <v>3.3690900000000004</v>
      </c>
      <c r="DS100" s="219">
        <f t="shared" si="55"/>
        <v>0</v>
      </c>
    </row>
    <row r="101" spans="1:123" s="21" customFormat="1" ht="24" customHeight="1">
      <c r="A101" s="16"/>
      <c r="B101" s="2">
        <v>57</v>
      </c>
      <c r="C101" s="78" t="s">
        <v>72</v>
      </c>
      <c r="D101" s="78"/>
      <c r="E101" s="78"/>
      <c r="F101" s="3">
        <v>2018</v>
      </c>
      <c r="G101" s="4">
        <v>43174</v>
      </c>
      <c r="H101" s="4">
        <v>43174</v>
      </c>
      <c r="I101" s="4">
        <v>43588</v>
      </c>
      <c r="J101" s="13">
        <f t="shared" ca="1" si="21"/>
        <v>414</v>
      </c>
      <c r="K101" s="165">
        <f t="shared" si="56"/>
        <v>43721</v>
      </c>
      <c r="L101" s="165">
        <f t="shared" si="57"/>
        <v>43904</v>
      </c>
      <c r="M101" s="165"/>
      <c r="N101" s="165"/>
      <c r="O101" s="165"/>
      <c r="P101" s="165"/>
      <c r="Q101" s="165"/>
      <c r="R101" s="3" t="s">
        <v>175</v>
      </c>
      <c r="S101" s="11" t="s">
        <v>222</v>
      </c>
      <c r="T101" s="11"/>
      <c r="U101" s="5" t="s">
        <v>8</v>
      </c>
      <c r="V101" s="251"/>
      <c r="W101" s="5" t="s">
        <v>602</v>
      </c>
      <c r="X101" s="5" t="s">
        <v>536</v>
      </c>
      <c r="Y101" s="5" t="s">
        <v>73</v>
      </c>
      <c r="Z101" s="3" t="s">
        <v>180</v>
      </c>
      <c r="AA101" s="6" t="s">
        <v>217</v>
      </c>
      <c r="AB101" s="141" t="s">
        <v>196</v>
      </c>
      <c r="AC101" s="165" t="s">
        <v>5</v>
      </c>
      <c r="AD101" s="165" t="s">
        <v>5</v>
      </c>
      <c r="AE101" s="165" t="s">
        <v>5</v>
      </c>
      <c r="AF101" s="5"/>
      <c r="AG101" s="5"/>
      <c r="AH101" s="210"/>
      <c r="AI101" s="76"/>
      <c r="AJ101" s="76"/>
      <c r="AK101" s="221" t="e">
        <f>SUM(#REF!,BT101,BV101)</f>
        <v>#REF!</v>
      </c>
      <c r="AL101" s="48"/>
      <c r="AM101" s="48"/>
      <c r="AN101" s="48"/>
      <c r="AO101" s="48"/>
      <c r="AP101" s="48"/>
      <c r="AQ101" s="48"/>
      <c r="AR101" s="51">
        <v>9.8458202427928718</v>
      </c>
      <c r="AS101" s="51"/>
      <c r="AT101" s="51">
        <v>0</v>
      </c>
      <c r="AU101" s="51"/>
      <c r="AV101" s="36">
        <v>1212</v>
      </c>
      <c r="AW101" s="36">
        <v>0</v>
      </c>
      <c r="AX101" s="90">
        <f t="shared" si="24"/>
        <v>1212</v>
      </c>
      <c r="AY101" s="157">
        <f t="shared" si="46"/>
        <v>0</v>
      </c>
      <c r="AZ101" s="182">
        <v>0</v>
      </c>
      <c r="BA101" s="158"/>
      <c r="BB101" s="182">
        <v>0</v>
      </c>
      <c r="BC101" s="158"/>
      <c r="BD101" s="182">
        <v>0</v>
      </c>
      <c r="BE101" s="158">
        <v>0</v>
      </c>
      <c r="BF101" s="182">
        <v>0</v>
      </c>
      <c r="BG101" s="158"/>
      <c r="BH101" s="182">
        <v>0</v>
      </c>
      <c r="BI101" s="158"/>
      <c r="BJ101" s="182">
        <v>0</v>
      </c>
      <c r="BK101" s="158"/>
      <c r="BL101" s="182"/>
      <c r="BM101" s="158"/>
      <c r="BN101" s="182"/>
      <c r="BO101" s="158"/>
      <c r="BP101" s="182"/>
      <c r="BQ101" s="158"/>
      <c r="BR101" s="182"/>
      <c r="BS101" s="158"/>
      <c r="BT101" s="182"/>
      <c r="BU101" s="158"/>
      <c r="BV101" s="182"/>
      <c r="BW101" s="234"/>
      <c r="BX101" s="237"/>
      <c r="BY101" s="81">
        <f t="shared" si="47"/>
        <v>0</v>
      </c>
      <c r="BZ101" s="241"/>
      <c r="CA101" s="241"/>
      <c r="CB101" s="241"/>
      <c r="CC101" s="241"/>
      <c r="CD101" s="241"/>
      <c r="CE101" s="241"/>
      <c r="CF101" s="241"/>
      <c r="CG101" s="241"/>
      <c r="CH101" s="241"/>
      <c r="CI101" s="241"/>
      <c r="CJ101" s="241"/>
      <c r="CK101" s="241"/>
      <c r="CL101" s="195">
        <f t="shared" si="49"/>
        <v>0</v>
      </c>
      <c r="CM101" s="196"/>
      <c r="CN101" s="196"/>
      <c r="CO101" s="196"/>
      <c r="CP101" s="196"/>
      <c r="CQ101" s="196"/>
      <c r="CR101" s="196"/>
      <c r="CS101" s="196"/>
      <c r="CT101" s="196"/>
      <c r="CU101" s="196"/>
      <c r="CV101" s="196"/>
      <c r="CW101" s="196"/>
      <c r="CX101" s="196"/>
      <c r="CY101" s="200">
        <f t="shared" si="26"/>
        <v>0</v>
      </c>
      <c r="CZ101" s="172">
        <f t="shared" si="48"/>
        <v>0</v>
      </c>
      <c r="DA101" s="201">
        <f t="shared" si="27"/>
        <v>0</v>
      </c>
      <c r="DB101" s="201">
        <f t="shared" si="28"/>
        <v>0</v>
      </c>
      <c r="DC101" s="201">
        <f t="shared" si="50"/>
        <v>0</v>
      </c>
      <c r="DD101" s="239">
        <v>0</v>
      </c>
      <c r="DE101" s="201">
        <f t="shared" si="51"/>
        <v>0</v>
      </c>
      <c r="DF101" s="172" t="e">
        <f>SUM(DN101:DO101)-SUM(#REF!,BV101)+BU101</f>
        <v>#REF!</v>
      </c>
      <c r="DG101" s="207"/>
      <c r="DH101" s="225">
        <f t="shared" si="52"/>
        <v>0</v>
      </c>
      <c r="DI101" s="225">
        <f t="shared" si="53"/>
        <v>0</v>
      </c>
      <c r="DJ101" s="225">
        <f t="shared" si="54"/>
        <v>0</v>
      </c>
      <c r="DK101" s="225" t="e">
        <f>SUM(BS101,#REF!,BV101)</f>
        <v>#REF!</v>
      </c>
      <c r="DL101" s="145">
        <v>1212</v>
      </c>
      <c r="DM101" s="145">
        <v>1152.578</v>
      </c>
      <c r="DN101" s="145">
        <v>0</v>
      </c>
      <c r="DO101" s="145">
        <v>0</v>
      </c>
      <c r="DP101" s="145">
        <v>1152.578</v>
      </c>
      <c r="DQ101" s="145">
        <v>59.421999999999997</v>
      </c>
      <c r="DS101" s="219">
        <f t="shared" si="55"/>
        <v>0</v>
      </c>
    </row>
    <row r="102" spans="1:123" s="21" customFormat="1" ht="24" customHeight="1">
      <c r="A102" s="16"/>
      <c r="B102" s="2">
        <v>58</v>
      </c>
      <c r="C102" s="78" t="s">
        <v>68</v>
      </c>
      <c r="D102" s="78"/>
      <c r="E102" s="78"/>
      <c r="F102" s="3">
        <v>2018</v>
      </c>
      <c r="G102" s="4">
        <v>43277</v>
      </c>
      <c r="H102" s="4">
        <v>43277</v>
      </c>
      <c r="I102" s="4">
        <v>43777</v>
      </c>
      <c r="J102" s="13">
        <f t="shared" ca="1" si="21"/>
        <v>500</v>
      </c>
      <c r="K102" s="165">
        <f t="shared" si="56"/>
        <v>43824</v>
      </c>
      <c r="L102" s="165">
        <f t="shared" si="57"/>
        <v>44007</v>
      </c>
      <c r="M102" s="165"/>
      <c r="N102" s="165"/>
      <c r="O102" s="165"/>
      <c r="P102" s="165"/>
      <c r="Q102" s="165"/>
      <c r="R102" s="3" t="s">
        <v>175</v>
      </c>
      <c r="S102" s="11" t="s">
        <v>4</v>
      </c>
      <c r="T102" s="11"/>
      <c r="U102" s="5" t="s">
        <v>8</v>
      </c>
      <c r="V102" s="251"/>
      <c r="W102" s="5" t="s">
        <v>602</v>
      </c>
      <c r="X102" s="5" t="s">
        <v>476</v>
      </c>
      <c r="Y102" s="5" t="s">
        <v>69</v>
      </c>
      <c r="Z102" s="3" t="s">
        <v>184</v>
      </c>
      <c r="AA102" s="6" t="s">
        <v>217</v>
      </c>
      <c r="AB102" s="141" t="s">
        <v>196</v>
      </c>
      <c r="AC102" s="165" t="s">
        <v>5</v>
      </c>
      <c r="AD102" s="165" t="s">
        <v>5</v>
      </c>
      <c r="AE102" s="165" t="s">
        <v>5</v>
      </c>
      <c r="AF102" s="5"/>
      <c r="AG102" s="5"/>
      <c r="AH102" s="210"/>
      <c r="AI102" s="76"/>
      <c r="AJ102" s="76"/>
      <c r="AK102" s="221" t="e">
        <f>SUM(#REF!,BT102,BV102)</f>
        <v>#REF!</v>
      </c>
      <c r="AL102" s="48"/>
      <c r="AM102" s="48"/>
      <c r="AN102" s="48"/>
      <c r="AO102" s="48"/>
      <c r="AP102" s="48"/>
      <c r="AQ102" s="48"/>
      <c r="AR102" s="51">
        <v>56.425967044372896</v>
      </c>
      <c r="AS102" s="51"/>
      <c r="AT102" s="51">
        <v>0</v>
      </c>
      <c r="AU102" s="51"/>
      <c r="AV102" s="36">
        <v>206.35</v>
      </c>
      <c r="AW102" s="36">
        <v>10</v>
      </c>
      <c r="AX102" s="90">
        <f t="shared" si="24"/>
        <v>216.35</v>
      </c>
      <c r="AY102" s="157">
        <f t="shared" si="46"/>
        <v>0</v>
      </c>
      <c r="AZ102" s="182">
        <v>0</v>
      </c>
      <c r="BA102" s="158"/>
      <c r="BB102" s="182">
        <v>0</v>
      </c>
      <c r="BC102" s="158"/>
      <c r="BD102" s="182">
        <v>0</v>
      </c>
      <c r="BE102" s="158">
        <v>0</v>
      </c>
      <c r="BF102" s="182">
        <v>0</v>
      </c>
      <c r="BG102" s="158"/>
      <c r="BH102" s="182">
        <v>0</v>
      </c>
      <c r="BI102" s="158"/>
      <c r="BJ102" s="182">
        <v>0</v>
      </c>
      <c r="BK102" s="158"/>
      <c r="BL102" s="182"/>
      <c r="BM102" s="158"/>
      <c r="BN102" s="182"/>
      <c r="BO102" s="158"/>
      <c r="BP102" s="182"/>
      <c r="BQ102" s="158"/>
      <c r="BR102" s="182"/>
      <c r="BS102" s="158"/>
      <c r="BT102" s="182"/>
      <c r="BU102" s="158"/>
      <c r="BV102" s="182"/>
      <c r="BW102" s="234"/>
      <c r="BX102" s="237"/>
      <c r="BY102" s="81">
        <f t="shared" si="47"/>
        <v>0</v>
      </c>
      <c r="BZ102" s="241"/>
      <c r="CA102" s="241"/>
      <c r="CB102" s="241"/>
      <c r="CC102" s="241"/>
      <c r="CD102" s="241"/>
      <c r="CE102" s="241"/>
      <c r="CF102" s="241"/>
      <c r="CG102" s="241"/>
      <c r="CH102" s="241"/>
      <c r="CI102" s="241"/>
      <c r="CJ102" s="241"/>
      <c r="CK102" s="241"/>
      <c r="CL102" s="195">
        <f t="shared" si="49"/>
        <v>0</v>
      </c>
      <c r="CM102" s="196"/>
      <c r="CN102" s="196"/>
      <c r="CO102" s="196"/>
      <c r="CP102" s="196"/>
      <c r="CQ102" s="196"/>
      <c r="CR102" s="196"/>
      <c r="CS102" s="196"/>
      <c r="CT102" s="196"/>
      <c r="CU102" s="196"/>
      <c r="CV102" s="196"/>
      <c r="CW102" s="196"/>
      <c r="CX102" s="196"/>
      <c r="CY102" s="200">
        <f t="shared" si="26"/>
        <v>0</v>
      </c>
      <c r="CZ102" s="172">
        <f t="shared" si="48"/>
        <v>0</v>
      </c>
      <c r="DA102" s="201">
        <f t="shared" si="27"/>
        <v>0</v>
      </c>
      <c r="DB102" s="201">
        <f t="shared" si="28"/>
        <v>0</v>
      </c>
      <c r="DC102" s="201">
        <f t="shared" si="50"/>
        <v>0</v>
      </c>
      <c r="DD102" s="239">
        <v>0</v>
      </c>
      <c r="DE102" s="201">
        <f t="shared" si="51"/>
        <v>0</v>
      </c>
      <c r="DF102" s="172" t="e">
        <f>SUM(DN102:DO102)-SUM(#REF!,BV102)+BU102</f>
        <v>#REF!</v>
      </c>
      <c r="DG102" s="207"/>
      <c r="DH102" s="225">
        <f t="shared" si="52"/>
        <v>0</v>
      </c>
      <c r="DI102" s="225">
        <f t="shared" si="53"/>
        <v>0</v>
      </c>
      <c r="DJ102" s="225">
        <f t="shared" si="54"/>
        <v>0</v>
      </c>
      <c r="DK102" s="225" t="e">
        <f>SUM(BS102,#REF!,BV102)</f>
        <v>#REF!</v>
      </c>
      <c r="DL102" s="145">
        <v>206.35</v>
      </c>
      <c r="DM102" s="145">
        <v>206.34142</v>
      </c>
      <c r="DN102" s="145">
        <v>0</v>
      </c>
      <c r="DO102" s="145">
        <v>0</v>
      </c>
      <c r="DP102" s="145">
        <v>206.34142</v>
      </c>
      <c r="DQ102" s="145">
        <v>8.5800000000000008E-3</v>
      </c>
      <c r="DS102" s="219">
        <f t="shared" si="55"/>
        <v>0</v>
      </c>
    </row>
    <row r="103" spans="1:123" s="21" customFormat="1" ht="24" customHeight="1">
      <c r="A103" s="16"/>
      <c r="B103" s="2">
        <v>59</v>
      </c>
      <c r="C103" s="78" t="s">
        <v>74</v>
      </c>
      <c r="D103" s="78"/>
      <c r="E103" s="78" t="s">
        <v>861</v>
      </c>
      <c r="F103" s="3">
        <v>2018</v>
      </c>
      <c r="G103" s="4">
        <v>43223</v>
      </c>
      <c r="H103" s="4">
        <v>43223</v>
      </c>
      <c r="I103" s="4">
        <v>43775</v>
      </c>
      <c r="J103" s="13">
        <f t="shared" ca="1" si="21"/>
        <v>552</v>
      </c>
      <c r="K103" s="165">
        <f t="shared" si="56"/>
        <v>43770</v>
      </c>
      <c r="L103" s="165">
        <f t="shared" si="57"/>
        <v>43953</v>
      </c>
      <c r="M103" s="165"/>
      <c r="N103" s="165"/>
      <c r="O103" s="165"/>
      <c r="P103" s="165"/>
      <c r="Q103" s="165"/>
      <c r="R103" s="3" t="s">
        <v>175</v>
      </c>
      <c r="S103" s="11" t="s">
        <v>4</v>
      </c>
      <c r="T103" s="11"/>
      <c r="U103" s="5" t="s">
        <v>8</v>
      </c>
      <c r="V103" s="251"/>
      <c r="W103" s="5" t="s">
        <v>602</v>
      </c>
      <c r="X103" s="5" t="s">
        <v>475</v>
      </c>
      <c r="Y103" s="5" t="s">
        <v>75</v>
      </c>
      <c r="Z103" s="3" t="s">
        <v>180</v>
      </c>
      <c r="AA103" s="6" t="s">
        <v>217</v>
      </c>
      <c r="AB103" s="141" t="s">
        <v>196</v>
      </c>
      <c r="AC103" s="165" t="s">
        <v>5</v>
      </c>
      <c r="AD103" s="165" t="s">
        <v>5</v>
      </c>
      <c r="AE103" s="165" t="s">
        <v>5</v>
      </c>
      <c r="AF103" s="5"/>
      <c r="AG103" s="5"/>
      <c r="AH103" s="210"/>
      <c r="AI103" s="76"/>
      <c r="AJ103" s="76"/>
      <c r="AK103" s="221" t="e">
        <f>SUM(#REF!,BT103,BV103)</f>
        <v>#REF!</v>
      </c>
      <c r="AL103" s="48"/>
      <c r="AM103" s="48"/>
      <c r="AN103" s="48"/>
      <c r="AO103" s="48"/>
      <c r="AP103" s="48"/>
      <c r="AQ103" s="48"/>
      <c r="AR103" s="51">
        <v>30.990005630733656</v>
      </c>
      <c r="AS103" s="51"/>
      <c r="AT103" s="51">
        <v>0</v>
      </c>
      <c r="AU103" s="51"/>
      <c r="AV103" s="36">
        <v>187.1</v>
      </c>
      <c r="AW103" s="36">
        <v>15.3</v>
      </c>
      <c r="AX103" s="90">
        <f t="shared" si="24"/>
        <v>202.4</v>
      </c>
      <c r="AY103" s="157">
        <f t="shared" si="46"/>
        <v>0</v>
      </c>
      <c r="AZ103" s="182">
        <v>0</v>
      </c>
      <c r="BA103" s="158"/>
      <c r="BB103" s="182">
        <v>0</v>
      </c>
      <c r="BC103" s="158"/>
      <c r="BD103" s="182">
        <v>0</v>
      </c>
      <c r="BE103" s="158">
        <v>0</v>
      </c>
      <c r="BF103" s="182">
        <v>0</v>
      </c>
      <c r="BG103" s="158"/>
      <c r="BH103" s="182">
        <v>0</v>
      </c>
      <c r="BI103" s="158"/>
      <c r="BJ103" s="182">
        <v>0</v>
      </c>
      <c r="BK103" s="158"/>
      <c r="BL103" s="182"/>
      <c r="BM103" s="158"/>
      <c r="BN103" s="182"/>
      <c r="BO103" s="158"/>
      <c r="BP103" s="182"/>
      <c r="BQ103" s="158"/>
      <c r="BR103" s="182"/>
      <c r="BS103" s="158"/>
      <c r="BT103" s="182"/>
      <c r="BU103" s="158"/>
      <c r="BV103" s="182"/>
      <c r="BW103" s="234"/>
      <c r="BX103" s="237"/>
      <c r="BY103" s="81">
        <f t="shared" si="47"/>
        <v>0</v>
      </c>
      <c r="BZ103" s="241"/>
      <c r="CA103" s="241"/>
      <c r="CB103" s="241"/>
      <c r="CC103" s="241"/>
      <c r="CD103" s="241"/>
      <c r="CE103" s="241"/>
      <c r="CF103" s="241"/>
      <c r="CG103" s="241"/>
      <c r="CH103" s="241"/>
      <c r="CI103" s="241"/>
      <c r="CJ103" s="241"/>
      <c r="CK103" s="241"/>
      <c r="CL103" s="195">
        <f t="shared" si="49"/>
        <v>0</v>
      </c>
      <c r="CM103" s="196"/>
      <c r="CN103" s="196"/>
      <c r="CO103" s="196"/>
      <c r="CP103" s="196"/>
      <c r="CQ103" s="196"/>
      <c r="CR103" s="196"/>
      <c r="CS103" s="196"/>
      <c r="CT103" s="196"/>
      <c r="CU103" s="196"/>
      <c r="CV103" s="196"/>
      <c r="CW103" s="196"/>
      <c r="CX103" s="196"/>
      <c r="CY103" s="200">
        <f t="shared" si="26"/>
        <v>0</v>
      </c>
      <c r="CZ103" s="172">
        <f t="shared" si="48"/>
        <v>0</v>
      </c>
      <c r="DA103" s="201">
        <f t="shared" si="27"/>
        <v>0</v>
      </c>
      <c r="DB103" s="201">
        <f t="shared" si="28"/>
        <v>0</v>
      </c>
      <c r="DC103" s="201">
        <f t="shared" si="50"/>
        <v>0</v>
      </c>
      <c r="DD103" s="239">
        <v>0</v>
      </c>
      <c r="DE103" s="201">
        <f t="shared" si="51"/>
        <v>0</v>
      </c>
      <c r="DF103" s="172" t="e">
        <f>SUM(DN103:DO103)-SUM(#REF!,BV103)+BU103</f>
        <v>#REF!</v>
      </c>
      <c r="DG103" s="207"/>
      <c r="DH103" s="225">
        <f t="shared" si="52"/>
        <v>0</v>
      </c>
      <c r="DI103" s="225">
        <f t="shared" si="53"/>
        <v>0</v>
      </c>
      <c r="DJ103" s="225">
        <f t="shared" si="54"/>
        <v>0</v>
      </c>
      <c r="DK103" s="225" t="e">
        <f>SUM(BS103,#REF!,BV103)</f>
        <v>#REF!</v>
      </c>
      <c r="DL103" s="145">
        <v>187.1</v>
      </c>
      <c r="DM103" s="145">
        <v>179.23054999999999</v>
      </c>
      <c r="DN103" s="145">
        <v>0</v>
      </c>
      <c r="DO103" s="145">
        <v>0</v>
      </c>
      <c r="DP103" s="145">
        <v>179.23054999999999</v>
      </c>
      <c r="DQ103" s="145">
        <v>7.8694499999999996</v>
      </c>
      <c r="DS103" s="219">
        <f t="shared" si="55"/>
        <v>0</v>
      </c>
    </row>
    <row r="104" spans="1:123" s="21" customFormat="1" ht="24" customHeight="1">
      <c r="A104" s="16"/>
      <c r="B104" s="2">
        <v>60</v>
      </c>
      <c r="C104" s="78" t="s">
        <v>80</v>
      </c>
      <c r="D104" s="78"/>
      <c r="E104" s="78"/>
      <c r="F104" s="3">
        <v>2018</v>
      </c>
      <c r="G104" s="4">
        <v>43146</v>
      </c>
      <c r="H104" s="4">
        <v>43209</v>
      </c>
      <c r="I104" s="4">
        <v>43587</v>
      </c>
      <c r="J104" s="13">
        <f t="shared" ca="1" si="21"/>
        <v>378</v>
      </c>
      <c r="K104" s="165">
        <f t="shared" si="56"/>
        <v>43756</v>
      </c>
      <c r="L104" s="165">
        <f t="shared" si="57"/>
        <v>43939</v>
      </c>
      <c r="M104" s="165"/>
      <c r="N104" s="165"/>
      <c r="O104" s="165"/>
      <c r="P104" s="165"/>
      <c r="Q104" s="165"/>
      <c r="R104" s="3" t="s">
        <v>177</v>
      </c>
      <c r="S104" s="11" t="s">
        <v>222</v>
      </c>
      <c r="T104" s="11"/>
      <c r="U104" s="5" t="s">
        <v>8</v>
      </c>
      <c r="V104" s="251"/>
      <c r="W104" s="5" t="s">
        <v>602</v>
      </c>
      <c r="X104" s="5" t="s">
        <v>478</v>
      </c>
      <c r="Y104" s="5" t="s">
        <v>81</v>
      </c>
      <c r="Z104" s="3" t="s">
        <v>187</v>
      </c>
      <c r="AA104" s="6" t="s">
        <v>217</v>
      </c>
      <c r="AB104" s="141" t="s">
        <v>196</v>
      </c>
      <c r="AC104" s="165" t="s">
        <v>5</v>
      </c>
      <c r="AD104" s="165" t="s">
        <v>5</v>
      </c>
      <c r="AE104" s="165" t="s">
        <v>5</v>
      </c>
      <c r="AF104" s="5"/>
      <c r="AG104" s="5"/>
      <c r="AH104" s="210"/>
      <c r="AI104" s="76"/>
      <c r="AJ104" s="76"/>
      <c r="AK104" s="221" t="e">
        <f>SUM(#REF!,BT104,BV104)</f>
        <v>#REF!</v>
      </c>
      <c r="AL104" s="48"/>
      <c r="AM104" s="48"/>
      <c r="AN104" s="48"/>
      <c r="AO104" s="48"/>
      <c r="AP104" s="48"/>
      <c r="AQ104" s="48"/>
      <c r="AR104" s="51">
        <v>15.969999999999999</v>
      </c>
      <c r="AS104" s="51"/>
      <c r="AT104" s="51">
        <v>0</v>
      </c>
      <c r="AU104" s="51"/>
      <c r="AV104" s="36">
        <v>112.1</v>
      </c>
      <c r="AW104" s="36">
        <v>5.3</v>
      </c>
      <c r="AX104" s="90">
        <f t="shared" si="24"/>
        <v>117.39999999999999</v>
      </c>
      <c r="AY104" s="157">
        <f t="shared" si="46"/>
        <v>0</v>
      </c>
      <c r="AZ104" s="182">
        <v>0</v>
      </c>
      <c r="BA104" s="158"/>
      <c r="BB104" s="182">
        <v>0</v>
      </c>
      <c r="BC104" s="158"/>
      <c r="BD104" s="182">
        <v>0</v>
      </c>
      <c r="BE104" s="158">
        <v>0</v>
      </c>
      <c r="BF104" s="182">
        <v>0</v>
      </c>
      <c r="BG104" s="158"/>
      <c r="BH104" s="182">
        <v>0</v>
      </c>
      <c r="BI104" s="158"/>
      <c r="BJ104" s="182">
        <v>0</v>
      </c>
      <c r="BK104" s="158"/>
      <c r="BL104" s="182"/>
      <c r="BM104" s="158"/>
      <c r="BN104" s="182"/>
      <c r="BO104" s="158"/>
      <c r="BP104" s="182"/>
      <c r="BQ104" s="158"/>
      <c r="BR104" s="182"/>
      <c r="BS104" s="158"/>
      <c r="BT104" s="182"/>
      <c r="BU104" s="158"/>
      <c r="BV104" s="182"/>
      <c r="BW104" s="234"/>
      <c r="BX104" s="237"/>
      <c r="BY104" s="81">
        <f t="shared" si="47"/>
        <v>0</v>
      </c>
      <c r="BZ104" s="198"/>
      <c r="CA104" s="198"/>
      <c r="CB104" s="198"/>
      <c r="CC104" s="198"/>
      <c r="CD104" s="198"/>
      <c r="CE104" s="198"/>
      <c r="CF104" s="198"/>
      <c r="CG104" s="198"/>
      <c r="CH104" s="198"/>
      <c r="CI104" s="198"/>
      <c r="CJ104" s="198"/>
      <c r="CK104" s="198"/>
      <c r="CL104" s="195">
        <f t="shared" si="49"/>
        <v>0</v>
      </c>
      <c r="CM104" s="196"/>
      <c r="CN104" s="196"/>
      <c r="CO104" s="196"/>
      <c r="CP104" s="196"/>
      <c r="CQ104" s="196"/>
      <c r="CR104" s="196"/>
      <c r="CS104" s="196"/>
      <c r="CT104" s="196"/>
      <c r="CU104" s="196"/>
      <c r="CV104" s="196"/>
      <c r="CW104" s="196"/>
      <c r="CX104" s="196"/>
      <c r="CY104" s="200">
        <f t="shared" si="26"/>
        <v>0</v>
      </c>
      <c r="CZ104" s="172">
        <f t="shared" si="48"/>
        <v>0</v>
      </c>
      <c r="DA104" s="201">
        <f t="shared" si="27"/>
        <v>0</v>
      </c>
      <c r="DB104" s="201">
        <f t="shared" si="28"/>
        <v>0</v>
      </c>
      <c r="DC104" s="201">
        <f t="shared" si="50"/>
        <v>0</v>
      </c>
      <c r="DD104" s="239">
        <v>0</v>
      </c>
      <c r="DE104" s="201">
        <f t="shared" si="51"/>
        <v>0</v>
      </c>
      <c r="DF104" s="172" t="e">
        <f>SUM(DN104:DO104)-SUM(#REF!,BV104)+BU104</f>
        <v>#REF!</v>
      </c>
      <c r="DG104" s="207"/>
      <c r="DH104" s="225">
        <f t="shared" si="52"/>
        <v>0</v>
      </c>
      <c r="DI104" s="225">
        <f t="shared" si="53"/>
        <v>0</v>
      </c>
      <c r="DJ104" s="225">
        <f t="shared" si="54"/>
        <v>0</v>
      </c>
      <c r="DK104" s="225" t="e">
        <f>SUM(BS104,#REF!,BV104)</f>
        <v>#REF!</v>
      </c>
      <c r="DL104" s="145">
        <v>112.1</v>
      </c>
      <c r="DM104" s="145">
        <v>101.47055999999999</v>
      </c>
      <c r="DN104" s="145">
        <v>0</v>
      </c>
      <c r="DO104" s="145">
        <v>0</v>
      </c>
      <c r="DP104" s="145">
        <v>101.47055999999999</v>
      </c>
      <c r="DQ104" s="145">
        <v>10.629440000000001</v>
      </c>
      <c r="DS104" s="219">
        <f t="shared" si="55"/>
        <v>0</v>
      </c>
    </row>
    <row r="105" spans="1:123" s="21" customFormat="1" ht="24" customHeight="1">
      <c r="A105" s="16"/>
      <c r="B105" s="2">
        <v>61</v>
      </c>
      <c r="C105" s="78" t="s">
        <v>64</v>
      </c>
      <c r="D105" s="78"/>
      <c r="E105" s="78" t="s">
        <v>862</v>
      </c>
      <c r="F105" s="3">
        <v>2018</v>
      </c>
      <c r="G105" s="4">
        <v>43238</v>
      </c>
      <c r="H105" s="4">
        <v>43238</v>
      </c>
      <c r="I105" s="4">
        <v>43712</v>
      </c>
      <c r="J105" s="13">
        <f t="shared" ca="1" si="21"/>
        <v>474</v>
      </c>
      <c r="K105" s="165">
        <f t="shared" si="56"/>
        <v>43785</v>
      </c>
      <c r="L105" s="165">
        <f t="shared" si="57"/>
        <v>43968</v>
      </c>
      <c r="M105" s="165"/>
      <c r="N105" s="165"/>
      <c r="O105" s="165"/>
      <c r="P105" s="165"/>
      <c r="Q105" s="165"/>
      <c r="R105" s="3" t="s">
        <v>175</v>
      </c>
      <c r="S105" s="11" t="s">
        <v>4</v>
      </c>
      <c r="T105" s="11"/>
      <c r="U105" s="5" t="s">
        <v>8</v>
      </c>
      <c r="V105" s="251"/>
      <c r="W105" s="5" t="s">
        <v>602</v>
      </c>
      <c r="X105" s="5" t="s">
        <v>477</v>
      </c>
      <c r="Y105" s="5" t="s">
        <v>65</v>
      </c>
      <c r="Z105" s="3" t="s">
        <v>185</v>
      </c>
      <c r="AA105" s="6" t="s">
        <v>217</v>
      </c>
      <c r="AB105" s="141" t="s">
        <v>196</v>
      </c>
      <c r="AC105" s="165" t="s">
        <v>5</v>
      </c>
      <c r="AD105" s="165" t="s">
        <v>5</v>
      </c>
      <c r="AE105" s="165" t="s">
        <v>5</v>
      </c>
      <c r="AF105" s="5"/>
      <c r="AG105" s="5"/>
      <c r="AH105" s="210"/>
      <c r="AI105" s="76"/>
      <c r="AJ105" s="76"/>
      <c r="AK105" s="221" t="e">
        <f>SUM(#REF!,BT105,BV105)</f>
        <v>#REF!</v>
      </c>
      <c r="AL105" s="48"/>
      <c r="AM105" s="48"/>
      <c r="AN105" s="48"/>
      <c r="AO105" s="48"/>
      <c r="AP105" s="48"/>
      <c r="AQ105" s="48"/>
      <c r="AR105" s="51">
        <v>6.6329747048568874</v>
      </c>
      <c r="AS105" s="51"/>
      <c r="AT105" s="51">
        <v>0</v>
      </c>
      <c r="AU105" s="51"/>
      <c r="AV105" s="36">
        <v>68.5</v>
      </c>
      <c r="AW105" s="36">
        <v>9.8000000000000007</v>
      </c>
      <c r="AX105" s="90">
        <f t="shared" si="24"/>
        <v>78.3</v>
      </c>
      <c r="AY105" s="157">
        <f t="shared" si="46"/>
        <v>0</v>
      </c>
      <c r="AZ105" s="182">
        <v>0</v>
      </c>
      <c r="BA105" s="158"/>
      <c r="BB105" s="182">
        <v>0</v>
      </c>
      <c r="BC105" s="158"/>
      <c r="BD105" s="182">
        <v>0</v>
      </c>
      <c r="BE105" s="158">
        <v>0</v>
      </c>
      <c r="BF105" s="182">
        <v>0</v>
      </c>
      <c r="BG105" s="158"/>
      <c r="BH105" s="182">
        <v>0</v>
      </c>
      <c r="BI105" s="158"/>
      <c r="BJ105" s="182">
        <v>0</v>
      </c>
      <c r="BK105" s="158"/>
      <c r="BL105" s="182"/>
      <c r="BM105" s="158"/>
      <c r="BN105" s="182"/>
      <c r="BO105" s="158"/>
      <c r="BP105" s="182"/>
      <c r="BQ105" s="158"/>
      <c r="BR105" s="182"/>
      <c r="BS105" s="158"/>
      <c r="BT105" s="182"/>
      <c r="BU105" s="158"/>
      <c r="BV105" s="182"/>
      <c r="BW105" s="234"/>
      <c r="BX105" s="237"/>
      <c r="BY105" s="81">
        <f t="shared" si="47"/>
        <v>0</v>
      </c>
      <c r="BZ105" s="241"/>
      <c r="CA105" s="241"/>
      <c r="CB105" s="241"/>
      <c r="CC105" s="241"/>
      <c r="CD105" s="241"/>
      <c r="CE105" s="241"/>
      <c r="CF105" s="241"/>
      <c r="CG105" s="241"/>
      <c r="CH105" s="241"/>
      <c r="CI105" s="241"/>
      <c r="CJ105" s="241"/>
      <c r="CK105" s="241"/>
      <c r="CL105" s="195">
        <f t="shared" si="49"/>
        <v>0</v>
      </c>
      <c r="CM105" s="196"/>
      <c r="CN105" s="196"/>
      <c r="CO105" s="196"/>
      <c r="CP105" s="196"/>
      <c r="CQ105" s="196"/>
      <c r="CR105" s="196"/>
      <c r="CS105" s="196"/>
      <c r="CT105" s="196"/>
      <c r="CU105" s="196"/>
      <c r="CV105" s="196"/>
      <c r="CW105" s="196"/>
      <c r="CX105" s="196"/>
      <c r="CY105" s="200">
        <f t="shared" si="26"/>
        <v>0</v>
      </c>
      <c r="CZ105" s="172">
        <f t="shared" si="48"/>
        <v>0</v>
      </c>
      <c r="DA105" s="201">
        <f t="shared" si="27"/>
        <v>0</v>
      </c>
      <c r="DB105" s="201">
        <f t="shared" si="28"/>
        <v>0</v>
      </c>
      <c r="DC105" s="201">
        <f t="shared" si="50"/>
        <v>0</v>
      </c>
      <c r="DD105" s="239">
        <v>0</v>
      </c>
      <c r="DE105" s="201">
        <f t="shared" si="51"/>
        <v>0</v>
      </c>
      <c r="DF105" s="172" t="e">
        <f>SUM(DN105:DO105)-SUM(#REF!,BV105)+BU105</f>
        <v>#REF!</v>
      </c>
      <c r="DG105" s="207"/>
      <c r="DH105" s="225">
        <f t="shared" si="52"/>
        <v>0</v>
      </c>
      <c r="DI105" s="225">
        <f t="shared" si="53"/>
        <v>0</v>
      </c>
      <c r="DJ105" s="225">
        <f t="shared" si="54"/>
        <v>0</v>
      </c>
      <c r="DK105" s="225" t="e">
        <f>SUM(BS105,#REF!,BV105)</f>
        <v>#REF!</v>
      </c>
      <c r="DL105" s="145">
        <v>68.5</v>
      </c>
      <c r="DM105" s="145">
        <v>65.735699999999994</v>
      </c>
      <c r="DN105" s="145">
        <v>0</v>
      </c>
      <c r="DO105" s="145">
        <v>0</v>
      </c>
      <c r="DP105" s="145">
        <v>65.735699999999994</v>
      </c>
      <c r="DQ105" s="145">
        <v>2.7643</v>
      </c>
      <c r="DS105" s="219">
        <f t="shared" si="55"/>
        <v>0</v>
      </c>
    </row>
    <row r="106" spans="1:123" s="21" customFormat="1" ht="24" customHeight="1">
      <c r="A106" s="16"/>
      <c r="B106" s="2">
        <v>62</v>
      </c>
      <c r="C106" s="78" t="s">
        <v>101</v>
      </c>
      <c r="D106" s="78"/>
      <c r="E106" s="78" t="s">
        <v>863</v>
      </c>
      <c r="F106" s="3">
        <v>2018</v>
      </c>
      <c r="G106" s="4">
        <v>43391</v>
      </c>
      <c r="H106" s="4">
        <v>43391</v>
      </c>
      <c r="I106" s="4">
        <v>43735</v>
      </c>
      <c r="J106" s="13">
        <f t="shared" ca="1" si="21"/>
        <v>344</v>
      </c>
      <c r="K106" s="165">
        <f t="shared" si="56"/>
        <v>43938</v>
      </c>
      <c r="L106" s="165">
        <f t="shared" si="57"/>
        <v>44121</v>
      </c>
      <c r="M106" s="165"/>
      <c r="N106" s="165"/>
      <c r="O106" s="165"/>
      <c r="P106" s="165"/>
      <c r="Q106" s="165"/>
      <c r="R106" s="3" t="s">
        <v>177</v>
      </c>
      <c r="S106" s="11" t="s">
        <v>222</v>
      </c>
      <c r="T106" s="11"/>
      <c r="U106" s="5" t="s">
        <v>8</v>
      </c>
      <c r="V106" s="251"/>
      <c r="W106" s="5" t="s">
        <v>602</v>
      </c>
      <c r="X106" s="5" t="s">
        <v>477</v>
      </c>
      <c r="Y106" s="5" t="s">
        <v>102</v>
      </c>
      <c r="Z106" s="3" t="s">
        <v>187</v>
      </c>
      <c r="AA106" s="6" t="s">
        <v>217</v>
      </c>
      <c r="AB106" s="141" t="s">
        <v>196</v>
      </c>
      <c r="AC106" s="165" t="s">
        <v>5</v>
      </c>
      <c r="AD106" s="165" t="s">
        <v>5</v>
      </c>
      <c r="AE106" s="165" t="s">
        <v>5</v>
      </c>
      <c r="AF106" s="5"/>
      <c r="AG106" s="5"/>
      <c r="AH106" s="210"/>
      <c r="AI106" s="76"/>
      <c r="AJ106" s="76"/>
      <c r="AK106" s="221" t="e">
        <f>SUM(#REF!,BT106,BV106)</f>
        <v>#REF!</v>
      </c>
      <c r="AL106" s="48"/>
      <c r="AM106" s="48"/>
      <c r="AN106" s="48"/>
      <c r="AO106" s="48"/>
      <c r="AP106" s="48"/>
      <c r="AQ106" s="48"/>
      <c r="AR106" s="51">
        <v>29.452737101063164</v>
      </c>
      <c r="AS106" s="51"/>
      <c r="AT106" s="51">
        <v>0</v>
      </c>
      <c r="AU106" s="51"/>
      <c r="AV106" s="36">
        <v>56.65</v>
      </c>
      <c r="AW106" s="36">
        <v>0</v>
      </c>
      <c r="AX106" s="90">
        <f t="shared" si="24"/>
        <v>56.65</v>
      </c>
      <c r="AY106" s="157">
        <f t="shared" si="46"/>
        <v>0</v>
      </c>
      <c r="AZ106" s="182">
        <v>0</v>
      </c>
      <c r="BA106" s="158"/>
      <c r="BB106" s="182">
        <v>0</v>
      </c>
      <c r="BC106" s="158"/>
      <c r="BD106" s="182">
        <v>0</v>
      </c>
      <c r="BE106" s="158">
        <v>0</v>
      </c>
      <c r="BF106" s="182">
        <v>0</v>
      </c>
      <c r="BG106" s="158"/>
      <c r="BH106" s="182">
        <v>0</v>
      </c>
      <c r="BI106" s="158"/>
      <c r="BJ106" s="182">
        <v>0</v>
      </c>
      <c r="BK106" s="158"/>
      <c r="BL106" s="182"/>
      <c r="BM106" s="158"/>
      <c r="BN106" s="182"/>
      <c r="BO106" s="158"/>
      <c r="BP106" s="182"/>
      <c r="BQ106" s="158"/>
      <c r="BR106" s="182"/>
      <c r="BS106" s="158"/>
      <c r="BT106" s="182"/>
      <c r="BU106" s="158"/>
      <c r="BV106" s="182"/>
      <c r="BW106" s="234"/>
      <c r="BX106" s="237"/>
      <c r="BY106" s="81">
        <f t="shared" si="47"/>
        <v>0</v>
      </c>
      <c r="BZ106" s="196"/>
      <c r="CA106" s="196"/>
      <c r="CB106" s="196"/>
      <c r="CC106" s="196"/>
      <c r="CD106" s="196"/>
      <c r="CE106" s="196"/>
      <c r="CF106" s="196"/>
      <c r="CG106" s="196"/>
      <c r="CH106" s="196"/>
      <c r="CI106" s="196"/>
      <c r="CJ106" s="196"/>
      <c r="CK106" s="196"/>
      <c r="CL106" s="195">
        <f t="shared" si="49"/>
        <v>0</v>
      </c>
      <c r="CM106" s="196"/>
      <c r="CN106" s="196"/>
      <c r="CO106" s="196"/>
      <c r="CP106" s="196"/>
      <c r="CQ106" s="196"/>
      <c r="CR106" s="196"/>
      <c r="CS106" s="196"/>
      <c r="CT106" s="196"/>
      <c r="CU106" s="196"/>
      <c r="CV106" s="196"/>
      <c r="CW106" s="196"/>
      <c r="CX106" s="196"/>
      <c r="CY106" s="200">
        <f t="shared" si="26"/>
        <v>0</v>
      </c>
      <c r="CZ106" s="172">
        <f t="shared" si="48"/>
        <v>0</v>
      </c>
      <c r="DA106" s="201">
        <f t="shared" si="27"/>
        <v>0</v>
      </c>
      <c r="DB106" s="201">
        <f t="shared" si="28"/>
        <v>0</v>
      </c>
      <c r="DC106" s="201">
        <f t="shared" si="50"/>
        <v>0</v>
      </c>
      <c r="DD106" s="239">
        <v>0</v>
      </c>
      <c r="DE106" s="201">
        <f t="shared" si="51"/>
        <v>0</v>
      </c>
      <c r="DF106" s="172" t="e">
        <f>SUM(DN106:DO106)-SUM(#REF!,BV106)+BU106</f>
        <v>#REF!</v>
      </c>
      <c r="DG106" s="207"/>
      <c r="DH106" s="225">
        <f t="shared" si="52"/>
        <v>0</v>
      </c>
      <c r="DI106" s="225">
        <f t="shared" si="53"/>
        <v>0</v>
      </c>
      <c r="DJ106" s="225">
        <f t="shared" si="54"/>
        <v>0</v>
      </c>
      <c r="DK106" s="225" t="e">
        <f>SUM(BS106,#REF!,BV106)</f>
        <v>#REF!</v>
      </c>
      <c r="DL106" s="145">
        <v>56.65</v>
      </c>
      <c r="DM106" s="145">
        <v>55.890910000000005</v>
      </c>
      <c r="DN106" s="145">
        <v>0</v>
      </c>
      <c r="DO106" s="145">
        <v>0</v>
      </c>
      <c r="DP106" s="145">
        <v>55.890910000000005</v>
      </c>
      <c r="DQ106" s="145">
        <v>0.75909000000000004</v>
      </c>
      <c r="DS106" s="219">
        <f t="shared" si="55"/>
        <v>0</v>
      </c>
    </row>
    <row r="107" spans="1:123" s="21" customFormat="1" ht="24" customHeight="1">
      <c r="A107" s="16"/>
      <c r="B107" s="2">
        <v>63</v>
      </c>
      <c r="C107" s="78" t="s">
        <v>62</v>
      </c>
      <c r="D107" s="78"/>
      <c r="E107" s="78"/>
      <c r="F107" s="3">
        <v>2018</v>
      </c>
      <c r="G107" s="4">
        <v>43218</v>
      </c>
      <c r="H107" s="4">
        <v>43411</v>
      </c>
      <c r="I107" s="4">
        <v>44194</v>
      </c>
      <c r="J107" s="13">
        <f t="shared" ca="1" si="21"/>
        <v>783</v>
      </c>
      <c r="K107" s="165">
        <f t="shared" si="56"/>
        <v>43958</v>
      </c>
      <c r="L107" s="165">
        <f t="shared" si="57"/>
        <v>44141</v>
      </c>
      <c r="M107" s="165"/>
      <c r="N107" s="165"/>
      <c r="O107" s="165"/>
      <c r="P107" s="165"/>
      <c r="Q107" s="165"/>
      <c r="R107" s="3" t="s">
        <v>175</v>
      </c>
      <c r="S107" s="11" t="s">
        <v>221</v>
      </c>
      <c r="T107" s="45" t="s">
        <v>909</v>
      </c>
      <c r="U107" s="5" t="s">
        <v>8</v>
      </c>
      <c r="V107" s="251"/>
      <c r="W107" s="5" t="s">
        <v>602</v>
      </c>
      <c r="X107" s="5" t="s">
        <v>472</v>
      </c>
      <c r="Y107" s="5" t="s">
        <v>63</v>
      </c>
      <c r="Z107" s="3" t="s">
        <v>182</v>
      </c>
      <c r="AA107" s="6" t="s">
        <v>217</v>
      </c>
      <c r="AB107" s="141" t="s">
        <v>196</v>
      </c>
      <c r="AC107" s="165" t="s">
        <v>5</v>
      </c>
      <c r="AD107" s="165" t="s">
        <v>5</v>
      </c>
      <c r="AE107" s="165" t="s">
        <v>5</v>
      </c>
      <c r="AF107" s="5"/>
      <c r="AG107" s="5"/>
      <c r="AH107" s="210"/>
      <c r="AI107" s="76" t="s">
        <v>650</v>
      </c>
      <c r="AJ107" s="76"/>
      <c r="AK107" s="221" t="e">
        <f>SUM(#REF!,BT107,BV107)</f>
        <v>#REF!</v>
      </c>
      <c r="AL107" s="154"/>
      <c r="AM107" s="154"/>
      <c r="AN107" s="154"/>
      <c r="AO107" s="154"/>
      <c r="AP107" s="154"/>
      <c r="AQ107" s="154"/>
      <c r="AR107" s="51">
        <v>6188.7674221895677</v>
      </c>
      <c r="AS107" s="51">
        <v>403</v>
      </c>
      <c r="AT107" s="51">
        <v>671.83029999999997</v>
      </c>
      <c r="AU107" s="51">
        <v>5.3449499999999999</v>
      </c>
      <c r="AV107" s="36">
        <v>10188.98</v>
      </c>
      <c r="AW107" s="36">
        <v>1640.69</v>
      </c>
      <c r="AX107" s="90">
        <f t="shared" si="24"/>
        <v>11829.67</v>
      </c>
      <c r="AY107" s="157">
        <f t="shared" si="46"/>
        <v>31.987700000000004</v>
      </c>
      <c r="AZ107" s="182">
        <v>0</v>
      </c>
      <c r="BA107" s="158">
        <v>0.34494999999999992</v>
      </c>
      <c r="BB107" s="182">
        <v>5</v>
      </c>
      <c r="BC107" s="158">
        <v>31.642750000000003</v>
      </c>
      <c r="BD107" s="182">
        <v>0</v>
      </c>
      <c r="BE107" s="158">
        <v>0</v>
      </c>
      <c r="BF107" s="182">
        <v>0</v>
      </c>
      <c r="BG107" s="158"/>
      <c r="BH107" s="182">
        <v>0</v>
      </c>
      <c r="BI107" s="158"/>
      <c r="BJ107" s="182">
        <v>0</v>
      </c>
      <c r="BK107" s="158"/>
      <c r="BL107" s="182"/>
      <c r="BM107" s="158"/>
      <c r="BN107" s="182"/>
      <c r="BO107" s="158"/>
      <c r="BP107" s="182"/>
      <c r="BQ107" s="158"/>
      <c r="BR107" s="182"/>
      <c r="BS107" s="158"/>
      <c r="BT107" s="182"/>
      <c r="BU107" s="158"/>
      <c r="BV107" s="182"/>
      <c r="BW107" s="234"/>
      <c r="BX107" s="237"/>
      <c r="BY107" s="81">
        <f t="shared" si="47"/>
        <v>0</v>
      </c>
      <c r="BZ107" s="241"/>
      <c r="CA107" s="241"/>
      <c r="CB107" s="241"/>
      <c r="CC107" s="241"/>
      <c r="CD107" s="241"/>
      <c r="CE107" s="241"/>
      <c r="CF107" s="241"/>
      <c r="CG107" s="241"/>
      <c r="CH107" s="241"/>
      <c r="CI107" s="241"/>
      <c r="CJ107" s="241"/>
      <c r="CK107" s="241"/>
      <c r="CL107" s="195">
        <f t="shared" si="49"/>
        <v>0</v>
      </c>
      <c r="CM107" s="196"/>
      <c r="CN107" s="196"/>
      <c r="CO107" s="196"/>
      <c r="CP107" s="196"/>
      <c r="CQ107" s="196"/>
      <c r="CR107" s="196"/>
      <c r="CS107" s="196"/>
      <c r="CT107" s="196"/>
      <c r="CU107" s="196"/>
      <c r="CV107" s="196"/>
      <c r="CW107" s="196"/>
      <c r="CX107" s="196"/>
      <c r="CY107" s="200">
        <f t="shared" si="26"/>
        <v>0</v>
      </c>
      <c r="CZ107" s="172">
        <f t="shared" si="48"/>
        <v>0</v>
      </c>
      <c r="DA107" s="201">
        <f t="shared" si="27"/>
        <v>31.987700000000004</v>
      </c>
      <c r="DB107" s="201">
        <f t="shared" si="28"/>
        <v>0</v>
      </c>
      <c r="DC107" s="201">
        <f t="shared" si="50"/>
        <v>31.987700000000004</v>
      </c>
      <c r="DD107" s="239">
        <v>31.987700000000004</v>
      </c>
      <c r="DE107" s="201">
        <f t="shared" si="51"/>
        <v>0</v>
      </c>
      <c r="DF107" s="172" t="e">
        <f>SUM(DN107:DO107)-SUM(#REF!,BV107)+BU107</f>
        <v>#REF!</v>
      </c>
      <c r="DG107" s="207"/>
      <c r="DH107" s="225">
        <f t="shared" si="52"/>
        <v>31.987700000000004</v>
      </c>
      <c r="DI107" s="225">
        <f t="shared" si="53"/>
        <v>0</v>
      </c>
      <c r="DJ107" s="225">
        <f t="shared" si="54"/>
        <v>0</v>
      </c>
      <c r="DK107" s="225" t="e">
        <f>SUM(BS107,#REF!,BV107)</f>
        <v>#REF!</v>
      </c>
      <c r="DL107" s="145">
        <v>10218.982</v>
      </c>
      <c r="DM107" s="145">
        <v>6927.7916699999996</v>
      </c>
      <c r="DN107" s="145">
        <v>0</v>
      </c>
      <c r="DO107" s="145">
        <v>0</v>
      </c>
      <c r="DP107" s="145">
        <v>6927.7916699999996</v>
      </c>
      <c r="DQ107" s="145">
        <v>3291.1903299999999</v>
      </c>
      <c r="DR107" s="21">
        <f>VLOOKUP(C107,[6]Database!$B$143:$AD$521,29,FALSE)</f>
        <v>0</v>
      </c>
      <c r="DS107" s="219">
        <f t="shared" si="55"/>
        <v>0</v>
      </c>
    </row>
    <row r="108" spans="1:123" s="21" customFormat="1" ht="24" customHeight="1">
      <c r="A108" s="16"/>
      <c r="B108" s="2">
        <v>64</v>
      </c>
      <c r="C108" s="78" t="s">
        <v>105</v>
      </c>
      <c r="D108" s="78"/>
      <c r="E108" s="78" t="s">
        <v>931</v>
      </c>
      <c r="F108" s="3">
        <v>2018</v>
      </c>
      <c r="G108" s="4">
        <v>43181</v>
      </c>
      <c r="H108" s="4">
        <v>43329</v>
      </c>
      <c r="I108" s="4">
        <v>44194</v>
      </c>
      <c r="J108" s="13">
        <f t="shared" ca="1" si="21"/>
        <v>865</v>
      </c>
      <c r="K108" s="165">
        <f t="shared" si="56"/>
        <v>43876</v>
      </c>
      <c r="L108" s="165">
        <f t="shared" si="57"/>
        <v>44059</v>
      </c>
      <c r="M108" s="165"/>
      <c r="N108" s="165"/>
      <c r="O108" s="165"/>
      <c r="P108" s="165"/>
      <c r="Q108" s="165"/>
      <c r="R108" s="3" t="s">
        <v>178</v>
      </c>
      <c r="S108" s="11"/>
      <c r="T108" s="11"/>
      <c r="U108" s="5" t="s">
        <v>8</v>
      </c>
      <c r="V108" s="251">
        <v>1784196</v>
      </c>
      <c r="W108" s="5" t="s">
        <v>602</v>
      </c>
      <c r="X108" s="5" t="s">
        <v>480</v>
      </c>
      <c r="Y108" s="5" t="s">
        <v>106</v>
      </c>
      <c r="Z108" s="3" t="s">
        <v>187</v>
      </c>
      <c r="AA108" s="6" t="s">
        <v>217</v>
      </c>
      <c r="AB108" s="141" t="s">
        <v>196</v>
      </c>
      <c r="AC108" s="165" t="s">
        <v>5</v>
      </c>
      <c r="AD108" s="165" t="s">
        <v>5</v>
      </c>
      <c r="AE108" s="165" t="s">
        <v>5</v>
      </c>
      <c r="AF108" s="5" t="s">
        <v>1037</v>
      </c>
      <c r="AG108" s="5"/>
      <c r="AH108" s="210"/>
      <c r="AI108" s="76"/>
      <c r="AJ108" s="76"/>
      <c r="AK108" s="221" t="e">
        <f>SUM(#REF!,BT108,BV108)</f>
        <v>#REF!</v>
      </c>
      <c r="AL108" s="154"/>
      <c r="AM108" s="154"/>
      <c r="AN108" s="154"/>
      <c r="AO108" s="154"/>
      <c r="AP108" s="154"/>
      <c r="AQ108" s="154"/>
      <c r="AR108" s="51">
        <v>2414.5148795100281</v>
      </c>
      <c r="AS108" s="51">
        <v>150</v>
      </c>
      <c r="AT108" s="51">
        <v>104.82816999999999</v>
      </c>
      <c r="AU108" s="51">
        <v>-0.35293000000000063</v>
      </c>
      <c r="AV108" s="36">
        <v>5863</v>
      </c>
      <c r="AW108" s="36">
        <v>194.6</v>
      </c>
      <c r="AX108" s="90">
        <f t="shared" si="24"/>
        <v>6057.6</v>
      </c>
      <c r="AY108" s="157">
        <f t="shared" si="46"/>
        <v>-0.75345000000000084</v>
      </c>
      <c r="AZ108" s="182">
        <v>0</v>
      </c>
      <c r="BA108" s="158">
        <v>-5.3529300000000006</v>
      </c>
      <c r="BB108" s="182">
        <v>5</v>
      </c>
      <c r="BC108" s="158">
        <v>4.5994799999999998</v>
      </c>
      <c r="BD108" s="182">
        <v>0</v>
      </c>
      <c r="BE108" s="158">
        <v>0</v>
      </c>
      <c r="BF108" s="182">
        <v>0</v>
      </c>
      <c r="BG108" s="158"/>
      <c r="BH108" s="182">
        <v>0</v>
      </c>
      <c r="BI108" s="158"/>
      <c r="BJ108" s="182">
        <v>0</v>
      </c>
      <c r="BK108" s="158"/>
      <c r="BL108" s="182"/>
      <c r="BM108" s="158"/>
      <c r="BN108" s="182"/>
      <c r="BO108" s="158"/>
      <c r="BP108" s="182"/>
      <c r="BQ108" s="158"/>
      <c r="BR108" s="182"/>
      <c r="BS108" s="158"/>
      <c r="BT108" s="182"/>
      <c r="BU108" s="158"/>
      <c r="BV108" s="182"/>
      <c r="BW108" s="234"/>
      <c r="BX108" s="237"/>
      <c r="BY108" s="81">
        <f t="shared" si="47"/>
        <v>0</v>
      </c>
      <c r="BZ108" s="198"/>
      <c r="CA108" s="198"/>
      <c r="CB108" s="198"/>
      <c r="CC108" s="198"/>
      <c r="CD108" s="198"/>
      <c r="CE108" s="198"/>
      <c r="CF108" s="198"/>
      <c r="CG108" s="198"/>
      <c r="CH108" s="198"/>
      <c r="CI108" s="198"/>
      <c r="CJ108" s="198"/>
      <c r="CK108" s="198"/>
      <c r="CL108" s="195">
        <f t="shared" si="49"/>
        <v>0</v>
      </c>
      <c r="CM108" s="196"/>
      <c r="CN108" s="196"/>
      <c r="CO108" s="196"/>
      <c r="CP108" s="196"/>
      <c r="CQ108" s="196"/>
      <c r="CR108" s="196"/>
      <c r="CS108" s="196"/>
      <c r="CT108" s="196"/>
      <c r="CU108" s="196"/>
      <c r="CV108" s="196"/>
      <c r="CW108" s="196"/>
      <c r="CX108" s="196"/>
      <c r="CY108" s="200">
        <f t="shared" si="26"/>
        <v>0</v>
      </c>
      <c r="CZ108" s="172">
        <f t="shared" si="48"/>
        <v>0</v>
      </c>
      <c r="DA108" s="201">
        <f t="shared" si="27"/>
        <v>-0.75345000000000084</v>
      </c>
      <c r="DB108" s="201">
        <f t="shared" si="28"/>
        <v>0</v>
      </c>
      <c r="DC108" s="201">
        <f t="shared" si="50"/>
        <v>-0.75345000000000084</v>
      </c>
      <c r="DD108" s="239">
        <v>-0.75345000000000084</v>
      </c>
      <c r="DE108" s="201">
        <f t="shared" si="51"/>
        <v>0</v>
      </c>
      <c r="DF108" s="172" t="e">
        <f>SUM(DN108:DO108)-SUM(#REF!,BV108)+BU108</f>
        <v>#REF!</v>
      </c>
      <c r="DG108" s="207"/>
      <c r="DH108" s="225">
        <f t="shared" si="52"/>
        <v>-0.75345000000000084</v>
      </c>
      <c r="DI108" s="225">
        <f t="shared" si="53"/>
        <v>0</v>
      </c>
      <c r="DJ108" s="225">
        <f t="shared" si="54"/>
        <v>0</v>
      </c>
      <c r="DK108" s="225" t="e">
        <f>SUM(BS108,#REF!,BV108)</f>
        <v>#REF!</v>
      </c>
      <c r="DL108" s="145">
        <v>5863</v>
      </c>
      <c r="DM108" s="145">
        <v>5094.01865</v>
      </c>
      <c r="DN108" s="145">
        <v>0</v>
      </c>
      <c r="DO108" s="145">
        <v>0</v>
      </c>
      <c r="DP108" s="145">
        <v>5094.01865</v>
      </c>
      <c r="DQ108" s="145">
        <v>768.98135000000002</v>
      </c>
      <c r="DR108" s="21">
        <f>VLOOKUP(C108,[6]Database!$B$143:$AD$521,29,FALSE)</f>
        <v>0</v>
      </c>
      <c r="DS108" s="219">
        <f t="shared" si="55"/>
        <v>0</v>
      </c>
    </row>
    <row r="109" spans="1:123" s="21" customFormat="1" ht="24" customHeight="1">
      <c r="A109" s="16"/>
      <c r="B109" s="2">
        <v>65</v>
      </c>
      <c r="C109" s="78" t="s">
        <v>103</v>
      </c>
      <c r="D109" s="78"/>
      <c r="E109" s="78" t="s">
        <v>864</v>
      </c>
      <c r="F109" s="3">
        <v>2018</v>
      </c>
      <c r="G109" s="4">
        <v>43199</v>
      </c>
      <c r="H109" s="4">
        <v>43199</v>
      </c>
      <c r="I109" s="4">
        <v>43549</v>
      </c>
      <c r="J109" s="13">
        <f t="shared" ca="1" si="21"/>
        <v>350</v>
      </c>
      <c r="K109" s="165">
        <f t="shared" si="56"/>
        <v>43746</v>
      </c>
      <c r="L109" s="165">
        <f t="shared" si="57"/>
        <v>43929</v>
      </c>
      <c r="M109" s="165"/>
      <c r="N109" s="165"/>
      <c r="O109" s="165"/>
      <c r="P109" s="165"/>
      <c r="Q109" s="165"/>
      <c r="R109" s="3" t="s">
        <v>175</v>
      </c>
      <c r="S109" s="11" t="s">
        <v>222</v>
      </c>
      <c r="T109" s="11"/>
      <c r="U109" s="5" t="s">
        <v>8</v>
      </c>
      <c r="V109" s="251"/>
      <c r="W109" s="5" t="s">
        <v>602</v>
      </c>
      <c r="X109" s="5" t="s">
        <v>477</v>
      </c>
      <c r="Y109" s="5" t="s">
        <v>104</v>
      </c>
      <c r="Z109" s="78" t="s">
        <v>315</v>
      </c>
      <c r="AA109" s="6" t="s">
        <v>217</v>
      </c>
      <c r="AB109" s="141" t="s">
        <v>196</v>
      </c>
      <c r="AC109" s="165" t="s">
        <v>5</v>
      </c>
      <c r="AD109" s="165" t="s">
        <v>5</v>
      </c>
      <c r="AE109" s="165" t="s">
        <v>5</v>
      </c>
      <c r="AF109" s="5"/>
      <c r="AG109" s="5"/>
      <c r="AH109" s="210"/>
      <c r="AI109" s="76"/>
      <c r="AJ109" s="76"/>
      <c r="AK109" s="221" t="e">
        <f>SUM(#REF!,BT109,BV109)</f>
        <v>#REF!</v>
      </c>
      <c r="AL109" s="48"/>
      <c r="AM109" s="48"/>
      <c r="AN109" s="48"/>
      <c r="AO109" s="48"/>
      <c r="AP109" s="48"/>
      <c r="AQ109" s="48"/>
      <c r="AR109" s="51">
        <v>1.2499999999999998</v>
      </c>
      <c r="AS109" s="51"/>
      <c r="AT109" s="51">
        <v>0</v>
      </c>
      <c r="AU109" s="51"/>
      <c r="AV109" s="36">
        <v>211.8</v>
      </c>
      <c r="AW109" s="36">
        <v>0</v>
      </c>
      <c r="AX109" s="90">
        <f t="shared" si="24"/>
        <v>211.8</v>
      </c>
      <c r="AY109" s="157">
        <f t="shared" si="46"/>
        <v>0</v>
      </c>
      <c r="AZ109" s="182">
        <v>0</v>
      </c>
      <c r="BA109" s="158"/>
      <c r="BB109" s="182">
        <v>0</v>
      </c>
      <c r="BC109" s="158"/>
      <c r="BD109" s="182">
        <v>0</v>
      </c>
      <c r="BE109" s="158">
        <v>0</v>
      </c>
      <c r="BF109" s="182">
        <v>0</v>
      </c>
      <c r="BG109" s="158"/>
      <c r="BH109" s="182">
        <v>0</v>
      </c>
      <c r="BI109" s="158"/>
      <c r="BJ109" s="182">
        <v>0</v>
      </c>
      <c r="BK109" s="158"/>
      <c r="BL109" s="182"/>
      <c r="BM109" s="158"/>
      <c r="BN109" s="182"/>
      <c r="BO109" s="158"/>
      <c r="BP109" s="182"/>
      <c r="BQ109" s="158"/>
      <c r="BR109" s="182"/>
      <c r="BS109" s="158"/>
      <c r="BT109" s="182"/>
      <c r="BU109" s="158"/>
      <c r="BV109" s="182"/>
      <c r="BW109" s="234"/>
      <c r="BX109" s="237"/>
      <c r="BY109" s="81">
        <f t="shared" si="47"/>
        <v>0</v>
      </c>
      <c r="BZ109" s="241"/>
      <c r="CA109" s="241"/>
      <c r="CB109" s="241"/>
      <c r="CC109" s="241"/>
      <c r="CD109" s="241"/>
      <c r="CE109" s="241"/>
      <c r="CF109" s="241"/>
      <c r="CG109" s="241"/>
      <c r="CH109" s="241"/>
      <c r="CI109" s="241"/>
      <c r="CJ109" s="241"/>
      <c r="CK109" s="241"/>
      <c r="CL109" s="195">
        <f t="shared" si="49"/>
        <v>0</v>
      </c>
      <c r="CM109" s="196"/>
      <c r="CN109" s="196"/>
      <c r="CO109" s="196"/>
      <c r="CP109" s="196"/>
      <c r="CQ109" s="196"/>
      <c r="CR109" s="196"/>
      <c r="CS109" s="196"/>
      <c r="CT109" s="196"/>
      <c r="CU109" s="196"/>
      <c r="CV109" s="196"/>
      <c r="CW109" s="196"/>
      <c r="CX109" s="196"/>
      <c r="CY109" s="200">
        <f t="shared" si="26"/>
        <v>0</v>
      </c>
      <c r="CZ109" s="172">
        <f t="shared" si="48"/>
        <v>0</v>
      </c>
      <c r="DA109" s="201">
        <f t="shared" si="27"/>
        <v>0</v>
      </c>
      <c r="DB109" s="201">
        <f t="shared" si="28"/>
        <v>0</v>
      </c>
      <c r="DC109" s="201">
        <f t="shared" si="50"/>
        <v>0</v>
      </c>
      <c r="DD109" s="239">
        <v>0</v>
      </c>
      <c r="DE109" s="201">
        <f t="shared" si="51"/>
        <v>0</v>
      </c>
      <c r="DF109" s="172" t="e">
        <f>SUM(DN109:DO109)-SUM(#REF!,BV109)+BU109</f>
        <v>#REF!</v>
      </c>
      <c r="DG109" s="207"/>
      <c r="DH109" s="225">
        <f t="shared" si="52"/>
        <v>0</v>
      </c>
      <c r="DI109" s="225">
        <f t="shared" si="53"/>
        <v>0</v>
      </c>
      <c r="DJ109" s="225">
        <f t="shared" si="54"/>
        <v>0</v>
      </c>
      <c r="DK109" s="225" t="e">
        <f>SUM(BS109,#REF!,BV109)</f>
        <v>#REF!</v>
      </c>
      <c r="DL109" s="145">
        <v>211.8</v>
      </c>
      <c r="DM109" s="145">
        <v>186.17610000000002</v>
      </c>
      <c r="DN109" s="145">
        <v>0</v>
      </c>
      <c r="DO109" s="145">
        <v>0</v>
      </c>
      <c r="DP109" s="145">
        <v>186.17610000000002</v>
      </c>
      <c r="DQ109" s="145">
        <v>25.623900000000003</v>
      </c>
      <c r="DS109" s="219">
        <f t="shared" si="55"/>
        <v>0</v>
      </c>
    </row>
    <row r="110" spans="1:123" s="21" customFormat="1" ht="24" customHeight="1">
      <c r="A110" s="16"/>
      <c r="B110" s="2">
        <v>66</v>
      </c>
      <c r="C110" s="78" t="s">
        <v>109</v>
      </c>
      <c r="D110" s="78"/>
      <c r="E110" s="78" t="s">
        <v>865</v>
      </c>
      <c r="F110" s="3">
        <v>2018</v>
      </c>
      <c r="G110" s="4">
        <v>43257</v>
      </c>
      <c r="H110" s="4">
        <v>43257</v>
      </c>
      <c r="I110" s="4">
        <v>43671</v>
      </c>
      <c r="J110" s="13">
        <f t="shared" ref="J110:J173" ca="1" si="58">IF(H110="","",IF(I110&lt;&gt;"",I110-H110,EDATE(H110,18)-NOW()))</f>
        <v>414</v>
      </c>
      <c r="K110" s="165">
        <f t="shared" si="56"/>
        <v>43804</v>
      </c>
      <c r="L110" s="165">
        <f t="shared" si="57"/>
        <v>43987</v>
      </c>
      <c r="M110" s="165"/>
      <c r="N110" s="165"/>
      <c r="O110" s="165"/>
      <c r="P110" s="165"/>
      <c r="Q110" s="165"/>
      <c r="R110" s="3" t="s">
        <v>175</v>
      </c>
      <c r="S110" s="11" t="s">
        <v>221</v>
      </c>
      <c r="T110" s="11"/>
      <c r="U110" s="5" t="s">
        <v>8</v>
      </c>
      <c r="V110" s="251"/>
      <c r="W110" s="5" t="s">
        <v>602</v>
      </c>
      <c r="X110" s="5" t="s">
        <v>475</v>
      </c>
      <c r="Y110" s="5" t="s">
        <v>110</v>
      </c>
      <c r="Z110" s="3" t="s">
        <v>188</v>
      </c>
      <c r="AA110" s="6" t="s">
        <v>217</v>
      </c>
      <c r="AB110" s="141" t="s">
        <v>196</v>
      </c>
      <c r="AC110" s="165" t="s">
        <v>5</v>
      </c>
      <c r="AD110" s="165" t="s">
        <v>5</v>
      </c>
      <c r="AE110" s="165" t="s">
        <v>5</v>
      </c>
      <c r="AF110" s="5"/>
      <c r="AG110" s="5"/>
      <c r="AH110" s="210"/>
      <c r="AI110" s="76"/>
      <c r="AJ110" s="76"/>
      <c r="AK110" s="221" t="e">
        <f>SUM(#REF!,BT110,BV110)</f>
        <v>#REF!</v>
      </c>
      <c r="AL110" s="48"/>
      <c r="AM110" s="48"/>
      <c r="AN110" s="48"/>
      <c r="AO110" s="48"/>
      <c r="AP110" s="48"/>
      <c r="AQ110" s="48"/>
      <c r="AR110" s="51">
        <v>36.744589999999995</v>
      </c>
      <c r="AS110" s="51"/>
      <c r="AT110" s="51">
        <v>0</v>
      </c>
      <c r="AU110" s="51"/>
      <c r="AV110" s="36">
        <v>114.11</v>
      </c>
      <c r="AW110" s="36">
        <v>0</v>
      </c>
      <c r="AX110" s="90">
        <f t="shared" si="24"/>
        <v>114.11</v>
      </c>
      <c r="AY110" s="157">
        <f t="shared" si="46"/>
        <v>0</v>
      </c>
      <c r="AZ110" s="182">
        <v>0</v>
      </c>
      <c r="BA110" s="158"/>
      <c r="BB110" s="182">
        <v>0</v>
      </c>
      <c r="BC110" s="158"/>
      <c r="BD110" s="182">
        <v>0</v>
      </c>
      <c r="BE110" s="158">
        <v>0</v>
      </c>
      <c r="BF110" s="182">
        <v>0</v>
      </c>
      <c r="BG110" s="158"/>
      <c r="BH110" s="182">
        <v>0</v>
      </c>
      <c r="BI110" s="158"/>
      <c r="BJ110" s="182">
        <v>0</v>
      </c>
      <c r="BK110" s="158"/>
      <c r="BL110" s="182"/>
      <c r="BM110" s="158"/>
      <c r="BN110" s="182"/>
      <c r="BO110" s="158"/>
      <c r="BP110" s="182"/>
      <c r="BQ110" s="158"/>
      <c r="BR110" s="182"/>
      <c r="BS110" s="158"/>
      <c r="BT110" s="182"/>
      <c r="BU110" s="158"/>
      <c r="BV110" s="182"/>
      <c r="BW110" s="234"/>
      <c r="BX110" s="237"/>
      <c r="BY110" s="81">
        <f t="shared" si="47"/>
        <v>0</v>
      </c>
      <c r="BZ110" s="241"/>
      <c r="CA110" s="241"/>
      <c r="CB110" s="241"/>
      <c r="CC110" s="241"/>
      <c r="CD110" s="241"/>
      <c r="CE110" s="241"/>
      <c r="CF110" s="241"/>
      <c r="CG110" s="241"/>
      <c r="CH110" s="241"/>
      <c r="CI110" s="241"/>
      <c r="CJ110" s="241"/>
      <c r="CK110" s="241"/>
      <c r="CL110" s="195">
        <f t="shared" si="49"/>
        <v>0</v>
      </c>
      <c r="CM110" s="196"/>
      <c r="CN110" s="196"/>
      <c r="CO110" s="196"/>
      <c r="CP110" s="196"/>
      <c r="CQ110" s="196"/>
      <c r="CR110" s="196"/>
      <c r="CS110" s="196"/>
      <c r="CT110" s="196"/>
      <c r="CU110" s="196"/>
      <c r="CV110" s="196"/>
      <c r="CW110" s="196"/>
      <c r="CX110" s="196"/>
      <c r="CY110" s="200">
        <f t="shared" si="26"/>
        <v>0</v>
      </c>
      <c r="CZ110" s="172">
        <f t="shared" si="48"/>
        <v>0</v>
      </c>
      <c r="DA110" s="201">
        <f t="shared" si="27"/>
        <v>0</v>
      </c>
      <c r="DB110" s="201">
        <f t="shared" si="28"/>
        <v>0</v>
      </c>
      <c r="DC110" s="201">
        <f t="shared" si="50"/>
        <v>0</v>
      </c>
      <c r="DD110" s="239">
        <v>0</v>
      </c>
      <c r="DE110" s="201">
        <f t="shared" si="51"/>
        <v>0</v>
      </c>
      <c r="DF110" s="172" t="e">
        <f>SUM(DN110:DO110)-SUM(#REF!,BV110)+BU110</f>
        <v>#REF!</v>
      </c>
      <c r="DG110" s="207"/>
      <c r="DH110" s="225">
        <f t="shared" si="52"/>
        <v>0</v>
      </c>
      <c r="DI110" s="225">
        <f t="shared" si="53"/>
        <v>0</v>
      </c>
      <c r="DJ110" s="225">
        <f t="shared" si="54"/>
        <v>0</v>
      </c>
      <c r="DK110" s="225" t="e">
        <f>SUM(BS110,#REF!,BV110)</f>
        <v>#REF!</v>
      </c>
      <c r="DL110" s="145">
        <v>114.114</v>
      </c>
      <c r="DM110" s="145">
        <v>95.81644</v>
      </c>
      <c r="DN110" s="145">
        <v>0</v>
      </c>
      <c r="DO110" s="145">
        <v>0</v>
      </c>
      <c r="DP110" s="145">
        <v>95.81644</v>
      </c>
      <c r="DQ110" s="145">
        <v>18.297560000000001</v>
      </c>
      <c r="DS110" s="219">
        <f t="shared" si="55"/>
        <v>0</v>
      </c>
    </row>
    <row r="111" spans="1:123" s="21" customFormat="1" ht="24" customHeight="1">
      <c r="A111" s="16"/>
      <c r="B111" s="2">
        <v>67</v>
      </c>
      <c r="C111" s="78" t="s">
        <v>94</v>
      </c>
      <c r="D111" s="78"/>
      <c r="E111" s="78" t="s">
        <v>866</v>
      </c>
      <c r="F111" s="3">
        <v>2018</v>
      </c>
      <c r="G111" s="4">
        <v>43390</v>
      </c>
      <c r="H111" s="4">
        <v>43390</v>
      </c>
      <c r="I111" s="4">
        <v>43703</v>
      </c>
      <c r="J111" s="13">
        <f t="shared" ca="1" si="58"/>
        <v>313</v>
      </c>
      <c r="K111" s="165">
        <f t="shared" si="56"/>
        <v>43937</v>
      </c>
      <c r="L111" s="165">
        <f t="shared" si="57"/>
        <v>44120</v>
      </c>
      <c r="M111" s="165"/>
      <c r="N111" s="165"/>
      <c r="O111" s="165"/>
      <c r="P111" s="165"/>
      <c r="Q111" s="165"/>
      <c r="R111" s="3" t="s">
        <v>176</v>
      </c>
      <c r="S111" s="11" t="s">
        <v>222</v>
      </c>
      <c r="T111" s="11"/>
      <c r="U111" s="5" t="s">
        <v>8</v>
      </c>
      <c r="V111" s="251"/>
      <c r="W111" s="5" t="s">
        <v>602</v>
      </c>
      <c r="X111" s="5" t="s">
        <v>473</v>
      </c>
      <c r="Y111" s="5" t="s">
        <v>95</v>
      </c>
      <c r="Z111" s="3" t="s">
        <v>180</v>
      </c>
      <c r="AA111" s="6" t="s">
        <v>217</v>
      </c>
      <c r="AB111" s="141" t="s">
        <v>196</v>
      </c>
      <c r="AC111" s="165" t="s">
        <v>5</v>
      </c>
      <c r="AD111" s="165" t="s">
        <v>5</v>
      </c>
      <c r="AE111" s="165" t="s">
        <v>5</v>
      </c>
      <c r="AF111" s="5"/>
      <c r="AG111" s="5"/>
      <c r="AH111" s="210"/>
      <c r="AI111" s="76"/>
      <c r="AJ111" s="76"/>
      <c r="AK111" s="221" t="e">
        <f>SUM(#REF!,BT111,BV111)</f>
        <v>#REF!</v>
      </c>
      <c r="AL111" s="48"/>
      <c r="AM111" s="48"/>
      <c r="AN111" s="48"/>
      <c r="AO111" s="48"/>
      <c r="AP111" s="48"/>
      <c r="AQ111" s="48"/>
      <c r="AR111" s="51">
        <v>80.38149614993543</v>
      </c>
      <c r="AS111" s="51">
        <v>0</v>
      </c>
      <c r="AT111" s="51">
        <v>1.49E-3</v>
      </c>
      <c r="AU111" s="51"/>
      <c r="AV111" s="36">
        <v>211.9</v>
      </c>
      <c r="AW111" s="36">
        <v>12.96</v>
      </c>
      <c r="AX111" s="90">
        <f t="shared" ref="AX111:AX174" si="59">AW111+AV111</f>
        <v>224.86</v>
      </c>
      <c r="AY111" s="157">
        <f t="shared" si="46"/>
        <v>0</v>
      </c>
      <c r="AZ111" s="182">
        <v>0</v>
      </c>
      <c r="BA111" s="158"/>
      <c r="BB111" s="182">
        <v>0</v>
      </c>
      <c r="BC111" s="158"/>
      <c r="BD111" s="182">
        <v>0</v>
      </c>
      <c r="BE111" s="158">
        <v>0</v>
      </c>
      <c r="BF111" s="182">
        <v>0</v>
      </c>
      <c r="BG111" s="158"/>
      <c r="BH111" s="182">
        <v>0</v>
      </c>
      <c r="BI111" s="158"/>
      <c r="BJ111" s="182">
        <v>0</v>
      </c>
      <c r="BK111" s="158"/>
      <c r="BL111" s="182"/>
      <c r="BM111" s="158"/>
      <c r="BN111" s="182"/>
      <c r="BO111" s="158"/>
      <c r="BP111" s="182"/>
      <c r="BQ111" s="158"/>
      <c r="BR111" s="182"/>
      <c r="BS111" s="158"/>
      <c r="BT111" s="182"/>
      <c r="BU111" s="158"/>
      <c r="BV111" s="182"/>
      <c r="BW111" s="234"/>
      <c r="BX111" s="237"/>
      <c r="BY111" s="81">
        <f t="shared" si="47"/>
        <v>0</v>
      </c>
      <c r="BZ111" s="198"/>
      <c r="CA111" s="198"/>
      <c r="CB111" s="198"/>
      <c r="CC111" s="198"/>
      <c r="CD111" s="198"/>
      <c r="CE111" s="198"/>
      <c r="CF111" s="198"/>
      <c r="CG111" s="198"/>
      <c r="CH111" s="198"/>
      <c r="CI111" s="198"/>
      <c r="CJ111" s="198"/>
      <c r="CK111" s="198"/>
      <c r="CL111" s="195">
        <f t="shared" si="49"/>
        <v>0</v>
      </c>
      <c r="CM111" s="196"/>
      <c r="CN111" s="196"/>
      <c r="CO111" s="196"/>
      <c r="CP111" s="196"/>
      <c r="CQ111" s="196"/>
      <c r="CR111" s="196"/>
      <c r="CS111" s="196"/>
      <c r="CT111" s="196"/>
      <c r="CU111" s="196"/>
      <c r="CV111" s="196"/>
      <c r="CW111" s="196"/>
      <c r="CX111" s="196"/>
      <c r="CY111" s="200">
        <f t="shared" ref="CY111:CY174" si="60">BV111-BX111</f>
        <v>0</v>
      </c>
      <c r="CZ111" s="172">
        <f t="shared" si="48"/>
        <v>0</v>
      </c>
      <c r="DA111" s="201">
        <f t="shared" ref="DA111:DA174" si="61">SUM(BA111,BC111,BE111,BG111,BI111,BK111,BM111,BO111,BQ111,BS111,BU111)</f>
        <v>0</v>
      </c>
      <c r="DB111" s="201">
        <f t="shared" ref="DB111:DB174" si="62">SUM(BX111)</f>
        <v>0</v>
      </c>
      <c r="DC111" s="201">
        <f t="shared" si="50"/>
        <v>0</v>
      </c>
      <c r="DD111" s="239">
        <v>0</v>
      </c>
      <c r="DE111" s="201">
        <f t="shared" si="51"/>
        <v>0</v>
      </c>
      <c r="DF111" s="172" t="e">
        <f>SUM(DN111:DO111)-SUM(#REF!,BV111)+BU111</f>
        <v>#REF!</v>
      </c>
      <c r="DG111" s="207"/>
      <c r="DH111" s="225">
        <f t="shared" si="52"/>
        <v>0</v>
      </c>
      <c r="DI111" s="225">
        <f t="shared" si="53"/>
        <v>0</v>
      </c>
      <c r="DJ111" s="225">
        <f t="shared" si="54"/>
        <v>0</v>
      </c>
      <c r="DK111" s="225" t="e">
        <f>SUM(BS111,#REF!,BV111)</f>
        <v>#REF!</v>
      </c>
      <c r="DL111" s="145">
        <v>211.9</v>
      </c>
      <c r="DM111" s="145">
        <v>203.58141000000001</v>
      </c>
      <c r="DN111" s="145">
        <v>0</v>
      </c>
      <c r="DO111" s="145">
        <v>0</v>
      </c>
      <c r="DP111" s="145">
        <v>203.58141000000001</v>
      </c>
      <c r="DQ111" s="145">
        <v>8.3185900000000004</v>
      </c>
      <c r="DS111" s="219">
        <f t="shared" si="55"/>
        <v>0</v>
      </c>
    </row>
    <row r="112" spans="1:123" s="21" customFormat="1" ht="24" customHeight="1">
      <c r="A112" s="16"/>
      <c r="B112" s="2">
        <v>68</v>
      </c>
      <c r="C112" s="78" t="s">
        <v>78</v>
      </c>
      <c r="D112" s="78"/>
      <c r="E112" s="78" t="s">
        <v>845</v>
      </c>
      <c r="F112" s="3">
        <v>2018</v>
      </c>
      <c r="G112" s="4">
        <v>43277</v>
      </c>
      <c r="H112" s="174">
        <v>43277</v>
      </c>
      <c r="I112" s="4">
        <v>44375</v>
      </c>
      <c r="J112" s="13">
        <f t="shared" ca="1" si="58"/>
        <v>1098</v>
      </c>
      <c r="K112" s="165">
        <f t="shared" si="56"/>
        <v>43824</v>
      </c>
      <c r="L112" s="165">
        <f t="shared" si="57"/>
        <v>44007</v>
      </c>
      <c r="M112" s="165"/>
      <c r="N112" s="165"/>
      <c r="O112" s="165"/>
      <c r="P112" s="165"/>
      <c r="Q112" s="165"/>
      <c r="R112" s="3" t="s">
        <v>175</v>
      </c>
      <c r="S112" s="11" t="s">
        <v>4</v>
      </c>
      <c r="T112" s="11" t="s">
        <v>905</v>
      </c>
      <c r="U112" s="5" t="s">
        <v>8</v>
      </c>
      <c r="V112" s="251"/>
      <c r="W112" s="5" t="s">
        <v>602</v>
      </c>
      <c r="X112" s="5" t="s">
        <v>475</v>
      </c>
      <c r="Y112" s="5" t="s">
        <v>79</v>
      </c>
      <c r="Z112" s="78" t="s">
        <v>315</v>
      </c>
      <c r="AA112" s="6" t="s">
        <v>217</v>
      </c>
      <c r="AB112" s="141" t="s">
        <v>196</v>
      </c>
      <c r="AC112" s="165" t="s">
        <v>5</v>
      </c>
      <c r="AD112" s="165" t="s">
        <v>5</v>
      </c>
      <c r="AE112" s="165" t="s">
        <v>5</v>
      </c>
      <c r="AF112" s="5" t="s">
        <v>1037</v>
      </c>
      <c r="AG112" s="5"/>
      <c r="AH112" s="211"/>
      <c r="AI112" s="76"/>
      <c r="AJ112" s="76"/>
      <c r="AK112" s="221" t="e">
        <f>SUM(#REF!,BT112,BV112)</f>
        <v>#REF!</v>
      </c>
      <c r="AL112" s="154"/>
      <c r="AM112" s="154"/>
      <c r="AN112" s="154"/>
      <c r="AO112" s="154"/>
      <c r="AP112" s="154"/>
      <c r="AQ112" s="154"/>
      <c r="AR112" s="51">
        <v>71.908068172110077</v>
      </c>
      <c r="AS112" s="51">
        <v>19.5</v>
      </c>
      <c r="AT112" s="51">
        <v>9.8375799999999991</v>
      </c>
      <c r="AU112" s="51">
        <v>50</v>
      </c>
      <c r="AV112" s="36">
        <f>247+49</f>
        <v>296</v>
      </c>
      <c r="AW112" s="36">
        <v>5</v>
      </c>
      <c r="AX112" s="90">
        <f t="shared" si="59"/>
        <v>301</v>
      </c>
      <c r="AY112" s="157">
        <f t="shared" si="46"/>
        <v>24.617419999999999</v>
      </c>
      <c r="AZ112" s="182">
        <v>15</v>
      </c>
      <c r="BA112" s="158">
        <v>0</v>
      </c>
      <c r="BB112" s="182">
        <v>15</v>
      </c>
      <c r="BC112" s="158">
        <v>8.2248000000000001</v>
      </c>
      <c r="BD112" s="182">
        <v>1.5</v>
      </c>
      <c r="BE112" s="158">
        <v>2.92218</v>
      </c>
      <c r="BF112" s="182">
        <v>3.5</v>
      </c>
      <c r="BG112" s="158">
        <v>0.92998999999999998</v>
      </c>
      <c r="BH112" s="182">
        <v>5.5</v>
      </c>
      <c r="BI112" s="158">
        <v>5.4010200000000008</v>
      </c>
      <c r="BJ112" s="182">
        <v>7</v>
      </c>
      <c r="BK112" s="158">
        <v>7.1394299999999999</v>
      </c>
      <c r="BL112" s="182"/>
      <c r="BM112" s="158"/>
      <c r="BN112" s="182"/>
      <c r="BO112" s="158"/>
      <c r="BP112" s="182"/>
      <c r="BQ112" s="158"/>
      <c r="BR112" s="182"/>
      <c r="BS112" s="158"/>
      <c r="BT112" s="182"/>
      <c r="BU112" s="158"/>
      <c r="BV112" s="182"/>
      <c r="BW112" s="234"/>
      <c r="BX112" s="237"/>
      <c r="BY112" s="81">
        <f t="shared" si="47"/>
        <v>0</v>
      </c>
      <c r="BZ112" s="241"/>
      <c r="CA112" s="241"/>
      <c r="CB112" s="241"/>
      <c r="CC112" s="241"/>
      <c r="CD112" s="241"/>
      <c r="CE112" s="241"/>
      <c r="CF112" s="241"/>
      <c r="CG112" s="241"/>
      <c r="CH112" s="241"/>
      <c r="CI112" s="241"/>
      <c r="CJ112" s="241"/>
      <c r="CK112" s="241"/>
      <c r="CL112" s="195">
        <f t="shared" si="49"/>
        <v>0</v>
      </c>
      <c r="CM112" s="196"/>
      <c r="CN112" s="196"/>
      <c r="CO112" s="196"/>
      <c r="CP112" s="196"/>
      <c r="CQ112" s="196"/>
      <c r="CR112" s="196"/>
      <c r="CS112" s="196"/>
      <c r="CT112" s="196"/>
      <c r="CU112" s="196"/>
      <c r="CV112" s="196"/>
      <c r="CW112" s="196"/>
      <c r="CX112" s="196"/>
      <c r="CY112" s="200">
        <f t="shared" si="60"/>
        <v>0</v>
      </c>
      <c r="CZ112" s="172">
        <f t="shared" si="48"/>
        <v>0</v>
      </c>
      <c r="DA112" s="201">
        <f t="shared" si="61"/>
        <v>24.617419999999999</v>
      </c>
      <c r="DB112" s="201">
        <f t="shared" si="62"/>
        <v>0</v>
      </c>
      <c r="DC112" s="201">
        <f t="shared" si="50"/>
        <v>24.617419999999999</v>
      </c>
      <c r="DD112" s="239">
        <v>24.617419999999999</v>
      </c>
      <c r="DE112" s="201">
        <f t="shared" si="51"/>
        <v>0</v>
      </c>
      <c r="DF112" s="172" t="e">
        <f>SUM(DN112:DO112)-SUM(#REF!,BV112)+BU112</f>
        <v>#REF!</v>
      </c>
      <c r="DG112" s="207"/>
      <c r="DH112" s="225">
        <f t="shared" si="52"/>
        <v>11.146979999999999</v>
      </c>
      <c r="DI112" s="225">
        <f t="shared" si="53"/>
        <v>13.47044</v>
      </c>
      <c r="DJ112" s="225">
        <f t="shared" si="54"/>
        <v>0</v>
      </c>
      <c r="DK112" s="225" t="e">
        <f>SUM(BS112,#REF!,BV112)</f>
        <v>#REF!</v>
      </c>
      <c r="DL112" s="145">
        <v>296</v>
      </c>
      <c r="DM112" s="145">
        <v>259.93617999999998</v>
      </c>
      <c r="DN112" s="145">
        <v>0</v>
      </c>
      <c r="DO112" s="145">
        <v>0</v>
      </c>
      <c r="DP112" s="145">
        <v>259.93617999999998</v>
      </c>
      <c r="DQ112" s="145">
        <v>36.06382</v>
      </c>
      <c r="DR112" s="21">
        <f>VLOOKUP(C112,[6]Database!$B$143:$AD$521,29,FALSE)</f>
        <v>0</v>
      </c>
      <c r="DS112" s="219">
        <f t="shared" si="55"/>
        <v>0</v>
      </c>
    </row>
    <row r="113" spans="1:123" s="21" customFormat="1" ht="24" customHeight="1">
      <c r="A113" s="16"/>
      <c r="B113" s="2">
        <v>69</v>
      </c>
      <c r="C113" s="78" t="s">
        <v>111</v>
      </c>
      <c r="D113" s="78"/>
      <c r="E113" s="78" t="s">
        <v>867</v>
      </c>
      <c r="F113" s="3">
        <v>2018</v>
      </c>
      <c r="G113" s="4">
        <v>43251</v>
      </c>
      <c r="H113" s="4">
        <v>43251</v>
      </c>
      <c r="I113" s="4">
        <v>43887</v>
      </c>
      <c r="J113" s="13">
        <f t="shared" ca="1" si="58"/>
        <v>636</v>
      </c>
      <c r="K113" s="165">
        <f t="shared" si="56"/>
        <v>43798</v>
      </c>
      <c r="L113" s="165">
        <f t="shared" si="57"/>
        <v>43981</v>
      </c>
      <c r="M113" s="165"/>
      <c r="N113" s="165"/>
      <c r="O113" s="165"/>
      <c r="P113" s="165"/>
      <c r="Q113" s="165"/>
      <c r="R113" s="3" t="s">
        <v>175</v>
      </c>
      <c r="S113" s="11" t="s">
        <v>4</v>
      </c>
      <c r="T113" s="11"/>
      <c r="U113" s="5" t="s">
        <v>8</v>
      </c>
      <c r="V113" s="251"/>
      <c r="W113" s="5" t="s">
        <v>602</v>
      </c>
      <c r="X113" s="5" t="s">
        <v>475</v>
      </c>
      <c r="Y113" s="5" t="s">
        <v>112</v>
      </c>
      <c r="Z113" s="3" t="s">
        <v>180</v>
      </c>
      <c r="AA113" s="6" t="s">
        <v>217</v>
      </c>
      <c r="AB113" s="141" t="s">
        <v>196</v>
      </c>
      <c r="AC113" s="165" t="s">
        <v>5</v>
      </c>
      <c r="AD113" s="165" t="s">
        <v>5</v>
      </c>
      <c r="AE113" s="165" t="s">
        <v>5</v>
      </c>
      <c r="AF113" s="5"/>
      <c r="AG113" s="5"/>
      <c r="AH113" s="211"/>
      <c r="AI113" s="76"/>
      <c r="AJ113" s="76"/>
      <c r="AK113" s="221" t="e">
        <f>SUM(#REF!,BT113,BV113)</f>
        <v>#REF!</v>
      </c>
      <c r="AL113" s="48"/>
      <c r="AM113" s="48"/>
      <c r="AN113" s="48"/>
      <c r="AO113" s="48"/>
      <c r="AP113" s="48"/>
      <c r="AQ113" s="48"/>
      <c r="AR113" s="51">
        <v>41.285357932312024</v>
      </c>
      <c r="AS113" s="51">
        <v>25.246929999999999</v>
      </c>
      <c r="AT113" s="51">
        <v>19.769860000000001</v>
      </c>
      <c r="AU113" s="51"/>
      <c r="AV113" s="36">
        <v>275.95999999999998</v>
      </c>
      <c r="AW113" s="36">
        <v>7</v>
      </c>
      <c r="AX113" s="90">
        <f t="shared" si="59"/>
        <v>282.95999999999998</v>
      </c>
      <c r="AY113" s="157">
        <f t="shared" si="46"/>
        <v>0</v>
      </c>
      <c r="AZ113" s="182">
        <v>0</v>
      </c>
      <c r="BA113" s="158"/>
      <c r="BB113" s="182">
        <v>0</v>
      </c>
      <c r="BC113" s="158"/>
      <c r="BD113" s="182">
        <v>0</v>
      </c>
      <c r="BE113" s="158">
        <v>0</v>
      </c>
      <c r="BF113" s="182">
        <v>0</v>
      </c>
      <c r="BG113" s="158"/>
      <c r="BH113" s="182">
        <v>0</v>
      </c>
      <c r="BI113" s="158"/>
      <c r="BJ113" s="182">
        <v>0</v>
      </c>
      <c r="BK113" s="158"/>
      <c r="BL113" s="182"/>
      <c r="BM113" s="158"/>
      <c r="BN113" s="182"/>
      <c r="BO113" s="158"/>
      <c r="BP113" s="182"/>
      <c r="BQ113" s="158"/>
      <c r="BR113" s="182"/>
      <c r="BS113" s="158"/>
      <c r="BT113" s="182"/>
      <c r="BU113" s="158"/>
      <c r="BV113" s="182"/>
      <c r="BW113" s="234"/>
      <c r="BX113" s="237"/>
      <c r="BY113" s="81">
        <f t="shared" si="47"/>
        <v>0</v>
      </c>
      <c r="BZ113" s="241"/>
      <c r="CA113" s="241"/>
      <c r="CB113" s="241"/>
      <c r="CC113" s="241"/>
      <c r="CD113" s="241"/>
      <c r="CE113" s="241"/>
      <c r="CF113" s="241"/>
      <c r="CG113" s="241"/>
      <c r="CH113" s="241"/>
      <c r="CI113" s="241"/>
      <c r="CJ113" s="241"/>
      <c r="CK113" s="241"/>
      <c r="CL113" s="195">
        <f t="shared" si="49"/>
        <v>0</v>
      </c>
      <c r="CM113" s="196"/>
      <c r="CN113" s="196"/>
      <c r="CO113" s="196"/>
      <c r="CP113" s="196"/>
      <c r="CQ113" s="196"/>
      <c r="CR113" s="196"/>
      <c r="CS113" s="196"/>
      <c r="CT113" s="196"/>
      <c r="CU113" s="196"/>
      <c r="CV113" s="196"/>
      <c r="CW113" s="196"/>
      <c r="CX113" s="196"/>
      <c r="CY113" s="200">
        <f t="shared" si="60"/>
        <v>0</v>
      </c>
      <c r="CZ113" s="172">
        <f t="shared" si="48"/>
        <v>0</v>
      </c>
      <c r="DA113" s="201">
        <f t="shared" si="61"/>
        <v>0</v>
      </c>
      <c r="DB113" s="201">
        <f t="shared" si="62"/>
        <v>0</v>
      </c>
      <c r="DC113" s="201">
        <f t="shared" si="50"/>
        <v>0</v>
      </c>
      <c r="DD113" s="239">
        <v>0</v>
      </c>
      <c r="DE113" s="201">
        <f t="shared" si="51"/>
        <v>0</v>
      </c>
      <c r="DF113" s="172" t="e">
        <f>SUM(DN113:DO113)-SUM(#REF!,BV113)+BU113</f>
        <v>#REF!</v>
      </c>
      <c r="DG113" s="207"/>
      <c r="DH113" s="225">
        <f t="shared" si="52"/>
        <v>0</v>
      </c>
      <c r="DI113" s="225">
        <f t="shared" si="53"/>
        <v>0</v>
      </c>
      <c r="DJ113" s="225">
        <f t="shared" si="54"/>
        <v>0</v>
      </c>
      <c r="DK113" s="225" t="e">
        <f>SUM(BS113,#REF!,BV113)</f>
        <v>#REF!</v>
      </c>
      <c r="DL113" s="145">
        <v>275.95600000000002</v>
      </c>
      <c r="DM113" s="145">
        <v>255.62375</v>
      </c>
      <c r="DN113" s="145">
        <v>0</v>
      </c>
      <c r="DO113" s="145">
        <v>0</v>
      </c>
      <c r="DP113" s="145">
        <v>255.62375</v>
      </c>
      <c r="DQ113" s="145">
        <v>20.332249999999998</v>
      </c>
      <c r="DS113" s="219">
        <f t="shared" si="55"/>
        <v>0</v>
      </c>
    </row>
    <row r="114" spans="1:123" s="21" customFormat="1" ht="24" customHeight="1">
      <c r="A114" s="16"/>
      <c r="B114" s="2">
        <v>70</v>
      </c>
      <c r="C114" s="78" t="s">
        <v>96</v>
      </c>
      <c r="D114" s="78"/>
      <c r="E114" s="78"/>
      <c r="F114" s="3">
        <v>2018</v>
      </c>
      <c r="G114" s="4">
        <v>43300</v>
      </c>
      <c r="H114" s="4">
        <v>43300</v>
      </c>
      <c r="I114" s="4">
        <v>43588</v>
      </c>
      <c r="J114" s="13">
        <f t="shared" ca="1" si="58"/>
        <v>288</v>
      </c>
      <c r="K114" s="165">
        <f t="shared" si="56"/>
        <v>43847</v>
      </c>
      <c r="L114" s="165">
        <f t="shared" si="57"/>
        <v>44030</v>
      </c>
      <c r="M114" s="165"/>
      <c r="N114" s="165"/>
      <c r="O114" s="165"/>
      <c r="P114" s="170"/>
      <c r="Q114" s="165"/>
      <c r="R114" s="3" t="s">
        <v>176</v>
      </c>
      <c r="S114" s="11" t="s">
        <v>222</v>
      </c>
      <c r="T114" s="11"/>
      <c r="U114" s="5" t="s">
        <v>8</v>
      </c>
      <c r="V114" s="251"/>
      <c r="W114" s="5" t="s">
        <v>602</v>
      </c>
      <c r="X114" s="5" t="s">
        <v>473</v>
      </c>
      <c r="Y114" s="5" t="s">
        <v>97</v>
      </c>
      <c r="Z114" s="3" t="s">
        <v>180</v>
      </c>
      <c r="AA114" s="6" t="s">
        <v>217</v>
      </c>
      <c r="AB114" s="141" t="s">
        <v>196</v>
      </c>
      <c r="AC114" s="165" t="s">
        <v>5</v>
      </c>
      <c r="AD114" s="165" t="s">
        <v>5</v>
      </c>
      <c r="AE114" s="165" t="s">
        <v>5</v>
      </c>
      <c r="AF114" s="5"/>
      <c r="AG114" s="5"/>
      <c r="AH114" s="211"/>
      <c r="AI114" s="76"/>
      <c r="AJ114" s="76"/>
      <c r="AK114" s="221" t="e">
        <f>SUM(#REF!,BT114,BV114)</f>
        <v>#REF!</v>
      </c>
      <c r="AL114" s="48"/>
      <c r="AM114" s="48"/>
      <c r="AN114" s="48"/>
      <c r="AO114" s="48"/>
      <c r="AP114" s="48"/>
      <c r="AQ114" s="48"/>
      <c r="AR114" s="51">
        <v>-1.3</v>
      </c>
      <c r="AS114" s="51"/>
      <c r="AT114" s="51">
        <v>0</v>
      </c>
      <c r="AU114" s="51"/>
      <c r="AV114" s="36">
        <v>75</v>
      </c>
      <c r="AW114" s="36">
        <v>0</v>
      </c>
      <c r="AX114" s="90">
        <f t="shared" si="59"/>
        <v>75</v>
      </c>
      <c r="AY114" s="157">
        <f t="shared" si="46"/>
        <v>0</v>
      </c>
      <c r="AZ114" s="182">
        <v>0</v>
      </c>
      <c r="BA114" s="158"/>
      <c r="BB114" s="182">
        <v>0</v>
      </c>
      <c r="BC114" s="158"/>
      <c r="BD114" s="182">
        <v>0</v>
      </c>
      <c r="BE114" s="158">
        <v>0</v>
      </c>
      <c r="BF114" s="182">
        <v>0</v>
      </c>
      <c r="BG114" s="158"/>
      <c r="BH114" s="182">
        <v>0</v>
      </c>
      <c r="BI114" s="158"/>
      <c r="BJ114" s="182">
        <v>0</v>
      </c>
      <c r="BK114" s="158"/>
      <c r="BL114" s="182"/>
      <c r="BM114" s="158"/>
      <c r="BN114" s="182"/>
      <c r="BO114" s="158"/>
      <c r="BP114" s="182"/>
      <c r="BQ114" s="158"/>
      <c r="BR114" s="182"/>
      <c r="BS114" s="158"/>
      <c r="BT114" s="182"/>
      <c r="BU114" s="158"/>
      <c r="BV114" s="182"/>
      <c r="BW114" s="234"/>
      <c r="BX114" s="237"/>
      <c r="BY114" s="81">
        <f t="shared" si="47"/>
        <v>0</v>
      </c>
      <c r="BZ114" s="198"/>
      <c r="CA114" s="198"/>
      <c r="CB114" s="198"/>
      <c r="CC114" s="198"/>
      <c r="CD114" s="198"/>
      <c r="CE114" s="198"/>
      <c r="CF114" s="198"/>
      <c r="CG114" s="198"/>
      <c r="CH114" s="198"/>
      <c r="CI114" s="198"/>
      <c r="CJ114" s="198"/>
      <c r="CK114" s="198"/>
      <c r="CL114" s="195">
        <f t="shared" si="49"/>
        <v>0</v>
      </c>
      <c r="CM114" s="196"/>
      <c r="CN114" s="196"/>
      <c r="CO114" s="196"/>
      <c r="CP114" s="196"/>
      <c r="CQ114" s="196"/>
      <c r="CR114" s="196"/>
      <c r="CS114" s="196"/>
      <c r="CT114" s="196"/>
      <c r="CU114" s="196"/>
      <c r="CV114" s="196"/>
      <c r="CW114" s="196"/>
      <c r="CX114" s="196"/>
      <c r="CY114" s="200">
        <f t="shared" si="60"/>
        <v>0</v>
      </c>
      <c r="CZ114" s="172">
        <f t="shared" si="48"/>
        <v>0</v>
      </c>
      <c r="DA114" s="201">
        <f t="shared" si="61"/>
        <v>0</v>
      </c>
      <c r="DB114" s="201">
        <f t="shared" si="62"/>
        <v>0</v>
      </c>
      <c r="DC114" s="201">
        <f t="shared" si="50"/>
        <v>0</v>
      </c>
      <c r="DD114" s="239">
        <v>0</v>
      </c>
      <c r="DE114" s="201">
        <f t="shared" si="51"/>
        <v>0</v>
      </c>
      <c r="DF114" s="172" t="e">
        <f>SUM(DN114:DO114)-SUM(#REF!,BV114)+BU114</f>
        <v>#REF!</v>
      </c>
      <c r="DG114" s="207"/>
      <c r="DH114" s="225">
        <f t="shared" si="52"/>
        <v>0</v>
      </c>
      <c r="DI114" s="225">
        <f t="shared" si="53"/>
        <v>0</v>
      </c>
      <c r="DJ114" s="225">
        <f t="shared" si="54"/>
        <v>0</v>
      </c>
      <c r="DK114" s="225" t="e">
        <f>SUM(BS114,#REF!,BV114)</f>
        <v>#REF!</v>
      </c>
      <c r="DL114" s="145">
        <v>75</v>
      </c>
      <c r="DM114" s="145">
        <v>66.357460000000003</v>
      </c>
      <c r="DN114" s="145">
        <v>0</v>
      </c>
      <c r="DO114" s="145">
        <v>0</v>
      </c>
      <c r="DP114" s="145">
        <v>66.357460000000003</v>
      </c>
      <c r="DQ114" s="145">
        <v>8.6425400000000003</v>
      </c>
      <c r="DS114" s="219">
        <f t="shared" si="55"/>
        <v>0</v>
      </c>
    </row>
    <row r="115" spans="1:123" s="21" customFormat="1" ht="24" customHeight="1">
      <c r="A115" s="16"/>
      <c r="B115" s="2">
        <v>71</v>
      </c>
      <c r="C115" s="78" t="s">
        <v>66</v>
      </c>
      <c r="D115" s="78"/>
      <c r="E115" s="78"/>
      <c r="F115" s="3">
        <v>2018</v>
      </c>
      <c r="G115" s="4">
        <v>43238</v>
      </c>
      <c r="H115" s="4">
        <v>43238</v>
      </c>
      <c r="I115" s="4">
        <v>43871</v>
      </c>
      <c r="J115" s="13">
        <f t="shared" ca="1" si="58"/>
        <v>633</v>
      </c>
      <c r="K115" s="165">
        <f t="shared" si="56"/>
        <v>43785</v>
      </c>
      <c r="L115" s="165">
        <f t="shared" si="57"/>
        <v>43968</v>
      </c>
      <c r="M115" s="165"/>
      <c r="N115" s="165"/>
      <c r="O115" s="165"/>
      <c r="P115" s="165"/>
      <c r="Q115" s="165"/>
      <c r="R115" s="3" t="s">
        <v>175</v>
      </c>
      <c r="S115" s="11" t="s">
        <v>223</v>
      </c>
      <c r="T115" s="11"/>
      <c r="U115" s="5" t="s">
        <v>8</v>
      </c>
      <c r="V115" s="251"/>
      <c r="W115" s="5" t="s">
        <v>602</v>
      </c>
      <c r="X115" s="5" t="s">
        <v>478</v>
      </c>
      <c r="Y115" s="5" t="s">
        <v>67</v>
      </c>
      <c r="Z115" s="3" t="s">
        <v>184</v>
      </c>
      <c r="AA115" s="6" t="s">
        <v>217</v>
      </c>
      <c r="AB115" s="141" t="s">
        <v>196</v>
      </c>
      <c r="AC115" s="165" t="s">
        <v>5</v>
      </c>
      <c r="AD115" s="165" t="s">
        <v>5</v>
      </c>
      <c r="AE115" s="165" t="s">
        <v>5</v>
      </c>
      <c r="AF115" s="5"/>
      <c r="AG115" s="5"/>
      <c r="AH115" s="211"/>
      <c r="AI115" s="76"/>
      <c r="AJ115" s="76"/>
      <c r="AK115" s="221" t="e">
        <f>SUM(#REF!,BT115,BV115)</f>
        <v>#REF!</v>
      </c>
      <c r="AL115" s="48"/>
      <c r="AM115" s="48"/>
      <c r="AN115" s="48"/>
      <c r="AO115" s="48"/>
      <c r="AP115" s="48"/>
      <c r="AQ115" s="48"/>
      <c r="AR115" s="51">
        <v>100.7238212826081</v>
      </c>
      <c r="AS115" s="51"/>
      <c r="AT115" s="51">
        <v>0</v>
      </c>
      <c r="AU115" s="51"/>
      <c r="AV115" s="36">
        <v>116.58</v>
      </c>
      <c r="AW115" s="36">
        <v>3</v>
      </c>
      <c r="AX115" s="90">
        <f t="shared" si="59"/>
        <v>119.58</v>
      </c>
      <c r="AY115" s="157">
        <f t="shared" si="46"/>
        <v>0</v>
      </c>
      <c r="AZ115" s="182">
        <v>0</v>
      </c>
      <c r="BA115" s="158"/>
      <c r="BB115" s="182">
        <v>0</v>
      </c>
      <c r="BC115" s="158"/>
      <c r="BD115" s="182">
        <v>0</v>
      </c>
      <c r="BE115" s="158">
        <v>0</v>
      </c>
      <c r="BF115" s="182">
        <v>0</v>
      </c>
      <c r="BG115" s="158"/>
      <c r="BH115" s="182">
        <v>0</v>
      </c>
      <c r="BI115" s="158"/>
      <c r="BJ115" s="182">
        <v>0</v>
      </c>
      <c r="BK115" s="158"/>
      <c r="BL115" s="182"/>
      <c r="BM115" s="158"/>
      <c r="BN115" s="182"/>
      <c r="BO115" s="158"/>
      <c r="BP115" s="182"/>
      <c r="BQ115" s="158"/>
      <c r="BR115" s="182"/>
      <c r="BS115" s="158"/>
      <c r="BT115" s="182"/>
      <c r="BU115" s="158"/>
      <c r="BV115" s="182"/>
      <c r="BW115" s="234"/>
      <c r="BX115" s="237"/>
      <c r="BY115" s="81">
        <f t="shared" si="47"/>
        <v>0</v>
      </c>
      <c r="BZ115" s="241"/>
      <c r="CA115" s="241"/>
      <c r="CB115" s="241"/>
      <c r="CC115" s="241"/>
      <c r="CD115" s="241"/>
      <c r="CE115" s="241"/>
      <c r="CF115" s="241"/>
      <c r="CG115" s="241"/>
      <c r="CH115" s="241"/>
      <c r="CI115" s="241"/>
      <c r="CJ115" s="241"/>
      <c r="CK115" s="241"/>
      <c r="CL115" s="195">
        <f t="shared" si="49"/>
        <v>0</v>
      </c>
      <c r="CM115" s="196"/>
      <c r="CN115" s="196"/>
      <c r="CO115" s="196"/>
      <c r="CP115" s="196"/>
      <c r="CQ115" s="196"/>
      <c r="CR115" s="196"/>
      <c r="CS115" s="196"/>
      <c r="CT115" s="196"/>
      <c r="CU115" s="196"/>
      <c r="CV115" s="196"/>
      <c r="CW115" s="196"/>
      <c r="CX115" s="196"/>
      <c r="CY115" s="200">
        <f t="shared" si="60"/>
        <v>0</v>
      </c>
      <c r="CZ115" s="172">
        <f t="shared" si="48"/>
        <v>0</v>
      </c>
      <c r="DA115" s="201">
        <f t="shared" si="61"/>
        <v>0</v>
      </c>
      <c r="DB115" s="201">
        <f t="shared" si="62"/>
        <v>0</v>
      </c>
      <c r="DC115" s="201">
        <f t="shared" si="50"/>
        <v>0</v>
      </c>
      <c r="DD115" s="239">
        <v>0</v>
      </c>
      <c r="DE115" s="201">
        <f t="shared" si="51"/>
        <v>0</v>
      </c>
      <c r="DF115" s="172" t="e">
        <f>SUM(DN115:DO115)-SUM(#REF!,BV115)+BU115</f>
        <v>#REF!</v>
      </c>
      <c r="DG115" s="207"/>
      <c r="DH115" s="225">
        <f t="shared" si="52"/>
        <v>0</v>
      </c>
      <c r="DI115" s="225">
        <f t="shared" si="53"/>
        <v>0</v>
      </c>
      <c r="DJ115" s="225">
        <f t="shared" si="54"/>
        <v>0</v>
      </c>
      <c r="DK115" s="225" t="e">
        <f>SUM(BS115,#REF!,BV115)</f>
        <v>#REF!</v>
      </c>
      <c r="DL115" s="145">
        <v>116.58</v>
      </c>
      <c r="DM115" s="145">
        <v>103.48542999999999</v>
      </c>
      <c r="DN115" s="145">
        <v>0</v>
      </c>
      <c r="DO115" s="145">
        <v>0</v>
      </c>
      <c r="DP115" s="145">
        <v>103.48542999999999</v>
      </c>
      <c r="DQ115" s="145">
        <v>13.094569999999999</v>
      </c>
      <c r="DS115" s="219">
        <f t="shared" si="55"/>
        <v>0</v>
      </c>
    </row>
    <row r="116" spans="1:123" s="21" customFormat="1" ht="24" customHeight="1">
      <c r="A116" s="16"/>
      <c r="B116" s="2">
        <v>72</v>
      </c>
      <c r="C116" s="78" t="s">
        <v>92</v>
      </c>
      <c r="D116" s="78"/>
      <c r="E116" s="78" t="s">
        <v>868</v>
      </c>
      <c r="F116" s="3">
        <v>2018</v>
      </c>
      <c r="G116" s="4">
        <v>43293</v>
      </c>
      <c r="H116" s="4">
        <v>43293</v>
      </c>
      <c r="I116" s="4">
        <v>43777</v>
      </c>
      <c r="J116" s="13">
        <f t="shared" ca="1" si="58"/>
        <v>484</v>
      </c>
      <c r="K116" s="165">
        <f t="shared" si="56"/>
        <v>43840</v>
      </c>
      <c r="L116" s="165">
        <f t="shared" si="57"/>
        <v>44023</v>
      </c>
      <c r="M116" s="165"/>
      <c r="N116" s="165"/>
      <c r="O116" s="165"/>
      <c r="P116" s="165"/>
      <c r="Q116" s="165"/>
      <c r="R116" s="3" t="s">
        <v>176</v>
      </c>
      <c r="S116" s="11" t="s">
        <v>222</v>
      </c>
      <c r="T116" s="11"/>
      <c r="U116" s="5" t="s">
        <v>8</v>
      </c>
      <c r="V116" s="251"/>
      <c r="W116" s="5" t="s">
        <v>602</v>
      </c>
      <c r="X116" s="5" t="s">
        <v>473</v>
      </c>
      <c r="Y116" s="5" t="s">
        <v>93</v>
      </c>
      <c r="Z116" s="3" t="s">
        <v>185</v>
      </c>
      <c r="AA116" s="6" t="s">
        <v>217</v>
      </c>
      <c r="AB116" s="141" t="s">
        <v>196</v>
      </c>
      <c r="AC116" s="165" t="s">
        <v>5</v>
      </c>
      <c r="AD116" s="165" t="s">
        <v>5</v>
      </c>
      <c r="AE116" s="165" t="s">
        <v>5</v>
      </c>
      <c r="AF116" s="5"/>
      <c r="AG116" s="5"/>
      <c r="AH116" s="211"/>
      <c r="AI116" s="76"/>
      <c r="AJ116" s="76"/>
      <c r="AK116" s="221" t="e">
        <f>SUM(#REF!,BT116,BV116)</f>
        <v>#REF!</v>
      </c>
      <c r="AL116" s="154"/>
      <c r="AM116" s="154"/>
      <c r="AN116" s="154"/>
      <c r="AO116" s="154"/>
      <c r="AP116" s="154"/>
      <c r="AQ116" s="154"/>
      <c r="AR116" s="51">
        <v>27.903765605009657</v>
      </c>
      <c r="AS116" s="51">
        <v>0</v>
      </c>
      <c r="AT116" s="51">
        <v>0</v>
      </c>
      <c r="AU116" s="51"/>
      <c r="AV116" s="36">
        <v>99.1</v>
      </c>
      <c r="AW116" s="36">
        <v>3.4</v>
      </c>
      <c r="AX116" s="90">
        <f t="shared" si="59"/>
        <v>102.5</v>
      </c>
      <c r="AY116" s="157">
        <f t="shared" si="46"/>
        <v>0</v>
      </c>
      <c r="AZ116" s="182">
        <v>0</v>
      </c>
      <c r="BA116" s="158"/>
      <c r="BB116" s="182">
        <v>0</v>
      </c>
      <c r="BC116" s="158"/>
      <c r="BD116" s="182">
        <v>0</v>
      </c>
      <c r="BE116" s="158">
        <v>0</v>
      </c>
      <c r="BF116" s="182">
        <v>0</v>
      </c>
      <c r="BG116" s="158"/>
      <c r="BH116" s="182">
        <v>0</v>
      </c>
      <c r="BI116" s="158"/>
      <c r="BJ116" s="182">
        <v>0</v>
      </c>
      <c r="BK116" s="158"/>
      <c r="BL116" s="182"/>
      <c r="BM116" s="158"/>
      <c r="BN116" s="182"/>
      <c r="BO116" s="158"/>
      <c r="BP116" s="182"/>
      <c r="BQ116" s="158"/>
      <c r="BR116" s="182"/>
      <c r="BS116" s="158"/>
      <c r="BT116" s="182"/>
      <c r="BU116" s="158"/>
      <c r="BV116" s="182"/>
      <c r="BW116" s="234"/>
      <c r="BX116" s="237"/>
      <c r="BY116" s="81">
        <f t="shared" si="47"/>
        <v>0</v>
      </c>
      <c r="BZ116" s="198"/>
      <c r="CA116" s="198"/>
      <c r="CB116" s="198"/>
      <c r="CC116" s="198"/>
      <c r="CD116" s="198"/>
      <c r="CE116" s="198"/>
      <c r="CF116" s="198"/>
      <c r="CG116" s="198"/>
      <c r="CH116" s="198"/>
      <c r="CI116" s="198"/>
      <c r="CJ116" s="198"/>
      <c r="CK116" s="198"/>
      <c r="CL116" s="195">
        <f t="shared" si="49"/>
        <v>0</v>
      </c>
      <c r="CM116" s="196"/>
      <c r="CN116" s="196"/>
      <c r="CO116" s="196"/>
      <c r="CP116" s="196"/>
      <c r="CQ116" s="196"/>
      <c r="CR116" s="196"/>
      <c r="CS116" s="196"/>
      <c r="CT116" s="196"/>
      <c r="CU116" s="196"/>
      <c r="CV116" s="196"/>
      <c r="CW116" s="196"/>
      <c r="CX116" s="196"/>
      <c r="CY116" s="200">
        <f t="shared" si="60"/>
        <v>0</v>
      </c>
      <c r="CZ116" s="172">
        <f t="shared" si="48"/>
        <v>0</v>
      </c>
      <c r="DA116" s="201">
        <f t="shared" si="61"/>
        <v>0</v>
      </c>
      <c r="DB116" s="201">
        <f t="shared" si="62"/>
        <v>0</v>
      </c>
      <c r="DC116" s="201">
        <f t="shared" si="50"/>
        <v>0</v>
      </c>
      <c r="DD116" s="239">
        <v>0</v>
      </c>
      <c r="DE116" s="201">
        <f t="shared" si="51"/>
        <v>0</v>
      </c>
      <c r="DF116" s="172" t="e">
        <f>SUM(DN116:DO116)-SUM(#REF!,BV116)+BU116</f>
        <v>#REF!</v>
      </c>
      <c r="DG116" s="207"/>
      <c r="DH116" s="225">
        <f t="shared" si="52"/>
        <v>0</v>
      </c>
      <c r="DI116" s="225">
        <f t="shared" si="53"/>
        <v>0</v>
      </c>
      <c r="DJ116" s="225">
        <f t="shared" si="54"/>
        <v>0</v>
      </c>
      <c r="DK116" s="225" t="e">
        <f>SUM(BS116,#REF!,BV116)</f>
        <v>#REF!</v>
      </c>
      <c r="DL116" s="145">
        <v>99.1</v>
      </c>
      <c r="DM116" s="145">
        <v>91.053139999999999</v>
      </c>
      <c r="DN116" s="145">
        <v>0</v>
      </c>
      <c r="DO116" s="145">
        <v>0</v>
      </c>
      <c r="DP116" s="145">
        <v>91.053139999999999</v>
      </c>
      <c r="DQ116" s="145">
        <v>8.0468599999999988</v>
      </c>
      <c r="DS116" s="219">
        <f t="shared" si="55"/>
        <v>0</v>
      </c>
    </row>
    <row r="117" spans="1:123" s="21" customFormat="1" ht="24" customHeight="1">
      <c r="A117" s="16"/>
      <c r="B117" s="2">
        <v>73</v>
      </c>
      <c r="C117" s="78" t="s">
        <v>99</v>
      </c>
      <c r="D117" s="78"/>
      <c r="E117" s="78" t="s">
        <v>869</v>
      </c>
      <c r="F117" s="3">
        <v>2018</v>
      </c>
      <c r="G117" s="4">
        <v>43214</v>
      </c>
      <c r="H117" s="4">
        <v>43398</v>
      </c>
      <c r="I117" s="4">
        <v>43710</v>
      </c>
      <c r="J117" s="13">
        <f t="shared" ca="1" si="58"/>
        <v>312</v>
      </c>
      <c r="K117" s="165">
        <f t="shared" si="56"/>
        <v>43945</v>
      </c>
      <c r="L117" s="165">
        <f t="shared" si="57"/>
        <v>44128</v>
      </c>
      <c r="M117" s="165"/>
      <c r="N117" s="165"/>
      <c r="O117" s="165"/>
      <c r="P117" s="165"/>
      <c r="Q117" s="165"/>
      <c r="R117" s="3" t="s">
        <v>177</v>
      </c>
      <c r="S117" s="11" t="s">
        <v>222</v>
      </c>
      <c r="T117" s="11"/>
      <c r="U117" s="5" t="s">
        <v>8</v>
      </c>
      <c r="V117" s="251"/>
      <c r="W117" s="5" t="s">
        <v>602</v>
      </c>
      <c r="X117" s="5" t="s">
        <v>477</v>
      </c>
      <c r="Y117" s="5" t="s">
        <v>100</v>
      </c>
      <c r="Z117" s="3" t="s">
        <v>187</v>
      </c>
      <c r="AA117" s="6" t="s">
        <v>217</v>
      </c>
      <c r="AB117" s="141" t="s">
        <v>196</v>
      </c>
      <c r="AC117" s="165" t="s">
        <v>5</v>
      </c>
      <c r="AD117" s="165" t="s">
        <v>5</v>
      </c>
      <c r="AE117" s="165" t="s">
        <v>5</v>
      </c>
      <c r="AF117" s="5"/>
      <c r="AG117" s="5"/>
      <c r="AH117" s="211"/>
      <c r="AI117" s="76"/>
      <c r="AJ117" s="76"/>
      <c r="AK117" s="221" t="e">
        <f>SUM(#REF!,BT117,BV117)</f>
        <v>#REF!</v>
      </c>
      <c r="AL117" s="48"/>
      <c r="AM117" s="48"/>
      <c r="AN117" s="48"/>
      <c r="AO117" s="48"/>
      <c r="AP117" s="48"/>
      <c r="AQ117" s="48"/>
      <c r="AR117" s="51">
        <v>69.169354645568532</v>
      </c>
      <c r="AS117" s="51"/>
      <c r="AT117" s="51">
        <v>0</v>
      </c>
      <c r="AU117" s="51"/>
      <c r="AV117" s="36">
        <v>111.75</v>
      </c>
      <c r="AW117" s="36">
        <v>0</v>
      </c>
      <c r="AX117" s="90">
        <f t="shared" si="59"/>
        <v>111.75</v>
      </c>
      <c r="AY117" s="157">
        <f t="shared" si="46"/>
        <v>0</v>
      </c>
      <c r="AZ117" s="182">
        <v>0</v>
      </c>
      <c r="BA117" s="158"/>
      <c r="BB117" s="182">
        <v>0</v>
      </c>
      <c r="BC117" s="158"/>
      <c r="BD117" s="182">
        <v>0</v>
      </c>
      <c r="BE117" s="158">
        <v>0</v>
      </c>
      <c r="BF117" s="182">
        <v>0</v>
      </c>
      <c r="BG117" s="158"/>
      <c r="BH117" s="182">
        <v>0</v>
      </c>
      <c r="BI117" s="158"/>
      <c r="BJ117" s="182">
        <v>0</v>
      </c>
      <c r="BK117" s="158"/>
      <c r="BL117" s="182"/>
      <c r="BM117" s="158"/>
      <c r="BN117" s="182"/>
      <c r="BO117" s="158"/>
      <c r="BP117" s="182"/>
      <c r="BQ117" s="158"/>
      <c r="BR117" s="182"/>
      <c r="BS117" s="158"/>
      <c r="BT117" s="182"/>
      <c r="BU117" s="158"/>
      <c r="BV117" s="182"/>
      <c r="BW117" s="234"/>
      <c r="BX117" s="237"/>
      <c r="BY117" s="81">
        <f t="shared" si="47"/>
        <v>0</v>
      </c>
      <c r="BZ117" s="196"/>
      <c r="CA117" s="196"/>
      <c r="CB117" s="196"/>
      <c r="CC117" s="196"/>
      <c r="CD117" s="196"/>
      <c r="CE117" s="196"/>
      <c r="CF117" s="196"/>
      <c r="CG117" s="196"/>
      <c r="CH117" s="196"/>
      <c r="CI117" s="196"/>
      <c r="CJ117" s="196"/>
      <c r="CK117" s="196"/>
      <c r="CL117" s="195">
        <f t="shared" si="49"/>
        <v>0</v>
      </c>
      <c r="CM117" s="196"/>
      <c r="CN117" s="196"/>
      <c r="CO117" s="196"/>
      <c r="CP117" s="196"/>
      <c r="CQ117" s="196"/>
      <c r="CR117" s="196"/>
      <c r="CS117" s="196"/>
      <c r="CT117" s="196"/>
      <c r="CU117" s="196"/>
      <c r="CV117" s="196"/>
      <c r="CW117" s="196"/>
      <c r="CX117" s="196"/>
      <c r="CY117" s="200">
        <f t="shared" si="60"/>
        <v>0</v>
      </c>
      <c r="CZ117" s="172">
        <f t="shared" si="48"/>
        <v>0</v>
      </c>
      <c r="DA117" s="201">
        <f t="shared" si="61"/>
        <v>0</v>
      </c>
      <c r="DB117" s="201">
        <f t="shared" si="62"/>
        <v>0</v>
      </c>
      <c r="DC117" s="201">
        <f t="shared" si="50"/>
        <v>0</v>
      </c>
      <c r="DD117" s="239">
        <v>0</v>
      </c>
      <c r="DE117" s="201">
        <f t="shared" si="51"/>
        <v>0</v>
      </c>
      <c r="DF117" s="172" t="e">
        <f>SUM(DN117:DO117)-SUM(#REF!,BV117)+BU117</f>
        <v>#REF!</v>
      </c>
      <c r="DG117" s="207"/>
      <c r="DH117" s="225">
        <f t="shared" si="52"/>
        <v>0</v>
      </c>
      <c r="DI117" s="225">
        <f t="shared" si="53"/>
        <v>0</v>
      </c>
      <c r="DJ117" s="225">
        <f t="shared" si="54"/>
        <v>0</v>
      </c>
      <c r="DK117" s="225" t="e">
        <f>SUM(BS117,#REF!,BV117)</f>
        <v>#REF!</v>
      </c>
      <c r="DL117" s="145">
        <v>111.75</v>
      </c>
      <c r="DM117" s="145">
        <v>104.37603999999999</v>
      </c>
      <c r="DN117" s="145">
        <v>0</v>
      </c>
      <c r="DO117" s="145">
        <v>0</v>
      </c>
      <c r="DP117" s="145">
        <v>104.37603999999999</v>
      </c>
      <c r="DQ117" s="145">
        <v>7.3739600000000003</v>
      </c>
      <c r="DS117" s="219">
        <f t="shared" si="55"/>
        <v>0</v>
      </c>
    </row>
    <row r="118" spans="1:123" s="21" customFormat="1" ht="24" customHeight="1">
      <c r="A118" s="16"/>
      <c r="B118" s="2">
        <v>74</v>
      </c>
      <c r="C118" s="78" t="s">
        <v>113</v>
      </c>
      <c r="D118" s="78"/>
      <c r="E118" s="78"/>
      <c r="F118" s="3">
        <v>2018</v>
      </c>
      <c r="G118" s="4">
        <v>43244</v>
      </c>
      <c r="H118" s="4">
        <v>43244</v>
      </c>
      <c r="I118" s="4">
        <v>43671</v>
      </c>
      <c r="J118" s="13">
        <f t="shared" ca="1" si="58"/>
        <v>427</v>
      </c>
      <c r="K118" s="165">
        <f t="shared" si="56"/>
        <v>43791</v>
      </c>
      <c r="L118" s="165">
        <f t="shared" si="57"/>
        <v>43974</v>
      </c>
      <c r="M118" s="165"/>
      <c r="N118" s="165"/>
      <c r="O118" s="165"/>
      <c r="P118" s="165"/>
      <c r="Q118" s="165"/>
      <c r="R118" s="3" t="s">
        <v>175</v>
      </c>
      <c r="S118" s="11" t="s">
        <v>222</v>
      </c>
      <c r="T118" s="11"/>
      <c r="U118" s="5" t="s">
        <v>8</v>
      </c>
      <c r="V118" s="251"/>
      <c r="W118" s="5" t="s">
        <v>602</v>
      </c>
      <c r="X118" s="5" t="s">
        <v>474</v>
      </c>
      <c r="Y118" s="5" t="s">
        <v>465</v>
      </c>
      <c r="Z118" s="3" t="s">
        <v>180</v>
      </c>
      <c r="AA118" s="6" t="s">
        <v>217</v>
      </c>
      <c r="AB118" s="141" t="s">
        <v>196</v>
      </c>
      <c r="AC118" s="165" t="s">
        <v>5</v>
      </c>
      <c r="AD118" s="165" t="s">
        <v>5</v>
      </c>
      <c r="AE118" s="165" t="s">
        <v>5</v>
      </c>
      <c r="AF118" s="5"/>
      <c r="AG118" s="5"/>
      <c r="AH118" s="211"/>
      <c r="AI118" s="76"/>
      <c r="AJ118" s="76"/>
      <c r="AK118" s="221" t="e">
        <f>SUM(#REF!,BT118,BV118)</f>
        <v>#REF!</v>
      </c>
      <c r="AL118" s="48"/>
      <c r="AM118" s="48"/>
      <c r="AN118" s="48"/>
      <c r="AO118" s="48"/>
      <c r="AP118" s="48"/>
      <c r="AQ118" s="48"/>
      <c r="AR118" s="51">
        <v>0.79999999999999993</v>
      </c>
      <c r="AS118" s="51"/>
      <c r="AT118" s="51">
        <v>0</v>
      </c>
      <c r="AU118" s="51"/>
      <c r="AV118" s="36">
        <v>64.7</v>
      </c>
      <c r="AW118" s="36">
        <v>8.1</v>
      </c>
      <c r="AX118" s="90">
        <f t="shared" si="59"/>
        <v>72.8</v>
      </c>
      <c r="AY118" s="157">
        <f t="shared" si="46"/>
        <v>0</v>
      </c>
      <c r="AZ118" s="182">
        <v>0</v>
      </c>
      <c r="BA118" s="158"/>
      <c r="BB118" s="182">
        <v>0</v>
      </c>
      <c r="BC118" s="158"/>
      <c r="BD118" s="182">
        <v>0</v>
      </c>
      <c r="BE118" s="158">
        <v>0</v>
      </c>
      <c r="BF118" s="182">
        <v>0</v>
      </c>
      <c r="BG118" s="158"/>
      <c r="BH118" s="182">
        <v>0</v>
      </c>
      <c r="BI118" s="158"/>
      <c r="BJ118" s="182">
        <v>0</v>
      </c>
      <c r="BK118" s="158"/>
      <c r="BL118" s="182"/>
      <c r="BM118" s="158"/>
      <c r="BN118" s="182"/>
      <c r="BO118" s="158"/>
      <c r="BP118" s="182"/>
      <c r="BQ118" s="158"/>
      <c r="BR118" s="182"/>
      <c r="BS118" s="158"/>
      <c r="BT118" s="182"/>
      <c r="BU118" s="158"/>
      <c r="BV118" s="182"/>
      <c r="BW118" s="234"/>
      <c r="BX118" s="237"/>
      <c r="BY118" s="81">
        <f t="shared" si="47"/>
        <v>0</v>
      </c>
      <c r="BZ118" s="241"/>
      <c r="CA118" s="241"/>
      <c r="CB118" s="241"/>
      <c r="CC118" s="241"/>
      <c r="CD118" s="241"/>
      <c r="CE118" s="241"/>
      <c r="CF118" s="241"/>
      <c r="CG118" s="241"/>
      <c r="CH118" s="241"/>
      <c r="CI118" s="241"/>
      <c r="CJ118" s="241"/>
      <c r="CK118" s="241"/>
      <c r="CL118" s="195">
        <f t="shared" si="49"/>
        <v>0</v>
      </c>
      <c r="CM118" s="196"/>
      <c r="CN118" s="196"/>
      <c r="CO118" s="196"/>
      <c r="CP118" s="196"/>
      <c r="CQ118" s="196"/>
      <c r="CR118" s="196"/>
      <c r="CS118" s="196"/>
      <c r="CT118" s="196"/>
      <c r="CU118" s="196"/>
      <c r="CV118" s="196"/>
      <c r="CW118" s="196"/>
      <c r="CX118" s="196"/>
      <c r="CY118" s="200">
        <f t="shared" si="60"/>
        <v>0</v>
      </c>
      <c r="CZ118" s="172">
        <f t="shared" si="48"/>
        <v>0</v>
      </c>
      <c r="DA118" s="201">
        <f t="shared" si="61"/>
        <v>0</v>
      </c>
      <c r="DB118" s="201">
        <f t="shared" si="62"/>
        <v>0</v>
      </c>
      <c r="DC118" s="201">
        <f t="shared" si="50"/>
        <v>0</v>
      </c>
      <c r="DD118" s="239">
        <v>0</v>
      </c>
      <c r="DE118" s="201">
        <f t="shared" si="51"/>
        <v>0</v>
      </c>
      <c r="DF118" s="172" t="e">
        <f>SUM(DN118:DO118)-SUM(#REF!,BV118)+BU118</f>
        <v>#REF!</v>
      </c>
      <c r="DG118" s="207"/>
      <c r="DH118" s="225">
        <f t="shared" si="52"/>
        <v>0</v>
      </c>
      <c r="DI118" s="225">
        <f t="shared" si="53"/>
        <v>0</v>
      </c>
      <c r="DJ118" s="225">
        <f t="shared" si="54"/>
        <v>0</v>
      </c>
      <c r="DK118" s="225" t="e">
        <f>SUM(BS118,#REF!,BV118)</f>
        <v>#REF!</v>
      </c>
      <c r="DL118" s="145">
        <v>64.7</v>
      </c>
      <c r="DM118" s="145">
        <v>62.25497</v>
      </c>
      <c r="DN118" s="145">
        <v>0</v>
      </c>
      <c r="DO118" s="145">
        <v>0</v>
      </c>
      <c r="DP118" s="145">
        <v>62.25497</v>
      </c>
      <c r="DQ118" s="145">
        <v>2.44503</v>
      </c>
      <c r="DS118" s="219">
        <f t="shared" si="55"/>
        <v>0</v>
      </c>
    </row>
    <row r="119" spans="1:123" s="21" customFormat="1" ht="24" customHeight="1">
      <c r="A119" s="16"/>
      <c r="B119" s="2">
        <v>75</v>
      </c>
      <c r="C119" s="78" t="s">
        <v>114</v>
      </c>
      <c r="D119" s="78"/>
      <c r="E119" s="78" t="s">
        <v>841</v>
      </c>
      <c r="F119" s="3">
        <v>2018</v>
      </c>
      <c r="G119" s="4">
        <v>43425</v>
      </c>
      <c r="H119" s="174">
        <v>43425</v>
      </c>
      <c r="I119" s="4">
        <v>44375</v>
      </c>
      <c r="J119" s="13">
        <f t="shared" ca="1" si="58"/>
        <v>950</v>
      </c>
      <c r="K119" s="165">
        <f t="shared" si="56"/>
        <v>43972</v>
      </c>
      <c r="L119" s="165">
        <f t="shared" si="57"/>
        <v>44155</v>
      </c>
      <c r="M119" s="165"/>
      <c r="N119" s="165"/>
      <c r="O119" s="165"/>
      <c r="P119" s="165"/>
      <c r="Q119" s="165"/>
      <c r="R119" s="3" t="s">
        <v>175</v>
      </c>
      <c r="S119" s="11" t="s">
        <v>221</v>
      </c>
      <c r="T119" s="11" t="s">
        <v>914</v>
      </c>
      <c r="U119" s="5" t="s">
        <v>8</v>
      </c>
      <c r="V119" s="251"/>
      <c r="W119" s="5" t="s">
        <v>602</v>
      </c>
      <c r="X119" s="5" t="s">
        <v>475</v>
      </c>
      <c r="Y119" s="5" t="s">
        <v>115</v>
      </c>
      <c r="Z119" s="3" t="s">
        <v>180</v>
      </c>
      <c r="AA119" s="6" t="s">
        <v>217</v>
      </c>
      <c r="AB119" s="141" t="s">
        <v>196</v>
      </c>
      <c r="AC119" s="165" t="s">
        <v>5</v>
      </c>
      <c r="AD119" s="165" t="s">
        <v>5</v>
      </c>
      <c r="AE119" s="165" t="s">
        <v>5</v>
      </c>
      <c r="AF119" s="5" t="s">
        <v>1037</v>
      </c>
      <c r="AG119" s="5"/>
      <c r="AH119" s="211"/>
      <c r="AI119" s="76"/>
      <c r="AJ119" s="76"/>
      <c r="AK119" s="221" t="e">
        <f>SUM(#REF!,BT119,BV119)</f>
        <v>#REF!</v>
      </c>
      <c r="AL119" s="154"/>
      <c r="AM119" s="154"/>
      <c r="AN119" s="154"/>
      <c r="AO119" s="154"/>
      <c r="AP119" s="154"/>
      <c r="AQ119" s="154"/>
      <c r="AR119" s="51">
        <v>110.37460955622434</v>
      </c>
      <c r="AS119" s="51">
        <v>207.75263999999999</v>
      </c>
      <c r="AT119" s="51">
        <v>51.89443</v>
      </c>
      <c r="AU119" s="51">
        <v>94.293819999999997</v>
      </c>
      <c r="AV119" s="36">
        <v>267.8</v>
      </c>
      <c r="AW119" s="36">
        <v>37.75</v>
      </c>
      <c r="AX119" s="90">
        <f t="shared" si="59"/>
        <v>305.55</v>
      </c>
      <c r="AY119" s="157">
        <f t="shared" si="46"/>
        <v>38.555669999999999</v>
      </c>
      <c r="AZ119" s="182">
        <v>8</v>
      </c>
      <c r="BA119" s="158">
        <v>4.2938199999999993</v>
      </c>
      <c r="BB119" s="182">
        <v>5</v>
      </c>
      <c r="BC119" s="158">
        <v>0.22028999999999999</v>
      </c>
      <c r="BD119" s="182">
        <v>5</v>
      </c>
      <c r="BE119" s="158">
        <v>9.9150000000000002E-2</v>
      </c>
      <c r="BF119" s="182">
        <v>15</v>
      </c>
      <c r="BG119" s="158">
        <v>8.90456</v>
      </c>
      <c r="BH119" s="182">
        <v>10</v>
      </c>
      <c r="BI119" s="158">
        <v>2.8586999999999998</v>
      </c>
      <c r="BJ119" s="182">
        <v>20</v>
      </c>
      <c r="BK119" s="158">
        <v>22.17915</v>
      </c>
      <c r="BL119" s="182"/>
      <c r="BM119" s="158"/>
      <c r="BN119" s="182"/>
      <c r="BO119" s="158"/>
      <c r="BP119" s="182"/>
      <c r="BQ119" s="158"/>
      <c r="BR119" s="182"/>
      <c r="BS119" s="158"/>
      <c r="BT119" s="182"/>
      <c r="BU119" s="158"/>
      <c r="BV119" s="182"/>
      <c r="BW119" s="234"/>
      <c r="BX119" s="237"/>
      <c r="BY119" s="81">
        <f t="shared" si="47"/>
        <v>0</v>
      </c>
      <c r="BZ119" s="241"/>
      <c r="CA119" s="241"/>
      <c r="CB119" s="241"/>
      <c r="CC119" s="241"/>
      <c r="CD119" s="241"/>
      <c r="CE119" s="241"/>
      <c r="CF119" s="241"/>
      <c r="CG119" s="241"/>
      <c r="CH119" s="241"/>
      <c r="CI119" s="241"/>
      <c r="CJ119" s="241"/>
      <c r="CK119" s="241"/>
      <c r="CL119" s="195">
        <f t="shared" si="49"/>
        <v>0</v>
      </c>
      <c r="CM119" s="196"/>
      <c r="CN119" s="196"/>
      <c r="CO119" s="196"/>
      <c r="CP119" s="196"/>
      <c r="CQ119" s="196"/>
      <c r="CR119" s="196"/>
      <c r="CS119" s="196"/>
      <c r="CT119" s="196"/>
      <c r="CU119" s="196"/>
      <c r="CV119" s="196"/>
      <c r="CW119" s="196"/>
      <c r="CX119" s="196"/>
      <c r="CY119" s="200">
        <f t="shared" si="60"/>
        <v>0</v>
      </c>
      <c r="CZ119" s="172">
        <f t="shared" si="48"/>
        <v>0</v>
      </c>
      <c r="DA119" s="201">
        <f t="shared" si="61"/>
        <v>38.555669999999999</v>
      </c>
      <c r="DB119" s="201">
        <f t="shared" si="62"/>
        <v>0</v>
      </c>
      <c r="DC119" s="201">
        <f t="shared" si="50"/>
        <v>38.555669999999999</v>
      </c>
      <c r="DD119" s="239">
        <v>38.555669999999999</v>
      </c>
      <c r="DE119" s="201">
        <f t="shared" si="51"/>
        <v>0</v>
      </c>
      <c r="DF119" s="172" t="e">
        <f>SUM(DN119:DO119)-SUM(#REF!,BV119)+BU119</f>
        <v>#REF!</v>
      </c>
      <c r="DG119" s="207"/>
      <c r="DH119" s="225">
        <f t="shared" si="52"/>
        <v>4.6132599999999995</v>
      </c>
      <c r="DI119" s="225">
        <f t="shared" si="53"/>
        <v>33.942409999999995</v>
      </c>
      <c r="DJ119" s="225">
        <f t="shared" si="54"/>
        <v>0</v>
      </c>
      <c r="DK119" s="225" t="e">
        <f>SUM(BS119,#REF!,BV119)</f>
        <v>#REF!</v>
      </c>
      <c r="DL119" s="145">
        <v>267.8</v>
      </c>
      <c r="DM119" s="145">
        <v>200.9049</v>
      </c>
      <c r="DN119" s="145">
        <v>0</v>
      </c>
      <c r="DO119" s="145">
        <v>0</v>
      </c>
      <c r="DP119" s="145">
        <v>200.9049</v>
      </c>
      <c r="DQ119" s="145">
        <v>66.895099999999999</v>
      </c>
      <c r="DR119" s="21">
        <f>VLOOKUP(C119,[6]Database!$B$143:$AD$521,29,FALSE)</f>
        <v>0</v>
      </c>
      <c r="DS119" s="219">
        <f t="shared" si="55"/>
        <v>0</v>
      </c>
    </row>
    <row r="120" spans="1:123" s="21" customFormat="1" ht="24" customHeight="1">
      <c r="A120" s="16"/>
      <c r="B120" s="2">
        <v>76</v>
      </c>
      <c r="C120" s="78" t="s">
        <v>70</v>
      </c>
      <c r="D120" s="78"/>
      <c r="E120" s="78"/>
      <c r="F120" s="3">
        <v>2018</v>
      </c>
      <c r="G120" s="4">
        <v>43329</v>
      </c>
      <c r="H120" s="4">
        <v>43329</v>
      </c>
      <c r="I120" s="4">
        <v>44193</v>
      </c>
      <c r="J120" s="13">
        <f t="shared" ca="1" si="58"/>
        <v>864</v>
      </c>
      <c r="K120" s="165">
        <f t="shared" si="56"/>
        <v>43876</v>
      </c>
      <c r="L120" s="165">
        <f t="shared" si="57"/>
        <v>44059</v>
      </c>
      <c r="M120" s="165"/>
      <c r="N120" s="165"/>
      <c r="O120" s="165"/>
      <c r="P120" s="165"/>
      <c r="Q120" s="165"/>
      <c r="R120" s="3" t="s">
        <v>175</v>
      </c>
      <c r="S120" s="11" t="s">
        <v>4</v>
      </c>
      <c r="T120" s="11"/>
      <c r="U120" s="5" t="s">
        <v>8</v>
      </c>
      <c r="V120" s="251"/>
      <c r="W120" s="5" t="s">
        <v>602</v>
      </c>
      <c r="X120" s="5" t="s">
        <v>476</v>
      </c>
      <c r="Y120" s="5" t="s">
        <v>71</v>
      </c>
      <c r="Z120" s="3" t="s">
        <v>184</v>
      </c>
      <c r="AA120" s="6" t="s">
        <v>217</v>
      </c>
      <c r="AB120" s="141" t="s">
        <v>196</v>
      </c>
      <c r="AC120" s="165" t="s">
        <v>5</v>
      </c>
      <c r="AD120" s="165" t="s">
        <v>5</v>
      </c>
      <c r="AE120" s="165" t="s">
        <v>5</v>
      </c>
      <c r="AF120" s="5"/>
      <c r="AG120" s="41"/>
      <c r="AH120" s="211"/>
      <c r="AI120" s="76"/>
      <c r="AJ120" s="76"/>
      <c r="AK120" s="221" t="e">
        <f>SUM(#REF!,BT120,BV120)</f>
        <v>#REF!</v>
      </c>
      <c r="AL120" s="154"/>
      <c r="AM120" s="154"/>
      <c r="AN120" s="154"/>
      <c r="AO120" s="154"/>
      <c r="AP120" s="154"/>
      <c r="AQ120" s="154"/>
      <c r="AR120" s="51">
        <v>230.22216148789255</v>
      </c>
      <c r="AS120" s="51">
        <v>3.8</v>
      </c>
      <c r="AT120" s="51">
        <v>15.674819999999999</v>
      </c>
      <c r="AU120" s="51"/>
      <c r="AV120" s="36">
        <v>329.75</v>
      </c>
      <c r="AW120" s="36">
        <v>10</v>
      </c>
      <c r="AX120" s="90">
        <f t="shared" si="59"/>
        <v>339.75</v>
      </c>
      <c r="AY120" s="157">
        <f t="shared" si="46"/>
        <v>0</v>
      </c>
      <c r="AZ120" s="182">
        <v>0</v>
      </c>
      <c r="BA120" s="158"/>
      <c r="BB120" s="182">
        <v>0</v>
      </c>
      <c r="BC120" s="158"/>
      <c r="BD120" s="182">
        <v>0</v>
      </c>
      <c r="BE120" s="158">
        <v>0</v>
      </c>
      <c r="BF120" s="182">
        <v>0</v>
      </c>
      <c r="BG120" s="158"/>
      <c r="BH120" s="182">
        <v>0</v>
      </c>
      <c r="BI120" s="158"/>
      <c r="BJ120" s="182">
        <v>0</v>
      </c>
      <c r="BK120" s="158"/>
      <c r="BL120" s="182"/>
      <c r="BM120" s="158"/>
      <c r="BN120" s="182"/>
      <c r="BO120" s="158"/>
      <c r="BP120" s="182"/>
      <c r="BQ120" s="158"/>
      <c r="BR120" s="182"/>
      <c r="BS120" s="158"/>
      <c r="BT120" s="182"/>
      <c r="BU120" s="158"/>
      <c r="BV120" s="182"/>
      <c r="BW120" s="234"/>
      <c r="BX120" s="237"/>
      <c r="BY120" s="81">
        <f t="shared" si="47"/>
        <v>0</v>
      </c>
      <c r="BZ120" s="241"/>
      <c r="CA120" s="241"/>
      <c r="CB120" s="241"/>
      <c r="CC120" s="241"/>
      <c r="CD120" s="241"/>
      <c r="CE120" s="241"/>
      <c r="CF120" s="241"/>
      <c r="CG120" s="241"/>
      <c r="CH120" s="241"/>
      <c r="CI120" s="241"/>
      <c r="CJ120" s="241"/>
      <c r="CK120" s="241"/>
      <c r="CL120" s="195">
        <f t="shared" si="49"/>
        <v>0</v>
      </c>
      <c r="CM120" s="196"/>
      <c r="CN120" s="196"/>
      <c r="CO120" s="196"/>
      <c r="CP120" s="196"/>
      <c r="CQ120" s="196"/>
      <c r="CR120" s="196"/>
      <c r="CS120" s="196"/>
      <c r="CT120" s="196"/>
      <c r="CU120" s="196"/>
      <c r="CV120" s="196"/>
      <c r="CW120" s="196"/>
      <c r="CX120" s="196"/>
      <c r="CY120" s="200">
        <f t="shared" si="60"/>
        <v>0</v>
      </c>
      <c r="CZ120" s="172">
        <f t="shared" si="48"/>
        <v>0</v>
      </c>
      <c r="DA120" s="201">
        <f t="shared" si="61"/>
        <v>0</v>
      </c>
      <c r="DB120" s="201">
        <f t="shared" si="62"/>
        <v>0</v>
      </c>
      <c r="DC120" s="201">
        <f t="shared" si="50"/>
        <v>0</v>
      </c>
      <c r="DD120" s="239">
        <v>0</v>
      </c>
      <c r="DE120" s="201">
        <f t="shared" si="51"/>
        <v>0</v>
      </c>
      <c r="DF120" s="172" t="e">
        <f>SUM(DN120:DO120)-SUM(#REF!,BV120)+BU120</f>
        <v>#REF!</v>
      </c>
      <c r="DG120" s="207"/>
      <c r="DH120" s="225">
        <f t="shared" si="52"/>
        <v>0</v>
      </c>
      <c r="DI120" s="225">
        <f t="shared" si="53"/>
        <v>0</v>
      </c>
      <c r="DJ120" s="225">
        <f t="shared" si="54"/>
        <v>0</v>
      </c>
      <c r="DK120" s="225" t="e">
        <f>SUM(BS120,#REF!,BV120)</f>
        <v>#REF!</v>
      </c>
      <c r="DL120" s="145">
        <v>329.75</v>
      </c>
      <c r="DM120" s="145">
        <v>328.54374999999999</v>
      </c>
      <c r="DN120" s="145">
        <v>0</v>
      </c>
      <c r="DO120" s="145">
        <v>0</v>
      </c>
      <c r="DP120" s="145">
        <v>328.54374999999999</v>
      </c>
      <c r="DQ120" s="145">
        <v>1.20625</v>
      </c>
      <c r="DS120" s="219">
        <f t="shared" si="55"/>
        <v>0</v>
      </c>
    </row>
    <row r="121" spans="1:123" s="21" customFormat="1" ht="24" customHeight="1">
      <c r="A121" s="16"/>
      <c r="B121" s="2">
        <v>77</v>
      </c>
      <c r="C121" s="78" t="s">
        <v>116</v>
      </c>
      <c r="D121" s="78"/>
      <c r="E121" s="78"/>
      <c r="F121" s="3">
        <v>2018</v>
      </c>
      <c r="G121" s="4">
        <v>43335</v>
      </c>
      <c r="H121" s="4">
        <v>43335</v>
      </c>
      <c r="I121" s="4">
        <v>43858</v>
      </c>
      <c r="J121" s="13">
        <f t="shared" ca="1" si="58"/>
        <v>523</v>
      </c>
      <c r="K121" s="165">
        <f t="shared" si="56"/>
        <v>43882</v>
      </c>
      <c r="L121" s="165">
        <f t="shared" si="57"/>
        <v>44065</v>
      </c>
      <c r="M121" s="165"/>
      <c r="N121" s="165"/>
      <c r="O121" s="165"/>
      <c r="P121" s="165"/>
      <c r="Q121" s="165"/>
      <c r="R121" s="3" t="s">
        <v>175</v>
      </c>
      <c r="S121" s="11" t="s">
        <v>222</v>
      </c>
      <c r="T121" s="11"/>
      <c r="U121" s="5" t="s">
        <v>8</v>
      </c>
      <c r="V121" s="251"/>
      <c r="W121" s="5" t="s">
        <v>602</v>
      </c>
      <c r="X121" s="5" t="s">
        <v>476</v>
      </c>
      <c r="Y121" s="5" t="s">
        <v>117</v>
      </c>
      <c r="Z121" s="3" t="s">
        <v>184</v>
      </c>
      <c r="AA121" s="6" t="s">
        <v>217</v>
      </c>
      <c r="AB121" s="141" t="s">
        <v>196</v>
      </c>
      <c r="AC121" s="165" t="s">
        <v>5</v>
      </c>
      <c r="AD121" s="165" t="s">
        <v>5</v>
      </c>
      <c r="AE121" s="165" t="s">
        <v>5</v>
      </c>
      <c r="AF121" s="5"/>
      <c r="AG121" s="41"/>
      <c r="AH121" s="211"/>
      <c r="AI121" s="76"/>
      <c r="AJ121" s="76"/>
      <c r="AK121" s="221" t="e">
        <f>SUM(#REF!,BT121,BV121)</f>
        <v>#REF!</v>
      </c>
      <c r="AL121" s="48"/>
      <c r="AM121" s="48"/>
      <c r="AN121" s="48"/>
      <c r="AO121" s="48"/>
      <c r="AP121" s="48"/>
      <c r="AQ121" s="48"/>
      <c r="AR121" s="51">
        <v>251.16824517898462</v>
      </c>
      <c r="AS121" s="51">
        <v>2.0329700000000002</v>
      </c>
      <c r="AT121" s="51">
        <v>2.0255199999999998</v>
      </c>
      <c r="AU121" s="51"/>
      <c r="AV121" s="36">
        <v>338.57531</v>
      </c>
      <c r="AW121" s="36">
        <v>10</v>
      </c>
      <c r="AX121" s="90">
        <f t="shared" si="59"/>
        <v>348.57531</v>
      </c>
      <c r="AY121" s="157">
        <f t="shared" si="46"/>
        <v>0</v>
      </c>
      <c r="AZ121" s="182">
        <v>0</v>
      </c>
      <c r="BA121" s="158"/>
      <c r="BB121" s="182">
        <v>0</v>
      </c>
      <c r="BC121" s="158"/>
      <c r="BD121" s="182">
        <v>0</v>
      </c>
      <c r="BE121" s="158">
        <v>0</v>
      </c>
      <c r="BF121" s="182">
        <v>0</v>
      </c>
      <c r="BG121" s="158"/>
      <c r="BH121" s="182">
        <v>0</v>
      </c>
      <c r="BI121" s="158"/>
      <c r="BJ121" s="182">
        <v>0</v>
      </c>
      <c r="BK121" s="158"/>
      <c r="BL121" s="182"/>
      <c r="BM121" s="158"/>
      <c r="BN121" s="182"/>
      <c r="BO121" s="158"/>
      <c r="BP121" s="182"/>
      <c r="BQ121" s="158"/>
      <c r="BR121" s="182"/>
      <c r="BS121" s="158"/>
      <c r="BT121" s="182"/>
      <c r="BU121" s="158"/>
      <c r="BV121" s="182"/>
      <c r="BW121" s="234"/>
      <c r="BX121" s="237"/>
      <c r="BY121" s="81">
        <f t="shared" si="47"/>
        <v>0</v>
      </c>
      <c r="BZ121" s="241"/>
      <c r="CA121" s="241"/>
      <c r="CB121" s="241"/>
      <c r="CC121" s="241"/>
      <c r="CD121" s="241"/>
      <c r="CE121" s="241"/>
      <c r="CF121" s="241"/>
      <c r="CG121" s="241"/>
      <c r="CH121" s="241"/>
      <c r="CI121" s="241"/>
      <c r="CJ121" s="241"/>
      <c r="CK121" s="241"/>
      <c r="CL121" s="195">
        <f t="shared" si="49"/>
        <v>0</v>
      </c>
      <c r="CM121" s="196"/>
      <c r="CN121" s="196"/>
      <c r="CO121" s="196"/>
      <c r="CP121" s="196"/>
      <c r="CQ121" s="196"/>
      <c r="CR121" s="196"/>
      <c r="CS121" s="196"/>
      <c r="CT121" s="196"/>
      <c r="CU121" s="196"/>
      <c r="CV121" s="196"/>
      <c r="CW121" s="196"/>
      <c r="CX121" s="196"/>
      <c r="CY121" s="200">
        <f t="shared" si="60"/>
        <v>0</v>
      </c>
      <c r="CZ121" s="172">
        <f t="shared" si="48"/>
        <v>0</v>
      </c>
      <c r="DA121" s="201">
        <f t="shared" si="61"/>
        <v>0</v>
      </c>
      <c r="DB121" s="201">
        <f t="shared" si="62"/>
        <v>0</v>
      </c>
      <c r="DC121" s="201">
        <f t="shared" si="50"/>
        <v>0</v>
      </c>
      <c r="DD121" s="239">
        <v>0</v>
      </c>
      <c r="DE121" s="201">
        <f t="shared" si="51"/>
        <v>0</v>
      </c>
      <c r="DF121" s="172" t="e">
        <f>SUM(DN121:DO121)-SUM(#REF!,BV121)+BU121</f>
        <v>#REF!</v>
      </c>
      <c r="DG121" s="207"/>
      <c r="DH121" s="225">
        <f t="shared" si="52"/>
        <v>0</v>
      </c>
      <c r="DI121" s="225">
        <f t="shared" si="53"/>
        <v>0</v>
      </c>
      <c r="DJ121" s="225">
        <f t="shared" si="54"/>
        <v>0</v>
      </c>
      <c r="DK121" s="225" t="e">
        <f>SUM(BS121,#REF!,BV121)</f>
        <v>#REF!</v>
      </c>
      <c r="DL121" s="145">
        <v>338.57531</v>
      </c>
      <c r="DM121" s="145">
        <v>338.57531</v>
      </c>
      <c r="DN121" s="145">
        <v>0</v>
      </c>
      <c r="DO121" s="145">
        <v>0</v>
      </c>
      <c r="DP121" s="145">
        <v>338.57531</v>
      </c>
      <c r="DQ121" s="145">
        <v>0</v>
      </c>
      <c r="DS121" s="219">
        <f t="shared" si="55"/>
        <v>0</v>
      </c>
    </row>
    <row r="122" spans="1:123" s="21" customFormat="1" ht="24" customHeight="1">
      <c r="A122" s="16"/>
      <c r="B122" s="2">
        <v>78</v>
      </c>
      <c r="C122" s="78" t="s">
        <v>88</v>
      </c>
      <c r="D122" s="78"/>
      <c r="E122" s="78" t="s">
        <v>821</v>
      </c>
      <c r="F122" s="3">
        <v>2018</v>
      </c>
      <c r="G122" s="4">
        <v>43398</v>
      </c>
      <c r="H122" s="174">
        <v>43390</v>
      </c>
      <c r="I122" s="4">
        <v>44252</v>
      </c>
      <c r="J122" s="13">
        <f t="shared" ca="1" si="58"/>
        <v>862</v>
      </c>
      <c r="K122" s="165">
        <f t="shared" si="56"/>
        <v>43937</v>
      </c>
      <c r="L122" s="165">
        <f t="shared" si="57"/>
        <v>44120</v>
      </c>
      <c r="M122" s="165" t="s">
        <v>597</v>
      </c>
      <c r="N122" s="165"/>
      <c r="O122" s="165"/>
      <c r="P122" s="165"/>
      <c r="Q122" s="165"/>
      <c r="R122" s="3" t="s">
        <v>179</v>
      </c>
      <c r="S122" s="11" t="s">
        <v>222</v>
      </c>
      <c r="T122" s="11"/>
      <c r="U122" s="5" t="s">
        <v>8</v>
      </c>
      <c r="V122" s="251"/>
      <c r="W122" s="5" t="s">
        <v>602</v>
      </c>
      <c r="X122" s="5" t="s">
        <v>473</v>
      </c>
      <c r="Y122" s="5" t="s">
        <v>89</v>
      </c>
      <c r="Z122" s="3" t="s">
        <v>187</v>
      </c>
      <c r="AA122" s="6" t="s">
        <v>217</v>
      </c>
      <c r="AB122" s="141" t="s">
        <v>196</v>
      </c>
      <c r="AC122" s="165" t="s">
        <v>5</v>
      </c>
      <c r="AD122" s="165" t="s">
        <v>5</v>
      </c>
      <c r="AE122" s="165" t="s">
        <v>5</v>
      </c>
      <c r="AF122" s="5"/>
      <c r="AG122" s="5"/>
      <c r="AH122" s="211"/>
      <c r="AI122" s="76"/>
      <c r="AJ122" s="76"/>
      <c r="AK122" s="221" t="e">
        <f>SUM(#REF!,BT122,BV122)</f>
        <v>#REF!</v>
      </c>
      <c r="AL122" s="154"/>
      <c r="AM122" s="154"/>
      <c r="AN122" s="154"/>
      <c r="AO122" s="154"/>
      <c r="AP122" s="154"/>
      <c r="AQ122" s="154"/>
      <c r="AR122" s="51">
        <v>3.38</v>
      </c>
      <c r="AS122" s="51">
        <v>378.7</v>
      </c>
      <c r="AT122" s="51">
        <v>1.94608</v>
      </c>
      <c r="AU122" s="51">
        <v>376.7</v>
      </c>
      <c r="AV122" s="36">
        <v>387.67</v>
      </c>
      <c r="AW122" s="36">
        <v>37.4</v>
      </c>
      <c r="AX122" s="90">
        <f t="shared" si="59"/>
        <v>425.07</v>
      </c>
      <c r="AY122" s="157">
        <f t="shared" si="46"/>
        <v>312.45179999999999</v>
      </c>
      <c r="AZ122" s="182">
        <v>0</v>
      </c>
      <c r="BA122" s="158">
        <v>0</v>
      </c>
      <c r="BB122" s="182">
        <v>0</v>
      </c>
      <c r="BC122" s="158">
        <v>292.80488000000003</v>
      </c>
      <c r="BD122" s="182">
        <v>0</v>
      </c>
      <c r="BE122" s="158">
        <v>0</v>
      </c>
      <c r="BF122" s="182">
        <v>0</v>
      </c>
      <c r="BG122" s="158">
        <v>5.0638800000000002</v>
      </c>
      <c r="BH122" s="182">
        <v>70</v>
      </c>
      <c r="BI122" s="158">
        <v>3.3315999999999999</v>
      </c>
      <c r="BJ122" s="182">
        <v>12</v>
      </c>
      <c r="BK122" s="158">
        <v>6.55185</v>
      </c>
      <c r="BL122" s="182"/>
      <c r="BM122" s="158">
        <v>4.6995899999999997</v>
      </c>
      <c r="BN122" s="182"/>
      <c r="BO122" s="158"/>
      <c r="BP122" s="182"/>
      <c r="BQ122" s="158"/>
      <c r="BR122" s="182"/>
      <c r="BS122" s="158"/>
      <c r="BT122" s="182"/>
      <c r="BU122" s="158"/>
      <c r="BV122" s="182"/>
      <c r="BW122" s="234"/>
      <c r="BX122" s="237"/>
      <c r="BY122" s="81">
        <f t="shared" si="47"/>
        <v>0</v>
      </c>
      <c r="BZ122" s="198"/>
      <c r="CA122" s="198"/>
      <c r="CB122" s="198"/>
      <c r="CC122" s="198"/>
      <c r="CD122" s="198"/>
      <c r="CE122" s="198"/>
      <c r="CF122" s="198"/>
      <c r="CG122" s="198"/>
      <c r="CH122" s="198"/>
      <c r="CI122" s="198"/>
      <c r="CJ122" s="198"/>
      <c r="CK122" s="198"/>
      <c r="CL122" s="195">
        <f t="shared" si="49"/>
        <v>0</v>
      </c>
      <c r="CM122" s="196"/>
      <c r="CN122" s="196"/>
      <c r="CO122" s="196"/>
      <c r="CP122" s="196"/>
      <c r="CQ122" s="196"/>
      <c r="CR122" s="196"/>
      <c r="CS122" s="196"/>
      <c r="CT122" s="196"/>
      <c r="CU122" s="196"/>
      <c r="CV122" s="196"/>
      <c r="CW122" s="196"/>
      <c r="CX122" s="196"/>
      <c r="CY122" s="200">
        <f t="shared" si="60"/>
        <v>0</v>
      </c>
      <c r="CZ122" s="172">
        <f t="shared" si="48"/>
        <v>0</v>
      </c>
      <c r="DA122" s="201">
        <f t="shared" si="61"/>
        <v>312.45179999999999</v>
      </c>
      <c r="DB122" s="201">
        <f t="shared" si="62"/>
        <v>0</v>
      </c>
      <c r="DC122" s="201">
        <f t="shared" si="50"/>
        <v>312.45179999999999</v>
      </c>
      <c r="DD122" s="239">
        <v>312.45179999999999</v>
      </c>
      <c r="DE122" s="201">
        <f t="shared" si="51"/>
        <v>0</v>
      </c>
      <c r="DF122" s="172" t="e">
        <f>SUM(DN122:DO122)-SUM(#REF!,BV122)+BU122</f>
        <v>#REF!</v>
      </c>
      <c r="DG122" s="207"/>
      <c r="DH122" s="225">
        <f t="shared" si="52"/>
        <v>292.80488000000003</v>
      </c>
      <c r="DI122" s="225">
        <f t="shared" si="53"/>
        <v>14.947329999999999</v>
      </c>
      <c r="DJ122" s="225">
        <f t="shared" si="54"/>
        <v>4.6995899999999997</v>
      </c>
      <c r="DK122" s="225" t="e">
        <f>SUM(BS122,#REF!,BV122)</f>
        <v>#REF!</v>
      </c>
      <c r="DL122" s="145">
        <v>387.67</v>
      </c>
      <c r="DM122" s="145">
        <v>323.37511999999998</v>
      </c>
      <c r="DN122" s="145">
        <v>0</v>
      </c>
      <c r="DO122" s="145">
        <v>0</v>
      </c>
      <c r="DP122" s="145">
        <v>323.37511999999998</v>
      </c>
      <c r="DQ122" s="145">
        <v>64.294879999999992</v>
      </c>
      <c r="DR122" s="21">
        <f>VLOOKUP(C122,[6]Database!$B$143:$AD$521,29,FALSE)</f>
        <v>0</v>
      </c>
      <c r="DS122" s="219">
        <f t="shared" si="55"/>
        <v>0</v>
      </c>
    </row>
    <row r="123" spans="1:123" s="21" customFormat="1" ht="24" customHeight="1">
      <c r="A123" s="16"/>
      <c r="B123" s="2">
        <v>79</v>
      </c>
      <c r="C123" s="78" t="s">
        <v>118</v>
      </c>
      <c r="D123" s="78"/>
      <c r="E123" s="78"/>
      <c r="F123" s="3">
        <v>2018</v>
      </c>
      <c r="G123" s="4">
        <v>43432</v>
      </c>
      <c r="H123" s="4">
        <v>43432</v>
      </c>
      <c r="I123" s="4">
        <v>44200</v>
      </c>
      <c r="J123" s="13">
        <f t="shared" ca="1" si="58"/>
        <v>768</v>
      </c>
      <c r="K123" s="165">
        <f t="shared" si="56"/>
        <v>43979</v>
      </c>
      <c r="L123" s="165">
        <f t="shared" si="57"/>
        <v>44162</v>
      </c>
      <c r="M123" s="165"/>
      <c r="N123" s="165"/>
      <c r="O123" s="165"/>
      <c r="P123" s="165"/>
      <c r="Q123" s="165"/>
      <c r="R123" s="3" t="s">
        <v>175</v>
      </c>
      <c r="S123" s="11" t="s">
        <v>919</v>
      </c>
      <c r="T123" s="11" t="s">
        <v>906</v>
      </c>
      <c r="U123" s="5" t="s">
        <v>8</v>
      </c>
      <c r="V123" s="251"/>
      <c r="W123" s="5" t="s">
        <v>602</v>
      </c>
      <c r="X123" s="5" t="s">
        <v>476</v>
      </c>
      <c r="Y123" s="5" t="s">
        <v>119</v>
      </c>
      <c r="Z123" s="3" t="s">
        <v>184</v>
      </c>
      <c r="AA123" s="6" t="s">
        <v>217</v>
      </c>
      <c r="AB123" s="141" t="s">
        <v>196</v>
      </c>
      <c r="AC123" s="165" t="s">
        <v>5</v>
      </c>
      <c r="AD123" s="165" t="s">
        <v>5</v>
      </c>
      <c r="AE123" s="165" t="s">
        <v>5</v>
      </c>
      <c r="AF123" s="5"/>
      <c r="AG123" s="5"/>
      <c r="AH123" s="211"/>
      <c r="AI123" s="76"/>
      <c r="AJ123" s="76"/>
      <c r="AK123" s="221" t="e">
        <f>SUM(#REF!,BT123,BV123)</f>
        <v>#REF!</v>
      </c>
      <c r="AL123" s="48"/>
      <c r="AM123" s="48"/>
      <c r="AN123" s="48"/>
      <c r="AO123" s="48"/>
      <c r="AP123" s="48"/>
      <c r="AQ123" s="48"/>
      <c r="AR123" s="51">
        <v>160.49593191927877</v>
      </c>
      <c r="AS123" s="51">
        <v>42.349759999999996</v>
      </c>
      <c r="AT123" s="51">
        <v>46.599429999999998</v>
      </c>
      <c r="AU123" s="51">
        <v>0.36386000000000007</v>
      </c>
      <c r="AV123" s="36">
        <v>213</v>
      </c>
      <c r="AW123" s="36">
        <v>25</v>
      </c>
      <c r="AX123" s="90">
        <f t="shared" si="59"/>
        <v>238</v>
      </c>
      <c r="AY123" s="157">
        <f t="shared" si="46"/>
        <v>0.32969000000000004</v>
      </c>
      <c r="AZ123" s="182">
        <v>5</v>
      </c>
      <c r="BA123" s="158">
        <v>0.26386000000000004</v>
      </c>
      <c r="BB123" s="182">
        <v>0.1</v>
      </c>
      <c r="BC123" s="158">
        <v>6.583E-2</v>
      </c>
      <c r="BD123" s="182">
        <v>0</v>
      </c>
      <c r="BE123" s="158">
        <v>0</v>
      </c>
      <c r="BF123" s="182">
        <v>0</v>
      </c>
      <c r="BG123" s="158"/>
      <c r="BH123" s="182">
        <v>0</v>
      </c>
      <c r="BI123" s="158"/>
      <c r="BJ123" s="182">
        <v>0</v>
      </c>
      <c r="BK123" s="158"/>
      <c r="BL123" s="182"/>
      <c r="BM123" s="158"/>
      <c r="BN123" s="182"/>
      <c r="BO123" s="158"/>
      <c r="BP123" s="182"/>
      <c r="BQ123" s="158"/>
      <c r="BR123" s="182"/>
      <c r="BS123" s="158"/>
      <c r="BT123" s="182"/>
      <c r="BU123" s="158"/>
      <c r="BV123" s="182"/>
      <c r="BW123" s="234"/>
      <c r="BX123" s="237"/>
      <c r="BY123" s="81">
        <f t="shared" si="47"/>
        <v>0</v>
      </c>
      <c r="BZ123" s="241"/>
      <c r="CA123" s="241"/>
      <c r="CB123" s="241"/>
      <c r="CC123" s="241"/>
      <c r="CD123" s="241"/>
      <c r="CE123" s="241"/>
      <c r="CF123" s="241"/>
      <c r="CG123" s="241"/>
      <c r="CH123" s="241"/>
      <c r="CI123" s="241"/>
      <c r="CJ123" s="241"/>
      <c r="CK123" s="241"/>
      <c r="CL123" s="195">
        <f t="shared" si="49"/>
        <v>0</v>
      </c>
      <c r="CM123" s="196"/>
      <c r="CN123" s="196"/>
      <c r="CO123" s="196"/>
      <c r="CP123" s="196"/>
      <c r="CQ123" s="196"/>
      <c r="CR123" s="196"/>
      <c r="CS123" s="196"/>
      <c r="CT123" s="196"/>
      <c r="CU123" s="196"/>
      <c r="CV123" s="196"/>
      <c r="CW123" s="196"/>
      <c r="CX123" s="196"/>
      <c r="CY123" s="200">
        <f t="shared" si="60"/>
        <v>0</v>
      </c>
      <c r="CZ123" s="172">
        <f t="shared" si="48"/>
        <v>0</v>
      </c>
      <c r="DA123" s="201">
        <f t="shared" si="61"/>
        <v>0.32969000000000004</v>
      </c>
      <c r="DB123" s="201">
        <f t="shared" si="62"/>
        <v>0</v>
      </c>
      <c r="DC123" s="201">
        <f t="shared" si="50"/>
        <v>0.32969000000000004</v>
      </c>
      <c r="DD123" s="239">
        <v>0.32969000000000004</v>
      </c>
      <c r="DE123" s="201">
        <f t="shared" si="51"/>
        <v>0</v>
      </c>
      <c r="DF123" s="172" t="e">
        <f>SUM(DN123:DO123)-SUM(#REF!,BV123)+BU123</f>
        <v>#REF!</v>
      </c>
      <c r="DG123" s="207"/>
      <c r="DH123" s="225">
        <f t="shared" si="52"/>
        <v>0.32969000000000004</v>
      </c>
      <c r="DI123" s="225">
        <f t="shared" si="53"/>
        <v>0</v>
      </c>
      <c r="DJ123" s="225">
        <f t="shared" si="54"/>
        <v>0</v>
      </c>
      <c r="DK123" s="225" t="e">
        <f>SUM(BS123,#REF!,BV123)</f>
        <v>#REF!</v>
      </c>
      <c r="DL123" s="145">
        <v>213</v>
      </c>
      <c r="DM123" s="145">
        <v>207.5797</v>
      </c>
      <c r="DN123" s="145">
        <v>0</v>
      </c>
      <c r="DO123" s="145">
        <v>0</v>
      </c>
      <c r="DP123" s="145">
        <v>207.5797</v>
      </c>
      <c r="DQ123" s="145">
        <v>5.4203000000000001</v>
      </c>
      <c r="DR123" s="21">
        <f>VLOOKUP(C123,[6]Database!$B$143:$AD$521,29,FALSE)</f>
        <v>0</v>
      </c>
      <c r="DS123" s="219">
        <f t="shared" si="55"/>
        <v>0</v>
      </c>
    </row>
    <row r="124" spans="1:123" s="21" customFormat="1" ht="24" customHeight="1">
      <c r="A124" s="16"/>
      <c r="B124" s="2">
        <v>80</v>
      </c>
      <c r="C124" s="78" t="s">
        <v>120</v>
      </c>
      <c r="D124" s="78"/>
      <c r="E124" s="78"/>
      <c r="F124" s="3">
        <v>2018</v>
      </c>
      <c r="G124" s="4">
        <v>43375</v>
      </c>
      <c r="H124" s="4">
        <v>43375</v>
      </c>
      <c r="I124" s="4">
        <v>44252</v>
      </c>
      <c r="J124" s="13">
        <f t="shared" ca="1" si="58"/>
        <v>877</v>
      </c>
      <c r="K124" s="165">
        <f t="shared" si="56"/>
        <v>43922</v>
      </c>
      <c r="L124" s="165">
        <f t="shared" si="57"/>
        <v>44105</v>
      </c>
      <c r="M124" s="165"/>
      <c r="N124" s="165"/>
      <c r="O124" s="165"/>
      <c r="P124" s="165"/>
      <c r="Q124" s="165"/>
      <c r="R124" s="3" t="s">
        <v>175</v>
      </c>
      <c r="S124" s="11" t="s">
        <v>919</v>
      </c>
      <c r="T124" s="45" t="s">
        <v>906</v>
      </c>
      <c r="U124" s="5" t="s">
        <v>8</v>
      </c>
      <c r="V124" s="251"/>
      <c r="W124" s="5" t="s">
        <v>602</v>
      </c>
      <c r="X124" s="5" t="s">
        <v>476</v>
      </c>
      <c r="Y124" s="5" t="s">
        <v>121</v>
      </c>
      <c r="Z124" s="3" t="s">
        <v>184</v>
      </c>
      <c r="AA124" s="6" t="s">
        <v>217</v>
      </c>
      <c r="AB124" s="141" t="s">
        <v>196</v>
      </c>
      <c r="AC124" s="165" t="s">
        <v>5</v>
      </c>
      <c r="AD124" s="165" t="s">
        <v>5</v>
      </c>
      <c r="AE124" s="165" t="s">
        <v>5</v>
      </c>
      <c r="AF124" s="5"/>
      <c r="AG124" s="5"/>
      <c r="AH124" s="211"/>
      <c r="AI124" s="76"/>
      <c r="AJ124" s="76"/>
      <c r="AK124" s="221" t="e">
        <f>SUM(#REF!,BT124,BV124)</f>
        <v>#REF!</v>
      </c>
      <c r="AL124" s="48"/>
      <c r="AM124" s="48"/>
      <c r="AN124" s="48"/>
      <c r="AO124" s="48"/>
      <c r="AP124" s="48"/>
      <c r="AQ124" s="48"/>
      <c r="AR124" s="51">
        <v>885.01100068635753</v>
      </c>
      <c r="AS124" s="51">
        <v>71.400000000000006</v>
      </c>
      <c r="AT124" s="51">
        <v>58.194440000000007</v>
      </c>
      <c r="AU124" s="51">
        <v>8.8639599999999987</v>
      </c>
      <c r="AV124" s="36">
        <v>1326.87</v>
      </c>
      <c r="AW124" s="36">
        <v>24.32</v>
      </c>
      <c r="AX124" s="90">
        <f t="shared" si="59"/>
        <v>1351.1899999999998</v>
      </c>
      <c r="AY124" s="157">
        <f t="shared" si="46"/>
        <v>1.3027899999999999</v>
      </c>
      <c r="AZ124" s="182">
        <v>5</v>
      </c>
      <c r="BA124" s="158">
        <v>-6.1360400000000004</v>
      </c>
      <c r="BB124" s="182">
        <v>5</v>
      </c>
      <c r="BC124" s="158">
        <v>7.4388300000000003</v>
      </c>
      <c r="BD124" s="182">
        <v>0</v>
      </c>
      <c r="BE124" s="158">
        <v>0</v>
      </c>
      <c r="BF124" s="182">
        <v>0</v>
      </c>
      <c r="BG124" s="158"/>
      <c r="BH124" s="182">
        <v>0</v>
      </c>
      <c r="BI124" s="158"/>
      <c r="BJ124" s="182">
        <v>0</v>
      </c>
      <c r="BK124" s="158"/>
      <c r="BL124" s="182"/>
      <c r="BM124" s="158"/>
      <c r="BN124" s="182"/>
      <c r="BO124" s="158"/>
      <c r="BP124" s="182"/>
      <c r="BQ124" s="158"/>
      <c r="BR124" s="182"/>
      <c r="BS124" s="158"/>
      <c r="BT124" s="182"/>
      <c r="BU124" s="158"/>
      <c r="BV124" s="182"/>
      <c r="BW124" s="234"/>
      <c r="BX124" s="237"/>
      <c r="BY124" s="81">
        <f t="shared" si="47"/>
        <v>0</v>
      </c>
      <c r="BZ124" s="241"/>
      <c r="CA124" s="241"/>
      <c r="CB124" s="241"/>
      <c r="CC124" s="241"/>
      <c r="CD124" s="241"/>
      <c r="CE124" s="241"/>
      <c r="CF124" s="241"/>
      <c r="CG124" s="241"/>
      <c r="CH124" s="241"/>
      <c r="CI124" s="241"/>
      <c r="CJ124" s="241"/>
      <c r="CK124" s="241"/>
      <c r="CL124" s="195">
        <f t="shared" si="49"/>
        <v>0</v>
      </c>
      <c r="CM124" s="196"/>
      <c r="CN124" s="196"/>
      <c r="CO124" s="196"/>
      <c r="CP124" s="196"/>
      <c r="CQ124" s="196"/>
      <c r="CR124" s="196"/>
      <c r="CS124" s="196"/>
      <c r="CT124" s="196"/>
      <c r="CU124" s="196"/>
      <c r="CV124" s="196"/>
      <c r="CW124" s="196"/>
      <c r="CX124" s="196"/>
      <c r="CY124" s="200">
        <f t="shared" si="60"/>
        <v>0</v>
      </c>
      <c r="CZ124" s="172">
        <f t="shared" si="48"/>
        <v>0</v>
      </c>
      <c r="DA124" s="201">
        <f t="shared" si="61"/>
        <v>1.3027899999999999</v>
      </c>
      <c r="DB124" s="201">
        <f t="shared" si="62"/>
        <v>0</v>
      </c>
      <c r="DC124" s="201">
        <f t="shared" si="50"/>
        <v>1.3027899999999999</v>
      </c>
      <c r="DD124" s="239">
        <v>1.3027899999999999</v>
      </c>
      <c r="DE124" s="201">
        <f t="shared" si="51"/>
        <v>0</v>
      </c>
      <c r="DF124" s="172" t="e">
        <f>SUM(DN124:DO124)-SUM(#REF!,BV124)+BU124</f>
        <v>#REF!</v>
      </c>
      <c r="DG124" s="207"/>
      <c r="DH124" s="225">
        <f t="shared" si="52"/>
        <v>1.3027899999999999</v>
      </c>
      <c r="DI124" s="225">
        <f t="shared" si="53"/>
        <v>0</v>
      </c>
      <c r="DJ124" s="225">
        <f t="shared" si="54"/>
        <v>0</v>
      </c>
      <c r="DK124" s="225" t="e">
        <f>SUM(BS124,#REF!,BV124)</f>
        <v>#REF!</v>
      </c>
      <c r="DL124" s="145">
        <v>1326.865</v>
      </c>
      <c r="DM124" s="145">
        <v>1314.9529499999999</v>
      </c>
      <c r="DN124" s="145">
        <v>0</v>
      </c>
      <c r="DO124" s="145">
        <v>0</v>
      </c>
      <c r="DP124" s="145">
        <v>1314.9529499999999</v>
      </c>
      <c r="DQ124" s="145">
        <v>11.912049999999999</v>
      </c>
      <c r="DR124" s="21">
        <f>VLOOKUP(C124,[6]Database!$B$143:$AD$521,29,FALSE)</f>
        <v>0</v>
      </c>
      <c r="DS124" s="219">
        <f t="shared" si="55"/>
        <v>0</v>
      </c>
    </row>
    <row r="125" spans="1:123" s="21" customFormat="1" ht="24" customHeight="1">
      <c r="A125" s="16"/>
      <c r="B125" s="2">
        <v>81</v>
      </c>
      <c r="C125" s="78" t="s">
        <v>124</v>
      </c>
      <c r="D125" s="78"/>
      <c r="E125" s="78" t="s">
        <v>855</v>
      </c>
      <c r="F125" s="3">
        <v>2018</v>
      </c>
      <c r="G125" s="4">
        <v>43328</v>
      </c>
      <c r="H125" s="4">
        <v>43328</v>
      </c>
      <c r="I125" s="4">
        <v>43753</v>
      </c>
      <c r="J125" s="13">
        <f t="shared" ca="1" si="58"/>
        <v>425</v>
      </c>
      <c r="K125" s="165">
        <f t="shared" si="56"/>
        <v>43875</v>
      </c>
      <c r="L125" s="165">
        <f t="shared" si="57"/>
        <v>44058</v>
      </c>
      <c r="M125" s="165"/>
      <c r="N125" s="165"/>
      <c r="O125" s="165"/>
      <c r="P125" s="165"/>
      <c r="Q125" s="165"/>
      <c r="R125" s="3" t="s">
        <v>175</v>
      </c>
      <c r="S125" s="11" t="s">
        <v>222</v>
      </c>
      <c r="T125" s="11"/>
      <c r="U125" s="5" t="s">
        <v>8</v>
      </c>
      <c r="V125" s="251"/>
      <c r="W125" s="5" t="s">
        <v>602</v>
      </c>
      <c r="X125" s="5" t="s">
        <v>478</v>
      </c>
      <c r="Y125" s="5" t="s">
        <v>125</v>
      </c>
      <c r="Z125" s="3" t="s">
        <v>185</v>
      </c>
      <c r="AA125" s="6" t="s">
        <v>217</v>
      </c>
      <c r="AB125" s="141" t="s">
        <v>196</v>
      </c>
      <c r="AC125" s="165" t="s">
        <v>5</v>
      </c>
      <c r="AD125" s="165" t="s">
        <v>5</v>
      </c>
      <c r="AE125" s="165" t="s">
        <v>5</v>
      </c>
      <c r="AF125" s="5"/>
      <c r="AG125" s="5"/>
      <c r="AH125" s="211"/>
      <c r="AI125" s="76"/>
      <c r="AJ125" s="76"/>
      <c r="AK125" s="221" t="e">
        <f>SUM(#REF!,BT125,BV125)</f>
        <v>#REF!</v>
      </c>
      <c r="AL125" s="48"/>
      <c r="AM125" s="48"/>
      <c r="AN125" s="48"/>
      <c r="AO125" s="48"/>
      <c r="AP125" s="48"/>
      <c r="AQ125" s="48"/>
      <c r="AR125" s="51">
        <v>136.40128039558789</v>
      </c>
      <c r="AS125" s="51"/>
      <c r="AT125" s="51">
        <v>0</v>
      </c>
      <c r="AU125" s="51"/>
      <c r="AV125" s="36">
        <v>240</v>
      </c>
      <c r="AW125" s="36">
        <v>0</v>
      </c>
      <c r="AX125" s="90">
        <f t="shared" si="59"/>
        <v>240</v>
      </c>
      <c r="AY125" s="157">
        <f t="shared" si="46"/>
        <v>0</v>
      </c>
      <c r="AZ125" s="182">
        <v>0</v>
      </c>
      <c r="BA125" s="158"/>
      <c r="BB125" s="182">
        <v>0</v>
      </c>
      <c r="BC125" s="158"/>
      <c r="BD125" s="182">
        <v>0</v>
      </c>
      <c r="BE125" s="158">
        <v>0</v>
      </c>
      <c r="BF125" s="182">
        <v>0</v>
      </c>
      <c r="BG125" s="158"/>
      <c r="BH125" s="182">
        <v>0</v>
      </c>
      <c r="BI125" s="158"/>
      <c r="BJ125" s="182">
        <v>0</v>
      </c>
      <c r="BK125" s="158"/>
      <c r="BL125" s="182"/>
      <c r="BM125" s="158"/>
      <c r="BN125" s="182"/>
      <c r="BO125" s="158"/>
      <c r="BP125" s="182"/>
      <c r="BQ125" s="158"/>
      <c r="BR125" s="182"/>
      <c r="BS125" s="158"/>
      <c r="BT125" s="182"/>
      <c r="BU125" s="158"/>
      <c r="BV125" s="182"/>
      <c r="BW125" s="234"/>
      <c r="BX125" s="237"/>
      <c r="BY125" s="81">
        <f t="shared" si="47"/>
        <v>0</v>
      </c>
      <c r="BZ125" s="241"/>
      <c r="CA125" s="241"/>
      <c r="CB125" s="241"/>
      <c r="CC125" s="241"/>
      <c r="CD125" s="241"/>
      <c r="CE125" s="241"/>
      <c r="CF125" s="241"/>
      <c r="CG125" s="241"/>
      <c r="CH125" s="241"/>
      <c r="CI125" s="241"/>
      <c r="CJ125" s="241"/>
      <c r="CK125" s="241"/>
      <c r="CL125" s="195">
        <f t="shared" ref="CL125:CL156" si="63">SUM(CM125:CX125)</f>
        <v>0</v>
      </c>
      <c r="CM125" s="196"/>
      <c r="CN125" s="196"/>
      <c r="CO125" s="196"/>
      <c r="CP125" s="196"/>
      <c r="CQ125" s="196"/>
      <c r="CR125" s="196"/>
      <c r="CS125" s="196"/>
      <c r="CT125" s="196"/>
      <c r="CU125" s="196"/>
      <c r="CV125" s="196"/>
      <c r="CW125" s="196"/>
      <c r="CX125" s="196"/>
      <c r="CY125" s="200">
        <f t="shared" si="60"/>
        <v>0</v>
      </c>
      <c r="CZ125" s="172">
        <f t="shared" si="48"/>
        <v>0</v>
      </c>
      <c r="DA125" s="201">
        <f t="shared" si="61"/>
        <v>0</v>
      </c>
      <c r="DB125" s="201">
        <f t="shared" si="62"/>
        <v>0</v>
      </c>
      <c r="DC125" s="201">
        <f t="shared" ref="DC125:DC156" si="64">SUM(AY125,BY125)</f>
        <v>0</v>
      </c>
      <c r="DD125" s="239">
        <v>0</v>
      </c>
      <c r="DE125" s="201">
        <f t="shared" ref="DE125:DE156" si="65">DC125-DD125</f>
        <v>0</v>
      </c>
      <c r="DF125" s="172" t="e">
        <f>SUM(DN125:DO125)-SUM(#REF!,BV125)+BU125</f>
        <v>#REF!</v>
      </c>
      <c r="DG125" s="207"/>
      <c r="DH125" s="225">
        <f t="shared" ref="DH125:DH156" si="66">SUM(BA125,BC125,BE125)</f>
        <v>0</v>
      </c>
      <c r="DI125" s="225">
        <f t="shared" ref="DI125:DI156" si="67">SUM(BG125,BI125,BK125)</f>
        <v>0</v>
      </c>
      <c r="DJ125" s="225">
        <f t="shared" ref="DJ125:DJ156" si="68">SUM(BM125,BO125,BQ125)</f>
        <v>0</v>
      </c>
      <c r="DK125" s="225" t="e">
        <f>SUM(BS125,#REF!,BV125)</f>
        <v>#REF!</v>
      </c>
      <c r="DL125" s="145">
        <v>240</v>
      </c>
      <c r="DM125" s="145">
        <v>233.93749</v>
      </c>
      <c r="DN125" s="145">
        <v>0</v>
      </c>
      <c r="DO125" s="145">
        <v>0</v>
      </c>
      <c r="DP125" s="145">
        <v>233.93749</v>
      </c>
      <c r="DQ125" s="145">
        <v>6.0625100000000005</v>
      </c>
      <c r="DS125" s="219">
        <f t="shared" ref="DS125:DS156" si="69">BY125-DR125</f>
        <v>0</v>
      </c>
    </row>
    <row r="126" spans="1:123" s="21" customFormat="1" ht="24" customHeight="1">
      <c r="A126" s="16"/>
      <c r="B126" s="2">
        <v>82</v>
      </c>
      <c r="C126" s="78" t="s">
        <v>126</v>
      </c>
      <c r="D126" s="78"/>
      <c r="E126" s="78" t="s">
        <v>840</v>
      </c>
      <c r="F126" s="3">
        <v>2018</v>
      </c>
      <c r="G126" s="4">
        <v>43390</v>
      </c>
      <c r="H126" s="174">
        <v>43390</v>
      </c>
      <c r="I126" s="4">
        <v>44201</v>
      </c>
      <c r="J126" s="13">
        <f t="shared" ca="1" si="58"/>
        <v>811</v>
      </c>
      <c r="K126" s="165">
        <f t="shared" si="56"/>
        <v>43937</v>
      </c>
      <c r="L126" s="165">
        <f t="shared" si="57"/>
        <v>44120</v>
      </c>
      <c r="M126" s="165"/>
      <c r="N126" s="165"/>
      <c r="O126" s="165"/>
      <c r="P126" s="165"/>
      <c r="Q126" s="165"/>
      <c r="R126" s="3" t="s">
        <v>175</v>
      </c>
      <c r="S126" s="11" t="s">
        <v>223</v>
      </c>
      <c r="T126" s="11" t="s">
        <v>916</v>
      </c>
      <c r="U126" s="5" t="s">
        <v>8</v>
      </c>
      <c r="V126" s="251"/>
      <c r="W126" s="5" t="s">
        <v>602</v>
      </c>
      <c r="X126" s="5" t="s">
        <v>478</v>
      </c>
      <c r="Y126" s="5" t="s">
        <v>127</v>
      </c>
      <c r="Z126" s="78" t="s">
        <v>185</v>
      </c>
      <c r="AA126" s="6" t="s">
        <v>217</v>
      </c>
      <c r="AB126" s="141" t="s">
        <v>196</v>
      </c>
      <c r="AC126" s="165" t="s">
        <v>5</v>
      </c>
      <c r="AD126" s="165" t="s">
        <v>5</v>
      </c>
      <c r="AE126" s="165" t="s">
        <v>5</v>
      </c>
      <c r="AF126" s="5"/>
      <c r="AG126" s="5"/>
      <c r="AH126" s="211"/>
      <c r="AI126" s="76"/>
      <c r="AJ126" s="76"/>
      <c r="AK126" s="221" t="e">
        <f>SUM(#REF!,BT126,BV126)</f>
        <v>#REF!</v>
      </c>
      <c r="AL126" s="48"/>
      <c r="AM126" s="48"/>
      <c r="AN126" s="48"/>
      <c r="AO126" s="48"/>
      <c r="AP126" s="48"/>
      <c r="AQ126" s="48"/>
      <c r="AR126" s="51">
        <v>226.30791068793809</v>
      </c>
      <c r="AS126" s="51">
        <v>163</v>
      </c>
      <c r="AT126" s="51">
        <v>142.49306999999999</v>
      </c>
      <c r="AU126" s="51">
        <v>54.182309999999994</v>
      </c>
      <c r="AV126" s="36">
        <v>473.67599999999999</v>
      </c>
      <c r="AW126" s="36">
        <v>19.09</v>
      </c>
      <c r="AX126" s="90">
        <f t="shared" si="59"/>
        <v>492.76599999999996</v>
      </c>
      <c r="AY126" s="157">
        <f t="shared" si="46"/>
        <v>40.768479999999997</v>
      </c>
      <c r="AZ126" s="182">
        <v>20</v>
      </c>
      <c r="BA126" s="158">
        <v>16.701889999999999</v>
      </c>
      <c r="BB126" s="182">
        <v>5</v>
      </c>
      <c r="BC126" s="158">
        <v>4.9975800000000001</v>
      </c>
      <c r="BD126" s="182">
        <v>26</v>
      </c>
      <c r="BE126" s="158">
        <v>8.7774599999999996</v>
      </c>
      <c r="BF126" s="182">
        <v>12</v>
      </c>
      <c r="BG126" s="158">
        <v>10.291549999999999</v>
      </c>
      <c r="BH126" s="182">
        <v>0</v>
      </c>
      <c r="BI126" s="158">
        <v>-0.22494999999999998</v>
      </c>
      <c r="BJ126" s="182">
        <v>0</v>
      </c>
      <c r="BK126" s="158">
        <v>0.22494999999999998</v>
      </c>
      <c r="BL126" s="182"/>
      <c r="BM126" s="158"/>
      <c r="BN126" s="182"/>
      <c r="BO126" s="158"/>
      <c r="BP126" s="182"/>
      <c r="BQ126" s="158"/>
      <c r="BR126" s="182"/>
      <c r="BS126" s="158"/>
      <c r="BT126" s="182"/>
      <c r="BU126" s="158"/>
      <c r="BV126" s="182"/>
      <c r="BW126" s="234"/>
      <c r="BX126" s="237"/>
      <c r="BY126" s="81">
        <f t="shared" si="47"/>
        <v>0</v>
      </c>
      <c r="BZ126" s="241"/>
      <c r="CA126" s="241"/>
      <c r="CB126" s="241"/>
      <c r="CC126" s="241"/>
      <c r="CD126" s="241"/>
      <c r="CE126" s="241"/>
      <c r="CF126" s="241"/>
      <c r="CG126" s="241"/>
      <c r="CH126" s="241"/>
      <c r="CI126" s="241"/>
      <c r="CJ126" s="241"/>
      <c r="CK126" s="241"/>
      <c r="CL126" s="195">
        <f t="shared" si="63"/>
        <v>0</v>
      </c>
      <c r="CM126" s="196"/>
      <c r="CN126" s="196"/>
      <c r="CO126" s="196"/>
      <c r="CP126" s="196"/>
      <c r="CQ126" s="196"/>
      <c r="CR126" s="196"/>
      <c r="CS126" s="196"/>
      <c r="CT126" s="196"/>
      <c r="CU126" s="196"/>
      <c r="CV126" s="196"/>
      <c r="CW126" s="196"/>
      <c r="CX126" s="196"/>
      <c r="CY126" s="200">
        <f t="shared" si="60"/>
        <v>0</v>
      </c>
      <c r="CZ126" s="172">
        <f t="shared" si="48"/>
        <v>0</v>
      </c>
      <c r="DA126" s="201">
        <f t="shared" si="61"/>
        <v>40.768479999999997</v>
      </c>
      <c r="DB126" s="201">
        <f t="shared" si="62"/>
        <v>0</v>
      </c>
      <c r="DC126" s="201">
        <f t="shared" si="64"/>
        <v>40.768479999999997</v>
      </c>
      <c r="DD126" s="239">
        <v>40.768479999999997</v>
      </c>
      <c r="DE126" s="201">
        <f t="shared" si="65"/>
        <v>0</v>
      </c>
      <c r="DF126" s="172" t="e">
        <f>SUM(DN126:DO126)-SUM(#REF!,BV126)+BU126</f>
        <v>#REF!</v>
      </c>
      <c r="DG126" s="207"/>
      <c r="DH126" s="225">
        <f t="shared" si="66"/>
        <v>30.476929999999996</v>
      </c>
      <c r="DI126" s="225">
        <f t="shared" si="67"/>
        <v>10.291549999999999</v>
      </c>
      <c r="DJ126" s="225">
        <f t="shared" si="68"/>
        <v>0</v>
      </c>
      <c r="DK126" s="225" t="e">
        <f>SUM(BS126,#REF!,BV126)</f>
        <v>#REF!</v>
      </c>
      <c r="DL126" s="145">
        <v>473.67599999999999</v>
      </c>
      <c r="DM126" s="145">
        <v>409.64359999999999</v>
      </c>
      <c r="DN126" s="145">
        <v>0</v>
      </c>
      <c r="DO126" s="145">
        <v>0</v>
      </c>
      <c r="DP126" s="145">
        <v>409.64359999999999</v>
      </c>
      <c r="DQ126" s="145">
        <v>64.032399999999996</v>
      </c>
      <c r="DR126" s="21">
        <f>VLOOKUP(C126,[6]Database!$B$143:$AD$521,29,FALSE)</f>
        <v>0</v>
      </c>
      <c r="DS126" s="219">
        <f t="shared" si="69"/>
        <v>0</v>
      </c>
    </row>
    <row r="127" spans="1:123" s="21" customFormat="1" ht="24" customHeight="1">
      <c r="A127" s="16"/>
      <c r="B127" s="2">
        <v>83</v>
      </c>
      <c r="C127" s="78" t="s">
        <v>90</v>
      </c>
      <c r="D127" s="78"/>
      <c r="E127" s="78" t="s">
        <v>854</v>
      </c>
      <c r="F127" s="3">
        <v>2018</v>
      </c>
      <c r="G127" s="4">
        <v>43328</v>
      </c>
      <c r="H127" s="4">
        <v>43328</v>
      </c>
      <c r="I127" s="4">
        <v>44252</v>
      </c>
      <c r="J127" s="13">
        <f t="shared" ca="1" si="58"/>
        <v>924</v>
      </c>
      <c r="K127" s="165">
        <f t="shared" ref="K127:K158" si="70">IF(H127="","",H127+547)</f>
        <v>43875</v>
      </c>
      <c r="L127" s="165">
        <f t="shared" ref="L127:L158" si="71">IF(H127="","",H127+730)</f>
        <v>44058</v>
      </c>
      <c r="M127" s="165"/>
      <c r="N127" s="165"/>
      <c r="O127" s="165"/>
      <c r="P127" s="165"/>
      <c r="Q127" s="165"/>
      <c r="R127" s="3" t="s">
        <v>179</v>
      </c>
      <c r="S127" s="11" t="s">
        <v>222</v>
      </c>
      <c r="T127" s="11"/>
      <c r="U127" s="5" t="s">
        <v>8</v>
      </c>
      <c r="V127" s="251"/>
      <c r="W127" s="5" t="s">
        <v>602</v>
      </c>
      <c r="X127" s="5" t="s">
        <v>473</v>
      </c>
      <c r="Y127" s="5" t="s">
        <v>91</v>
      </c>
      <c r="Z127" s="3" t="s">
        <v>187</v>
      </c>
      <c r="AA127" s="6" t="s">
        <v>217</v>
      </c>
      <c r="AB127" s="141" t="s">
        <v>196</v>
      </c>
      <c r="AC127" s="165" t="s">
        <v>5</v>
      </c>
      <c r="AD127" s="165" t="s">
        <v>5</v>
      </c>
      <c r="AE127" s="165" t="s">
        <v>5</v>
      </c>
      <c r="AF127" s="5"/>
      <c r="AG127" s="5"/>
      <c r="AH127" s="211"/>
      <c r="AI127" s="76"/>
      <c r="AJ127" s="76"/>
      <c r="AK127" s="221" t="e">
        <f>SUM(#REF!,BT127,BV127)</f>
        <v>#REF!</v>
      </c>
      <c r="AL127" s="154"/>
      <c r="AM127" s="154"/>
      <c r="AN127" s="154"/>
      <c r="AO127" s="154"/>
      <c r="AP127" s="154"/>
      <c r="AQ127" s="154"/>
      <c r="AR127" s="51">
        <v>40.887903618015933</v>
      </c>
      <c r="AS127" s="51">
        <v>55.7</v>
      </c>
      <c r="AT127" s="51">
        <v>26.214960000000005</v>
      </c>
      <c r="AU127" s="51">
        <v>9.9</v>
      </c>
      <c r="AV127" s="36">
        <v>77.8</v>
      </c>
      <c r="AW127" s="36">
        <v>0</v>
      </c>
      <c r="AX127" s="90">
        <f t="shared" si="59"/>
        <v>77.8</v>
      </c>
      <c r="AY127" s="157">
        <f t="shared" si="46"/>
        <v>0</v>
      </c>
      <c r="AZ127" s="182">
        <v>0</v>
      </c>
      <c r="BA127" s="158">
        <v>0</v>
      </c>
      <c r="BB127" s="182">
        <v>0</v>
      </c>
      <c r="BC127" s="158"/>
      <c r="BD127" s="182">
        <v>0</v>
      </c>
      <c r="BE127" s="158">
        <v>0</v>
      </c>
      <c r="BF127" s="182">
        <v>0</v>
      </c>
      <c r="BG127" s="158"/>
      <c r="BH127" s="182">
        <v>0</v>
      </c>
      <c r="BI127" s="158"/>
      <c r="BJ127" s="182">
        <v>0</v>
      </c>
      <c r="BK127" s="158"/>
      <c r="BL127" s="182"/>
      <c r="BM127" s="158"/>
      <c r="BN127" s="182"/>
      <c r="BO127" s="158"/>
      <c r="BP127" s="182"/>
      <c r="BQ127" s="158"/>
      <c r="BR127" s="182"/>
      <c r="BS127" s="158"/>
      <c r="BT127" s="182"/>
      <c r="BU127" s="158"/>
      <c r="BV127" s="182"/>
      <c r="BW127" s="234"/>
      <c r="BX127" s="237"/>
      <c r="BY127" s="81">
        <f t="shared" si="47"/>
        <v>0</v>
      </c>
      <c r="BZ127" s="198"/>
      <c r="CA127" s="198"/>
      <c r="CB127" s="198"/>
      <c r="CC127" s="198"/>
      <c r="CD127" s="198"/>
      <c r="CE127" s="198"/>
      <c r="CF127" s="198"/>
      <c r="CG127" s="198"/>
      <c r="CH127" s="198"/>
      <c r="CI127" s="198"/>
      <c r="CJ127" s="198"/>
      <c r="CK127" s="198"/>
      <c r="CL127" s="195">
        <f t="shared" si="63"/>
        <v>0</v>
      </c>
      <c r="CM127" s="196"/>
      <c r="CN127" s="196"/>
      <c r="CO127" s="196"/>
      <c r="CP127" s="196"/>
      <c r="CQ127" s="196"/>
      <c r="CR127" s="196"/>
      <c r="CS127" s="196"/>
      <c r="CT127" s="196"/>
      <c r="CU127" s="196"/>
      <c r="CV127" s="196"/>
      <c r="CW127" s="196"/>
      <c r="CX127" s="196"/>
      <c r="CY127" s="200">
        <f t="shared" si="60"/>
        <v>0</v>
      </c>
      <c r="CZ127" s="172">
        <f t="shared" si="48"/>
        <v>0</v>
      </c>
      <c r="DA127" s="201">
        <f t="shared" si="61"/>
        <v>0</v>
      </c>
      <c r="DB127" s="201">
        <f t="shared" si="62"/>
        <v>0</v>
      </c>
      <c r="DC127" s="201">
        <f t="shared" si="64"/>
        <v>0</v>
      </c>
      <c r="DD127" s="239">
        <v>0</v>
      </c>
      <c r="DE127" s="201">
        <f t="shared" si="65"/>
        <v>0</v>
      </c>
      <c r="DF127" s="172" t="e">
        <f>SUM(DN127:DO127)-SUM(#REF!,BV127)+BU127</f>
        <v>#REF!</v>
      </c>
      <c r="DG127" s="207"/>
      <c r="DH127" s="225">
        <f t="shared" si="66"/>
        <v>0</v>
      </c>
      <c r="DI127" s="225">
        <f t="shared" si="67"/>
        <v>0</v>
      </c>
      <c r="DJ127" s="225">
        <f t="shared" si="68"/>
        <v>0</v>
      </c>
      <c r="DK127" s="225" t="e">
        <f>SUM(BS127,#REF!,BV127)</f>
        <v>#REF!</v>
      </c>
      <c r="DL127" s="145">
        <v>77.8</v>
      </c>
      <c r="DM127" s="145">
        <v>67.885159999999999</v>
      </c>
      <c r="DN127" s="145">
        <v>0</v>
      </c>
      <c r="DO127" s="145">
        <v>0</v>
      </c>
      <c r="DP127" s="145">
        <v>67.885159999999999</v>
      </c>
      <c r="DQ127" s="145">
        <v>9.9148399999999999</v>
      </c>
      <c r="DR127" s="21">
        <f>VLOOKUP(C127,[6]Database!$B$143:$AD$521,29,FALSE)</f>
        <v>0</v>
      </c>
      <c r="DS127" s="219">
        <f t="shared" si="69"/>
        <v>0</v>
      </c>
    </row>
    <row r="128" spans="1:123" s="21" customFormat="1" ht="24" customHeight="1">
      <c r="A128" s="16"/>
      <c r="B128" s="2">
        <v>84</v>
      </c>
      <c r="C128" s="78" t="s">
        <v>86</v>
      </c>
      <c r="D128" s="78"/>
      <c r="E128" s="78" t="s">
        <v>870</v>
      </c>
      <c r="F128" s="3">
        <v>2018</v>
      </c>
      <c r="G128" s="4">
        <v>43390</v>
      </c>
      <c r="H128" s="4">
        <v>43390</v>
      </c>
      <c r="I128" s="4">
        <v>43752</v>
      </c>
      <c r="J128" s="13">
        <f t="shared" ca="1" si="58"/>
        <v>362</v>
      </c>
      <c r="K128" s="165">
        <f t="shared" si="70"/>
        <v>43937</v>
      </c>
      <c r="L128" s="165">
        <f t="shared" si="71"/>
        <v>44120</v>
      </c>
      <c r="M128" s="165"/>
      <c r="N128" s="165"/>
      <c r="O128" s="165"/>
      <c r="P128" s="165"/>
      <c r="Q128" s="165"/>
      <c r="R128" s="3" t="s">
        <v>179</v>
      </c>
      <c r="S128" s="11" t="s">
        <v>222</v>
      </c>
      <c r="T128" s="11"/>
      <c r="U128" s="5" t="s">
        <v>8</v>
      </c>
      <c r="V128" s="251"/>
      <c r="W128" s="5" t="s">
        <v>602</v>
      </c>
      <c r="X128" s="5" t="s">
        <v>473</v>
      </c>
      <c r="Y128" s="5" t="s">
        <v>87</v>
      </c>
      <c r="Z128" s="3" t="s">
        <v>185</v>
      </c>
      <c r="AA128" s="6" t="s">
        <v>217</v>
      </c>
      <c r="AB128" s="141" t="s">
        <v>196</v>
      </c>
      <c r="AC128" s="165" t="s">
        <v>5</v>
      </c>
      <c r="AD128" s="165" t="s">
        <v>5</v>
      </c>
      <c r="AE128" s="165" t="s">
        <v>5</v>
      </c>
      <c r="AF128" s="5"/>
      <c r="AG128" s="5"/>
      <c r="AH128" s="211"/>
      <c r="AI128" s="76"/>
      <c r="AJ128" s="76"/>
      <c r="AK128" s="221" t="e">
        <f>SUM(#REF!,BT128,BV128)</f>
        <v>#REF!</v>
      </c>
      <c r="AL128" s="48"/>
      <c r="AM128" s="48"/>
      <c r="AN128" s="48"/>
      <c r="AO128" s="48"/>
      <c r="AP128" s="48"/>
      <c r="AQ128" s="48"/>
      <c r="AR128" s="51">
        <v>21.582529571970742</v>
      </c>
      <c r="AS128" s="51"/>
      <c r="AT128" s="51">
        <v>0</v>
      </c>
      <c r="AU128" s="51"/>
      <c r="AV128" s="36">
        <v>145.15</v>
      </c>
      <c r="AW128" s="36">
        <v>0</v>
      </c>
      <c r="AX128" s="90">
        <f t="shared" si="59"/>
        <v>145.15</v>
      </c>
      <c r="AY128" s="157">
        <f t="shared" si="46"/>
        <v>0</v>
      </c>
      <c r="AZ128" s="182">
        <v>0</v>
      </c>
      <c r="BA128" s="158"/>
      <c r="BB128" s="182">
        <v>0</v>
      </c>
      <c r="BC128" s="158"/>
      <c r="BD128" s="182">
        <v>0</v>
      </c>
      <c r="BE128" s="158">
        <v>0</v>
      </c>
      <c r="BF128" s="182">
        <v>0</v>
      </c>
      <c r="BG128" s="158"/>
      <c r="BH128" s="182">
        <v>0</v>
      </c>
      <c r="BI128" s="158"/>
      <c r="BJ128" s="182">
        <v>0</v>
      </c>
      <c r="BK128" s="158"/>
      <c r="BL128" s="182"/>
      <c r="BM128" s="158"/>
      <c r="BN128" s="182"/>
      <c r="BO128" s="158"/>
      <c r="BP128" s="182"/>
      <c r="BQ128" s="158"/>
      <c r="BR128" s="182"/>
      <c r="BS128" s="158"/>
      <c r="BT128" s="182"/>
      <c r="BU128" s="158"/>
      <c r="BV128" s="182"/>
      <c r="BW128" s="234"/>
      <c r="BX128" s="237"/>
      <c r="BY128" s="81">
        <f t="shared" si="47"/>
        <v>0</v>
      </c>
      <c r="BZ128" s="198"/>
      <c r="CA128" s="198"/>
      <c r="CB128" s="198"/>
      <c r="CC128" s="198"/>
      <c r="CD128" s="198"/>
      <c r="CE128" s="198"/>
      <c r="CF128" s="198"/>
      <c r="CG128" s="198"/>
      <c r="CH128" s="198"/>
      <c r="CI128" s="198"/>
      <c r="CJ128" s="198"/>
      <c r="CK128" s="198"/>
      <c r="CL128" s="195">
        <f t="shared" si="63"/>
        <v>0</v>
      </c>
      <c r="CM128" s="196"/>
      <c r="CN128" s="196"/>
      <c r="CO128" s="196"/>
      <c r="CP128" s="196"/>
      <c r="CQ128" s="196"/>
      <c r="CR128" s="196"/>
      <c r="CS128" s="196"/>
      <c r="CT128" s="196"/>
      <c r="CU128" s="196"/>
      <c r="CV128" s="196"/>
      <c r="CW128" s="196"/>
      <c r="CX128" s="196"/>
      <c r="CY128" s="200">
        <f t="shared" si="60"/>
        <v>0</v>
      </c>
      <c r="CZ128" s="172">
        <f t="shared" si="48"/>
        <v>0</v>
      </c>
      <c r="DA128" s="201">
        <f t="shared" si="61"/>
        <v>0</v>
      </c>
      <c r="DB128" s="201">
        <f t="shared" si="62"/>
        <v>0</v>
      </c>
      <c r="DC128" s="201">
        <f t="shared" si="64"/>
        <v>0</v>
      </c>
      <c r="DD128" s="239">
        <v>0</v>
      </c>
      <c r="DE128" s="201">
        <f t="shared" si="65"/>
        <v>0</v>
      </c>
      <c r="DF128" s="172" t="e">
        <f>SUM(DN128:DO128)-SUM(#REF!,BV128)+BU128</f>
        <v>#REF!</v>
      </c>
      <c r="DG128" s="207"/>
      <c r="DH128" s="225">
        <f t="shared" si="66"/>
        <v>0</v>
      </c>
      <c r="DI128" s="225">
        <f t="shared" si="67"/>
        <v>0</v>
      </c>
      <c r="DJ128" s="225">
        <f t="shared" si="68"/>
        <v>0</v>
      </c>
      <c r="DK128" s="225" t="e">
        <f>SUM(BS128,#REF!,BV128)</f>
        <v>#REF!</v>
      </c>
      <c r="DL128" s="145">
        <v>145.15</v>
      </c>
      <c r="DM128" s="145">
        <v>16.617819999999998</v>
      </c>
      <c r="DN128" s="145">
        <v>0</v>
      </c>
      <c r="DO128" s="145">
        <v>0</v>
      </c>
      <c r="DP128" s="145">
        <v>16.617819999999998</v>
      </c>
      <c r="DQ128" s="145">
        <v>128.53217999999998</v>
      </c>
      <c r="DS128" s="219">
        <f t="shared" si="69"/>
        <v>0</v>
      </c>
    </row>
    <row r="129" spans="1:123" s="21" customFormat="1" ht="24" customHeight="1">
      <c r="A129" s="16"/>
      <c r="B129" s="2">
        <v>85</v>
      </c>
      <c r="C129" s="78" t="s">
        <v>122</v>
      </c>
      <c r="D129" s="78"/>
      <c r="E129" s="78" t="s">
        <v>871</v>
      </c>
      <c r="F129" s="3">
        <v>2018</v>
      </c>
      <c r="G129" s="4">
        <v>43405</v>
      </c>
      <c r="H129" s="4">
        <v>43405</v>
      </c>
      <c r="I129" s="4">
        <v>43819</v>
      </c>
      <c r="J129" s="13">
        <f t="shared" ca="1" si="58"/>
        <v>414</v>
      </c>
      <c r="K129" s="165">
        <f t="shared" si="70"/>
        <v>43952</v>
      </c>
      <c r="L129" s="165">
        <f t="shared" si="71"/>
        <v>44135</v>
      </c>
      <c r="M129" s="165"/>
      <c r="N129" s="165"/>
      <c r="O129" s="165"/>
      <c r="P129" s="165"/>
      <c r="Q129" s="165"/>
      <c r="R129" s="3" t="s">
        <v>175</v>
      </c>
      <c r="S129" s="11" t="s">
        <v>222</v>
      </c>
      <c r="T129" s="11"/>
      <c r="U129" s="5" t="s">
        <v>8</v>
      </c>
      <c r="V129" s="251">
        <v>457281</v>
      </c>
      <c r="W129" s="5" t="s">
        <v>602</v>
      </c>
      <c r="X129" s="5" t="s">
        <v>474</v>
      </c>
      <c r="Y129" s="5" t="s">
        <v>220</v>
      </c>
      <c r="Z129" s="3" t="s">
        <v>185</v>
      </c>
      <c r="AA129" s="6" t="s">
        <v>217</v>
      </c>
      <c r="AB129" s="141" t="s">
        <v>196</v>
      </c>
      <c r="AC129" s="165" t="s">
        <v>5</v>
      </c>
      <c r="AD129" s="165" t="s">
        <v>5</v>
      </c>
      <c r="AE129" s="165" t="s">
        <v>5</v>
      </c>
      <c r="AF129" s="5"/>
      <c r="AG129" s="5"/>
      <c r="AH129" s="211"/>
      <c r="AI129" s="76"/>
      <c r="AJ129" s="76"/>
      <c r="AK129" s="221" t="e">
        <f>SUM(#REF!,BT129,BV129)</f>
        <v>#REF!</v>
      </c>
      <c r="AL129" s="48"/>
      <c r="AM129" s="48"/>
      <c r="AN129" s="48"/>
      <c r="AO129" s="48"/>
      <c r="AP129" s="48"/>
      <c r="AQ129" s="48"/>
      <c r="AR129" s="51">
        <v>100.49417791974089</v>
      </c>
      <c r="AS129" s="51">
        <v>10.6</v>
      </c>
      <c r="AT129" s="51">
        <v>1.0650200000000001</v>
      </c>
      <c r="AU129" s="51"/>
      <c r="AV129" s="36">
        <v>109</v>
      </c>
      <c r="AW129" s="36">
        <v>3</v>
      </c>
      <c r="AX129" s="90">
        <f t="shared" si="59"/>
        <v>112</v>
      </c>
      <c r="AY129" s="157">
        <f t="shared" si="46"/>
        <v>0</v>
      </c>
      <c r="AZ129" s="182">
        <v>0</v>
      </c>
      <c r="BA129" s="158"/>
      <c r="BB129" s="182">
        <v>0</v>
      </c>
      <c r="BC129" s="158"/>
      <c r="BD129" s="182">
        <v>0</v>
      </c>
      <c r="BE129" s="158">
        <v>0</v>
      </c>
      <c r="BF129" s="182">
        <v>0</v>
      </c>
      <c r="BG129" s="158"/>
      <c r="BH129" s="182">
        <v>0</v>
      </c>
      <c r="BI129" s="158"/>
      <c r="BJ129" s="182">
        <v>0</v>
      </c>
      <c r="BK129" s="158"/>
      <c r="BL129" s="182"/>
      <c r="BM129" s="158"/>
      <c r="BN129" s="182"/>
      <c r="BO129" s="158"/>
      <c r="BP129" s="182"/>
      <c r="BQ129" s="158"/>
      <c r="BR129" s="182"/>
      <c r="BS129" s="158"/>
      <c r="BT129" s="182"/>
      <c r="BU129" s="158"/>
      <c r="BV129" s="182"/>
      <c r="BW129" s="234"/>
      <c r="BX129" s="237"/>
      <c r="BY129" s="81">
        <f t="shared" si="47"/>
        <v>0</v>
      </c>
      <c r="BZ129" s="241"/>
      <c r="CA129" s="241"/>
      <c r="CB129" s="241"/>
      <c r="CC129" s="241"/>
      <c r="CD129" s="241"/>
      <c r="CE129" s="241"/>
      <c r="CF129" s="241"/>
      <c r="CG129" s="241"/>
      <c r="CH129" s="241"/>
      <c r="CI129" s="241"/>
      <c r="CJ129" s="241"/>
      <c r="CK129" s="241"/>
      <c r="CL129" s="195">
        <f t="shared" si="63"/>
        <v>0</v>
      </c>
      <c r="CM129" s="196"/>
      <c r="CN129" s="196"/>
      <c r="CO129" s="196"/>
      <c r="CP129" s="196"/>
      <c r="CQ129" s="196"/>
      <c r="CR129" s="196"/>
      <c r="CS129" s="196"/>
      <c r="CT129" s="196"/>
      <c r="CU129" s="196"/>
      <c r="CV129" s="196"/>
      <c r="CW129" s="196"/>
      <c r="CX129" s="196"/>
      <c r="CY129" s="200">
        <f t="shared" si="60"/>
        <v>0</v>
      </c>
      <c r="CZ129" s="172">
        <f t="shared" si="48"/>
        <v>0</v>
      </c>
      <c r="DA129" s="201">
        <f t="shared" si="61"/>
        <v>0</v>
      </c>
      <c r="DB129" s="201">
        <f t="shared" si="62"/>
        <v>0</v>
      </c>
      <c r="DC129" s="201">
        <f t="shared" si="64"/>
        <v>0</v>
      </c>
      <c r="DD129" s="239">
        <v>0</v>
      </c>
      <c r="DE129" s="201">
        <f t="shared" si="65"/>
        <v>0</v>
      </c>
      <c r="DF129" s="172" t="e">
        <f>SUM(DN129:DO129)-SUM(#REF!,BV129)+BU129</f>
        <v>#REF!</v>
      </c>
      <c r="DG129" s="207"/>
      <c r="DH129" s="225">
        <f t="shared" si="66"/>
        <v>0</v>
      </c>
      <c r="DI129" s="225">
        <f t="shared" si="67"/>
        <v>0</v>
      </c>
      <c r="DJ129" s="225">
        <f t="shared" si="68"/>
        <v>0</v>
      </c>
      <c r="DK129" s="225" t="e">
        <f>SUM(BS129,#REF!,BV129)</f>
        <v>#REF!</v>
      </c>
      <c r="DL129" s="145">
        <v>109</v>
      </c>
      <c r="DM129" s="145">
        <v>102.42585000000001</v>
      </c>
      <c r="DN129" s="145">
        <v>0</v>
      </c>
      <c r="DO129" s="145">
        <v>0</v>
      </c>
      <c r="DP129" s="145">
        <v>102.42585000000001</v>
      </c>
      <c r="DQ129" s="145">
        <v>6.5741499999999995</v>
      </c>
      <c r="DS129" s="219">
        <f t="shared" si="69"/>
        <v>0</v>
      </c>
    </row>
    <row r="130" spans="1:123" s="21" customFormat="1" ht="24" customHeight="1">
      <c r="A130" s="16"/>
      <c r="B130" s="2">
        <v>86</v>
      </c>
      <c r="C130" s="78" t="s">
        <v>84</v>
      </c>
      <c r="D130" s="78"/>
      <c r="E130" s="78"/>
      <c r="F130" s="3">
        <v>2018</v>
      </c>
      <c r="G130" s="4">
        <v>43335</v>
      </c>
      <c r="H130" s="4">
        <v>43335</v>
      </c>
      <c r="I130" s="4">
        <v>43588</v>
      </c>
      <c r="J130" s="13">
        <f t="shared" ca="1" si="58"/>
        <v>253</v>
      </c>
      <c r="K130" s="165">
        <f t="shared" si="70"/>
        <v>43882</v>
      </c>
      <c r="L130" s="165">
        <f t="shared" si="71"/>
        <v>44065</v>
      </c>
      <c r="M130" s="165"/>
      <c r="N130" s="165"/>
      <c r="O130" s="165"/>
      <c r="P130" s="165"/>
      <c r="Q130" s="165"/>
      <c r="R130" s="3" t="s">
        <v>178</v>
      </c>
      <c r="S130" s="11"/>
      <c r="T130" s="11"/>
      <c r="U130" s="5" t="s">
        <v>8</v>
      </c>
      <c r="V130" s="251"/>
      <c r="W130" s="5" t="s">
        <v>602</v>
      </c>
      <c r="X130" s="5" t="s">
        <v>473</v>
      </c>
      <c r="Y130" s="5" t="s">
        <v>85</v>
      </c>
      <c r="Z130" s="3" t="s">
        <v>180</v>
      </c>
      <c r="AA130" s="6" t="s">
        <v>217</v>
      </c>
      <c r="AB130" s="141" t="s">
        <v>196</v>
      </c>
      <c r="AC130" s="165" t="s">
        <v>5</v>
      </c>
      <c r="AD130" s="165" t="s">
        <v>5</v>
      </c>
      <c r="AE130" s="165" t="s">
        <v>5</v>
      </c>
      <c r="AF130" s="5"/>
      <c r="AG130" s="5"/>
      <c r="AH130" s="211"/>
      <c r="AI130" s="76"/>
      <c r="AJ130" s="76"/>
      <c r="AK130" s="221" t="e">
        <f>SUM(#REF!,BT130,BV130)</f>
        <v>#REF!</v>
      </c>
      <c r="AL130" s="48"/>
      <c r="AM130" s="48"/>
      <c r="AN130" s="48"/>
      <c r="AO130" s="48"/>
      <c r="AP130" s="48"/>
      <c r="AQ130" s="48"/>
      <c r="AR130" s="51">
        <v>-0.73</v>
      </c>
      <c r="AS130" s="51"/>
      <c r="AT130" s="51">
        <v>0</v>
      </c>
      <c r="AU130" s="51"/>
      <c r="AV130" s="36">
        <v>74.5</v>
      </c>
      <c r="AW130" s="36">
        <v>0</v>
      </c>
      <c r="AX130" s="90">
        <f t="shared" si="59"/>
        <v>74.5</v>
      </c>
      <c r="AY130" s="157">
        <f t="shared" si="46"/>
        <v>0</v>
      </c>
      <c r="AZ130" s="182">
        <v>0</v>
      </c>
      <c r="BA130" s="158"/>
      <c r="BB130" s="182">
        <v>0</v>
      </c>
      <c r="BC130" s="158"/>
      <c r="BD130" s="182">
        <v>0</v>
      </c>
      <c r="BE130" s="158">
        <v>0</v>
      </c>
      <c r="BF130" s="182">
        <v>0</v>
      </c>
      <c r="BG130" s="158"/>
      <c r="BH130" s="182">
        <v>0</v>
      </c>
      <c r="BI130" s="158"/>
      <c r="BJ130" s="182">
        <v>0</v>
      </c>
      <c r="BK130" s="158"/>
      <c r="BL130" s="182"/>
      <c r="BM130" s="158"/>
      <c r="BN130" s="182"/>
      <c r="BO130" s="158"/>
      <c r="BP130" s="182"/>
      <c r="BQ130" s="158"/>
      <c r="BR130" s="182"/>
      <c r="BS130" s="158"/>
      <c r="BT130" s="182"/>
      <c r="BU130" s="158"/>
      <c r="BV130" s="182"/>
      <c r="BW130" s="234"/>
      <c r="BX130" s="237"/>
      <c r="BY130" s="81">
        <f t="shared" si="47"/>
        <v>0</v>
      </c>
      <c r="BZ130" s="198"/>
      <c r="CA130" s="198"/>
      <c r="CB130" s="198"/>
      <c r="CC130" s="198"/>
      <c r="CD130" s="198"/>
      <c r="CE130" s="198"/>
      <c r="CF130" s="198"/>
      <c r="CG130" s="198"/>
      <c r="CH130" s="198"/>
      <c r="CI130" s="198"/>
      <c r="CJ130" s="198"/>
      <c r="CK130" s="198"/>
      <c r="CL130" s="195">
        <f t="shared" si="63"/>
        <v>0</v>
      </c>
      <c r="CM130" s="196"/>
      <c r="CN130" s="196"/>
      <c r="CO130" s="196"/>
      <c r="CP130" s="196"/>
      <c r="CQ130" s="196"/>
      <c r="CR130" s="196"/>
      <c r="CS130" s="196"/>
      <c r="CT130" s="196"/>
      <c r="CU130" s="196"/>
      <c r="CV130" s="196"/>
      <c r="CW130" s="196"/>
      <c r="CX130" s="196"/>
      <c r="CY130" s="200">
        <f t="shared" si="60"/>
        <v>0</v>
      </c>
      <c r="CZ130" s="172">
        <f t="shared" si="48"/>
        <v>0</v>
      </c>
      <c r="DA130" s="201">
        <f t="shared" si="61"/>
        <v>0</v>
      </c>
      <c r="DB130" s="201">
        <f t="shared" si="62"/>
        <v>0</v>
      </c>
      <c r="DC130" s="201">
        <f t="shared" si="64"/>
        <v>0</v>
      </c>
      <c r="DD130" s="239">
        <v>0</v>
      </c>
      <c r="DE130" s="201">
        <f t="shared" si="65"/>
        <v>0</v>
      </c>
      <c r="DF130" s="172" t="e">
        <f>SUM(DN130:DO130)-SUM(#REF!,BV130)+BU130</f>
        <v>#REF!</v>
      </c>
      <c r="DG130" s="207"/>
      <c r="DH130" s="225">
        <f t="shared" si="66"/>
        <v>0</v>
      </c>
      <c r="DI130" s="225">
        <f t="shared" si="67"/>
        <v>0</v>
      </c>
      <c r="DJ130" s="225">
        <f t="shared" si="68"/>
        <v>0</v>
      </c>
      <c r="DK130" s="225" t="e">
        <f>SUM(BS130,#REF!,BV130)</f>
        <v>#REF!</v>
      </c>
      <c r="DL130" s="145">
        <v>74.5</v>
      </c>
      <c r="DM130" s="145">
        <v>23.357099999999999</v>
      </c>
      <c r="DN130" s="145">
        <v>0</v>
      </c>
      <c r="DO130" s="145">
        <v>0</v>
      </c>
      <c r="DP130" s="145">
        <v>23.357099999999999</v>
      </c>
      <c r="DQ130" s="145">
        <v>51.142900000000004</v>
      </c>
      <c r="DS130" s="219">
        <f t="shared" si="69"/>
        <v>0</v>
      </c>
    </row>
    <row r="131" spans="1:123" s="21" customFormat="1" ht="24" customHeight="1">
      <c r="A131" s="16"/>
      <c r="B131" s="2">
        <v>87</v>
      </c>
      <c r="C131" s="78" t="s">
        <v>128</v>
      </c>
      <c r="D131" s="78"/>
      <c r="E131" s="78" t="s">
        <v>842</v>
      </c>
      <c r="F131" s="3">
        <v>2018</v>
      </c>
      <c r="G131" s="4">
        <v>43352</v>
      </c>
      <c r="H131" s="174">
        <v>43352</v>
      </c>
      <c r="I131" s="4">
        <v>44375</v>
      </c>
      <c r="J131" s="13">
        <f t="shared" ca="1" si="58"/>
        <v>1023</v>
      </c>
      <c r="K131" s="165">
        <f t="shared" si="70"/>
        <v>43899</v>
      </c>
      <c r="L131" s="165">
        <f t="shared" si="71"/>
        <v>44082</v>
      </c>
      <c r="M131" s="165"/>
      <c r="N131" s="165"/>
      <c r="O131" s="165"/>
      <c r="P131" s="165"/>
      <c r="Q131" s="165"/>
      <c r="R131" s="3" t="s">
        <v>175</v>
      </c>
      <c r="S131" s="11" t="s">
        <v>4</v>
      </c>
      <c r="T131" s="11" t="s">
        <v>910</v>
      </c>
      <c r="U131" s="5" t="s">
        <v>8</v>
      </c>
      <c r="V131" s="251">
        <v>2252277</v>
      </c>
      <c r="W131" s="5" t="s">
        <v>602</v>
      </c>
      <c r="X131" s="5" t="s">
        <v>475</v>
      </c>
      <c r="Y131" s="5" t="s">
        <v>129</v>
      </c>
      <c r="Z131" s="78" t="s">
        <v>315</v>
      </c>
      <c r="AA131" s="6" t="s">
        <v>217</v>
      </c>
      <c r="AB131" s="141" t="s">
        <v>196</v>
      </c>
      <c r="AC131" s="165" t="s">
        <v>5</v>
      </c>
      <c r="AD131" s="165" t="s">
        <v>5</v>
      </c>
      <c r="AE131" s="165" t="s">
        <v>5</v>
      </c>
      <c r="AF131" s="5"/>
      <c r="AG131" s="5"/>
      <c r="AH131" s="211"/>
      <c r="AI131" s="76"/>
      <c r="AJ131" s="76"/>
      <c r="AK131" s="221" t="e">
        <f>SUM(#REF!,BT131,BV131)</f>
        <v>#REF!</v>
      </c>
      <c r="AL131" s="154"/>
      <c r="AM131" s="154"/>
      <c r="AN131" s="154"/>
      <c r="AO131" s="154"/>
      <c r="AP131" s="154"/>
      <c r="AQ131" s="154"/>
      <c r="AR131" s="51">
        <v>68.276246646392039</v>
      </c>
      <c r="AS131" s="51">
        <v>321.39999999999998</v>
      </c>
      <c r="AT131" s="51">
        <v>227.70453000000001</v>
      </c>
      <c r="AU131" s="51">
        <v>26.905099999999997</v>
      </c>
      <c r="AV131" s="36">
        <v>390.22</v>
      </c>
      <c r="AW131" s="36">
        <v>5</v>
      </c>
      <c r="AX131" s="90">
        <f t="shared" si="59"/>
        <v>395.22</v>
      </c>
      <c r="AY131" s="157">
        <f t="shared" si="46"/>
        <v>47.411870000000008</v>
      </c>
      <c r="AZ131" s="182">
        <v>15</v>
      </c>
      <c r="BA131" s="158">
        <v>7.6993799999999988</v>
      </c>
      <c r="BB131" s="182">
        <v>3.2057200000000008</v>
      </c>
      <c r="BC131" s="158">
        <v>2.6141300000000003</v>
      </c>
      <c r="BD131" s="182">
        <v>7</v>
      </c>
      <c r="BE131" s="158">
        <v>11.77514</v>
      </c>
      <c r="BF131" s="182">
        <v>3</v>
      </c>
      <c r="BG131" s="158">
        <v>3.6895599999999997</v>
      </c>
      <c r="BH131" s="182">
        <v>8</v>
      </c>
      <c r="BI131" s="158">
        <v>14.01116</v>
      </c>
      <c r="BJ131" s="182">
        <v>5</v>
      </c>
      <c r="BK131" s="158">
        <v>7.6224999999999996</v>
      </c>
      <c r="BL131" s="182"/>
      <c r="BM131" s="158"/>
      <c r="BN131" s="182"/>
      <c r="BO131" s="158"/>
      <c r="BP131" s="182"/>
      <c r="BQ131" s="158"/>
      <c r="BR131" s="182"/>
      <c r="BS131" s="158"/>
      <c r="BT131" s="182"/>
      <c r="BU131" s="158"/>
      <c r="BV131" s="182"/>
      <c r="BW131" s="234"/>
      <c r="BX131" s="237"/>
      <c r="BY131" s="81">
        <f t="shared" si="47"/>
        <v>0</v>
      </c>
      <c r="BZ131" s="241"/>
      <c r="CA131" s="241"/>
      <c r="CB131" s="241"/>
      <c r="CC131" s="241"/>
      <c r="CD131" s="241"/>
      <c r="CE131" s="241"/>
      <c r="CF131" s="241"/>
      <c r="CG131" s="241"/>
      <c r="CH131" s="241"/>
      <c r="CI131" s="241"/>
      <c r="CJ131" s="241"/>
      <c r="CK131" s="241"/>
      <c r="CL131" s="195">
        <f t="shared" si="63"/>
        <v>0</v>
      </c>
      <c r="CM131" s="196"/>
      <c r="CN131" s="196"/>
      <c r="CO131" s="196"/>
      <c r="CP131" s="196"/>
      <c r="CQ131" s="196"/>
      <c r="CR131" s="196"/>
      <c r="CS131" s="196"/>
      <c r="CT131" s="196"/>
      <c r="CU131" s="196"/>
      <c r="CV131" s="196"/>
      <c r="CW131" s="196"/>
      <c r="CX131" s="196"/>
      <c r="CY131" s="200">
        <f t="shared" si="60"/>
        <v>0</v>
      </c>
      <c r="CZ131" s="172">
        <f t="shared" si="48"/>
        <v>0</v>
      </c>
      <c r="DA131" s="201">
        <f t="shared" si="61"/>
        <v>47.411870000000008</v>
      </c>
      <c r="DB131" s="201">
        <f t="shared" si="62"/>
        <v>0</v>
      </c>
      <c r="DC131" s="201">
        <f t="shared" si="64"/>
        <v>47.411870000000008</v>
      </c>
      <c r="DD131" s="239">
        <v>47.411870000000008</v>
      </c>
      <c r="DE131" s="201">
        <f t="shared" si="65"/>
        <v>0</v>
      </c>
      <c r="DF131" s="172" t="e">
        <f>SUM(DN131:DO131)-SUM(#REF!,BV131)+BU131</f>
        <v>#REF!</v>
      </c>
      <c r="DG131" s="207"/>
      <c r="DH131" s="225">
        <f t="shared" si="66"/>
        <v>22.088650000000001</v>
      </c>
      <c r="DI131" s="225">
        <f t="shared" si="67"/>
        <v>25.323219999999999</v>
      </c>
      <c r="DJ131" s="225">
        <f t="shared" si="68"/>
        <v>0</v>
      </c>
      <c r="DK131" s="225" t="e">
        <f>SUM(BS131,#REF!,BV131)</f>
        <v>#REF!</v>
      </c>
      <c r="DL131" s="145">
        <v>390.22399999999999</v>
      </c>
      <c r="DM131" s="145">
        <v>343.89090999999996</v>
      </c>
      <c r="DN131" s="145">
        <v>0</v>
      </c>
      <c r="DO131" s="145">
        <v>0</v>
      </c>
      <c r="DP131" s="145">
        <v>343.89090999999996</v>
      </c>
      <c r="DQ131" s="145">
        <v>46.333089999999999</v>
      </c>
      <c r="DR131" s="21">
        <f>VLOOKUP(C131,[6]Database!$B$143:$AD$521,29,FALSE)</f>
        <v>0</v>
      </c>
      <c r="DS131" s="219">
        <f t="shared" si="69"/>
        <v>0</v>
      </c>
    </row>
    <row r="132" spans="1:123" s="21" customFormat="1" ht="24" customHeight="1">
      <c r="A132" s="16"/>
      <c r="B132" s="2">
        <v>88</v>
      </c>
      <c r="C132" s="78" t="s">
        <v>130</v>
      </c>
      <c r="D132" s="78"/>
      <c r="E132" s="78" t="s">
        <v>872</v>
      </c>
      <c r="F132" s="3">
        <v>2018</v>
      </c>
      <c r="G132" s="4">
        <v>43356</v>
      </c>
      <c r="H132" s="4">
        <v>43356</v>
      </c>
      <c r="I132" s="4">
        <v>43671</v>
      </c>
      <c r="J132" s="13">
        <f t="shared" ca="1" si="58"/>
        <v>315</v>
      </c>
      <c r="K132" s="165">
        <f t="shared" si="70"/>
        <v>43903</v>
      </c>
      <c r="L132" s="165">
        <f t="shared" si="71"/>
        <v>44086</v>
      </c>
      <c r="M132" s="165"/>
      <c r="N132" s="165"/>
      <c r="O132" s="165"/>
      <c r="P132" s="165"/>
      <c r="Q132" s="165"/>
      <c r="R132" s="3" t="s">
        <v>175</v>
      </c>
      <c r="S132" s="11" t="s">
        <v>221</v>
      </c>
      <c r="T132" s="11"/>
      <c r="U132" s="5" t="s">
        <v>8</v>
      </c>
      <c r="V132" s="251"/>
      <c r="W132" s="5" t="s">
        <v>602</v>
      </c>
      <c r="X132" s="5" t="s">
        <v>472</v>
      </c>
      <c r="Y132" s="5" t="s">
        <v>131</v>
      </c>
      <c r="Z132" s="3" t="s">
        <v>185</v>
      </c>
      <c r="AA132" s="6" t="s">
        <v>217</v>
      </c>
      <c r="AB132" s="141" t="s">
        <v>196</v>
      </c>
      <c r="AC132" s="165" t="s">
        <v>5</v>
      </c>
      <c r="AD132" s="165" t="s">
        <v>5</v>
      </c>
      <c r="AE132" s="165" t="s">
        <v>5</v>
      </c>
      <c r="AF132" s="5"/>
      <c r="AG132" s="5"/>
      <c r="AH132" s="211"/>
      <c r="AI132" s="76"/>
      <c r="AJ132" s="76"/>
      <c r="AK132" s="221" t="e">
        <f>SUM(#REF!,BT132,BV132)</f>
        <v>#REF!</v>
      </c>
      <c r="AL132" s="48"/>
      <c r="AM132" s="48"/>
      <c r="AN132" s="48"/>
      <c r="AO132" s="48"/>
      <c r="AP132" s="48"/>
      <c r="AQ132" s="48"/>
      <c r="AR132" s="51">
        <v>0.16999999999999993</v>
      </c>
      <c r="AS132" s="51"/>
      <c r="AT132" s="51">
        <v>0</v>
      </c>
      <c r="AU132" s="51"/>
      <c r="AV132" s="36">
        <v>106.42</v>
      </c>
      <c r="AW132" s="36">
        <v>15</v>
      </c>
      <c r="AX132" s="90">
        <f t="shared" si="59"/>
        <v>121.42</v>
      </c>
      <c r="AY132" s="157">
        <f t="shared" si="46"/>
        <v>0</v>
      </c>
      <c r="AZ132" s="182">
        <v>0</v>
      </c>
      <c r="BA132" s="158"/>
      <c r="BB132" s="182">
        <v>0</v>
      </c>
      <c r="BC132" s="158"/>
      <c r="BD132" s="182">
        <v>0</v>
      </c>
      <c r="BE132" s="158">
        <v>0</v>
      </c>
      <c r="BF132" s="182">
        <v>0</v>
      </c>
      <c r="BG132" s="158"/>
      <c r="BH132" s="182">
        <v>0</v>
      </c>
      <c r="BI132" s="158"/>
      <c r="BJ132" s="182">
        <v>0</v>
      </c>
      <c r="BK132" s="158"/>
      <c r="BL132" s="182"/>
      <c r="BM132" s="158"/>
      <c r="BN132" s="182"/>
      <c r="BO132" s="158"/>
      <c r="BP132" s="182"/>
      <c r="BQ132" s="158"/>
      <c r="BR132" s="182"/>
      <c r="BS132" s="158"/>
      <c r="BT132" s="182"/>
      <c r="BU132" s="158"/>
      <c r="BV132" s="182"/>
      <c r="BW132" s="234"/>
      <c r="BX132" s="237"/>
      <c r="BY132" s="81">
        <f t="shared" si="47"/>
        <v>0</v>
      </c>
      <c r="BZ132" s="241"/>
      <c r="CA132" s="241"/>
      <c r="CB132" s="241"/>
      <c r="CC132" s="241"/>
      <c r="CD132" s="241"/>
      <c r="CE132" s="241"/>
      <c r="CF132" s="241"/>
      <c r="CG132" s="241"/>
      <c r="CH132" s="241"/>
      <c r="CI132" s="241"/>
      <c r="CJ132" s="241"/>
      <c r="CK132" s="241"/>
      <c r="CL132" s="195">
        <f t="shared" si="63"/>
        <v>0</v>
      </c>
      <c r="CM132" s="196"/>
      <c r="CN132" s="196"/>
      <c r="CO132" s="196"/>
      <c r="CP132" s="196"/>
      <c r="CQ132" s="196"/>
      <c r="CR132" s="196"/>
      <c r="CS132" s="196"/>
      <c r="CT132" s="196"/>
      <c r="CU132" s="196"/>
      <c r="CV132" s="196"/>
      <c r="CW132" s="196"/>
      <c r="CX132" s="196"/>
      <c r="CY132" s="200">
        <f t="shared" si="60"/>
        <v>0</v>
      </c>
      <c r="CZ132" s="172">
        <f t="shared" si="48"/>
        <v>0</v>
      </c>
      <c r="DA132" s="201">
        <f t="shared" si="61"/>
        <v>0</v>
      </c>
      <c r="DB132" s="201">
        <f t="shared" si="62"/>
        <v>0</v>
      </c>
      <c r="DC132" s="201">
        <f t="shared" si="64"/>
        <v>0</v>
      </c>
      <c r="DD132" s="239">
        <v>0</v>
      </c>
      <c r="DE132" s="201">
        <f t="shared" si="65"/>
        <v>0</v>
      </c>
      <c r="DF132" s="172" t="e">
        <f>SUM(DN132:DO132)-SUM(#REF!,BV132)+BU132</f>
        <v>#REF!</v>
      </c>
      <c r="DG132" s="207"/>
      <c r="DH132" s="225">
        <f t="shared" si="66"/>
        <v>0</v>
      </c>
      <c r="DI132" s="225">
        <f t="shared" si="67"/>
        <v>0</v>
      </c>
      <c r="DJ132" s="225">
        <f t="shared" si="68"/>
        <v>0</v>
      </c>
      <c r="DK132" s="225" t="e">
        <f>SUM(BS132,#REF!,BV132)</f>
        <v>#REF!</v>
      </c>
      <c r="DL132" s="145">
        <v>106.41500000000001</v>
      </c>
      <c r="DM132" s="145">
        <v>92.515219999999999</v>
      </c>
      <c r="DN132" s="145">
        <v>0</v>
      </c>
      <c r="DO132" s="145">
        <v>0</v>
      </c>
      <c r="DP132" s="145">
        <v>92.515219999999999</v>
      </c>
      <c r="DQ132" s="145">
        <v>13.89978</v>
      </c>
      <c r="DS132" s="219">
        <f t="shared" si="69"/>
        <v>0</v>
      </c>
    </row>
    <row r="133" spans="1:123" s="21" customFormat="1" ht="24" customHeight="1">
      <c r="A133" s="16"/>
      <c r="B133" s="2">
        <v>89</v>
      </c>
      <c r="C133" s="78" t="s">
        <v>132</v>
      </c>
      <c r="D133" s="78"/>
      <c r="E133" s="78" t="s">
        <v>851</v>
      </c>
      <c r="F133" s="3">
        <v>2018</v>
      </c>
      <c r="G133" s="4">
        <v>43420</v>
      </c>
      <c r="H133" s="4">
        <v>43420</v>
      </c>
      <c r="I133" s="4">
        <v>44193</v>
      </c>
      <c r="J133" s="13">
        <f t="shared" ca="1" si="58"/>
        <v>773</v>
      </c>
      <c r="K133" s="165">
        <f t="shared" si="70"/>
        <v>43967</v>
      </c>
      <c r="L133" s="165">
        <f t="shared" si="71"/>
        <v>44150</v>
      </c>
      <c r="M133" s="165"/>
      <c r="N133" s="165"/>
      <c r="O133" s="165"/>
      <c r="P133" s="165"/>
      <c r="Q133" s="165"/>
      <c r="R133" s="3" t="s">
        <v>175</v>
      </c>
      <c r="S133" s="11" t="s">
        <v>221</v>
      </c>
      <c r="T133" s="11" t="s">
        <v>909</v>
      </c>
      <c r="U133" s="5" t="s">
        <v>8</v>
      </c>
      <c r="V133" s="251"/>
      <c r="W133" s="5" t="s">
        <v>602</v>
      </c>
      <c r="X133" s="5" t="s">
        <v>478</v>
      </c>
      <c r="Y133" s="5" t="s">
        <v>133</v>
      </c>
      <c r="Z133" s="3" t="s">
        <v>185</v>
      </c>
      <c r="AA133" s="6" t="s">
        <v>217</v>
      </c>
      <c r="AB133" s="141" t="s">
        <v>196</v>
      </c>
      <c r="AC133" s="165" t="s">
        <v>5</v>
      </c>
      <c r="AD133" s="165" t="s">
        <v>5</v>
      </c>
      <c r="AE133" s="165" t="s">
        <v>5</v>
      </c>
      <c r="AF133" s="5"/>
      <c r="AG133" s="5"/>
      <c r="AH133" s="211"/>
      <c r="AI133" s="76"/>
      <c r="AJ133" s="76"/>
      <c r="AK133" s="221" t="e">
        <f>SUM(#REF!,BT133,BV133)</f>
        <v>#REF!</v>
      </c>
      <c r="AL133" s="154"/>
      <c r="AM133" s="154"/>
      <c r="AN133" s="154"/>
      <c r="AO133" s="154"/>
      <c r="AP133" s="154"/>
      <c r="AQ133" s="154"/>
      <c r="AR133" s="51">
        <v>112.39148137934281</v>
      </c>
      <c r="AS133" s="51">
        <v>47.5</v>
      </c>
      <c r="AT133" s="51">
        <v>37.823080000000004</v>
      </c>
      <c r="AU133" s="51">
        <v>3.4014400000000009</v>
      </c>
      <c r="AV133" s="36">
        <v>242.75</v>
      </c>
      <c r="AW133" s="36">
        <v>22</v>
      </c>
      <c r="AX133" s="90">
        <f t="shared" si="59"/>
        <v>264.75</v>
      </c>
      <c r="AY133" s="157">
        <f t="shared" si="46"/>
        <v>2.815700000000001</v>
      </c>
      <c r="AZ133" s="182">
        <v>4</v>
      </c>
      <c r="BA133" s="158">
        <v>3.4014400000000009</v>
      </c>
      <c r="BB133" s="182">
        <v>0</v>
      </c>
      <c r="BC133" s="158">
        <v>-0.58574000000000004</v>
      </c>
      <c r="BD133" s="182">
        <v>0</v>
      </c>
      <c r="BE133" s="158">
        <v>0</v>
      </c>
      <c r="BF133" s="182">
        <v>0</v>
      </c>
      <c r="BG133" s="158"/>
      <c r="BH133" s="182">
        <v>0</v>
      </c>
      <c r="BI133" s="158"/>
      <c r="BJ133" s="182">
        <v>0</v>
      </c>
      <c r="BK133" s="158"/>
      <c r="BL133" s="182"/>
      <c r="BM133" s="158"/>
      <c r="BN133" s="182"/>
      <c r="BO133" s="158"/>
      <c r="BP133" s="182"/>
      <c r="BQ133" s="158"/>
      <c r="BR133" s="182"/>
      <c r="BS133" s="158"/>
      <c r="BT133" s="182"/>
      <c r="BU133" s="158"/>
      <c r="BV133" s="182"/>
      <c r="BW133" s="234"/>
      <c r="BX133" s="237"/>
      <c r="BY133" s="81">
        <f t="shared" si="47"/>
        <v>0</v>
      </c>
      <c r="BZ133" s="241"/>
      <c r="CA133" s="241"/>
      <c r="CB133" s="241"/>
      <c r="CC133" s="241"/>
      <c r="CD133" s="241"/>
      <c r="CE133" s="241"/>
      <c r="CF133" s="241"/>
      <c r="CG133" s="241"/>
      <c r="CH133" s="241"/>
      <c r="CI133" s="241"/>
      <c r="CJ133" s="241"/>
      <c r="CK133" s="241"/>
      <c r="CL133" s="195">
        <f t="shared" si="63"/>
        <v>0</v>
      </c>
      <c r="CM133" s="196"/>
      <c r="CN133" s="196"/>
      <c r="CO133" s="196"/>
      <c r="CP133" s="196"/>
      <c r="CQ133" s="196"/>
      <c r="CR133" s="196"/>
      <c r="CS133" s="196"/>
      <c r="CT133" s="196"/>
      <c r="CU133" s="196"/>
      <c r="CV133" s="196"/>
      <c r="CW133" s="196"/>
      <c r="CX133" s="196"/>
      <c r="CY133" s="200">
        <f t="shared" si="60"/>
        <v>0</v>
      </c>
      <c r="CZ133" s="172">
        <f t="shared" si="48"/>
        <v>0</v>
      </c>
      <c r="DA133" s="201">
        <f t="shared" si="61"/>
        <v>2.815700000000001</v>
      </c>
      <c r="DB133" s="201">
        <f t="shared" si="62"/>
        <v>0</v>
      </c>
      <c r="DC133" s="201">
        <f t="shared" si="64"/>
        <v>2.815700000000001</v>
      </c>
      <c r="DD133" s="239">
        <v>2.815700000000001</v>
      </c>
      <c r="DE133" s="201">
        <f t="shared" si="65"/>
        <v>0</v>
      </c>
      <c r="DF133" s="172" t="e">
        <f>SUM(DN133:DO133)-SUM(#REF!,BV133)+BU133</f>
        <v>#REF!</v>
      </c>
      <c r="DG133" s="207"/>
      <c r="DH133" s="225">
        <f t="shared" si="66"/>
        <v>2.815700000000001</v>
      </c>
      <c r="DI133" s="225">
        <f t="shared" si="67"/>
        <v>0</v>
      </c>
      <c r="DJ133" s="225">
        <f t="shared" si="68"/>
        <v>0</v>
      </c>
      <c r="DK133" s="225" t="e">
        <f>SUM(BS133,#REF!,BV133)</f>
        <v>#REF!</v>
      </c>
      <c r="DL133" s="145">
        <v>242.75</v>
      </c>
      <c r="DM133" s="145">
        <v>235.98642000000001</v>
      </c>
      <c r="DN133" s="145">
        <v>0</v>
      </c>
      <c r="DO133" s="145">
        <v>0</v>
      </c>
      <c r="DP133" s="145">
        <v>235.98642000000001</v>
      </c>
      <c r="DQ133" s="145">
        <v>6.7635800000000001</v>
      </c>
      <c r="DR133" s="21">
        <f>VLOOKUP(C133,[6]Database!$B$143:$AD$521,29,FALSE)</f>
        <v>0</v>
      </c>
      <c r="DS133" s="219">
        <f t="shared" si="69"/>
        <v>0</v>
      </c>
    </row>
    <row r="134" spans="1:123" s="21" customFormat="1" ht="24" customHeight="1">
      <c r="A134" s="16"/>
      <c r="B134" s="2">
        <v>90</v>
      </c>
      <c r="C134" s="78" t="s">
        <v>134</v>
      </c>
      <c r="D134" s="78"/>
      <c r="E134" s="78" t="s">
        <v>846</v>
      </c>
      <c r="F134" s="3">
        <v>2018</v>
      </c>
      <c r="G134" s="4">
        <v>43381</v>
      </c>
      <c r="H134" s="4">
        <v>43381</v>
      </c>
      <c r="I134" s="4">
        <v>44218</v>
      </c>
      <c r="J134" s="13">
        <f t="shared" ca="1" si="58"/>
        <v>837</v>
      </c>
      <c r="K134" s="165">
        <f t="shared" si="70"/>
        <v>43928</v>
      </c>
      <c r="L134" s="165">
        <f t="shared" si="71"/>
        <v>44111</v>
      </c>
      <c r="M134" s="165"/>
      <c r="N134" s="165"/>
      <c r="O134" s="165"/>
      <c r="P134" s="165"/>
      <c r="Q134" s="165"/>
      <c r="R134" s="3" t="s">
        <v>175</v>
      </c>
      <c r="S134" s="11" t="s">
        <v>4</v>
      </c>
      <c r="T134" s="11" t="s">
        <v>905</v>
      </c>
      <c r="U134" s="5" t="s">
        <v>8</v>
      </c>
      <c r="V134" s="251"/>
      <c r="W134" s="5" t="s">
        <v>602</v>
      </c>
      <c r="X134" s="5" t="s">
        <v>475</v>
      </c>
      <c r="Y134" s="5" t="s">
        <v>135</v>
      </c>
      <c r="Z134" s="3" t="s">
        <v>180</v>
      </c>
      <c r="AA134" s="6" t="s">
        <v>217</v>
      </c>
      <c r="AB134" s="141" t="s">
        <v>196</v>
      </c>
      <c r="AC134" s="165" t="s">
        <v>5</v>
      </c>
      <c r="AD134" s="165" t="s">
        <v>5</v>
      </c>
      <c r="AE134" s="165" t="s">
        <v>5</v>
      </c>
      <c r="AF134" s="5" t="s">
        <v>1037</v>
      </c>
      <c r="AG134" s="5"/>
      <c r="AH134" s="211"/>
      <c r="AI134" s="76"/>
      <c r="AJ134" s="76"/>
      <c r="AK134" s="221" t="e">
        <f>SUM(#REF!,BT134,BV134)</f>
        <v>#REF!</v>
      </c>
      <c r="AL134" s="154"/>
      <c r="AM134" s="154"/>
      <c r="AN134" s="154"/>
      <c r="AO134" s="154"/>
      <c r="AP134" s="154"/>
      <c r="AQ134" s="154"/>
      <c r="AR134" s="51">
        <v>600.66446841782408</v>
      </c>
      <c r="AS134" s="51">
        <v>169.17455000000001</v>
      </c>
      <c r="AT134" s="51">
        <v>103.32557</v>
      </c>
      <c r="AU134" s="51">
        <v>13.82259</v>
      </c>
      <c r="AV134" s="36">
        <v>783.3</v>
      </c>
      <c r="AW134" s="36">
        <v>15.5</v>
      </c>
      <c r="AX134" s="90">
        <f t="shared" si="59"/>
        <v>798.8</v>
      </c>
      <c r="AY134" s="157">
        <f t="shared" ref="AY134:AY197" si="72">BA134+BC134+BE134+BG134+BI134+BK134+BM134+BO134+BQ134+BS134+BU134+BX134</f>
        <v>13.032300000000001</v>
      </c>
      <c r="AZ134" s="182">
        <v>4.3</v>
      </c>
      <c r="BA134" s="158">
        <v>0.82259000000000004</v>
      </c>
      <c r="BB134" s="182">
        <v>5</v>
      </c>
      <c r="BC134" s="158">
        <v>3.5076900000000002</v>
      </c>
      <c r="BD134" s="182">
        <v>9</v>
      </c>
      <c r="BE134" s="158">
        <v>8.702020000000001</v>
      </c>
      <c r="BF134" s="182">
        <v>0</v>
      </c>
      <c r="BG134" s="158"/>
      <c r="BH134" s="182">
        <v>0</v>
      </c>
      <c r="BI134" s="158"/>
      <c r="BJ134" s="182">
        <v>0</v>
      </c>
      <c r="BK134" s="158"/>
      <c r="BL134" s="182"/>
      <c r="BM134" s="158"/>
      <c r="BN134" s="182"/>
      <c r="BO134" s="158"/>
      <c r="BP134" s="182"/>
      <c r="BQ134" s="158"/>
      <c r="BR134" s="182"/>
      <c r="BS134" s="158"/>
      <c r="BT134" s="182"/>
      <c r="BU134" s="158"/>
      <c r="BV134" s="182"/>
      <c r="BW134" s="234"/>
      <c r="BX134" s="237"/>
      <c r="BY134" s="81">
        <f t="shared" ref="BY134:BY197" si="73">SUM(BZ134:CK134)</f>
        <v>0</v>
      </c>
      <c r="BZ134" s="241"/>
      <c r="CA134" s="241"/>
      <c r="CB134" s="241"/>
      <c r="CC134" s="241"/>
      <c r="CD134" s="241"/>
      <c r="CE134" s="241"/>
      <c r="CF134" s="241"/>
      <c r="CG134" s="241"/>
      <c r="CH134" s="241"/>
      <c r="CI134" s="241"/>
      <c r="CJ134" s="241"/>
      <c r="CK134" s="241"/>
      <c r="CL134" s="195">
        <f t="shared" si="63"/>
        <v>0</v>
      </c>
      <c r="CM134" s="196"/>
      <c r="CN134" s="196"/>
      <c r="CO134" s="196"/>
      <c r="CP134" s="196"/>
      <c r="CQ134" s="196"/>
      <c r="CR134" s="196"/>
      <c r="CS134" s="196"/>
      <c r="CT134" s="196"/>
      <c r="CU134" s="196"/>
      <c r="CV134" s="196"/>
      <c r="CW134" s="196"/>
      <c r="CX134" s="196"/>
      <c r="CY134" s="200">
        <f t="shared" si="60"/>
        <v>0</v>
      </c>
      <c r="CZ134" s="172">
        <f t="shared" ref="CZ134:CZ197" si="74">BW134-BX134</f>
        <v>0</v>
      </c>
      <c r="DA134" s="201">
        <f t="shared" si="61"/>
        <v>13.032300000000001</v>
      </c>
      <c r="DB134" s="201">
        <f t="shared" si="62"/>
        <v>0</v>
      </c>
      <c r="DC134" s="201">
        <f t="shared" si="64"/>
        <v>13.032300000000001</v>
      </c>
      <c r="DD134" s="239">
        <v>13.032300000000001</v>
      </c>
      <c r="DE134" s="201">
        <f t="shared" si="65"/>
        <v>0</v>
      </c>
      <c r="DF134" s="172" t="e">
        <f>SUM(DN134:DO134)-SUM(#REF!,BV134)+BU134</f>
        <v>#REF!</v>
      </c>
      <c r="DG134" s="207"/>
      <c r="DH134" s="225">
        <f t="shared" si="66"/>
        <v>13.032300000000001</v>
      </c>
      <c r="DI134" s="225">
        <f t="shared" si="67"/>
        <v>0</v>
      </c>
      <c r="DJ134" s="225">
        <f t="shared" si="68"/>
        <v>0</v>
      </c>
      <c r="DK134" s="225" t="e">
        <f>SUM(BS134,#REF!,BV134)</f>
        <v>#REF!</v>
      </c>
      <c r="DL134" s="145">
        <v>783.3</v>
      </c>
      <c r="DM134" s="145">
        <v>749.76486</v>
      </c>
      <c r="DN134" s="145">
        <v>0</v>
      </c>
      <c r="DO134" s="145">
        <v>0</v>
      </c>
      <c r="DP134" s="145">
        <v>749.76486</v>
      </c>
      <c r="DQ134" s="145">
        <v>33.535139999999998</v>
      </c>
      <c r="DR134" s="21">
        <f>VLOOKUP(C134,[6]Database!$B$143:$AD$521,29,FALSE)</f>
        <v>0</v>
      </c>
      <c r="DS134" s="219">
        <f t="shared" si="69"/>
        <v>0</v>
      </c>
    </row>
    <row r="135" spans="1:123" s="21" customFormat="1" ht="24" customHeight="1">
      <c r="A135" s="16"/>
      <c r="B135" s="2">
        <v>91</v>
      </c>
      <c r="C135" s="78" t="s">
        <v>136</v>
      </c>
      <c r="D135" s="78"/>
      <c r="E135" s="78" t="s">
        <v>873</v>
      </c>
      <c r="F135" s="3">
        <v>2018</v>
      </c>
      <c r="G135" s="4">
        <v>43415</v>
      </c>
      <c r="H135" s="4">
        <v>43415</v>
      </c>
      <c r="I135" s="4">
        <v>44200</v>
      </c>
      <c r="J135" s="13">
        <f t="shared" ca="1" si="58"/>
        <v>785</v>
      </c>
      <c r="K135" s="165">
        <f t="shared" si="70"/>
        <v>43962</v>
      </c>
      <c r="L135" s="165">
        <f t="shared" si="71"/>
        <v>44145</v>
      </c>
      <c r="M135" s="165"/>
      <c r="N135" s="165"/>
      <c r="O135" s="165"/>
      <c r="P135" s="165"/>
      <c r="Q135" s="165"/>
      <c r="R135" s="3" t="s">
        <v>175</v>
      </c>
      <c r="S135" s="11" t="s">
        <v>222</v>
      </c>
      <c r="T135" s="11"/>
      <c r="U135" s="5" t="s">
        <v>8</v>
      </c>
      <c r="V135" s="251"/>
      <c r="W135" s="5" t="s">
        <v>602</v>
      </c>
      <c r="X135" s="5" t="s">
        <v>478</v>
      </c>
      <c r="Y135" s="5" t="s">
        <v>137</v>
      </c>
      <c r="Z135" s="3" t="s">
        <v>185</v>
      </c>
      <c r="AA135" s="6" t="s">
        <v>217</v>
      </c>
      <c r="AB135" s="141" t="s">
        <v>196</v>
      </c>
      <c r="AC135" s="165" t="s">
        <v>5</v>
      </c>
      <c r="AD135" s="165" t="s">
        <v>5</v>
      </c>
      <c r="AE135" s="165" t="s">
        <v>5</v>
      </c>
      <c r="AF135" s="5" t="s">
        <v>1037</v>
      </c>
      <c r="AG135" s="41"/>
      <c r="AH135" s="211"/>
      <c r="AI135" s="76"/>
      <c r="AJ135" s="76"/>
      <c r="AK135" s="221" t="e">
        <f>SUM(#REF!,BT135,BV135)</f>
        <v>#REF!</v>
      </c>
      <c r="AL135" s="154"/>
      <c r="AM135" s="154"/>
      <c r="AN135" s="154"/>
      <c r="AO135" s="154"/>
      <c r="AP135" s="154"/>
      <c r="AQ135" s="154"/>
      <c r="AR135" s="51">
        <v>186.02572000000001</v>
      </c>
      <c r="AS135" s="51">
        <v>110.85849999999999</v>
      </c>
      <c r="AT135" s="51">
        <v>75.347679999999997</v>
      </c>
      <c r="AU135" s="51"/>
      <c r="AV135" s="36">
        <v>560.6</v>
      </c>
      <c r="AW135" s="36">
        <v>0</v>
      </c>
      <c r="AX135" s="90">
        <f t="shared" si="59"/>
        <v>560.6</v>
      </c>
      <c r="AY135" s="157">
        <f t="shared" si="72"/>
        <v>0</v>
      </c>
      <c r="AZ135" s="182">
        <v>0</v>
      </c>
      <c r="BA135" s="158"/>
      <c r="BB135" s="182">
        <v>0</v>
      </c>
      <c r="BC135" s="158"/>
      <c r="BD135" s="182">
        <v>0</v>
      </c>
      <c r="BE135" s="158">
        <v>0</v>
      </c>
      <c r="BF135" s="182">
        <v>0</v>
      </c>
      <c r="BG135" s="158"/>
      <c r="BH135" s="182">
        <v>0</v>
      </c>
      <c r="BI135" s="158"/>
      <c r="BJ135" s="182">
        <v>0</v>
      </c>
      <c r="BK135" s="158"/>
      <c r="BL135" s="182"/>
      <c r="BM135" s="158"/>
      <c r="BN135" s="182"/>
      <c r="BO135" s="158"/>
      <c r="BP135" s="182"/>
      <c r="BQ135" s="158"/>
      <c r="BR135" s="182"/>
      <c r="BS135" s="158"/>
      <c r="BT135" s="182"/>
      <c r="BU135" s="158"/>
      <c r="BV135" s="182"/>
      <c r="BW135" s="234"/>
      <c r="BX135" s="237"/>
      <c r="BY135" s="81">
        <f t="shared" si="73"/>
        <v>0</v>
      </c>
      <c r="BZ135" s="241"/>
      <c r="CA135" s="241"/>
      <c r="CB135" s="241"/>
      <c r="CC135" s="241"/>
      <c r="CD135" s="241"/>
      <c r="CE135" s="241"/>
      <c r="CF135" s="241"/>
      <c r="CG135" s="241"/>
      <c r="CH135" s="241"/>
      <c r="CI135" s="241"/>
      <c r="CJ135" s="241"/>
      <c r="CK135" s="241"/>
      <c r="CL135" s="195">
        <f t="shared" si="63"/>
        <v>0</v>
      </c>
      <c r="CM135" s="196"/>
      <c r="CN135" s="196"/>
      <c r="CO135" s="196"/>
      <c r="CP135" s="196"/>
      <c r="CQ135" s="196"/>
      <c r="CR135" s="196"/>
      <c r="CS135" s="196"/>
      <c r="CT135" s="196"/>
      <c r="CU135" s="196"/>
      <c r="CV135" s="196"/>
      <c r="CW135" s="196"/>
      <c r="CX135" s="196"/>
      <c r="CY135" s="200">
        <f t="shared" si="60"/>
        <v>0</v>
      </c>
      <c r="CZ135" s="172">
        <f t="shared" si="74"/>
        <v>0</v>
      </c>
      <c r="DA135" s="201">
        <f t="shared" si="61"/>
        <v>0</v>
      </c>
      <c r="DB135" s="201">
        <f t="shared" si="62"/>
        <v>0</v>
      </c>
      <c r="DC135" s="201">
        <f t="shared" si="64"/>
        <v>0</v>
      </c>
      <c r="DD135" s="239">
        <v>0</v>
      </c>
      <c r="DE135" s="201">
        <f t="shared" si="65"/>
        <v>0</v>
      </c>
      <c r="DF135" s="172" t="e">
        <f>SUM(DN135:DO135)-SUM(#REF!,BV135)+BU135</f>
        <v>#REF!</v>
      </c>
      <c r="DG135" s="207"/>
      <c r="DH135" s="225">
        <f t="shared" si="66"/>
        <v>0</v>
      </c>
      <c r="DI135" s="225">
        <f t="shared" si="67"/>
        <v>0</v>
      </c>
      <c r="DJ135" s="225">
        <f t="shared" si="68"/>
        <v>0</v>
      </c>
      <c r="DK135" s="225" t="e">
        <f>SUM(BS135,#REF!,BV135)</f>
        <v>#REF!</v>
      </c>
      <c r="DL135" s="145">
        <v>560.6</v>
      </c>
      <c r="DM135" s="145">
        <v>261.3734</v>
      </c>
      <c r="DN135" s="145">
        <v>0</v>
      </c>
      <c r="DO135" s="145">
        <v>0</v>
      </c>
      <c r="DP135" s="145">
        <v>261.3734</v>
      </c>
      <c r="DQ135" s="145">
        <v>299.22659999999996</v>
      </c>
      <c r="DS135" s="219">
        <f t="shared" si="69"/>
        <v>0</v>
      </c>
    </row>
    <row r="136" spans="1:123" s="21" customFormat="1" ht="24" customHeight="1">
      <c r="A136" s="16"/>
      <c r="B136" s="2">
        <v>92</v>
      </c>
      <c r="C136" s="78" t="s">
        <v>82</v>
      </c>
      <c r="D136" s="78"/>
      <c r="E136" s="78"/>
      <c r="F136" s="3">
        <v>2018</v>
      </c>
      <c r="G136" s="4">
        <v>43354</v>
      </c>
      <c r="H136" s="4">
        <v>43413</v>
      </c>
      <c r="I136" s="4">
        <v>43984</v>
      </c>
      <c r="J136" s="13">
        <f t="shared" ca="1" si="58"/>
        <v>571</v>
      </c>
      <c r="K136" s="165">
        <f t="shared" si="70"/>
        <v>43960</v>
      </c>
      <c r="L136" s="165">
        <f t="shared" si="71"/>
        <v>44143</v>
      </c>
      <c r="M136" s="165"/>
      <c r="N136" s="165"/>
      <c r="O136" s="165"/>
      <c r="P136" s="165"/>
      <c r="Q136" s="165"/>
      <c r="R136" s="3" t="s">
        <v>177</v>
      </c>
      <c r="S136" s="11" t="s">
        <v>221</v>
      </c>
      <c r="T136" s="11"/>
      <c r="U136" s="5" t="s">
        <v>8</v>
      </c>
      <c r="V136" s="251"/>
      <c r="W136" s="5" t="s">
        <v>602</v>
      </c>
      <c r="X136" s="5" t="s">
        <v>476</v>
      </c>
      <c r="Y136" s="5" t="s">
        <v>83</v>
      </c>
      <c r="Z136" s="3" t="s">
        <v>187</v>
      </c>
      <c r="AA136" s="6" t="s">
        <v>217</v>
      </c>
      <c r="AB136" s="141" t="s">
        <v>196</v>
      </c>
      <c r="AC136" s="165" t="s">
        <v>5</v>
      </c>
      <c r="AD136" s="165" t="s">
        <v>5</v>
      </c>
      <c r="AE136" s="165" t="s">
        <v>5</v>
      </c>
      <c r="AF136" s="5"/>
      <c r="AG136" s="5"/>
      <c r="AH136" s="211"/>
      <c r="AI136" s="76"/>
      <c r="AJ136" s="76"/>
      <c r="AK136" s="221" t="e">
        <f>SUM(#REF!,BT136,BV136)</f>
        <v>#REF!</v>
      </c>
      <c r="AL136" s="48"/>
      <c r="AM136" s="48"/>
      <c r="AN136" s="48"/>
      <c r="AO136" s="48"/>
      <c r="AP136" s="48"/>
      <c r="AQ136" s="48"/>
      <c r="AR136" s="51">
        <v>23.467699999999997</v>
      </c>
      <c r="AS136" s="51">
        <v>0</v>
      </c>
      <c r="AT136" s="51">
        <v>1.8438999999999999</v>
      </c>
      <c r="AU136" s="51"/>
      <c r="AV136" s="36">
        <v>38.64</v>
      </c>
      <c r="AW136" s="36">
        <v>5.5</v>
      </c>
      <c r="AX136" s="90">
        <f t="shared" si="59"/>
        <v>44.14</v>
      </c>
      <c r="AY136" s="157">
        <f t="shared" si="72"/>
        <v>0</v>
      </c>
      <c r="AZ136" s="182">
        <v>0</v>
      </c>
      <c r="BA136" s="158"/>
      <c r="BB136" s="182">
        <v>0</v>
      </c>
      <c r="BC136" s="158"/>
      <c r="BD136" s="182">
        <v>0</v>
      </c>
      <c r="BE136" s="158">
        <v>0</v>
      </c>
      <c r="BF136" s="182">
        <v>0</v>
      </c>
      <c r="BG136" s="158"/>
      <c r="BH136" s="182">
        <v>0</v>
      </c>
      <c r="BI136" s="158"/>
      <c r="BJ136" s="182">
        <v>0</v>
      </c>
      <c r="BK136" s="158"/>
      <c r="BL136" s="182"/>
      <c r="BM136" s="158"/>
      <c r="BN136" s="182"/>
      <c r="BO136" s="158"/>
      <c r="BP136" s="182"/>
      <c r="BQ136" s="158"/>
      <c r="BR136" s="182"/>
      <c r="BS136" s="158"/>
      <c r="BT136" s="182"/>
      <c r="BU136" s="158"/>
      <c r="BV136" s="182"/>
      <c r="BW136" s="234"/>
      <c r="BX136" s="237"/>
      <c r="BY136" s="81">
        <f t="shared" si="73"/>
        <v>0</v>
      </c>
      <c r="BZ136" s="198"/>
      <c r="CA136" s="198"/>
      <c r="CB136" s="198"/>
      <c r="CC136" s="198"/>
      <c r="CD136" s="198"/>
      <c r="CE136" s="198"/>
      <c r="CF136" s="198"/>
      <c r="CG136" s="198"/>
      <c r="CH136" s="198"/>
      <c r="CI136" s="198"/>
      <c r="CJ136" s="198"/>
      <c r="CK136" s="198"/>
      <c r="CL136" s="195">
        <f t="shared" si="63"/>
        <v>0</v>
      </c>
      <c r="CM136" s="196"/>
      <c r="CN136" s="196"/>
      <c r="CO136" s="196"/>
      <c r="CP136" s="196"/>
      <c r="CQ136" s="196"/>
      <c r="CR136" s="196"/>
      <c r="CS136" s="196"/>
      <c r="CT136" s="196"/>
      <c r="CU136" s="196"/>
      <c r="CV136" s="196"/>
      <c r="CW136" s="196"/>
      <c r="CX136" s="196"/>
      <c r="CY136" s="200">
        <f t="shared" si="60"/>
        <v>0</v>
      </c>
      <c r="CZ136" s="172">
        <f t="shared" si="74"/>
        <v>0</v>
      </c>
      <c r="DA136" s="201">
        <f t="shared" si="61"/>
        <v>0</v>
      </c>
      <c r="DB136" s="201">
        <f t="shared" si="62"/>
        <v>0</v>
      </c>
      <c r="DC136" s="201">
        <f t="shared" si="64"/>
        <v>0</v>
      </c>
      <c r="DD136" s="239">
        <v>0</v>
      </c>
      <c r="DE136" s="201">
        <f t="shared" si="65"/>
        <v>0</v>
      </c>
      <c r="DF136" s="172" t="e">
        <f>SUM(DN136:DO136)-SUM(#REF!,BV136)+BU136</f>
        <v>#REF!</v>
      </c>
      <c r="DG136" s="207"/>
      <c r="DH136" s="225">
        <f t="shared" si="66"/>
        <v>0</v>
      </c>
      <c r="DI136" s="225">
        <f t="shared" si="67"/>
        <v>0</v>
      </c>
      <c r="DJ136" s="225">
        <f t="shared" si="68"/>
        <v>0</v>
      </c>
      <c r="DK136" s="225" t="e">
        <f>SUM(BS136,#REF!,BV136)</f>
        <v>#REF!</v>
      </c>
      <c r="DL136" s="145">
        <v>38.637</v>
      </c>
      <c r="DM136" s="145">
        <v>38.428539999999998</v>
      </c>
      <c r="DN136" s="145">
        <v>0</v>
      </c>
      <c r="DO136" s="145">
        <v>0</v>
      </c>
      <c r="DP136" s="145">
        <v>38.428539999999998</v>
      </c>
      <c r="DQ136" s="145">
        <v>0.20846000000000001</v>
      </c>
      <c r="DS136" s="219">
        <f t="shared" si="69"/>
        <v>0</v>
      </c>
    </row>
    <row r="137" spans="1:123" s="21" customFormat="1" ht="24" customHeight="1">
      <c r="A137" s="16"/>
      <c r="B137" s="2">
        <v>93</v>
      </c>
      <c r="C137" s="78" t="s">
        <v>140</v>
      </c>
      <c r="D137" s="78"/>
      <c r="E137" s="78"/>
      <c r="F137" s="3">
        <v>2019</v>
      </c>
      <c r="G137" s="4">
        <v>43413</v>
      </c>
      <c r="H137" s="4">
        <v>43441</v>
      </c>
      <c r="I137" s="4">
        <v>43676</v>
      </c>
      <c r="J137" s="13">
        <f t="shared" ca="1" si="58"/>
        <v>235</v>
      </c>
      <c r="K137" s="165">
        <f t="shared" si="70"/>
        <v>43988</v>
      </c>
      <c r="L137" s="165">
        <f t="shared" si="71"/>
        <v>44171</v>
      </c>
      <c r="M137" s="165"/>
      <c r="N137" s="165"/>
      <c r="O137" s="165"/>
      <c r="P137" s="165"/>
      <c r="Q137" s="165"/>
      <c r="R137" s="3" t="s">
        <v>177</v>
      </c>
      <c r="S137" s="11" t="s">
        <v>222</v>
      </c>
      <c r="T137" s="11"/>
      <c r="U137" s="5" t="s">
        <v>8</v>
      </c>
      <c r="V137" s="251"/>
      <c r="W137" s="5" t="s">
        <v>602</v>
      </c>
      <c r="X137" s="5" t="s">
        <v>480</v>
      </c>
      <c r="Y137" s="5" t="s">
        <v>141</v>
      </c>
      <c r="Z137" s="3" t="s">
        <v>187</v>
      </c>
      <c r="AA137" s="6" t="s">
        <v>217</v>
      </c>
      <c r="AB137" s="141" t="s">
        <v>196</v>
      </c>
      <c r="AC137" s="165" t="s">
        <v>5</v>
      </c>
      <c r="AD137" s="165" t="s">
        <v>5</v>
      </c>
      <c r="AE137" s="165" t="s">
        <v>5</v>
      </c>
      <c r="AF137" s="5"/>
      <c r="AG137" s="5"/>
      <c r="AH137" s="211"/>
      <c r="AI137" s="76"/>
      <c r="AJ137" s="76"/>
      <c r="AK137" s="221" t="e">
        <f>SUM(#REF!,BT137,BV137)</f>
        <v>#REF!</v>
      </c>
      <c r="AL137" s="48"/>
      <c r="AM137" s="48"/>
      <c r="AN137" s="48"/>
      <c r="AO137" s="48"/>
      <c r="AP137" s="48"/>
      <c r="AQ137" s="48"/>
      <c r="AR137" s="51">
        <v>163.36076691151069</v>
      </c>
      <c r="AS137" s="51">
        <v>0</v>
      </c>
      <c r="AT137" s="51">
        <v>8.7749100000000002</v>
      </c>
      <c r="AU137" s="51"/>
      <c r="AV137" s="36">
        <v>190.97</v>
      </c>
      <c r="AW137" s="36">
        <v>0</v>
      </c>
      <c r="AX137" s="90">
        <f t="shared" si="59"/>
        <v>190.97</v>
      </c>
      <c r="AY137" s="157">
        <f t="shared" si="72"/>
        <v>0</v>
      </c>
      <c r="AZ137" s="182">
        <v>0</v>
      </c>
      <c r="BA137" s="158"/>
      <c r="BB137" s="182">
        <v>0</v>
      </c>
      <c r="BC137" s="158"/>
      <c r="BD137" s="182">
        <v>0</v>
      </c>
      <c r="BE137" s="158">
        <v>0</v>
      </c>
      <c r="BF137" s="182">
        <v>0</v>
      </c>
      <c r="BG137" s="158"/>
      <c r="BH137" s="182">
        <v>0</v>
      </c>
      <c r="BI137" s="158"/>
      <c r="BJ137" s="182">
        <v>0</v>
      </c>
      <c r="BK137" s="158"/>
      <c r="BL137" s="182"/>
      <c r="BM137" s="158"/>
      <c r="BN137" s="182"/>
      <c r="BO137" s="158"/>
      <c r="BP137" s="182"/>
      <c r="BQ137" s="158"/>
      <c r="BR137" s="182"/>
      <c r="BS137" s="158"/>
      <c r="BT137" s="182"/>
      <c r="BU137" s="158"/>
      <c r="BV137" s="182"/>
      <c r="BW137" s="234"/>
      <c r="BX137" s="237"/>
      <c r="BY137" s="81">
        <f t="shared" si="73"/>
        <v>0</v>
      </c>
      <c r="BZ137" s="198"/>
      <c r="CA137" s="198"/>
      <c r="CB137" s="198"/>
      <c r="CC137" s="198"/>
      <c r="CD137" s="198"/>
      <c r="CE137" s="198"/>
      <c r="CF137" s="198"/>
      <c r="CG137" s="198"/>
      <c r="CH137" s="198"/>
      <c r="CI137" s="198"/>
      <c r="CJ137" s="198"/>
      <c r="CK137" s="198"/>
      <c r="CL137" s="195">
        <f t="shared" si="63"/>
        <v>0</v>
      </c>
      <c r="CM137" s="196"/>
      <c r="CN137" s="196"/>
      <c r="CO137" s="196"/>
      <c r="CP137" s="196"/>
      <c r="CQ137" s="196"/>
      <c r="CR137" s="196"/>
      <c r="CS137" s="196"/>
      <c r="CT137" s="196"/>
      <c r="CU137" s="196"/>
      <c r="CV137" s="196"/>
      <c r="CW137" s="196"/>
      <c r="CX137" s="196"/>
      <c r="CY137" s="200">
        <f t="shared" si="60"/>
        <v>0</v>
      </c>
      <c r="CZ137" s="172">
        <f t="shared" si="74"/>
        <v>0</v>
      </c>
      <c r="DA137" s="201">
        <f t="shared" si="61"/>
        <v>0</v>
      </c>
      <c r="DB137" s="201">
        <f t="shared" si="62"/>
        <v>0</v>
      </c>
      <c r="DC137" s="201">
        <f t="shared" si="64"/>
        <v>0</v>
      </c>
      <c r="DD137" s="239">
        <v>0</v>
      </c>
      <c r="DE137" s="201">
        <f t="shared" si="65"/>
        <v>0</v>
      </c>
      <c r="DF137" s="172" t="e">
        <f>SUM(DN137:DO137)-SUM(#REF!,BV137)+BU137</f>
        <v>#REF!</v>
      </c>
      <c r="DG137" s="207"/>
      <c r="DH137" s="225">
        <f t="shared" si="66"/>
        <v>0</v>
      </c>
      <c r="DI137" s="225">
        <f t="shared" si="67"/>
        <v>0</v>
      </c>
      <c r="DJ137" s="225">
        <f t="shared" si="68"/>
        <v>0</v>
      </c>
      <c r="DK137" s="225" t="e">
        <f>SUM(BS137,#REF!,BV137)</f>
        <v>#REF!</v>
      </c>
      <c r="DL137" s="145">
        <v>190.971</v>
      </c>
      <c r="DM137" s="145">
        <v>171.84076999999999</v>
      </c>
      <c r="DN137" s="145">
        <v>0</v>
      </c>
      <c r="DO137" s="145">
        <v>0</v>
      </c>
      <c r="DP137" s="145">
        <v>171.84076999999999</v>
      </c>
      <c r="DQ137" s="145">
        <v>19.130230000000001</v>
      </c>
      <c r="DS137" s="219">
        <f t="shared" si="69"/>
        <v>0</v>
      </c>
    </row>
    <row r="138" spans="1:123" s="21" customFormat="1" ht="24" customHeight="1">
      <c r="A138" s="16"/>
      <c r="B138" s="2">
        <v>94</v>
      </c>
      <c r="C138" s="78" t="s">
        <v>143</v>
      </c>
      <c r="D138" s="78"/>
      <c r="E138" s="78" t="s">
        <v>592</v>
      </c>
      <c r="F138" s="3">
        <v>2019</v>
      </c>
      <c r="G138" s="4">
        <v>43487</v>
      </c>
      <c r="H138" s="4">
        <v>43487</v>
      </c>
      <c r="I138" s="4">
        <v>43488</v>
      </c>
      <c r="J138" s="13">
        <f t="shared" ca="1" si="58"/>
        <v>1</v>
      </c>
      <c r="K138" s="165">
        <f t="shared" si="70"/>
        <v>44034</v>
      </c>
      <c r="L138" s="165">
        <f t="shared" si="71"/>
        <v>44217</v>
      </c>
      <c r="M138" s="165"/>
      <c r="N138" s="165"/>
      <c r="O138" s="165"/>
      <c r="P138" s="165"/>
      <c r="Q138" s="165"/>
      <c r="R138" s="3" t="s">
        <v>175</v>
      </c>
      <c r="S138" s="11" t="s">
        <v>4</v>
      </c>
      <c r="T138" s="11"/>
      <c r="U138" s="5" t="s">
        <v>8</v>
      </c>
      <c r="V138" s="251">
        <v>941509</v>
      </c>
      <c r="W138" s="5" t="s">
        <v>602</v>
      </c>
      <c r="X138" s="5" t="s">
        <v>475</v>
      </c>
      <c r="Y138" s="5" t="s">
        <v>144</v>
      </c>
      <c r="Z138" s="78" t="s">
        <v>315</v>
      </c>
      <c r="AA138" s="6" t="s">
        <v>217</v>
      </c>
      <c r="AB138" s="150" t="s">
        <v>216</v>
      </c>
      <c r="AC138" s="165" t="s">
        <v>5</v>
      </c>
      <c r="AD138" s="165" t="s">
        <v>5</v>
      </c>
      <c r="AE138" s="165" t="s">
        <v>5</v>
      </c>
      <c r="AF138" s="5"/>
      <c r="AG138" s="5"/>
      <c r="AH138" s="211"/>
      <c r="AI138" s="76"/>
      <c r="AJ138" s="76"/>
      <c r="AK138" s="221" t="e">
        <f>SUM(#REF!,BT138,BV138)</f>
        <v>#REF!</v>
      </c>
      <c r="AL138" s="48"/>
      <c r="AM138" s="48"/>
      <c r="AN138" s="48"/>
      <c r="AO138" s="48"/>
      <c r="AP138" s="48"/>
      <c r="AQ138" s="48"/>
      <c r="AR138" s="51">
        <v>0</v>
      </c>
      <c r="AS138" s="51"/>
      <c r="AT138" s="51">
        <v>0</v>
      </c>
      <c r="AU138" s="51"/>
      <c r="AV138" s="36">
        <v>0</v>
      </c>
      <c r="AW138" s="36">
        <v>0</v>
      </c>
      <c r="AX138" s="90">
        <f t="shared" si="59"/>
        <v>0</v>
      </c>
      <c r="AY138" s="157">
        <f t="shared" si="72"/>
        <v>0</v>
      </c>
      <c r="AZ138" s="182">
        <v>0</v>
      </c>
      <c r="BA138" s="158"/>
      <c r="BB138" s="182">
        <v>0</v>
      </c>
      <c r="BC138" s="158"/>
      <c r="BD138" s="182">
        <v>0</v>
      </c>
      <c r="BE138" s="158">
        <v>0</v>
      </c>
      <c r="BF138" s="182">
        <v>0</v>
      </c>
      <c r="BG138" s="158"/>
      <c r="BH138" s="182">
        <v>0</v>
      </c>
      <c r="BI138" s="158"/>
      <c r="BJ138" s="182">
        <v>0</v>
      </c>
      <c r="BK138" s="158"/>
      <c r="BL138" s="182"/>
      <c r="BM138" s="158"/>
      <c r="BN138" s="182"/>
      <c r="BO138" s="158"/>
      <c r="BP138" s="182"/>
      <c r="BQ138" s="158"/>
      <c r="BR138" s="182"/>
      <c r="BS138" s="158"/>
      <c r="BT138" s="182"/>
      <c r="BU138" s="158"/>
      <c r="BV138" s="182"/>
      <c r="BW138" s="234"/>
      <c r="BX138" s="237"/>
      <c r="BY138" s="81">
        <f t="shared" si="73"/>
        <v>0</v>
      </c>
      <c r="BZ138" s="241"/>
      <c r="CA138" s="241"/>
      <c r="CB138" s="241"/>
      <c r="CC138" s="241"/>
      <c r="CD138" s="241"/>
      <c r="CE138" s="241"/>
      <c r="CF138" s="241"/>
      <c r="CG138" s="241"/>
      <c r="CH138" s="241"/>
      <c r="CI138" s="241"/>
      <c r="CJ138" s="241"/>
      <c r="CK138" s="241"/>
      <c r="CL138" s="195">
        <f t="shared" si="63"/>
        <v>0</v>
      </c>
      <c r="CM138" s="196"/>
      <c r="CN138" s="196"/>
      <c r="CO138" s="196"/>
      <c r="CP138" s="196"/>
      <c r="CQ138" s="196"/>
      <c r="CR138" s="196"/>
      <c r="CS138" s="196"/>
      <c r="CT138" s="196"/>
      <c r="CU138" s="196"/>
      <c r="CV138" s="196"/>
      <c r="CW138" s="196"/>
      <c r="CX138" s="196"/>
      <c r="CY138" s="200">
        <f t="shared" si="60"/>
        <v>0</v>
      </c>
      <c r="CZ138" s="172">
        <f t="shared" si="74"/>
        <v>0</v>
      </c>
      <c r="DA138" s="201">
        <f t="shared" si="61"/>
        <v>0</v>
      </c>
      <c r="DB138" s="201">
        <f t="shared" si="62"/>
        <v>0</v>
      </c>
      <c r="DC138" s="201">
        <f t="shared" si="64"/>
        <v>0</v>
      </c>
      <c r="DD138" s="239">
        <v>0</v>
      </c>
      <c r="DE138" s="201">
        <f t="shared" si="65"/>
        <v>0</v>
      </c>
      <c r="DF138" s="172" t="e">
        <f>SUM(DN138:DO138)-SUM(#REF!,BV138)+BU138</f>
        <v>#REF!</v>
      </c>
      <c r="DG138" s="207"/>
      <c r="DH138" s="225">
        <f t="shared" si="66"/>
        <v>0</v>
      </c>
      <c r="DI138" s="225">
        <f t="shared" si="67"/>
        <v>0</v>
      </c>
      <c r="DJ138" s="225">
        <f t="shared" si="68"/>
        <v>0</v>
      </c>
      <c r="DK138" s="225" t="e">
        <f>SUM(BS138,#REF!,BV138)</f>
        <v>#REF!</v>
      </c>
      <c r="DL138" s="145">
        <v>68.7</v>
      </c>
      <c r="DM138" s="145">
        <v>0</v>
      </c>
      <c r="DN138" s="145">
        <v>0</v>
      </c>
      <c r="DO138" s="145">
        <v>0</v>
      </c>
      <c r="DP138" s="145">
        <v>0</v>
      </c>
      <c r="DQ138" s="145">
        <v>68.7</v>
      </c>
      <c r="DS138" s="219">
        <f t="shared" si="69"/>
        <v>0</v>
      </c>
    </row>
    <row r="139" spans="1:123" s="21" customFormat="1" ht="24" customHeight="1">
      <c r="A139" s="16"/>
      <c r="B139" s="2">
        <v>95</v>
      </c>
      <c r="C139" s="78" t="s">
        <v>138</v>
      </c>
      <c r="D139" s="78"/>
      <c r="E139" s="78" t="s">
        <v>874</v>
      </c>
      <c r="F139" s="3">
        <v>2019</v>
      </c>
      <c r="G139" s="4">
        <v>43487</v>
      </c>
      <c r="H139" s="4">
        <v>43487</v>
      </c>
      <c r="I139" s="4">
        <v>44103</v>
      </c>
      <c r="J139" s="13">
        <f t="shared" ca="1" si="58"/>
        <v>616</v>
      </c>
      <c r="K139" s="165">
        <f t="shared" si="70"/>
        <v>44034</v>
      </c>
      <c r="L139" s="165">
        <f t="shared" si="71"/>
        <v>44217</v>
      </c>
      <c r="M139" s="165"/>
      <c r="N139" s="165"/>
      <c r="O139" s="165"/>
      <c r="P139" s="165"/>
      <c r="Q139" s="165"/>
      <c r="R139" s="3" t="s">
        <v>175</v>
      </c>
      <c r="S139" s="11" t="s">
        <v>4</v>
      </c>
      <c r="T139" s="11"/>
      <c r="U139" s="5" t="s">
        <v>8</v>
      </c>
      <c r="V139" s="251">
        <v>941377</v>
      </c>
      <c r="W139" s="5" t="s">
        <v>602</v>
      </c>
      <c r="X139" s="5" t="s">
        <v>477</v>
      </c>
      <c r="Y139" s="5" t="s">
        <v>139</v>
      </c>
      <c r="Z139" s="78" t="s">
        <v>315</v>
      </c>
      <c r="AA139" s="6" t="s">
        <v>217</v>
      </c>
      <c r="AB139" s="141" t="s">
        <v>196</v>
      </c>
      <c r="AC139" s="165" t="s">
        <v>5</v>
      </c>
      <c r="AD139" s="165" t="s">
        <v>5</v>
      </c>
      <c r="AE139" s="165" t="s">
        <v>5</v>
      </c>
      <c r="AF139" s="5"/>
      <c r="AG139" s="5"/>
      <c r="AH139" s="211"/>
      <c r="AI139" s="76"/>
      <c r="AJ139" s="76"/>
      <c r="AK139" s="221" t="e">
        <f>SUM(#REF!,BT139,BV139)</f>
        <v>#REF!</v>
      </c>
      <c r="AL139" s="154"/>
      <c r="AM139" s="154"/>
      <c r="AN139" s="154"/>
      <c r="AO139" s="154"/>
      <c r="AP139" s="154"/>
      <c r="AQ139" s="154"/>
      <c r="AR139" s="51">
        <v>26.972379479793418</v>
      </c>
      <c r="AS139" s="51">
        <v>35.24579</v>
      </c>
      <c r="AT139" s="51">
        <v>14.369390000000001</v>
      </c>
      <c r="AU139" s="51"/>
      <c r="AV139" s="36">
        <v>57</v>
      </c>
      <c r="AW139" s="36">
        <v>0</v>
      </c>
      <c r="AX139" s="90">
        <f t="shared" si="59"/>
        <v>57</v>
      </c>
      <c r="AY139" s="157">
        <f t="shared" si="72"/>
        <v>0</v>
      </c>
      <c r="AZ139" s="182">
        <v>0</v>
      </c>
      <c r="BA139" s="158">
        <v>0</v>
      </c>
      <c r="BB139" s="182">
        <v>0</v>
      </c>
      <c r="BC139" s="158"/>
      <c r="BD139" s="182">
        <v>0</v>
      </c>
      <c r="BE139" s="158">
        <v>0</v>
      </c>
      <c r="BF139" s="182">
        <v>0</v>
      </c>
      <c r="BG139" s="158"/>
      <c r="BH139" s="182">
        <v>0</v>
      </c>
      <c r="BI139" s="158"/>
      <c r="BJ139" s="182">
        <v>0</v>
      </c>
      <c r="BK139" s="158"/>
      <c r="BL139" s="182"/>
      <c r="BM139" s="158"/>
      <c r="BN139" s="182"/>
      <c r="BO139" s="158"/>
      <c r="BP139" s="182"/>
      <c r="BQ139" s="158"/>
      <c r="BR139" s="182"/>
      <c r="BS139" s="158"/>
      <c r="BT139" s="182"/>
      <c r="BU139" s="158"/>
      <c r="BV139" s="182"/>
      <c r="BW139" s="234"/>
      <c r="BX139" s="237"/>
      <c r="BY139" s="81">
        <f t="shared" si="73"/>
        <v>0</v>
      </c>
      <c r="BZ139" s="241"/>
      <c r="CA139" s="241"/>
      <c r="CB139" s="241"/>
      <c r="CC139" s="241"/>
      <c r="CD139" s="241"/>
      <c r="CE139" s="241"/>
      <c r="CF139" s="241"/>
      <c r="CG139" s="241"/>
      <c r="CH139" s="241"/>
      <c r="CI139" s="241"/>
      <c r="CJ139" s="241"/>
      <c r="CK139" s="241"/>
      <c r="CL139" s="195">
        <f t="shared" si="63"/>
        <v>0</v>
      </c>
      <c r="CM139" s="196"/>
      <c r="CN139" s="196"/>
      <c r="CO139" s="196"/>
      <c r="CP139" s="196"/>
      <c r="CQ139" s="196"/>
      <c r="CR139" s="196"/>
      <c r="CS139" s="196"/>
      <c r="CT139" s="196"/>
      <c r="CU139" s="196"/>
      <c r="CV139" s="196"/>
      <c r="CW139" s="196"/>
      <c r="CX139" s="196"/>
      <c r="CY139" s="200">
        <f t="shared" si="60"/>
        <v>0</v>
      </c>
      <c r="CZ139" s="172">
        <f t="shared" si="74"/>
        <v>0</v>
      </c>
      <c r="DA139" s="201">
        <f t="shared" si="61"/>
        <v>0</v>
      </c>
      <c r="DB139" s="201">
        <f t="shared" si="62"/>
        <v>0</v>
      </c>
      <c r="DC139" s="201">
        <f t="shared" si="64"/>
        <v>0</v>
      </c>
      <c r="DD139" s="239">
        <v>0</v>
      </c>
      <c r="DE139" s="201">
        <f t="shared" si="65"/>
        <v>0</v>
      </c>
      <c r="DF139" s="172" t="e">
        <f>SUM(DN139:DO139)-SUM(#REF!,BV139)+BU139</f>
        <v>#REF!</v>
      </c>
      <c r="DG139" s="207"/>
      <c r="DH139" s="225">
        <f t="shared" si="66"/>
        <v>0</v>
      </c>
      <c r="DI139" s="225">
        <f t="shared" si="67"/>
        <v>0</v>
      </c>
      <c r="DJ139" s="225">
        <f t="shared" si="68"/>
        <v>0</v>
      </c>
      <c r="DK139" s="225" t="e">
        <f>SUM(BS139,#REF!,BV139)</f>
        <v>#REF!</v>
      </c>
      <c r="DL139" s="145">
        <v>57</v>
      </c>
      <c r="DM139" s="145">
        <v>41.443289999999998</v>
      </c>
      <c r="DN139" s="145">
        <v>0</v>
      </c>
      <c r="DO139" s="145">
        <v>0</v>
      </c>
      <c r="DP139" s="145">
        <v>41.443289999999998</v>
      </c>
      <c r="DQ139" s="145">
        <v>15.556709999999999</v>
      </c>
      <c r="DS139" s="219">
        <f t="shared" si="69"/>
        <v>0</v>
      </c>
    </row>
    <row r="140" spans="1:123" s="21" customFormat="1" ht="24" customHeight="1">
      <c r="A140" s="16"/>
      <c r="B140" s="2">
        <v>96</v>
      </c>
      <c r="C140" s="78" t="s">
        <v>145</v>
      </c>
      <c r="D140" s="78"/>
      <c r="E140" s="78"/>
      <c r="F140" s="3">
        <v>2019</v>
      </c>
      <c r="G140" s="4">
        <v>43516</v>
      </c>
      <c r="H140" s="4">
        <v>43516</v>
      </c>
      <c r="I140" s="4">
        <v>43843</v>
      </c>
      <c r="J140" s="13">
        <f t="shared" ca="1" si="58"/>
        <v>327</v>
      </c>
      <c r="K140" s="165">
        <f t="shared" si="70"/>
        <v>44063</v>
      </c>
      <c r="L140" s="165">
        <f t="shared" si="71"/>
        <v>44246</v>
      </c>
      <c r="M140" s="165"/>
      <c r="N140" s="165"/>
      <c r="O140" s="165"/>
      <c r="P140" s="165"/>
      <c r="Q140" s="165"/>
      <c r="R140" s="3" t="s">
        <v>175</v>
      </c>
      <c r="S140" s="11" t="s">
        <v>222</v>
      </c>
      <c r="T140" s="11"/>
      <c r="U140" s="5" t="s">
        <v>8</v>
      </c>
      <c r="V140" s="251">
        <v>965303</v>
      </c>
      <c r="W140" s="5" t="s">
        <v>602</v>
      </c>
      <c r="X140" s="5" t="s">
        <v>536</v>
      </c>
      <c r="Y140" s="5" t="s">
        <v>73</v>
      </c>
      <c r="Z140" s="3" t="s">
        <v>180</v>
      </c>
      <c r="AA140" s="6" t="s">
        <v>217</v>
      </c>
      <c r="AB140" s="141" t="s">
        <v>196</v>
      </c>
      <c r="AC140" s="165" t="s">
        <v>5</v>
      </c>
      <c r="AD140" s="165" t="s">
        <v>5</v>
      </c>
      <c r="AE140" s="165" t="s">
        <v>5</v>
      </c>
      <c r="AF140" s="5"/>
      <c r="AG140" s="5"/>
      <c r="AH140" s="211"/>
      <c r="AI140" s="76"/>
      <c r="AJ140" s="76"/>
      <c r="AK140" s="221" t="e">
        <f>SUM(#REF!,BT140,BV140)</f>
        <v>#REF!</v>
      </c>
      <c r="AL140" s="48"/>
      <c r="AM140" s="48"/>
      <c r="AN140" s="48"/>
      <c r="AO140" s="48"/>
      <c r="AP140" s="48"/>
      <c r="AQ140" s="48"/>
      <c r="AR140" s="51">
        <v>1160.0741096721715</v>
      </c>
      <c r="AS140" s="51">
        <v>-6.5961300000000502</v>
      </c>
      <c r="AT140" s="51">
        <v>36.197289999999995</v>
      </c>
      <c r="AU140" s="51"/>
      <c r="AV140" s="36">
        <v>1236</v>
      </c>
      <c r="AW140" s="36">
        <v>0</v>
      </c>
      <c r="AX140" s="90">
        <f t="shared" si="59"/>
        <v>1236</v>
      </c>
      <c r="AY140" s="157">
        <f t="shared" si="72"/>
        <v>0</v>
      </c>
      <c r="AZ140" s="182">
        <v>0</v>
      </c>
      <c r="BA140" s="158">
        <v>0</v>
      </c>
      <c r="BB140" s="182">
        <v>0</v>
      </c>
      <c r="BC140" s="158"/>
      <c r="BD140" s="182">
        <v>0</v>
      </c>
      <c r="BE140" s="158">
        <v>0</v>
      </c>
      <c r="BF140" s="182">
        <v>0</v>
      </c>
      <c r="BG140" s="158"/>
      <c r="BH140" s="182">
        <v>0</v>
      </c>
      <c r="BI140" s="158"/>
      <c r="BJ140" s="182">
        <v>0</v>
      </c>
      <c r="BK140" s="158"/>
      <c r="BL140" s="182"/>
      <c r="BM140" s="158"/>
      <c r="BN140" s="182"/>
      <c r="BO140" s="158"/>
      <c r="BP140" s="182"/>
      <c r="BQ140" s="158"/>
      <c r="BR140" s="182"/>
      <c r="BS140" s="158"/>
      <c r="BT140" s="182"/>
      <c r="BU140" s="158"/>
      <c r="BV140" s="182"/>
      <c r="BW140" s="234"/>
      <c r="BX140" s="237"/>
      <c r="BY140" s="81">
        <f t="shared" si="73"/>
        <v>0</v>
      </c>
      <c r="BZ140" s="241"/>
      <c r="CA140" s="241"/>
      <c r="CB140" s="241"/>
      <c r="CC140" s="241"/>
      <c r="CD140" s="241"/>
      <c r="CE140" s="241"/>
      <c r="CF140" s="241"/>
      <c r="CG140" s="241"/>
      <c r="CH140" s="241"/>
      <c r="CI140" s="241"/>
      <c r="CJ140" s="241"/>
      <c r="CK140" s="241"/>
      <c r="CL140" s="195">
        <f t="shared" si="63"/>
        <v>0</v>
      </c>
      <c r="CM140" s="196"/>
      <c r="CN140" s="196"/>
      <c r="CO140" s="196"/>
      <c r="CP140" s="196"/>
      <c r="CQ140" s="196"/>
      <c r="CR140" s="196"/>
      <c r="CS140" s="196"/>
      <c r="CT140" s="196"/>
      <c r="CU140" s="196"/>
      <c r="CV140" s="196"/>
      <c r="CW140" s="196"/>
      <c r="CX140" s="196"/>
      <c r="CY140" s="200">
        <f t="shared" si="60"/>
        <v>0</v>
      </c>
      <c r="CZ140" s="172">
        <f t="shared" si="74"/>
        <v>0</v>
      </c>
      <c r="DA140" s="201">
        <f t="shared" si="61"/>
        <v>0</v>
      </c>
      <c r="DB140" s="201">
        <f t="shared" si="62"/>
        <v>0</v>
      </c>
      <c r="DC140" s="201">
        <f t="shared" si="64"/>
        <v>0</v>
      </c>
      <c r="DD140" s="239">
        <v>0</v>
      </c>
      <c r="DE140" s="201">
        <f t="shared" si="65"/>
        <v>0</v>
      </c>
      <c r="DF140" s="172" t="e">
        <f>SUM(DN140:DO140)-SUM(#REF!,BV140)+BU140</f>
        <v>#REF!</v>
      </c>
      <c r="DG140" s="207"/>
      <c r="DH140" s="225">
        <f t="shared" si="66"/>
        <v>0</v>
      </c>
      <c r="DI140" s="225">
        <f t="shared" si="67"/>
        <v>0</v>
      </c>
      <c r="DJ140" s="225">
        <f t="shared" si="68"/>
        <v>0</v>
      </c>
      <c r="DK140" s="225" t="e">
        <f>SUM(BS140,#REF!,BV140)</f>
        <v>#REF!</v>
      </c>
      <c r="DL140" s="145">
        <v>1236</v>
      </c>
      <c r="DM140" s="145">
        <v>1197.4070099999999</v>
      </c>
      <c r="DN140" s="145">
        <v>0</v>
      </c>
      <c r="DO140" s="145">
        <v>0</v>
      </c>
      <c r="DP140" s="145">
        <v>1197.4070099999999</v>
      </c>
      <c r="DQ140" s="145">
        <v>38.59299</v>
      </c>
      <c r="DS140" s="219">
        <f t="shared" si="69"/>
        <v>0</v>
      </c>
    </row>
    <row r="141" spans="1:123" s="21" customFormat="1" ht="24" customHeight="1">
      <c r="A141" s="16"/>
      <c r="B141" s="2">
        <v>98</v>
      </c>
      <c r="C141" s="78" t="s">
        <v>148</v>
      </c>
      <c r="D141" s="78"/>
      <c r="E141" s="78" t="s">
        <v>875</v>
      </c>
      <c r="F141" s="3">
        <v>2019</v>
      </c>
      <c r="G141" s="4">
        <v>43545</v>
      </c>
      <c r="H141" s="4">
        <v>43545</v>
      </c>
      <c r="I141" s="4">
        <v>43853</v>
      </c>
      <c r="J141" s="13">
        <f t="shared" ca="1" si="58"/>
        <v>308</v>
      </c>
      <c r="K141" s="165">
        <f t="shared" si="70"/>
        <v>44092</v>
      </c>
      <c r="L141" s="165">
        <f t="shared" si="71"/>
        <v>44275</v>
      </c>
      <c r="M141" s="165"/>
      <c r="N141" s="165"/>
      <c r="O141" s="165"/>
      <c r="P141" s="165"/>
      <c r="Q141" s="165"/>
      <c r="R141" s="3" t="s">
        <v>177</v>
      </c>
      <c r="S141" s="11" t="s">
        <v>222</v>
      </c>
      <c r="T141" s="11"/>
      <c r="U141" s="5" t="s">
        <v>8</v>
      </c>
      <c r="V141" s="251">
        <v>1303242</v>
      </c>
      <c r="W141" s="5" t="s">
        <v>602</v>
      </c>
      <c r="X141" s="5" t="s">
        <v>477</v>
      </c>
      <c r="Y141" s="5" t="s">
        <v>149</v>
      </c>
      <c r="Z141" s="3" t="s">
        <v>187</v>
      </c>
      <c r="AA141" s="6" t="s">
        <v>217</v>
      </c>
      <c r="AB141" s="141" t="s">
        <v>196</v>
      </c>
      <c r="AC141" s="165" t="s">
        <v>5</v>
      </c>
      <c r="AD141" s="165" t="s">
        <v>5</v>
      </c>
      <c r="AE141" s="165" t="s">
        <v>5</v>
      </c>
      <c r="AF141" s="5"/>
      <c r="AG141" s="5"/>
      <c r="AH141" s="212"/>
      <c r="AI141" s="76"/>
      <c r="AJ141" s="76"/>
      <c r="AK141" s="221" t="e">
        <f>SUM(#REF!,BT141,BV141)</f>
        <v>#REF!</v>
      </c>
      <c r="AL141" s="48"/>
      <c r="AM141" s="48"/>
      <c r="AN141" s="48"/>
      <c r="AO141" s="48"/>
      <c r="AP141" s="48"/>
      <c r="AQ141" s="48"/>
      <c r="AR141" s="51">
        <v>16.68366</v>
      </c>
      <c r="AS141" s="51">
        <v>0</v>
      </c>
      <c r="AT141" s="51">
        <v>5.8299999999994467E-3</v>
      </c>
      <c r="AU141" s="51"/>
      <c r="AV141" s="36">
        <v>26.2</v>
      </c>
      <c r="AW141" s="36">
        <v>0</v>
      </c>
      <c r="AX141" s="90">
        <f t="shared" si="59"/>
        <v>26.2</v>
      </c>
      <c r="AY141" s="157">
        <f t="shared" si="72"/>
        <v>0</v>
      </c>
      <c r="AZ141" s="182">
        <v>0</v>
      </c>
      <c r="BA141" s="158"/>
      <c r="BB141" s="182">
        <v>0</v>
      </c>
      <c r="BC141" s="158"/>
      <c r="BD141" s="182">
        <v>0</v>
      </c>
      <c r="BE141" s="158">
        <v>0</v>
      </c>
      <c r="BF141" s="182">
        <v>0</v>
      </c>
      <c r="BG141" s="158"/>
      <c r="BH141" s="182">
        <v>0</v>
      </c>
      <c r="BI141" s="158"/>
      <c r="BJ141" s="182">
        <v>0</v>
      </c>
      <c r="BK141" s="158"/>
      <c r="BL141" s="182"/>
      <c r="BM141" s="158"/>
      <c r="BN141" s="182"/>
      <c r="BO141" s="158"/>
      <c r="BP141" s="182"/>
      <c r="BQ141" s="158"/>
      <c r="BR141" s="182"/>
      <c r="BS141" s="158"/>
      <c r="BT141" s="182"/>
      <c r="BU141" s="158"/>
      <c r="BV141" s="182"/>
      <c r="BW141" s="234"/>
      <c r="BX141" s="237"/>
      <c r="BY141" s="81">
        <f t="shared" si="73"/>
        <v>0</v>
      </c>
      <c r="BZ141" s="196"/>
      <c r="CA141" s="196"/>
      <c r="CB141" s="196"/>
      <c r="CC141" s="196"/>
      <c r="CD141" s="196"/>
      <c r="CE141" s="196"/>
      <c r="CF141" s="196"/>
      <c r="CG141" s="196"/>
      <c r="CH141" s="196"/>
      <c r="CI141" s="196"/>
      <c r="CJ141" s="196"/>
      <c r="CK141" s="196"/>
      <c r="CL141" s="195">
        <f t="shared" si="63"/>
        <v>0</v>
      </c>
      <c r="CM141" s="196"/>
      <c r="CN141" s="196"/>
      <c r="CO141" s="196"/>
      <c r="CP141" s="196"/>
      <c r="CQ141" s="196"/>
      <c r="CR141" s="196"/>
      <c r="CS141" s="196"/>
      <c r="CT141" s="196"/>
      <c r="CU141" s="196"/>
      <c r="CV141" s="196"/>
      <c r="CW141" s="196"/>
      <c r="CX141" s="196"/>
      <c r="CY141" s="200">
        <f t="shared" si="60"/>
        <v>0</v>
      </c>
      <c r="CZ141" s="172">
        <f t="shared" si="74"/>
        <v>0</v>
      </c>
      <c r="DA141" s="201">
        <f t="shared" si="61"/>
        <v>0</v>
      </c>
      <c r="DB141" s="201">
        <f t="shared" si="62"/>
        <v>0</v>
      </c>
      <c r="DC141" s="201">
        <f t="shared" si="64"/>
        <v>0</v>
      </c>
      <c r="DD141" s="239">
        <v>0</v>
      </c>
      <c r="DE141" s="201">
        <f t="shared" si="65"/>
        <v>0</v>
      </c>
      <c r="DF141" s="172" t="e">
        <f>SUM(DN141:DO141)-SUM(#REF!,BV141)+BU141</f>
        <v>#REF!</v>
      </c>
      <c r="DG141" s="207"/>
      <c r="DH141" s="225">
        <f t="shared" si="66"/>
        <v>0</v>
      </c>
      <c r="DI141" s="225">
        <f t="shared" si="67"/>
        <v>0</v>
      </c>
      <c r="DJ141" s="225">
        <f t="shared" si="68"/>
        <v>0</v>
      </c>
      <c r="DK141" s="225" t="e">
        <f>SUM(BS141,#REF!,BV141)</f>
        <v>#REF!</v>
      </c>
      <c r="DL141" s="145">
        <v>26.2</v>
      </c>
      <c r="DM141" s="145">
        <v>16.689490000000003</v>
      </c>
      <c r="DN141" s="145">
        <v>0</v>
      </c>
      <c r="DO141" s="145">
        <v>0</v>
      </c>
      <c r="DP141" s="145">
        <v>16.689490000000003</v>
      </c>
      <c r="DQ141" s="145">
        <v>9.51051</v>
      </c>
      <c r="DS141" s="219">
        <f t="shared" si="69"/>
        <v>0</v>
      </c>
    </row>
    <row r="142" spans="1:123" s="21" customFormat="1" ht="24" customHeight="1">
      <c r="A142" s="16"/>
      <c r="B142" s="2">
        <v>99</v>
      </c>
      <c r="C142" s="78" t="s">
        <v>146</v>
      </c>
      <c r="D142" s="78"/>
      <c r="E142" s="78"/>
      <c r="F142" s="3">
        <v>2019</v>
      </c>
      <c r="G142" s="4">
        <v>43538</v>
      </c>
      <c r="H142" s="4">
        <v>43538</v>
      </c>
      <c r="I142" s="4">
        <v>43839</v>
      </c>
      <c r="J142" s="13">
        <f t="shared" ca="1" si="58"/>
        <v>301</v>
      </c>
      <c r="K142" s="165">
        <f t="shared" si="70"/>
        <v>44085</v>
      </c>
      <c r="L142" s="165">
        <f t="shared" si="71"/>
        <v>44268</v>
      </c>
      <c r="M142" s="165"/>
      <c r="N142" s="165"/>
      <c r="O142" s="165"/>
      <c r="P142" s="165"/>
      <c r="Q142" s="165"/>
      <c r="R142" s="3" t="s">
        <v>176</v>
      </c>
      <c r="S142" s="11" t="s">
        <v>222</v>
      </c>
      <c r="T142" s="11"/>
      <c r="U142" s="5" t="s">
        <v>8</v>
      </c>
      <c r="V142" s="251">
        <v>1302696</v>
      </c>
      <c r="W142" s="5" t="s">
        <v>602</v>
      </c>
      <c r="X142" s="5" t="s">
        <v>473</v>
      </c>
      <c r="Y142" s="5" t="s">
        <v>97</v>
      </c>
      <c r="Z142" s="3" t="s">
        <v>180</v>
      </c>
      <c r="AA142" s="6" t="s">
        <v>217</v>
      </c>
      <c r="AB142" s="141" t="s">
        <v>196</v>
      </c>
      <c r="AC142" s="165" t="s">
        <v>5</v>
      </c>
      <c r="AD142" s="165" t="s">
        <v>5</v>
      </c>
      <c r="AE142" s="165" t="s">
        <v>5</v>
      </c>
      <c r="AF142" s="5"/>
      <c r="AG142" s="5"/>
      <c r="AH142" s="212"/>
      <c r="AI142" s="76"/>
      <c r="AJ142" s="76"/>
      <c r="AK142" s="221" t="e">
        <f>SUM(#REF!,BT142,BV142)</f>
        <v>#REF!</v>
      </c>
      <c r="AL142" s="48"/>
      <c r="AM142" s="48"/>
      <c r="AN142" s="48"/>
      <c r="AO142" s="48"/>
      <c r="AP142" s="48"/>
      <c r="AQ142" s="48"/>
      <c r="AR142" s="51">
        <v>63.970759999999999</v>
      </c>
      <c r="AS142" s="51"/>
      <c r="AT142" s="51">
        <v>0</v>
      </c>
      <c r="AU142" s="51"/>
      <c r="AV142" s="36">
        <v>75</v>
      </c>
      <c r="AW142" s="36">
        <v>0</v>
      </c>
      <c r="AX142" s="90">
        <f t="shared" si="59"/>
        <v>75</v>
      </c>
      <c r="AY142" s="157">
        <f t="shared" si="72"/>
        <v>0</v>
      </c>
      <c r="AZ142" s="182">
        <v>0</v>
      </c>
      <c r="BA142" s="158"/>
      <c r="BB142" s="182">
        <v>0</v>
      </c>
      <c r="BC142" s="158"/>
      <c r="BD142" s="182">
        <v>0</v>
      </c>
      <c r="BE142" s="158">
        <v>0</v>
      </c>
      <c r="BF142" s="182">
        <v>0</v>
      </c>
      <c r="BG142" s="158"/>
      <c r="BH142" s="182">
        <v>0</v>
      </c>
      <c r="BI142" s="158"/>
      <c r="BJ142" s="182">
        <v>0</v>
      </c>
      <c r="BK142" s="158"/>
      <c r="BL142" s="182"/>
      <c r="BM142" s="158"/>
      <c r="BN142" s="182"/>
      <c r="BO142" s="158"/>
      <c r="BP142" s="182"/>
      <c r="BQ142" s="158"/>
      <c r="BR142" s="182"/>
      <c r="BS142" s="158"/>
      <c r="BT142" s="182"/>
      <c r="BU142" s="158"/>
      <c r="BV142" s="182"/>
      <c r="BW142" s="234"/>
      <c r="BX142" s="237"/>
      <c r="BY142" s="81">
        <f t="shared" si="73"/>
        <v>0</v>
      </c>
      <c r="BZ142" s="198"/>
      <c r="CA142" s="198"/>
      <c r="CB142" s="198"/>
      <c r="CC142" s="198"/>
      <c r="CD142" s="198"/>
      <c r="CE142" s="198"/>
      <c r="CF142" s="198"/>
      <c r="CG142" s="198"/>
      <c r="CH142" s="198"/>
      <c r="CI142" s="198"/>
      <c r="CJ142" s="198"/>
      <c r="CK142" s="198"/>
      <c r="CL142" s="195">
        <f t="shared" si="63"/>
        <v>0</v>
      </c>
      <c r="CM142" s="196"/>
      <c r="CN142" s="196"/>
      <c r="CO142" s="196"/>
      <c r="CP142" s="196"/>
      <c r="CQ142" s="196"/>
      <c r="CR142" s="196"/>
      <c r="CS142" s="196"/>
      <c r="CT142" s="196"/>
      <c r="CU142" s="196"/>
      <c r="CV142" s="196"/>
      <c r="CW142" s="196"/>
      <c r="CX142" s="196"/>
      <c r="CY142" s="200">
        <f t="shared" si="60"/>
        <v>0</v>
      </c>
      <c r="CZ142" s="172">
        <f t="shared" si="74"/>
        <v>0</v>
      </c>
      <c r="DA142" s="201">
        <f t="shared" si="61"/>
        <v>0</v>
      </c>
      <c r="DB142" s="201">
        <f t="shared" si="62"/>
        <v>0</v>
      </c>
      <c r="DC142" s="201">
        <f t="shared" si="64"/>
        <v>0</v>
      </c>
      <c r="DD142" s="239">
        <v>0</v>
      </c>
      <c r="DE142" s="201">
        <f t="shared" si="65"/>
        <v>0</v>
      </c>
      <c r="DF142" s="172" t="e">
        <f>SUM(DN142:DO142)-SUM(#REF!,BV142)+BU142</f>
        <v>#REF!</v>
      </c>
      <c r="DG142" s="207"/>
      <c r="DH142" s="225">
        <f t="shared" si="66"/>
        <v>0</v>
      </c>
      <c r="DI142" s="225">
        <f t="shared" si="67"/>
        <v>0</v>
      </c>
      <c r="DJ142" s="225">
        <f t="shared" si="68"/>
        <v>0</v>
      </c>
      <c r="DK142" s="225" t="e">
        <f>SUM(BS142,#REF!,BV142)</f>
        <v>#REF!</v>
      </c>
      <c r="DL142" s="145">
        <v>75</v>
      </c>
      <c r="DM142" s="145">
        <v>63.970759999999999</v>
      </c>
      <c r="DN142" s="145">
        <v>0</v>
      </c>
      <c r="DO142" s="145">
        <v>0</v>
      </c>
      <c r="DP142" s="145">
        <v>63.970759999999999</v>
      </c>
      <c r="DQ142" s="145">
        <v>11.02924</v>
      </c>
      <c r="DS142" s="219">
        <f t="shared" si="69"/>
        <v>0</v>
      </c>
    </row>
    <row r="143" spans="1:123" s="21" customFormat="1" ht="24" customHeight="1">
      <c r="A143" s="16"/>
      <c r="B143" s="2">
        <v>100</v>
      </c>
      <c r="C143" s="78" t="s">
        <v>154</v>
      </c>
      <c r="D143" s="78"/>
      <c r="E143" s="78" t="s">
        <v>832</v>
      </c>
      <c r="F143" s="3">
        <v>2019</v>
      </c>
      <c r="G143" s="4">
        <v>43656</v>
      </c>
      <c r="H143" s="174">
        <v>43655</v>
      </c>
      <c r="I143" s="4">
        <v>44285</v>
      </c>
      <c r="J143" s="13">
        <f t="shared" ca="1" si="58"/>
        <v>630</v>
      </c>
      <c r="K143" s="165">
        <f t="shared" si="70"/>
        <v>44202</v>
      </c>
      <c r="L143" s="165">
        <f t="shared" si="71"/>
        <v>44385</v>
      </c>
      <c r="M143" s="165"/>
      <c r="N143" s="165"/>
      <c r="O143" s="165"/>
      <c r="P143" s="165"/>
      <c r="Q143" s="165"/>
      <c r="R143" s="3" t="s">
        <v>175</v>
      </c>
      <c r="S143" s="11" t="s">
        <v>4</v>
      </c>
      <c r="T143" s="11" t="s">
        <v>910</v>
      </c>
      <c r="U143" s="5" t="s">
        <v>8</v>
      </c>
      <c r="V143" s="251">
        <v>1653298</v>
      </c>
      <c r="W143" s="5" t="s">
        <v>602</v>
      </c>
      <c r="X143" s="5" t="s">
        <v>475</v>
      </c>
      <c r="Y143" s="5" t="s">
        <v>155</v>
      </c>
      <c r="Z143" s="3" t="s">
        <v>180</v>
      </c>
      <c r="AA143" s="6" t="s">
        <v>217</v>
      </c>
      <c r="AB143" s="141" t="s">
        <v>196</v>
      </c>
      <c r="AC143" s="165" t="s">
        <v>5</v>
      </c>
      <c r="AD143" s="165">
        <v>44316</v>
      </c>
      <c r="AE143" s="165" t="s">
        <v>5</v>
      </c>
      <c r="AF143" s="5"/>
      <c r="AG143" s="5"/>
      <c r="AH143" s="212"/>
      <c r="AI143" s="76"/>
      <c r="AJ143" s="76"/>
      <c r="AK143" s="221" t="e">
        <f>SUM(#REF!,BT143,BV143)</f>
        <v>#REF!</v>
      </c>
      <c r="AL143" s="154"/>
      <c r="AM143" s="154"/>
      <c r="AN143" s="154"/>
      <c r="AO143" s="154"/>
      <c r="AP143" s="154"/>
      <c r="AQ143" s="154"/>
      <c r="AR143" s="51">
        <v>125.52296000000003</v>
      </c>
      <c r="AS143" s="51">
        <v>236.50297999999998</v>
      </c>
      <c r="AT143" s="51">
        <v>55.08766</v>
      </c>
      <c r="AU143" s="51">
        <v>34.883949999999999</v>
      </c>
      <c r="AV143" s="36">
        <v>375.72</v>
      </c>
      <c r="AW143" s="36">
        <v>18</v>
      </c>
      <c r="AX143" s="90">
        <f t="shared" si="59"/>
        <v>393.72</v>
      </c>
      <c r="AY143" s="157">
        <f t="shared" si="72"/>
        <v>48.692160000000001</v>
      </c>
      <c r="AZ143" s="182">
        <v>9.1000000000000014</v>
      </c>
      <c r="BA143" s="158">
        <v>4.8839500000000005</v>
      </c>
      <c r="BB143" s="182">
        <v>5</v>
      </c>
      <c r="BC143" s="158">
        <v>6.0330200000000005</v>
      </c>
      <c r="BD143" s="182">
        <v>4</v>
      </c>
      <c r="BE143" s="158">
        <v>5.9929899999999998</v>
      </c>
      <c r="BF143" s="182">
        <v>18</v>
      </c>
      <c r="BG143" s="158">
        <v>0.28991</v>
      </c>
      <c r="BH143" s="182">
        <v>30</v>
      </c>
      <c r="BI143" s="158">
        <v>31.492290000000001</v>
      </c>
      <c r="BJ143" s="182">
        <v>14.4</v>
      </c>
      <c r="BK143" s="158"/>
      <c r="BL143" s="182"/>
      <c r="BM143" s="158"/>
      <c r="BN143" s="182"/>
      <c r="BO143" s="158"/>
      <c r="BP143" s="182"/>
      <c r="BQ143" s="158"/>
      <c r="BR143" s="182"/>
      <c r="BS143" s="158"/>
      <c r="BT143" s="182"/>
      <c r="BU143" s="158"/>
      <c r="BV143" s="182"/>
      <c r="BW143" s="234"/>
      <c r="BX143" s="237"/>
      <c r="BY143" s="81">
        <f t="shared" si="73"/>
        <v>0</v>
      </c>
      <c r="BZ143" s="241"/>
      <c r="CA143" s="241"/>
      <c r="CB143" s="241"/>
      <c r="CC143" s="241"/>
      <c r="CD143" s="241"/>
      <c r="CE143" s="241"/>
      <c r="CF143" s="241"/>
      <c r="CG143" s="241"/>
      <c r="CH143" s="241"/>
      <c r="CI143" s="241"/>
      <c r="CJ143" s="241"/>
      <c r="CK143" s="241"/>
      <c r="CL143" s="195">
        <f t="shared" si="63"/>
        <v>0</v>
      </c>
      <c r="CM143" s="196"/>
      <c r="CN143" s="196"/>
      <c r="CO143" s="196"/>
      <c r="CP143" s="196"/>
      <c r="CQ143" s="196"/>
      <c r="CR143" s="196"/>
      <c r="CS143" s="196"/>
      <c r="CT143" s="196"/>
      <c r="CU143" s="196"/>
      <c r="CV143" s="196"/>
      <c r="CW143" s="196"/>
      <c r="CX143" s="196"/>
      <c r="CY143" s="200">
        <f t="shared" si="60"/>
        <v>0</v>
      </c>
      <c r="CZ143" s="172">
        <f t="shared" si="74"/>
        <v>0</v>
      </c>
      <c r="DA143" s="201">
        <f t="shared" si="61"/>
        <v>48.692160000000001</v>
      </c>
      <c r="DB143" s="201">
        <f t="shared" si="62"/>
        <v>0</v>
      </c>
      <c r="DC143" s="201">
        <f t="shared" si="64"/>
        <v>48.692160000000001</v>
      </c>
      <c r="DD143" s="239">
        <v>48.692160000000001</v>
      </c>
      <c r="DE143" s="201">
        <f t="shared" si="65"/>
        <v>0</v>
      </c>
      <c r="DF143" s="172" t="e">
        <f>SUM(DN143:DO143)-SUM(#REF!,BV143)+BU143</f>
        <v>#REF!</v>
      </c>
      <c r="DG143" s="207"/>
      <c r="DH143" s="225">
        <f t="shared" si="66"/>
        <v>16.909960000000002</v>
      </c>
      <c r="DI143" s="225">
        <f t="shared" si="67"/>
        <v>31.7822</v>
      </c>
      <c r="DJ143" s="225">
        <f t="shared" si="68"/>
        <v>0</v>
      </c>
      <c r="DK143" s="225" t="e">
        <f>SUM(BS143,#REF!,BV143)</f>
        <v>#REF!</v>
      </c>
      <c r="DL143" s="145">
        <v>375.71899999999999</v>
      </c>
      <c r="DM143" s="145">
        <v>229.30278000000001</v>
      </c>
      <c r="DN143" s="145">
        <v>0</v>
      </c>
      <c r="DO143" s="145">
        <v>0</v>
      </c>
      <c r="DP143" s="145">
        <v>229.30278000000001</v>
      </c>
      <c r="DQ143" s="145">
        <v>146.41622000000001</v>
      </c>
      <c r="DR143" s="21">
        <f>VLOOKUP(C143,[6]Database!$B$143:$AD$521,29,FALSE)</f>
        <v>0</v>
      </c>
      <c r="DS143" s="219">
        <f t="shared" si="69"/>
        <v>0</v>
      </c>
    </row>
    <row r="144" spans="1:123" s="21" customFormat="1" ht="24" customHeight="1">
      <c r="A144" s="16"/>
      <c r="B144" s="2">
        <v>101</v>
      </c>
      <c r="C144" s="220" t="s">
        <v>156</v>
      </c>
      <c r="D144" s="78"/>
      <c r="E144" s="78" t="s">
        <v>825</v>
      </c>
      <c r="F144" s="3">
        <v>2019</v>
      </c>
      <c r="G144" s="4">
        <v>43529</v>
      </c>
      <c r="H144" s="174">
        <v>43609</v>
      </c>
      <c r="I144" s="4"/>
      <c r="J144" s="13">
        <f t="shared" ca="1" si="58"/>
        <v>-1690.3359971064783</v>
      </c>
      <c r="K144" s="165">
        <f t="shared" si="70"/>
        <v>44156</v>
      </c>
      <c r="L144" s="165">
        <f t="shared" si="71"/>
        <v>44339</v>
      </c>
      <c r="M144" s="232" t="s">
        <v>597</v>
      </c>
      <c r="N144" s="165" t="s">
        <v>597</v>
      </c>
      <c r="O144" s="233" t="s">
        <v>597</v>
      </c>
      <c r="P144" s="206" t="s">
        <v>1267</v>
      </c>
      <c r="Q144" s="165"/>
      <c r="R144" s="3" t="s">
        <v>175</v>
      </c>
      <c r="S144" s="11" t="s">
        <v>221</v>
      </c>
      <c r="T144" s="11" t="s">
        <v>909</v>
      </c>
      <c r="U144" s="5" t="s">
        <v>8</v>
      </c>
      <c r="V144" s="251">
        <v>1400773</v>
      </c>
      <c r="W144" s="5" t="s">
        <v>602</v>
      </c>
      <c r="X144" s="5" t="s">
        <v>478</v>
      </c>
      <c r="Y144" s="5" t="s">
        <v>157</v>
      </c>
      <c r="Z144" s="78" t="s">
        <v>185</v>
      </c>
      <c r="AA144" s="6" t="s">
        <v>217</v>
      </c>
      <c r="AB144" s="141" t="s">
        <v>196</v>
      </c>
      <c r="AC144" s="165" t="s">
        <v>5</v>
      </c>
      <c r="AD144" s="165">
        <v>44530</v>
      </c>
      <c r="AE144" s="165">
        <v>44499</v>
      </c>
      <c r="AF144" s="5"/>
      <c r="AG144" s="5"/>
      <c r="AH144" s="212"/>
      <c r="AI144" s="76"/>
      <c r="AJ144" s="76"/>
      <c r="AK144" s="221" t="e">
        <f>SUM(#REF!,BT144,BV144)</f>
        <v>#REF!</v>
      </c>
      <c r="AL144" s="154"/>
      <c r="AM144" s="154"/>
      <c r="AN144" s="154"/>
      <c r="AO144" s="154"/>
      <c r="AP144" s="154"/>
      <c r="AQ144" s="154"/>
      <c r="AR144" s="51">
        <v>0</v>
      </c>
      <c r="AS144" s="51">
        <v>186.4</v>
      </c>
      <c r="AT144" s="51">
        <v>38.172020000000003</v>
      </c>
      <c r="AU144" s="51">
        <v>110.00046999999995</v>
      </c>
      <c r="AV144" s="36">
        <v>372.8</v>
      </c>
      <c r="AW144" s="36">
        <v>0</v>
      </c>
      <c r="AX144" s="90">
        <f t="shared" si="59"/>
        <v>372.8</v>
      </c>
      <c r="AY144" s="157">
        <f t="shared" si="72"/>
        <v>232.99084999999999</v>
      </c>
      <c r="AZ144" s="182">
        <v>0</v>
      </c>
      <c r="BA144" s="158">
        <v>0</v>
      </c>
      <c r="BB144" s="182">
        <v>0</v>
      </c>
      <c r="BC144" s="158"/>
      <c r="BD144" s="182">
        <v>50.00046999999995</v>
      </c>
      <c r="BE144" s="158">
        <v>3.5126900000000001</v>
      </c>
      <c r="BF144" s="182">
        <v>1.8</v>
      </c>
      <c r="BG144" s="158">
        <v>10.86111</v>
      </c>
      <c r="BH144" s="182">
        <v>5</v>
      </c>
      <c r="BI144" s="158">
        <v>23.173669999999998</v>
      </c>
      <c r="BJ144" s="182">
        <v>10</v>
      </c>
      <c r="BK144" s="158">
        <v>25.05283</v>
      </c>
      <c r="BL144" s="250">
        <v>20</v>
      </c>
      <c r="BM144" s="158">
        <v>2.3875799999999998</v>
      </c>
      <c r="BN144" s="182">
        <v>37.700000000000003</v>
      </c>
      <c r="BO144" s="158">
        <v>70.359110000000001</v>
      </c>
      <c r="BP144" s="182">
        <v>50</v>
      </c>
      <c r="BQ144" s="158">
        <v>42.844449999999995</v>
      </c>
      <c r="BR144" s="182"/>
      <c r="BS144" s="158">
        <v>33.708500000000001</v>
      </c>
      <c r="BT144" s="182">
        <v>8.9</v>
      </c>
      <c r="BU144" s="158">
        <v>21.125779999999999</v>
      </c>
      <c r="BV144" s="182"/>
      <c r="BW144" s="234">
        <v>-3.4869999999999998E-2</v>
      </c>
      <c r="BX144" s="237">
        <v>-3.4869999999999998E-2</v>
      </c>
      <c r="BY144" s="81">
        <f t="shared" si="73"/>
        <v>0</v>
      </c>
      <c r="BZ144" s="241"/>
      <c r="CA144" s="241"/>
      <c r="CB144" s="241"/>
      <c r="CC144" s="241"/>
      <c r="CD144" s="241"/>
      <c r="CE144" s="241"/>
      <c r="CF144" s="241"/>
      <c r="CG144" s="241"/>
      <c r="CH144" s="241"/>
      <c r="CI144" s="241"/>
      <c r="CJ144" s="241"/>
      <c r="CK144" s="241"/>
      <c r="CL144" s="195">
        <f t="shared" si="63"/>
        <v>0</v>
      </c>
      <c r="CM144" s="196"/>
      <c r="CN144" s="196"/>
      <c r="CO144" s="196"/>
      <c r="CP144" s="196"/>
      <c r="CQ144" s="196"/>
      <c r="CR144" s="196"/>
      <c r="CS144" s="196"/>
      <c r="CT144" s="196"/>
      <c r="CU144" s="196"/>
      <c r="CV144" s="196"/>
      <c r="CW144" s="196"/>
      <c r="CX144" s="196"/>
      <c r="CY144" s="200">
        <f t="shared" si="60"/>
        <v>3.4869999999999998E-2</v>
      </c>
      <c r="CZ144" s="172">
        <f t="shared" si="74"/>
        <v>0</v>
      </c>
      <c r="DA144" s="201">
        <f t="shared" si="61"/>
        <v>233.02572000000001</v>
      </c>
      <c r="DB144" s="201">
        <f t="shared" si="62"/>
        <v>-3.4869999999999998E-2</v>
      </c>
      <c r="DC144" s="201">
        <f t="shared" si="64"/>
        <v>232.99084999999999</v>
      </c>
      <c r="DD144" s="239">
        <v>220.79994000000002</v>
      </c>
      <c r="DE144" s="201">
        <f t="shared" si="65"/>
        <v>12.190909999999974</v>
      </c>
      <c r="DF144" s="172" t="e">
        <f>SUM(DN144:DO144)-SUM(#REF!,BV144)+BU144</f>
        <v>#REF!</v>
      </c>
      <c r="DG144" s="207"/>
      <c r="DH144" s="225">
        <f t="shared" si="66"/>
        <v>3.5126900000000001</v>
      </c>
      <c r="DI144" s="225">
        <f t="shared" si="67"/>
        <v>59.087609999999998</v>
      </c>
      <c r="DJ144" s="225">
        <f t="shared" si="68"/>
        <v>115.59114</v>
      </c>
      <c r="DK144" s="225" t="e">
        <f>SUM(BS144,#REF!,BV144)</f>
        <v>#REF!</v>
      </c>
      <c r="DL144" s="145">
        <v>372.80046999999996</v>
      </c>
      <c r="DM144" s="145">
        <v>271.16287</v>
      </c>
      <c r="DN144" s="145">
        <v>0</v>
      </c>
      <c r="DO144" s="145">
        <v>0</v>
      </c>
      <c r="DP144" s="145">
        <v>271.16287</v>
      </c>
      <c r="DQ144" s="145">
        <v>101.63760000000001</v>
      </c>
      <c r="DR144" s="21">
        <f>VLOOKUP(C144,[6]Database!$B$143:$AD$521,29,FALSE)</f>
        <v>0</v>
      </c>
      <c r="DS144" s="219">
        <f t="shared" si="69"/>
        <v>0</v>
      </c>
    </row>
    <row r="145" spans="1:123" s="21" customFormat="1" ht="24" customHeight="1">
      <c r="A145" s="16"/>
      <c r="B145" s="2">
        <v>102</v>
      </c>
      <c r="C145" s="78" t="s">
        <v>162</v>
      </c>
      <c r="D145" s="78"/>
      <c r="E145" s="78"/>
      <c r="F145" s="3">
        <v>2019</v>
      </c>
      <c r="G145" s="4">
        <v>43585</v>
      </c>
      <c r="H145" s="4">
        <v>43585</v>
      </c>
      <c r="I145" s="4">
        <v>43643</v>
      </c>
      <c r="J145" s="13">
        <f t="shared" ca="1" si="58"/>
        <v>58</v>
      </c>
      <c r="K145" s="165">
        <f t="shared" si="70"/>
        <v>44132</v>
      </c>
      <c r="L145" s="165">
        <f t="shared" si="71"/>
        <v>44315</v>
      </c>
      <c r="M145" s="165"/>
      <c r="N145" s="165"/>
      <c r="O145" s="165"/>
      <c r="P145" s="165"/>
      <c r="Q145" s="165"/>
      <c r="R145" s="3" t="s">
        <v>175</v>
      </c>
      <c r="S145" s="11" t="s">
        <v>4</v>
      </c>
      <c r="T145" s="11"/>
      <c r="U145" s="5" t="s">
        <v>8</v>
      </c>
      <c r="V145" s="251">
        <v>1401193</v>
      </c>
      <c r="W145" s="5" t="s">
        <v>602</v>
      </c>
      <c r="X145" s="5" t="s">
        <v>476</v>
      </c>
      <c r="Y145" s="5" t="s">
        <v>163</v>
      </c>
      <c r="Z145" s="3" t="s">
        <v>180</v>
      </c>
      <c r="AA145" s="6" t="s">
        <v>217</v>
      </c>
      <c r="AB145" s="141" t="s">
        <v>196</v>
      </c>
      <c r="AC145" s="165" t="s">
        <v>5</v>
      </c>
      <c r="AD145" s="165" t="s">
        <v>5</v>
      </c>
      <c r="AE145" s="165" t="s">
        <v>5</v>
      </c>
      <c r="AF145" s="5"/>
      <c r="AG145" s="5"/>
      <c r="AH145" s="212"/>
      <c r="AI145" s="76"/>
      <c r="AJ145" s="76"/>
      <c r="AK145" s="221" t="e">
        <f>SUM(#REF!,BT145,BV145)</f>
        <v>#REF!</v>
      </c>
      <c r="AL145" s="48"/>
      <c r="AM145" s="48"/>
      <c r="AN145" s="48"/>
      <c r="AO145" s="48"/>
      <c r="AP145" s="48"/>
      <c r="AQ145" s="48"/>
      <c r="AR145" s="51">
        <v>59.082582250483831</v>
      </c>
      <c r="AS145" s="51"/>
      <c r="AT145" s="51">
        <v>0</v>
      </c>
      <c r="AU145" s="51"/>
      <c r="AV145" s="36">
        <v>89.85</v>
      </c>
      <c r="AW145" s="36">
        <v>3</v>
      </c>
      <c r="AX145" s="90">
        <f t="shared" si="59"/>
        <v>92.85</v>
      </c>
      <c r="AY145" s="157">
        <f t="shared" si="72"/>
        <v>0</v>
      </c>
      <c r="AZ145" s="182">
        <v>0</v>
      </c>
      <c r="BA145" s="158"/>
      <c r="BB145" s="182">
        <v>0</v>
      </c>
      <c r="BC145" s="158"/>
      <c r="BD145" s="182">
        <v>0</v>
      </c>
      <c r="BE145" s="158">
        <v>0</v>
      </c>
      <c r="BF145" s="182">
        <v>0</v>
      </c>
      <c r="BG145" s="158"/>
      <c r="BH145" s="182">
        <v>0</v>
      </c>
      <c r="BI145" s="158"/>
      <c r="BJ145" s="182">
        <v>0</v>
      </c>
      <c r="BK145" s="158"/>
      <c r="BL145" s="182"/>
      <c r="BM145" s="158"/>
      <c r="BN145" s="182"/>
      <c r="BO145" s="158"/>
      <c r="BP145" s="182"/>
      <c r="BQ145" s="158"/>
      <c r="BR145" s="182"/>
      <c r="BS145" s="158"/>
      <c r="BT145" s="182"/>
      <c r="BU145" s="158"/>
      <c r="BV145" s="182"/>
      <c r="BW145" s="234"/>
      <c r="BX145" s="237"/>
      <c r="BY145" s="81">
        <f t="shared" si="73"/>
        <v>0</v>
      </c>
      <c r="BZ145" s="241"/>
      <c r="CA145" s="241"/>
      <c r="CB145" s="241"/>
      <c r="CC145" s="241"/>
      <c r="CD145" s="241"/>
      <c r="CE145" s="241"/>
      <c r="CF145" s="241"/>
      <c r="CG145" s="241"/>
      <c r="CH145" s="241"/>
      <c r="CI145" s="241"/>
      <c r="CJ145" s="241"/>
      <c r="CK145" s="241"/>
      <c r="CL145" s="195">
        <f t="shared" si="63"/>
        <v>0</v>
      </c>
      <c r="CM145" s="196"/>
      <c r="CN145" s="196"/>
      <c r="CO145" s="196"/>
      <c r="CP145" s="196"/>
      <c r="CQ145" s="196"/>
      <c r="CR145" s="196"/>
      <c r="CS145" s="196"/>
      <c r="CT145" s="196"/>
      <c r="CU145" s="196"/>
      <c r="CV145" s="196"/>
      <c r="CW145" s="196"/>
      <c r="CX145" s="196"/>
      <c r="CY145" s="200">
        <f t="shared" si="60"/>
        <v>0</v>
      </c>
      <c r="CZ145" s="172">
        <f t="shared" si="74"/>
        <v>0</v>
      </c>
      <c r="DA145" s="201">
        <f t="shared" si="61"/>
        <v>0</v>
      </c>
      <c r="DB145" s="201">
        <f t="shared" si="62"/>
        <v>0</v>
      </c>
      <c r="DC145" s="201">
        <f t="shared" si="64"/>
        <v>0</v>
      </c>
      <c r="DD145" s="239">
        <v>0</v>
      </c>
      <c r="DE145" s="201">
        <f t="shared" si="65"/>
        <v>0</v>
      </c>
      <c r="DF145" s="172" t="e">
        <f>SUM(DN145:DO145)-SUM(#REF!,BV145)+BU145</f>
        <v>#REF!</v>
      </c>
      <c r="DG145" s="207"/>
      <c r="DH145" s="225">
        <f t="shared" si="66"/>
        <v>0</v>
      </c>
      <c r="DI145" s="225">
        <f t="shared" si="67"/>
        <v>0</v>
      </c>
      <c r="DJ145" s="225">
        <f t="shared" si="68"/>
        <v>0</v>
      </c>
      <c r="DK145" s="225" t="e">
        <f>SUM(BS145,#REF!,BV145)</f>
        <v>#REF!</v>
      </c>
      <c r="DL145" s="145">
        <v>89.85</v>
      </c>
      <c r="DM145" s="145">
        <v>59.684779999999996</v>
      </c>
      <c r="DN145" s="145">
        <v>0</v>
      </c>
      <c r="DO145" s="145">
        <v>0</v>
      </c>
      <c r="DP145" s="145">
        <v>59.684779999999996</v>
      </c>
      <c r="DQ145" s="145">
        <v>30.165220000000001</v>
      </c>
      <c r="DS145" s="219">
        <f t="shared" si="69"/>
        <v>0</v>
      </c>
    </row>
    <row r="146" spans="1:123" s="21" customFormat="1" ht="24" customHeight="1">
      <c r="A146" s="16"/>
      <c r="B146" s="2">
        <v>103</v>
      </c>
      <c r="C146" s="78" t="s">
        <v>152</v>
      </c>
      <c r="D146" s="78"/>
      <c r="E146" s="78"/>
      <c r="F146" s="3">
        <v>2019</v>
      </c>
      <c r="G146" s="4">
        <v>43608</v>
      </c>
      <c r="H146" s="4">
        <v>43608</v>
      </c>
      <c r="I146" s="4">
        <v>43839</v>
      </c>
      <c r="J146" s="13">
        <f t="shared" ca="1" si="58"/>
        <v>231</v>
      </c>
      <c r="K146" s="165">
        <f t="shared" si="70"/>
        <v>44155</v>
      </c>
      <c r="L146" s="165">
        <f t="shared" si="71"/>
        <v>44338</v>
      </c>
      <c r="M146" s="165"/>
      <c r="N146" s="165"/>
      <c r="O146" s="165"/>
      <c r="P146" s="165"/>
      <c r="Q146" s="165"/>
      <c r="R146" s="3" t="s">
        <v>178</v>
      </c>
      <c r="S146" s="11"/>
      <c r="T146" s="11"/>
      <c r="U146" s="5" t="s">
        <v>8</v>
      </c>
      <c r="V146" s="251">
        <v>1361619</v>
      </c>
      <c r="W146" s="5" t="s">
        <v>602</v>
      </c>
      <c r="X146" s="5" t="s">
        <v>473</v>
      </c>
      <c r="Y146" s="5" t="s">
        <v>153</v>
      </c>
      <c r="Z146" s="3" t="s">
        <v>187</v>
      </c>
      <c r="AA146" s="6" t="s">
        <v>217</v>
      </c>
      <c r="AB146" s="141" t="s">
        <v>196</v>
      </c>
      <c r="AC146" s="165" t="s">
        <v>5</v>
      </c>
      <c r="AD146" s="165" t="s">
        <v>5</v>
      </c>
      <c r="AE146" s="165" t="s">
        <v>5</v>
      </c>
      <c r="AF146" s="5"/>
      <c r="AG146" s="5"/>
      <c r="AH146" s="212"/>
      <c r="AI146" s="76"/>
      <c r="AJ146" s="76"/>
      <c r="AK146" s="221" t="e">
        <f>SUM(#REF!,BT146,BV146)</f>
        <v>#REF!</v>
      </c>
      <c r="AL146" s="48"/>
      <c r="AM146" s="48"/>
      <c r="AN146" s="48"/>
      <c r="AO146" s="48"/>
      <c r="AP146" s="48"/>
      <c r="AQ146" s="48"/>
      <c r="AR146" s="51">
        <v>27.52054</v>
      </c>
      <c r="AS146" s="51">
        <v>0</v>
      </c>
      <c r="AT146" s="51">
        <v>28.5871</v>
      </c>
      <c r="AU146" s="51"/>
      <c r="AV146" s="36">
        <v>75</v>
      </c>
      <c r="AW146" s="36">
        <v>0</v>
      </c>
      <c r="AX146" s="90">
        <f t="shared" si="59"/>
        <v>75</v>
      </c>
      <c r="AY146" s="157">
        <f t="shared" si="72"/>
        <v>0</v>
      </c>
      <c r="AZ146" s="182">
        <v>0</v>
      </c>
      <c r="BA146" s="158"/>
      <c r="BB146" s="182">
        <v>0</v>
      </c>
      <c r="BC146" s="158"/>
      <c r="BD146" s="182">
        <v>0</v>
      </c>
      <c r="BE146" s="158">
        <v>0</v>
      </c>
      <c r="BF146" s="182">
        <v>0</v>
      </c>
      <c r="BG146" s="158"/>
      <c r="BH146" s="182">
        <v>0</v>
      </c>
      <c r="BI146" s="158"/>
      <c r="BJ146" s="182">
        <v>0</v>
      </c>
      <c r="BK146" s="158"/>
      <c r="BL146" s="182"/>
      <c r="BM146" s="158"/>
      <c r="BN146" s="182"/>
      <c r="BO146" s="158"/>
      <c r="BP146" s="182"/>
      <c r="BQ146" s="158"/>
      <c r="BR146" s="182"/>
      <c r="BS146" s="158"/>
      <c r="BT146" s="182"/>
      <c r="BU146" s="158"/>
      <c r="BV146" s="182"/>
      <c r="BW146" s="234"/>
      <c r="BX146" s="237"/>
      <c r="BY146" s="81">
        <f t="shared" si="73"/>
        <v>0</v>
      </c>
      <c r="BZ146" s="198"/>
      <c r="CA146" s="198"/>
      <c r="CB146" s="198"/>
      <c r="CC146" s="198"/>
      <c r="CD146" s="198"/>
      <c r="CE146" s="198"/>
      <c r="CF146" s="198"/>
      <c r="CG146" s="198"/>
      <c r="CH146" s="198"/>
      <c r="CI146" s="198"/>
      <c r="CJ146" s="198"/>
      <c r="CK146" s="198"/>
      <c r="CL146" s="195">
        <f t="shared" si="63"/>
        <v>0</v>
      </c>
      <c r="CM146" s="196"/>
      <c r="CN146" s="196"/>
      <c r="CO146" s="196"/>
      <c r="CP146" s="196"/>
      <c r="CQ146" s="196"/>
      <c r="CR146" s="196"/>
      <c r="CS146" s="196"/>
      <c r="CT146" s="196"/>
      <c r="CU146" s="196"/>
      <c r="CV146" s="196"/>
      <c r="CW146" s="196"/>
      <c r="CX146" s="196"/>
      <c r="CY146" s="200">
        <f t="shared" si="60"/>
        <v>0</v>
      </c>
      <c r="CZ146" s="172">
        <f t="shared" si="74"/>
        <v>0</v>
      </c>
      <c r="DA146" s="201">
        <f t="shared" si="61"/>
        <v>0</v>
      </c>
      <c r="DB146" s="201">
        <f t="shared" si="62"/>
        <v>0</v>
      </c>
      <c r="DC146" s="201">
        <f t="shared" si="64"/>
        <v>0</v>
      </c>
      <c r="DD146" s="239">
        <v>0</v>
      </c>
      <c r="DE146" s="201">
        <f t="shared" si="65"/>
        <v>0</v>
      </c>
      <c r="DF146" s="172" t="e">
        <f>SUM(DN146:DO146)-SUM(#REF!,BV146)+BU146</f>
        <v>#REF!</v>
      </c>
      <c r="DG146" s="207"/>
      <c r="DH146" s="225">
        <f t="shared" si="66"/>
        <v>0</v>
      </c>
      <c r="DI146" s="225">
        <f t="shared" si="67"/>
        <v>0</v>
      </c>
      <c r="DJ146" s="225">
        <f t="shared" si="68"/>
        <v>0</v>
      </c>
      <c r="DK146" s="225" t="e">
        <f>SUM(BS146,#REF!,BV146)</f>
        <v>#REF!</v>
      </c>
      <c r="DL146" s="145">
        <v>75</v>
      </c>
      <c r="DM146" s="145">
        <v>56.107639999999996</v>
      </c>
      <c r="DN146" s="145">
        <v>0</v>
      </c>
      <c r="DO146" s="145">
        <v>0</v>
      </c>
      <c r="DP146" s="145">
        <v>56.107639999999996</v>
      </c>
      <c r="DQ146" s="145">
        <v>18.89236</v>
      </c>
      <c r="DS146" s="219">
        <f t="shared" si="69"/>
        <v>0</v>
      </c>
    </row>
    <row r="147" spans="1:123" s="21" customFormat="1" ht="24" customHeight="1">
      <c r="A147" s="16"/>
      <c r="B147" s="2">
        <v>104</v>
      </c>
      <c r="C147" s="78" t="s">
        <v>158</v>
      </c>
      <c r="D147" s="78"/>
      <c r="E147" s="78"/>
      <c r="F147" s="3">
        <v>2019</v>
      </c>
      <c r="G147" s="4">
        <v>43546</v>
      </c>
      <c r="H147" s="4">
        <v>43635</v>
      </c>
      <c r="I147" s="4">
        <v>43547</v>
      </c>
      <c r="J147" s="13">
        <f t="shared" ca="1" si="58"/>
        <v>-88</v>
      </c>
      <c r="K147" s="165">
        <f t="shared" si="70"/>
        <v>44182</v>
      </c>
      <c r="L147" s="165">
        <f t="shared" si="71"/>
        <v>44365</v>
      </c>
      <c r="M147" s="165"/>
      <c r="N147" s="165"/>
      <c r="O147" s="165"/>
      <c r="P147" s="165"/>
      <c r="Q147" s="165"/>
      <c r="R147" s="3" t="s">
        <v>177</v>
      </c>
      <c r="S147" s="11" t="s">
        <v>222</v>
      </c>
      <c r="T147" s="11"/>
      <c r="U147" s="5" t="s">
        <v>8</v>
      </c>
      <c r="V147" s="251">
        <v>1467335</v>
      </c>
      <c r="W147" s="5" t="s">
        <v>602</v>
      </c>
      <c r="X147" s="5" t="s">
        <v>479</v>
      </c>
      <c r="Y147" s="5" t="s">
        <v>159</v>
      </c>
      <c r="Z147" s="3" t="s">
        <v>187</v>
      </c>
      <c r="AA147" s="6" t="s">
        <v>217</v>
      </c>
      <c r="AB147" s="150" t="s">
        <v>227</v>
      </c>
      <c r="AC147" s="165" t="s">
        <v>5</v>
      </c>
      <c r="AD147" s="165" t="s">
        <v>5</v>
      </c>
      <c r="AE147" s="165" t="s">
        <v>5</v>
      </c>
      <c r="AF147" s="5"/>
      <c r="AG147" s="5"/>
      <c r="AH147" s="212"/>
      <c r="AI147" s="76"/>
      <c r="AJ147" s="76"/>
      <c r="AK147" s="221" t="e">
        <f>SUM(#REF!,BT147,BV147)</f>
        <v>#REF!</v>
      </c>
      <c r="AL147" s="48"/>
      <c r="AM147" s="48"/>
      <c r="AN147" s="48"/>
      <c r="AO147" s="48"/>
      <c r="AP147" s="48"/>
      <c r="AQ147" s="48"/>
      <c r="AR147" s="51">
        <v>0</v>
      </c>
      <c r="AS147" s="51"/>
      <c r="AT147" s="51">
        <v>0</v>
      </c>
      <c r="AU147" s="51"/>
      <c r="AV147" s="36">
        <v>0</v>
      </c>
      <c r="AW147" s="36">
        <v>0</v>
      </c>
      <c r="AX147" s="90">
        <f t="shared" si="59"/>
        <v>0</v>
      </c>
      <c r="AY147" s="157">
        <f t="shared" si="72"/>
        <v>0</v>
      </c>
      <c r="AZ147" s="182">
        <v>0</v>
      </c>
      <c r="BA147" s="158"/>
      <c r="BB147" s="182">
        <v>0</v>
      </c>
      <c r="BC147" s="158"/>
      <c r="BD147" s="182">
        <v>0</v>
      </c>
      <c r="BE147" s="158">
        <v>0</v>
      </c>
      <c r="BF147" s="182">
        <v>0</v>
      </c>
      <c r="BG147" s="158"/>
      <c r="BH147" s="182">
        <v>0</v>
      </c>
      <c r="BI147" s="158"/>
      <c r="BJ147" s="182">
        <v>0</v>
      </c>
      <c r="BK147" s="158"/>
      <c r="BL147" s="182"/>
      <c r="BM147" s="158"/>
      <c r="BN147" s="182"/>
      <c r="BO147" s="158"/>
      <c r="BP147" s="182"/>
      <c r="BQ147" s="158"/>
      <c r="BR147" s="182"/>
      <c r="BS147" s="158"/>
      <c r="BT147" s="182"/>
      <c r="BU147" s="158"/>
      <c r="BV147" s="182"/>
      <c r="BW147" s="234"/>
      <c r="BX147" s="237"/>
      <c r="BY147" s="81">
        <f t="shared" si="73"/>
        <v>0</v>
      </c>
      <c r="BZ147" s="198"/>
      <c r="CA147" s="198"/>
      <c r="CB147" s="198"/>
      <c r="CC147" s="198"/>
      <c r="CD147" s="198"/>
      <c r="CE147" s="198"/>
      <c r="CF147" s="198"/>
      <c r="CG147" s="198"/>
      <c r="CH147" s="198"/>
      <c r="CI147" s="198"/>
      <c r="CJ147" s="198"/>
      <c r="CK147" s="198"/>
      <c r="CL147" s="195">
        <f t="shared" si="63"/>
        <v>0</v>
      </c>
      <c r="CM147" s="196"/>
      <c r="CN147" s="196"/>
      <c r="CO147" s="196"/>
      <c r="CP147" s="196"/>
      <c r="CQ147" s="196"/>
      <c r="CR147" s="196"/>
      <c r="CS147" s="196"/>
      <c r="CT147" s="196"/>
      <c r="CU147" s="196"/>
      <c r="CV147" s="196"/>
      <c r="CW147" s="196"/>
      <c r="CX147" s="196"/>
      <c r="CY147" s="200">
        <f t="shared" si="60"/>
        <v>0</v>
      </c>
      <c r="CZ147" s="172">
        <f t="shared" si="74"/>
        <v>0</v>
      </c>
      <c r="DA147" s="201">
        <f t="shared" si="61"/>
        <v>0</v>
      </c>
      <c r="DB147" s="201">
        <f t="shared" si="62"/>
        <v>0</v>
      </c>
      <c r="DC147" s="201">
        <f t="shared" si="64"/>
        <v>0</v>
      </c>
      <c r="DD147" s="239">
        <v>0</v>
      </c>
      <c r="DE147" s="201">
        <f t="shared" si="65"/>
        <v>0</v>
      </c>
      <c r="DF147" s="172" t="e">
        <f>SUM(DN147:DO147)-SUM(#REF!,BV147)+BU147</f>
        <v>#REF!</v>
      </c>
      <c r="DG147" s="207"/>
      <c r="DH147" s="225">
        <f t="shared" si="66"/>
        <v>0</v>
      </c>
      <c r="DI147" s="225">
        <f t="shared" si="67"/>
        <v>0</v>
      </c>
      <c r="DJ147" s="225">
        <f t="shared" si="68"/>
        <v>0</v>
      </c>
      <c r="DK147" s="225" t="e">
        <f>SUM(BS147,#REF!,BV147)</f>
        <v>#REF!</v>
      </c>
      <c r="DL147" s="145">
        <v>20</v>
      </c>
      <c r="DM147" s="145">
        <v>0</v>
      </c>
      <c r="DN147" s="145">
        <v>0</v>
      </c>
      <c r="DO147" s="145">
        <v>0</v>
      </c>
      <c r="DP147" s="145">
        <v>0</v>
      </c>
      <c r="DQ147" s="145">
        <v>20</v>
      </c>
      <c r="DS147" s="219">
        <f t="shared" si="69"/>
        <v>0</v>
      </c>
    </row>
    <row r="148" spans="1:123" s="21" customFormat="1" ht="24" customHeight="1">
      <c r="A148" s="16"/>
      <c r="B148" s="2">
        <v>105</v>
      </c>
      <c r="C148" s="78" t="s">
        <v>166</v>
      </c>
      <c r="D148" s="78"/>
      <c r="E148" s="78" t="s">
        <v>880</v>
      </c>
      <c r="F148" s="3">
        <v>2019</v>
      </c>
      <c r="G148" s="4">
        <v>43602</v>
      </c>
      <c r="H148" s="4">
        <v>43602</v>
      </c>
      <c r="I148" s="4">
        <v>44201</v>
      </c>
      <c r="J148" s="13">
        <f t="shared" ca="1" si="58"/>
        <v>599</v>
      </c>
      <c r="K148" s="165">
        <f t="shared" si="70"/>
        <v>44149</v>
      </c>
      <c r="L148" s="165">
        <f t="shared" si="71"/>
        <v>44332</v>
      </c>
      <c r="M148" s="165"/>
      <c r="N148" s="165"/>
      <c r="O148" s="165"/>
      <c r="P148" s="165"/>
      <c r="Q148" s="165"/>
      <c r="R148" s="3" t="s">
        <v>175</v>
      </c>
      <c r="S148" s="11" t="s">
        <v>4</v>
      </c>
      <c r="T148" s="11" t="s">
        <v>905</v>
      </c>
      <c r="U148" s="5" t="s">
        <v>8</v>
      </c>
      <c r="V148" s="251">
        <v>1457603</v>
      </c>
      <c r="W148" s="5" t="s">
        <v>602</v>
      </c>
      <c r="X148" s="5" t="s">
        <v>477</v>
      </c>
      <c r="Y148" s="5" t="s">
        <v>167</v>
      </c>
      <c r="Z148" s="3" t="s">
        <v>180</v>
      </c>
      <c r="AA148" s="6" t="s">
        <v>217</v>
      </c>
      <c r="AB148" s="141" t="s">
        <v>196</v>
      </c>
      <c r="AC148" s="165" t="s">
        <v>5</v>
      </c>
      <c r="AD148" s="165" t="s">
        <v>5</v>
      </c>
      <c r="AE148" s="165" t="s">
        <v>5</v>
      </c>
      <c r="AF148" s="5" t="s">
        <v>1037</v>
      </c>
      <c r="AG148" s="5"/>
      <c r="AH148" s="212"/>
      <c r="AI148" s="76"/>
      <c r="AJ148" s="76"/>
      <c r="AK148" s="221" t="e">
        <f>SUM(#REF!,BT148,BV148)</f>
        <v>#REF!</v>
      </c>
      <c r="AL148" s="154"/>
      <c r="AM148" s="154"/>
      <c r="AN148" s="154"/>
      <c r="AO148" s="154"/>
      <c r="AP148" s="154"/>
      <c r="AQ148" s="154"/>
      <c r="AR148" s="51">
        <v>381.2656563214461</v>
      </c>
      <c r="AS148" s="51">
        <v>1131.7854</v>
      </c>
      <c r="AT148" s="51">
        <v>767.33153000000004</v>
      </c>
      <c r="AU148" s="51"/>
      <c r="AV148" s="36">
        <v>1675.63</v>
      </c>
      <c r="AW148" s="36">
        <v>33</v>
      </c>
      <c r="AX148" s="90">
        <f t="shared" si="59"/>
        <v>1708.63</v>
      </c>
      <c r="AY148" s="157">
        <f t="shared" si="72"/>
        <v>-1.7347234759768071E-18</v>
      </c>
      <c r="AZ148" s="182">
        <v>0</v>
      </c>
      <c r="BA148" s="158">
        <v>-1.0020000000000001E-2</v>
      </c>
      <c r="BB148" s="182">
        <v>0</v>
      </c>
      <c r="BC148" s="158">
        <v>1.0019999999999999E-2</v>
      </c>
      <c r="BD148" s="182">
        <v>0</v>
      </c>
      <c r="BE148" s="158">
        <v>0</v>
      </c>
      <c r="BF148" s="182">
        <v>0</v>
      </c>
      <c r="BG148" s="158"/>
      <c r="BH148" s="182">
        <v>0</v>
      </c>
      <c r="BI148" s="158"/>
      <c r="BJ148" s="182">
        <v>0</v>
      </c>
      <c r="BK148" s="158"/>
      <c r="BL148" s="182"/>
      <c r="BM148" s="158"/>
      <c r="BN148" s="182"/>
      <c r="BO148" s="158"/>
      <c r="BP148" s="182"/>
      <c r="BQ148" s="158"/>
      <c r="BR148" s="182"/>
      <c r="BS148" s="158"/>
      <c r="BT148" s="182"/>
      <c r="BU148" s="158"/>
      <c r="BV148" s="182"/>
      <c r="BW148" s="234"/>
      <c r="BX148" s="237"/>
      <c r="BY148" s="81">
        <f t="shared" si="73"/>
        <v>0</v>
      </c>
      <c r="BZ148" s="241"/>
      <c r="CA148" s="241"/>
      <c r="CB148" s="241"/>
      <c r="CC148" s="241"/>
      <c r="CD148" s="241"/>
      <c r="CE148" s="241"/>
      <c r="CF148" s="241"/>
      <c r="CG148" s="241"/>
      <c r="CH148" s="241"/>
      <c r="CI148" s="241"/>
      <c r="CJ148" s="241"/>
      <c r="CK148" s="241"/>
      <c r="CL148" s="195">
        <f t="shared" si="63"/>
        <v>0</v>
      </c>
      <c r="CM148" s="196"/>
      <c r="CN148" s="196"/>
      <c r="CO148" s="196"/>
      <c r="CP148" s="196"/>
      <c r="CQ148" s="196"/>
      <c r="CR148" s="196"/>
      <c r="CS148" s="196"/>
      <c r="CT148" s="196"/>
      <c r="CU148" s="196"/>
      <c r="CV148" s="196"/>
      <c r="CW148" s="196"/>
      <c r="CX148" s="196"/>
      <c r="CY148" s="200">
        <f t="shared" si="60"/>
        <v>0</v>
      </c>
      <c r="CZ148" s="172">
        <f t="shared" si="74"/>
        <v>0</v>
      </c>
      <c r="DA148" s="201">
        <f t="shared" si="61"/>
        <v>-1.7347234759768071E-18</v>
      </c>
      <c r="DB148" s="201">
        <f t="shared" si="62"/>
        <v>0</v>
      </c>
      <c r="DC148" s="201">
        <f t="shared" si="64"/>
        <v>-1.7347234759768071E-18</v>
      </c>
      <c r="DD148" s="239">
        <v>-1.7347234759768071E-18</v>
      </c>
      <c r="DE148" s="201">
        <f t="shared" si="65"/>
        <v>0</v>
      </c>
      <c r="DF148" s="172" t="e">
        <f>SUM(DN148:DO148)-SUM(#REF!,BV148)+BU148</f>
        <v>#REF!</v>
      </c>
      <c r="DG148" s="207"/>
      <c r="DH148" s="225">
        <f t="shared" si="66"/>
        <v>-1.7347234759768071E-18</v>
      </c>
      <c r="DI148" s="225">
        <f t="shared" si="67"/>
        <v>0</v>
      </c>
      <c r="DJ148" s="225">
        <f t="shared" si="68"/>
        <v>0</v>
      </c>
      <c r="DK148" s="225" t="e">
        <f>SUM(BS148,#REF!,BV148)</f>
        <v>#REF!</v>
      </c>
      <c r="DL148" s="145">
        <v>1675.63</v>
      </c>
      <c r="DM148" s="145">
        <v>1150.0130800000002</v>
      </c>
      <c r="DN148" s="145">
        <v>0</v>
      </c>
      <c r="DO148" s="145">
        <v>0</v>
      </c>
      <c r="DP148" s="145">
        <v>1150.0130800000002</v>
      </c>
      <c r="DQ148" s="145">
        <v>525.61692000000005</v>
      </c>
      <c r="DR148" s="21">
        <f>VLOOKUP(C148,[6]Database!$B$143:$AD$521,29,FALSE)</f>
        <v>0</v>
      </c>
      <c r="DS148" s="219">
        <f t="shared" si="69"/>
        <v>0</v>
      </c>
    </row>
    <row r="149" spans="1:123" s="21" customFormat="1" ht="24" customHeight="1">
      <c r="A149" s="16"/>
      <c r="B149" s="2">
        <v>106</v>
      </c>
      <c r="C149" s="78" t="s">
        <v>150</v>
      </c>
      <c r="D149" s="78"/>
      <c r="E149" s="78"/>
      <c r="F149" s="3">
        <v>2019</v>
      </c>
      <c r="G149" s="4">
        <v>43566</v>
      </c>
      <c r="H149" s="4">
        <v>43706</v>
      </c>
      <c r="I149" s="4">
        <v>43853</v>
      </c>
      <c r="J149" s="13">
        <f t="shared" ca="1" si="58"/>
        <v>147</v>
      </c>
      <c r="K149" s="165">
        <f t="shared" si="70"/>
        <v>44253</v>
      </c>
      <c r="L149" s="165">
        <f t="shared" si="71"/>
        <v>44436</v>
      </c>
      <c r="M149" s="165"/>
      <c r="N149" s="165"/>
      <c r="O149" s="165"/>
      <c r="P149" s="165"/>
      <c r="Q149" s="165"/>
      <c r="R149" s="3" t="s">
        <v>177</v>
      </c>
      <c r="S149" s="11" t="s">
        <v>222</v>
      </c>
      <c r="T149" s="11"/>
      <c r="U149" s="5" t="s">
        <v>8</v>
      </c>
      <c r="V149" s="251">
        <v>2082187</v>
      </c>
      <c r="W149" s="5" t="s">
        <v>602</v>
      </c>
      <c r="X149" s="5" t="s">
        <v>478</v>
      </c>
      <c r="Y149" s="5" t="s">
        <v>151</v>
      </c>
      <c r="Z149" s="3" t="s">
        <v>187</v>
      </c>
      <c r="AA149" s="6" t="s">
        <v>217</v>
      </c>
      <c r="AB149" s="141" t="s">
        <v>196</v>
      </c>
      <c r="AC149" s="165" t="s">
        <v>5</v>
      </c>
      <c r="AD149" s="165" t="s">
        <v>5</v>
      </c>
      <c r="AE149" s="165" t="s">
        <v>5</v>
      </c>
      <c r="AF149" s="5" t="s">
        <v>1037</v>
      </c>
      <c r="AG149" s="5"/>
      <c r="AH149" s="212"/>
      <c r="AI149" s="76"/>
      <c r="AJ149" s="76"/>
      <c r="AK149" s="221" t="e">
        <f>SUM(#REF!,BT149,BV149)</f>
        <v>#REF!</v>
      </c>
      <c r="AL149" s="48"/>
      <c r="AM149" s="48"/>
      <c r="AN149" s="48"/>
      <c r="AO149" s="48"/>
      <c r="AP149" s="48"/>
      <c r="AQ149" s="48"/>
      <c r="AR149" s="51">
        <v>382.68</v>
      </c>
      <c r="AS149" s="51">
        <v>0</v>
      </c>
      <c r="AT149" s="51">
        <v>26.11234</v>
      </c>
      <c r="AU149" s="51"/>
      <c r="AV149" s="36">
        <v>140</v>
      </c>
      <c r="AW149" s="36">
        <v>0</v>
      </c>
      <c r="AX149" s="90">
        <f t="shared" si="59"/>
        <v>140</v>
      </c>
      <c r="AY149" s="157">
        <f t="shared" si="72"/>
        <v>0</v>
      </c>
      <c r="AZ149" s="182">
        <v>0</v>
      </c>
      <c r="BA149" s="158">
        <v>0</v>
      </c>
      <c r="BB149" s="182">
        <v>0</v>
      </c>
      <c r="BC149" s="158"/>
      <c r="BD149" s="182">
        <v>0</v>
      </c>
      <c r="BE149" s="158">
        <v>0</v>
      </c>
      <c r="BF149" s="182">
        <v>0</v>
      </c>
      <c r="BG149" s="158"/>
      <c r="BH149" s="182">
        <v>0</v>
      </c>
      <c r="BI149" s="158"/>
      <c r="BJ149" s="182">
        <v>0</v>
      </c>
      <c r="BK149" s="158"/>
      <c r="BL149" s="182"/>
      <c r="BM149" s="158"/>
      <c r="BN149" s="182"/>
      <c r="BO149" s="158"/>
      <c r="BP149" s="182"/>
      <c r="BQ149" s="158"/>
      <c r="BR149" s="182"/>
      <c r="BS149" s="158"/>
      <c r="BT149" s="182"/>
      <c r="BU149" s="158"/>
      <c r="BV149" s="182"/>
      <c r="BW149" s="234"/>
      <c r="BX149" s="237"/>
      <c r="BY149" s="81">
        <f t="shared" si="73"/>
        <v>0</v>
      </c>
      <c r="BZ149" s="198"/>
      <c r="CA149" s="198"/>
      <c r="CB149" s="198"/>
      <c r="CC149" s="198"/>
      <c r="CD149" s="198"/>
      <c r="CE149" s="198"/>
      <c r="CF149" s="198"/>
      <c r="CG149" s="198"/>
      <c r="CH149" s="198"/>
      <c r="CI149" s="198"/>
      <c r="CJ149" s="198"/>
      <c r="CK149" s="198"/>
      <c r="CL149" s="195">
        <f t="shared" si="63"/>
        <v>0</v>
      </c>
      <c r="CM149" s="196"/>
      <c r="CN149" s="196"/>
      <c r="CO149" s="196"/>
      <c r="CP149" s="196"/>
      <c r="CQ149" s="196"/>
      <c r="CR149" s="196"/>
      <c r="CS149" s="196"/>
      <c r="CT149" s="196"/>
      <c r="CU149" s="196"/>
      <c r="CV149" s="196"/>
      <c r="CW149" s="196"/>
      <c r="CX149" s="196"/>
      <c r="CY149" s="200">
        <f t="shared" si="60"/>
        <v>0</v>
      </c>
      <c r="CZ149" s="172">
        <f t="shared" si="74"/>
        <v>0</v>
      </c>
      <c r="DA149" s="201">
        <f t="shared" si="61"/>
        <v>0</v>
      </c>
      <c r="DB149" s="201">
        <f t="shared" si="62"/>
        <v>0</v>
      </c>
      <c r="DC149" s="201">
        <f t="shared" si="64"/>
        <v>0</v>
      </c>
      <c r="DD149" s="239">
        <v>0</v>
      </c>
      <c r="DE149" s="201">
        <f t="shared" si="65"/>
        <v>0</v>
      </c>
      <c r="DF149" s="172" t="e">
        <f>SUM(DN149:DO149)-SUM(#REF!,BV149)+BU149</f>
        <v>#REF!</v>
      </c>
      <c r="DG149" s="207"/>
      <c r="DH149" s="225">
        <f t="shared" si="66"/>
        <v>0</v>
      </c>
      <c r="DI149" s="225">
        <f t="shared" si="67"/>
        <v>0</v>
      </c>
      <c r="DJ149" s="225">
        <f t="shared" si="68"/>
        <v>0</v>
      </c>
      <c r="DK149" s="225" t="e">
        <f>SUM(BS149,#REF!,BV149)</f>
        <v>#REF!</v>
      </c>
      <c r="DL149" s="145">
        <v>140</v>
      </c>
      <c r="DM149" s="145">
        <v>115.48541</v>
      </c>
      <c r="DN149" s="145">
        <v>0</v>
      </c>
      <c r="DO149" s="145">
        <v>0</v>
      </c>
      <c r="DP149" s="145">
        <v>115.48541</v>
      </c>
      <c r="DQ149" s="145">
        <v>24.514590000000002</v>
      </c>
      <c r="DS149" s="219">
        <f t="shared" si="69"/>
        <v>0</v>
      </c>
    </row>
    <row r="150" spans="1:123" s="21" customFormat="1" ht="24" customHeight="1">
      <c r="A150" s="16"/>
      <c r="B150" s="2">
        <v>107</v>
      </c>
      <c r="C150" s="78" t="s">
        <v>160</v>
      </c>
      <c r="D150" s="78"/>
      <c r="E150" s="78"/>
      <c r="F150" s="3">
        <v>2019</v>
      </c>
      <c r="G150" s="4">
        <v>43567</v>
      </c>
      <c r="H150" s="4">
        <v>43568</v>
      </c>
      <c r="I150" s="4">
        <v>43568</v>
      </c>
      <c r="J150" s="13">
        <f t="shared" ca="1" si="58"/>
        <v>0</v>
      </c>
      <c r="K150" s="165">
        <f t="shared" si="70"/>
        <v>44115</v>
      </c>
      <c r="L150" s="165">
        <f t="shared" si="71"/>
        <v>44298</v>
      </c>
      <c r="M150" s="165"/>
      <c r="N150" s="165"/>
      <c r="O150" s="165"/>
      <c r="P150" s="165"/>
      <c r="Q150" s="165"/>
      <c r="R150" s="3" t="s">
        <v>177</v>
      </c>
      <c r="S150" s="11" t="s">
        <v>222</v>
      </c>
      <c r="T150" s="11"/>
      <c r="U150" s="5" t="s">
        <v>8</v>
      </c>
      <c r="V150" s="251"/>
      <c r="W150" s="5" t="s">
        <v>602</v>
      </c>
      <c r="X150" s="5" t="s">
        <v>473</v>
      </c>
      <c r="Y150" s="5" t="s">
        <v>161</v>
      </c>
      <c r="Z150" s="3" t="s">
        <v>187</v>
      </c>
      <c r="AA150" s="6" t="s">
        <v>217</v>
      </c>
      <c r="AB150" s="150" t="s">
        <v>227</v>
      </c>
      <c r="AC150" s="165" t="s">
        <v>5</v>
      </c>
      <c r="AD150" s="165" t="s">
        <v>5</v>
      </c>
      <c r="AE150" s="165" t="s">
        <v>5</v>
      </c>
      <c r="AF150" s="5"/>
      <c r="AG150" s="5"/>
      <c r="AH150" s="212"/>
      <c r="AI150" s="76"/>
      <c r="AJ150" s="76"/>
      <c r="AK150" s="221" t="e">
        <f>SUM(#REF!,BT150,BV150)</f>
        <v>#REF!</v>
      </c>
      <c r="AL150" s="48"/>
      <c r="AM150" s="48"/>
      <c r="AN150" s="48"/>
      <c r="AO150" s="48"/>
      <c r="AP150" s="48"/>
      <c r="AQ150" s="48"/>
      <c r="AR150" s="51">
        <v>0</v>
      </c>
      <c r="AS150" s="51"/>
      <c r="AT150" s="51">
        <v>0</v>
      </c>
      <c r="AU150" s="51"/>
      <c r="AV150" s="36">
        <v>0</v>
      </c>
      <c r="AW150" s="36">
        <v>0</v>
      </c>
      <c r="AX150" s="90">
        <f t="shared" si="59"/>
        <v>0</v>
      </c>
      <c r="AY150" s="157">
        <f t="shared" si="72"/>
        <v>0</v>
      </c>
      <c r="AZ150" s="182">
        <v>0</v>
      </c>
      <c r="BA150" s="158"/>
      <c r="BB150" s="182">
        <v>0</v>
      </c>
      <c r="BC150" s="158"/>
      <c r="BD150" s="182">
        <v>0</v>
      </c>
      <c r="BE150" s="158">
        <v>0</v>
      </c>
      <c r="BF150" s="182">
        <v>0</v>
      </c>
      <c r="BG150" s="158"/>
      <c r="BH150" s="182">
        <v>0</v>
      </c>
      <c r="BI150" s="158"/>
      <c r="BJ150" s="182">
        <v>0</v>
      </c>
      <c r="BK150" s="158"/>
      <c r="BL150" s="182"/>
      <c r="BM150" s="158"/>
      <c r="BN150" s="182"/>
      <c r="BO150" s="158"/>
      <c r="BP150" s="182"/>
      <c r="BQ150" s="158"/>
      <c r="BR150" s="182"/>
      <c r="BS150" s="158"/>
      <c r="BT150" s="182"/>
      <c r="BU150" s="158"/>
      <c r="BV150" s="182"/>
      <c r="BW150" s="234"/>
      <c r="BX150" s="237"/>
      <c r="BY150" s="81">
        <f t="shared" si="73"/>
        <v>0</v>
      </c>
      <c r="BZ150" s="198"/>
      <c r="CA150" s="198"/>
      <c r="CB150" s="198"/>
      <c r="CC150" s="198"/>
      <c r="CD150" s="198"/>
      <c r="CE150" s="198"/>
      <c r="CF150" s="198"/>
      <c r="CG150" s="198"/>
      <c r="CH150" s="198"/>
      <c r="CI150" s="198"/>
      <c r="CJ150" s="198"/>
      <c r="CK150" s="198"/>
      <c r="CL150" s="195">
        <f t="shared" si="63"/>
        <v>0</v>
      </c>
      <c r="CM150" s="196"/>
      <c r="CN150" s="196"/>
      <c r="CO150" s="196"/>
      <c r="CP150" s="196"/>
      <c r="CQ150" s="196"/>
      <c r="CR150" s="196"/>
      <c r="CS150" s="196"/>
      <c r="CT150" s="196"/>
      <c r="CU150" s="196"/>
      <c r="CV150" s="196"/>
      <c r="CW150" s="196"/>
      <c r="CX150" s="196"/>
      <c r="CY150" s="200">
        <f t="shared" si="60"/>
        <v>0</v>
      </c>
      <c r="CZ150" s="172">
        <f t="shared" si="74"/>
        <v>0</v>
      </c>
      <c r="DA150" s="201">
        <f t="shared" si="61"/>
        <v>0</v>
      </c>
      <c r="DB150" s="201">
        <f t="shared" si="62"/>
        <v>0</v>
      </c>
      <c r="DC150" s="201">
        <f t="shared" si="64"/>
        <v>0</v>
      </c>
      <c r="DD150" s="239">
        <v>0</v>
      </c>
      <c r="DE150" s="201">
        <f t="shared" si="65"/>
        <v>0</v>
      </c>
      <c r="DF150" s="172" t="e">
        <f>SUM(DN150:DO150)-SUM(#REF!,BV150)+BU150</f>
        <v>#REF!</v>
      </c>
      <c r="DG150" s="207"/>
      <c r="DH150" s="225">
        <f t="shared" si="66"/>
        <v>0</v>
      </c>
      <c r="DI150" s="225">
        <f t="shared" si="67"/>
        <v>0</v>
      </c>
      <c r="DJ150" s="225">
        <f t="shared" si="68"/>
        <v>0</v>
      </c>
      <c r="DK150" s="225" t="e">
        <f>SUM(BS150,#REF!,BV150)</f>
        <v>#REF!</v>
      </c>
      <c r="DL150" s="145">
        <v>0</v>
      </c>
      <c r="DM150" s="145">
        <v>0</v>
      </c>
      <c r="DN150" s="145">
        <v>0</v>
      </c>
      <c r="DO150" s="145">
        <v>0</v>
      </c>
      <c r="DP150" s="145">
        <v>0</v>
      </c>
      <c r="DQ150" s="145">
        <v>0</v>
      </c>
      <c r="DS150" s="219">
        <f t="shared" si="69"/>
        <v>0</v>
      </c>
    </row>
    <row r="151" spans="1:123" s="21" customFormat="1" ht="24" customHeight="1">
      <c r="A151" s="16"/>
      <c r="B151" s="2">
        <v>108</v>
      </c>
      <c r="C151" s="78" t="s">
        <v>164</v>
      </c>
      <c r="D151" s="78"/>
      <c r="E151" s="78"/>
      <c r="F151" s="3">
        <v>2019</v>
      </c>
      <c r="G151" s="4">
        <v>43656</v>
      </c>
      <c r="H151" s="174">
        <v>43644</v>
      </c>
      <c r="I151" s="4">
        <v>44253</v>
      </c>
      <c r="J151" s="13">
        <f t="shared" ca="1" si="58"/>
        <v>609</v>
      </c>
      <c r="K151" s="165">
        <f t="shared" si="70"/>
        <v>44191</v>
      </c>
      <c r="L151" s="165">
        <f t="shared" si="71"/>
        <v>44374</v>
      </c>
      <c r="M151" s="165"/>
      <c r="N151" s="165"/>
      <c r="O151" s="165"/>
      <c r="P151" s="165"/>
      <c r="Q151" s="165"/>
      <c r="R151" s="3" t="s">
        <v>175</v>
      </c>
      <c r="S151" s="11" t="s">
        <v>221</v>
      </c>
      <c r="T151" s="11" t="s">
        <v>912</v>
      </c>
      <c r="U151" s="5" t="s">
        <v>8</v>
      </c>
      <c r="V151" s="251">
        <v>1588840</v>
      </c>
      <c r="W151" s="5" t="s">
        <v>602</v>
      </c>
      <c r="X151" s="5" t="s">
        <v>472</v>
      </c>
      <c r="Y151" s="5" t="s">
        <v>165</v>
      </c>
      <c r="Z151" s="3" t="s">
        <v>180</v>
      </c>
      <c r="AA151" s="6" t="s">
        <v>217</v>
      </c>
      <c r="AB151" s="141" t="s">
        <v>196</v>
      </c>
      <c r="AC151" s="165" t="s">
        <v>5</v>
      </c>
      <c r="AD151" s="165">
        <v>44314</v>
      </c>
      <c r="AE151" s="165" t="s">
        <v>5</v>
      </c>
      <c r="AF151" s="5"/>
      <c r="AG151" s="5"/>
      <c r="AH151" s="212"/>
      <c r="AI151" s="76" t="s">
        <v>659</v>
      </c>
      <c r="AJ151" s="76"/>
      <c r="AK151" s="221" t="e">
        <f>SUM(#REF!,BT151,BV151)</f>
        <v>#REF!</v>
      </c>
      <c r="AL151" s="154"/>
      <c r="AM151" s="154"/>
      <c r="AN151" s="154"/>
      <c r="AO151" s="154"/>
      <c r="AP151" s="154"/>
      <c r="AQ151" s="154"/>
      <c r="AR151" s="51">
        <v>0</v>
      </c>
      <c r="AS151" s="51">
        <v>385.7</v>
      </c>
      <c r="AT151" s="51">
        <v>326.75173999999998</v>
      </c>
      <c r="AU151" s="51">
        <v>-28.070629999999998</v>
      </c>
      <c r="AV151" s="36">
        <v>385.7</v>
      </c>
      <c r="AW151" s="36">
        <v>32.9</v>
      </c>
      <c r="AX151" s="90">
        <f t="shared" si="59"/>
        <v>418.59999999999997</v>
      </c>
      <c r="AY151" s="157">
        <f t="shared" si="72"/>
        <v>-26.880880000000001</v>
      </c>
      <c r="AZ151" s="182">
        <v>-21</v>
      </c>
      <c r="BA151" s="158">
        <v>8.3293700000000008</v>
      </c>
      <c r="BB151" s="182">
        <v>-36.4</v>
      </c>
      <c r="BC151" s="158">
        <v>-35.210250000000002</v>
      </c>
      <c r="BD151" s="182">
        <v>0</v>
      </c>
      <c r="BE151" s="158">
        <v>0</v>
      </c>
      <c r="BF151" s="182">
        <v>0</v>
      </c>
      <c r="BG151" s="158"/>
      <c r="BH151" s="182">
        <v>0</v>
      </c>
      <c r="BI151" s="158"/>
      <c r="BJ151" s="182">
        <v>0</v>
      </c>
      <c r="BK151" s="158"/>
      <c r="BL151" s="182"/>
      <c r="BM151" s="158"/>
      <c r="BN151" s="182"/>
      <c r="BO151" s="158"/>
      <c r="BP151" s="182"/>
      <c r="BQ151" s="158"/>
      <c r="BR151" s="182"/>
      <c r="BS151" s="158"/>
      <c r="BT151" s="182"/>
      <c r="BU151" s="158"/>
      <c r="BV151" s="182"/>
      <c r="BW151" s="234"/>
      <c r="BX151" s="237"/>
      <c r="BY151" s="81">
        <f t="shared" si="73"/>
        <v>0</v>
      </c>
      <c r="BZ151" s="241"/>
      <c r="CA151" s="241"/>
      <c r="CB151" s="241"/>
      <c r="CC151" s="241"/>
      <c r="CD151" s="241"/>
      <c r="CE151" s="241"/>
      <c r="CF151" s="241"/>
      <c r="CG151" s="241"/>
      <c r="CH151" s="241"/>
      <c r="CI151" s="241"/>
      <c r="CJ151" s="241"/>
      <c r="CK151" s="241"/>
      <c r="CL151" s="195">
        <f t="shared" si="63"/>
        <v>0</v>
      </c>
      <c r="CM151" s="196"/>
      <c r="CN151" s="196"/>
      <c r="CO151" s="196"/>
      <c r="CP151" s="196"/>
      <c r="CQ151" s="196"/>
      <c r="CR151" s="196"/>
      <c r="CS151" s="196"/>
      <c r="CT151" s="196"/>
      <c r="CU151" s="196"/>
      <c r="CV151" s="196"/>
      <c r="CW151" s="196"/>
      <c r="CX151" s="196"/>
      <c r="CY151" s="200">
        <f t="shared" si="60"/>
        <v>0</v>
      </c>
      <c r="CZ151" s="172">
        <f t="shared" si="74"/>
        <v>0</v>
      </c>
      <c r="DA151" s="201">
        <f t="shared" si="61"/>
        <v>-26.880880000000001</v>
      </c>
      <c r="DB151" s="201">
        <f t="shared" si="62"/>
        <v>0</v>
      </c>
      <c r="DC151" s="201">
        <f t="shared" si="64"/>
        <v>-26.880880000000001</v>
      </c>
      <c r="DD151" s="239">
        <v>-26.880880000000001</v>
      </c>
      <c r="DE151" s="201">
        <f t="shared" si="65"/>
        <v>0</v>
      </c>
      <c r="DF151" s="172" t="e">
        <f>SUM(DN151:DO151)-SUM(#REF!,BV151)+BU151</f>
        <v>#REF!</v>
      </c>
      <c r="DG151" s="207"/>
      <c r="DH151" s="225">
        <f t="shared" si="66"/>
        <v>-26.880880000000001</v>
      </c>
      <c r="DI151" s="225">
        <f t="shared" si="67"/>
        <v>0</v>
      </c>
      <c r="DJ151" s="225">
        <f t="shared" si="68"/>
        <v>0</v>
      </c>
      <c r="DK151" s="225" t="e">
        <f>SUM(BS151,#REF!,BV151)</f>
        <v>#REF!</v>
      </c>
      <c r="DL151" s="145">
        <v>385.7</v>
      </c>
      <c r="DM151" s="145">
        <v>299.87085999999999</v>
      </c>
      <c r="DN151" s="145">
        <v>0</v>
      </c>
      <c r="DO151" s="145">
        <v>0</v>
      </c>
      <c r="DP151" s="145">
        <v>299.87085999999999</v>
      </c>
      <c r="DQ151" s="145">
        <v>85.829139999999995</v>
      </c>
      <c r="DR151" s="21">
        <f>VLOOKUP(C151,[6]Database!$B$143:$AD$521,29,FALSE)</f>
        <v>0</v>
      </c>
      <c r="DS151" s="219">
        <f t="shared" si="69"/>
        <v>0</v>
      </c>
    </row>
    <row r="152" spans="1:123" s="21" customFormat="1" ht="24" customHeight="1">
      <c r="A152" s="16"/>
      <c r="B152" s="2">
        <v>109</v>
      </c>
      <c r="C152" s="78" t="s">
        <v>168</v>
      </c>
      <c r="D152" s="78"/>
      <c r="E152" s="78" t="s">
        <v>876</v>
      </c>
      <c r="F152" s="3">
        <v>2019</v>
      </c>
      <c r="G152" s="4">
        <v>43635</v>
      </c>
      <c r="H152" s="4">
        <v>43635</v>
      </c>
      <c r="I152" s="4">
        <v>44077</v>
      </c>
      <c r="J152" s="13">
        <f t="shared" ca="1" si="58"/>
        <v>442</v>
      </c>
      <c r="K152" s="165">
        <f t="shared" si="70"/>
        <v>44182</v>
      </c>
      <c r="L152" s="165">
        <f t="shared" si="71"/>
        <v>44365</v>
      </c>
      <c r="M152" s="165"/>
      <c r="N152" s="165"/>
      <c r="O152" s="165"/>
      <c r="P152" s="165"/>
      <c r="Q152" s="165"/>
      <c r="R152" s="3" t="s">
        <v>175</v>
      </c>
      <c r="S152" s="11" t="s">
        <v>223</v>
      </c>
      <c r="T152" s="11"/>
      <c r="U152" s="5" t="s">
        <v>8</v>
      </c>
      <c r="V152" s="251">
        <v>1584552</v>
      </c>
      <c r="W152" s="5" t="s">
        <v>602</v>
      </c>
      <c r="X152" s="5" t="s">
        <v>478</v>
      </c>
      <c r="Y152" s="5" t="s">
        <v>169</v>
      </c>
      <c r="Z152" s="3" t="s">
        <v>185</v>
      </c>
      <c r="AA152" s="6" t="s">
        <v>217</v>
      </c>
      <c r="AB152" s="141" t="s">
        <v>196</v>
      </c>
      <c r="AC152" s="165" t="s">
        <v>5</v>
      </c>
      <c r="AD152" s="165" t="s">
        <v>5</v>
      </c>
      <c r="AE152" s="165" t="s">
        <v>5</v>
      </c>
      <c r="AF152" s="5"/>
      <c r="AG152" s="5"/>
      <c r="AH152" s="212"/>
      <c r="AI152" s="76"/>
      <c r="AJ152" s="76"/>
      <c r="AK152" s="221" t="e">
        <f>SUM(#REF!,BT152,BV152)</f>
        <v>#REF!</v>
      </c>
      <c r="AL152" s="48"/>
      <c r="AM152" s="48"/>
      <c r="AN152" s="48"/>
      <c r="AO152" s="48"/>
      <c r="AP152" s="48"/>
      <c r="AQ152" s="48"/>
      <c r="AR152" s="51">
        <v>0.90276000000000001</v>
      </c>
      <c r="AS152" s="51">
        <v>7.9089099999999997</v>
      </c>
      <c r="AT152" s="51">
        <v>10.3965</v>
      </c>
      <c r="AU152" s="51"/>
      <c r="AV152" s="36">
        <v>11.5</v>
      </c>
      <c r="AW152" s="36">
        <v>0</v>
      </c>
      <c r="AX152" s="90">
        <f t="shared" si="59"/>
        <v>11.5</v>
      </c>
      <c r="AY152" s="157">
        <f t="shared" si="72"/>
        <v>0</v>
      </c>
      <c r="AZ152" s="182">
        <v>0</v>
      </c>
      <c r="BA152" s="158">
        <v>0</v>
      </c>
      <c r="BB152" s="182">
        <v>0</v>
      </c>
      <c r="BC152" s="158"/>
      <c r="BD152" s="182">
        <v>0</v>
      </c>
      <c r="BE152" s="158">
        <v>0</v>
      </c>
      <c r="BF152" s="182">
        <v>0</v>
      </c>
      <c r="BG152" s="158"/>
      <c r="BH152" s="182">
        <v>0</v>
      </c>
      <c r="BI152" s="158"/>
      <c r="BJ152" s="182">
        <v>0</v>
      </c>
      <c r="BK152" s="158"/>
      <c r="BL152" s="182"/>
      <c r="BM152" s="158"/>
      <c r="BN152" s="182"/>
      <c r="BO152" s="158"/>
      <c r="BP152" s="182"/>
      <c r="BQ152" s="158"/>
      <c r="BR152" s="182"/>
      <c r="BS152" s="158"/>
      <c r="BT152" s="182"/>
      <c r="BU152" s="158"/>
      <c r="BV152" s="182"/>
      <c r="BW152" s="234"/>
      <c r="BX152" s="237"/>
      <c r="BY152" s="81">
        <f t="shared" si="73"/>
        <v>0</v>
      </c>
      <c r="BZ152" s="241"/>
      <c r="CA152" s="241"/>
      <c r="CB152" s="241"/>
      <c r="CC152" s="241"/>
      <c r="CD152" s="241"/>
      <c r="CE152" s="241"/>
      <c r="CF152" s="241"/>
      <c r="CG152" s="241"/>
      <c r="CH152" s="241"/>
      <c r="CI152" s="241"/>
      <c r="CJ152" s="241"/>
      <c r="CK152" s="241"/>
      <c r="CL152" s="195">
        <f t="shared" si="63"/>
        <v>0</v>
      </c>
      <c r="CM152" s="196"/>
      <c r="CN152" s="196"/>
      <c r="CO152" s="196"/>
      <c r="CP152" s="196"/>
      <c r="CQ152" s="196"/>
      <c r="CR152" s="196"/>
      <c r="CS152" s="196"/>
      <c r="CT152" s="196"/>
      <c r="CU152" s="196"/>
      <c r="CV152" s="196"/>
      <c r="CW152" s="196"/>
      <c r="CX152" s="196"/>
      <c r="CY152" s="200">
        <f t="shared" si="60"/>
        <v>0</v>
      </c>
      <c r="CZ152" s="172">
        <f t="shared" si="74"/>
        <v>0</v>
      </c>
      <c r="DA152" s="201">
        <f t="shared" si="61"/>
        <v>0</v>
      </c>
      <c r="DB152" s="201">
        <f t="shared" si="62"/>
        <v>0</v>
      </c>
      <c r="DC152" s="201">
        <f t="shared" si="64"/>
        <v>0</v>
      </c>
      <c r="DD152" s="239">
        <v>0</v>
      </c>
      <c r="DE152" s="201">
        <f t="shared" si="65"/>
        <v>0</v>
      </c>
      <c r="DF152" s="172" t="e">
        <f>SUM(DN152:DO152)-SUM(#REF!,BV152)+BU152</f>
        <v>#REF!</v>
      </c>
      <c r="DG152" s="207"/>
      <c r="DH152" s="225">
        <f t="shared" si="66"/>
        <v>0</v>
      </c>
      <c r="DI152" s="225">
        <f t="shared" si="67"/>
        <v>0</v>
      </c>
      <c r="DJ152" s="225">
        <f t="shared" si="68"/>
        <v>0</v>
      </c>
      <c r="DK152" s="225" t="e">
        <f>SUM(BS152,#REF!,BV152)</f>
        <v>#REF!</v>
      </c>
      <c r="DL152" s="145">
        <v>11.5</v>
      </c>
      <c r="DM152" s="145">
        <v>11.29926</v>
      </c>
      <c r="DN152" s="145">
        <v>0</v>
      </c>
      <c r="DO152" s="145">
        <v>0</v>
      </c>
      <c r="DP152" s="145">
        <v>11.29926</v>
      </c>
      <c r="DQ152" s="145">
        <v>0.20074</v>
      </c>
      <c r="DS152" s="219">
        <f t="shared" si="69"/>
        <v>0</v>
      </c>
    </row>
    <row r="153" spans="1:123" s="21" customFormat="1" ht="24" customHeight="1">
      <c r="A153" s="16"/>
      <c r="B153" s="2">
        <v>110</v>
      </c>
      <c r="C153" s="78" t="s">
        <v>172</v>
      </c>
      <c r="D153" s="78"/>
      <c r="E153" s="78" t="s">
        <v>849</v>
      </c>
      <c r="F153" s="3">
        <v>2019</v>
      </c>
      <c r="G153" s="4">
        <v>43637</v>
      </c>
      <c r="H153" s="174">
        <v>43635</v>
      </c>
      <c r="I153" s="4">
        <v>44221</v>
      </c>
      <c r="J153" s="13">
        <f t="shared" ca="1" si="58"/>
        <v>586</v>
      </c>
      <c r="K153" s="165">
        <f t="shared" si="70"/>
        <v>44182</v>
      </c>
      <c r="L153" s="165">
        <f t="shared" si="71"/>
        <v>44365</v>
      </c>
      <c r="M153" s="165"/>
      <c r="N153" s="165"/>
      <c r="O153" s="165"/>
      <c r="P153" s="165"/>
      <c r="Q153" s="165"/>
      <c r="R153" s="3" t="s">
        <v>175</v>
      </c>
      <c r="S153" s="11" t="s">
        <v>221</v>
      </c>
      <c r="T153" s="11" t="s">
        <v>912</v>
      </c>
      <c r="U153" s="5" t="s">
        <v>8</v>
      </c>
      <c r="V153" s="251">
        <v>1677555</v>
      </c>
      <c r="W153" s="5" t="s">
        <v>602</v>
      </c>
      <c r="X153" s="5" t="s">
        <v>471</v>
      </c>
      <c r="Y153" s="5" t="s">
        <v>173</v>
      </c>
      <c r="Z153" s="78" t="s">
        <v>315</v>
      </c>
      <c r="AA153" s="6" t="s">
        <v>217</v>
      </c>
      <c r="AB153" s="141" t="s">
        <v>196</v>
      </c>
      <c r="AC153" s="165" t="s">
        <v>5</v>
      </c>
      <c r="AD153" s="165">
        <v>44286</v>
      </c>
      <c r="AE153" s="165" t="s">
        <v>5</v>
      </c>
      <c r="AF153" s="5"/>
      <c r="AG153" s="5"/>
      <c r="AH153" s="212"/>
      <c r="AI153" s="76"/>
      <c r="AJ153" s="76"/>
      <c r="AK153" s="221" t="e">
        <f>SUM(#REF!,BT153,BV153)</f>
        <v>#REF!</v>
      </c>
      <c r="AL153" s="154"/>
      <c r="AM153" s="154"/>
      <c r="AN153" s="154"/>
      <c r="AO153" s="154"/>
      <c r="AP153" s="154"/>
      <c r="AQ153" s="154"/>
      <c r="AR153" s="51">
        <v>23.122390000000003</v>
      </c>
      <c r="AS153" s="51">
        <v>41.08746</v>
      </c>
      <c r="AT153" s="51">
        <v>26.880130000000001</v>
      </c>
      <c r="AU153" s="51">
        <v>9.7674900000000004</v>
      </c>
      <c r="AV153" s="36">
        <v>67.5</v>
      </c>
      <c r="AW153" s="36">
        <v>6.5</v>
      </c>
      <c r="AX153" s="90">
        <f t="shared" si="59"/>
        <v>74</v>
      </c>
      <c r="AY153" s="157">
        <f t="shared" si="72"/>
        <v>4.6605600000000003</v>
      </c>
      <c r="AZ153" s="182">
        <v>2</v>
      </c>
      <c r="BA153" s="158">
        <v>1.7674900000000002</v>
      </c>
      <c r="BB153" s="182">
        <v>0</v>
      </c>
      <c r="BC153" s="158">
        <v>7.349E-2</v>
      </c>
      <c r="BD153" s="182">
        <v>8</v>
      </c>
      <c r="BE153" s="158">
        <v>2.8195799999999998</v>
      </c>
      <c r="BF153" s="182">
        <v>0</v>
      </c>
      <c r="BG153" s="158"/>
      <c r="BH153" s="182">
        <v>0</v>
      </c>
      <c r="BI153" s="158"/>
      <c r="BJ153" s="182">
        <v>0</v>
      </c>
      <c r="BK153" s="158"/>
      <c r="BL153" s="182"/>
      <c r="BM153" s="158"/>
      <c r="BN153" s="182"/>
      <c r="BO153" s="158"/>
      <c r="BP153" s="182"/>
      <c r="BQ153" s="158"/>
      <c r="BR153" s="182"/>
      <c r="BS153" s="158"/>
      <c r="BT153" s="182"/>
      <c r="BU153" s="158"/>
      <c r="BV153" s="182"/>
      <c r="BW153" s="234"/>
      <c r="BX153" s="237"/>
      <c r="BY153" s="81">
        <f t="shared" si="73"/>
        <v>0</v>
      </c>
      <c r="BZ153" s="241"/>
      <c r="CA153" s="241"/>
      <c r="CB153" s="241"/>
      <c r="CC153" s="241"/>
      <c r="CD153" s="241"/>
      <c r="CE153" s="241"/>
      <c r="CF153" s="241"/>
      <c r="CG153" s="241"/>
      <c r="CH153" s="241"/>
      <c r="CI153" s="241"/>
      <c r="CJ153" s="241"/>
      <c r="CK153" s="241"/>
      <c r="CL153" s="195">
        <f t="shared" si="63"/>
        <v>0</v>
      </c>
      <c r="CM153" s="196"/>
      <c r="CN153" s="196"/>
      <c r="CO153" s="196"/>
      <c r="CP153" s="196"/>
      <c r="CQ153" s="196"/>
      <c r="CR153" s="196"/>
      <c r="CS153" s="196"/>
      <c r="CT153" s="196"/>
      <c r="CU153" s="196"/>
      <c r="CV153" s="196"/>
      <c r="CW153" s="196"/>
      <c r="CX153" s="196"/>
      <c r="CY153" s="200">
        <f t="shared" si="60"/>
        <v>0</v>
      </c>
      <c r="CZ153" s="172">
        <f t="shared" si="74"/>
        <v>0</v>
      </c>
      <c r="DA153" s="201">
        <f t="shared" si="61"/>
        <v>4.6605600000000003</v>
      </c>
      <c r="DB153" s="201">
        <f t="shared" si="62"/>
        <v>0</v>
      </c>
      <c r="DC153" s="201">
        <f t="shared" si="64"/>
        <v>4.6605600000000003</v>
      </c>
      <c r="DD153" s="239">
        <v>4.6605600000000003</v>
      </c>
      <c r="DE153" s="201">
        <f t="shared" si="65"/>
        <v>0</v>
      </c>
      <c r="DF153" s="172" t="e">
        <f>SUM(DN153:DO153)-SUM(#REF!,BV153)+BU153</f>
        <v>#REF!</v>
      </c>
      <c r="DG153" s="207"/>
      <c r="DH153" s="225">
        <f t="shared" si="66"/>
        <v>4.6605600000000003</v>
      </c>
      <c r="DI153" s="225">
        <f t="shared" si="67"/>
        <v>0</v>
      </c>
      <c r="DJ153" s="225">
        <f t="shared" si="68"/>
        <v>0</v>
      </c>
      <c r="DK153" s="225" t="e">
        <f>SUM(BS153,#REF!,BV153)</f>
        <v>#REF!</v>
      </c>
      <c r="DL153" s="145">
        <v>67.5</v>
      </c>
      <c r="DM153" s="145">
        <v>54.663080000000001</v>
      </c>
      <c r="DN153" s="145">
        <v>0</v>
      </c>
      <c r="DO153" s="145">
        <v>0</v>
      </c>
      <c r="DP153" s="145">
        <v>54.663080000000001</v>
      </c>
      <c r="DQ153" s="145">
        <v>12.836919999999999</v>
      </c>
      <c r="DR153" s="21">
        <f>VLOOKUP(C153,[6]Database!$B$143:$AD$521,29,FALSE)</f>
        <v>0</v>
      </c>
      <c r="DS153" s="219">
        <f t="shared" si="69"/>
        <v>0</v>
      </c>
    </row>
    <row r="154" spans="1:123" s="21" customFormat="1" ht="24" customHeight="1">
      <c r="A154" s="16"/>
      <c r="B154" s="2">
        <v>111</v>
      </c>
      <c r="C154" s="78" t="s">
        <v>170</v>
      </c>
      <c r="D154" s="78"/>
      <c r="E154" s="78"/>
      <c r="F154" s="3">
        <v>2019</v>
      </c>
      <c r="G154" s="4">
        <v>43635</v>
      </c>
      <c r="H154" s="4">
        <v>43635</v>
      </c>
      <c r="I154" s="4">
        <v>43858</v>
      </c>
      <c r="J154" s="13">
        <f t="shared" ca="1" si="58"/>
        <v>223</v>
      </c>
      <c r="K154" s="165">
        <f t="shared" si="70"/>
        <v>44182</v>
      </c>
      <c r="L154" s="165">
        <f t="shared" si="71"/>
        <v>44365</v>
      </c>
      <c r="M154" s="165"/>
      <c r="N154" s="165"/>
      <c r="O154" s="165"/>
      <c r="P154" s="165"/>
      <c r="Q154" s="165"/>
      <c r="R154" s="3" t="s">
        <v>175</v>
      </c>
      <c r="S154" s="11" t="s">
        <v>222</v>
      </c>
      <c r="T154" s="11"/>
      <c r="U154" s="5" t="s">
        <v>8</v>
      </c>
      <c r="V154" s="251">
        <v>1670990</v>
      </c>
      <c r="W154" s="5" t="s">
        <v>602</v>
      </c>
      <c r="X154" s="5" t="s">
        <v>476</v>
      </c>
      <c r="Y154" s="5" t="s">
        <v>171</v>
      </c>
      <c r="Z154" s="3" t="s">
        <v>180</v>
      </c>
      <c r="AA154" s="6" t="s">
        <v>217</v>
      </c>
      <c r="AB154" s="141" t="s">
        <v>196</v>
      </c>
      <c r="AC154" s="165" t="s">
        <v>5</v>
      </c>
      <c r="AD154" s="165" t="s">
        <v>5</v>
      </c>
      <c r="AE154" s="165" t="s">
        <v>5</v>
      </c>
      <c r="AF154" s="5"/>
      <c r="AG154" s="5"/>
      <c r="AH154" s="212"/>
      <c r="AI154" s="76"/>
      <c r="AJ154" s="76"/>
      <c r="AK154" s="221" t="e">
        <f>SUM(#REF!,BT154,BV154)</f>
        <v>#REF!</v>
      </c>
      <c r="AL154" s="48"/>
      <c r="AM154" s="48"/>
      <c r="AN154" s="48"/>
      <c r="AO154" s="48"/>
      <c r="AP154" s="48"/>
      <c r="AQ154" s="48"/>
      <c r="AR154" s="51">
        <v>59.200770000000006</v>
      </c>
      <c r="AS154" s="51">
        <v>18.839819999999996</v>
      </c>
      <c r="AT154" s="51">
        <v>10.644819999999999</v>
      </c>
      <c r="AU154" s="51"/>
      <c r="AV154" s="36">
        <v>85</v>
      </c>
      <c r="AW154" s="36">
        <v>8.5</v>
      </c>
      <c r="AX154" s="90">
        <f t="shared" si="59"/>
        <v>93.5</v>
      </c>
      <c r="AY154" s="157">
        <f t="shared" si="72"/>
        <v>0</v>
      </c>
      <c r="AZ154" s="182">
        <v>0</v>
      </c>
      <c r="BA154" s="158"/>
      <c r="BB154" s="182">
        <v>0</v>
      </c>
      <c r="BC154" s="158"/>
      <c r="BD154" s="182">
        <v>0</v>
      </c>
      <c r="BE154" s="158">
        <v>0</v>
      </c>
      <c r="BF154" s="182">
        <v>0</v>
      </c>
      <c r="BG154" s="158"/>
      <c r="BH154" s="182">
        <v>0</v>
      </c>
      <c r="BI154" s="158"/>
      <c r="BJ154" s="182">
        <v>0</v>
      </c>
      <c r="BK154" s="158"/>
      <c r="BL154" s="182"/>
      <c r="BM154" s="158"/>
      <c r="BN154" s="182"/>
      <c r="BO154" s="158"/>
      <c r="BP154" s="182"/>
      <c r="BQ154" s="158"/>
      <c r="BR154" s="182"/>
      <c r="BS154" s="158"/>
      <c r="BT154" s="182"/>
      <c r="BU154" s="158"/>
      <c r="BV154" s="182"/>
      <c r="BW154" s="234"/>
      <c r="BX154" s="237"/>
      <c r="BY154" s="81">
        <f t="shared" si="73"/>
        <v>0</v>
      </c>
      <c r="BZ154" s="241"/>
      <c r="CA154" s="241"/>
      <c r="CB154" s="241"/>
      <c r="CC154" s="241"/>
      <c r="CD154" s="241"/>
      <c r="CE154" s="241"/>
      <c r="CF154" s="241"/>
      <c r="CG154" s="241"/>
      <c r="CH154" s="241"/>
      <c r="CI154" s="241"/>
      <c r="CJ154" s="241"/>
      <c r="CK154" s="241"/>
      <c r="CL154" s="195">
        <f t="shared" si="63"/>
        <v>0</v>
      </c>
      <c r="CM154" s="196"/>
      <c r="CN154" s="196"/>
      <c r="CO154" s="196"/>
      <c r="CP154" s="196"/>
      <c r="CQ154" s="196"/>
      <c r="CR154" s="196"/>
      <c r="CS154" s="196"/>
      <c r="CT154" s="196"/>
      <c r="CU154" s="196"/>
      <c r="CV154" s="196"/>
      <c r="CW154" s="196"/>
      <c r="CX154" s="196"/>
      <c r="CY154" s="200">
        <f t="shared" si="60"/>
        <v>0</v>
      </c>
      <c r="CZ154" s="172">
        <f t="shared" si="74"/>
        <v>0</v>
      </c>
      <c r="DA154" s="201">
        <f t="shared" si="61"/>
        <v>0</v>
      </c>
      <c r="DB154" s="201">
        <f t="shared" si="62"/>
        <v>0</v>
      </c>
      <c r="DC154" s="201">
        <f t="shared" si="64"/>
        <v>0</v>
      </c>
      <c r="DD154" s="239">
        <v>0</v>
      </c>
      <c r="DE154" s="201">
        <f t="shared" si="65"/>
        <v>0</v>
      </c>
      <c r="DF154" s="172" t="e">
        <f>SUM(DN154:DO154)-SUM(#REF!,BV154)+BU154</f>
        <v>#REF!</v>
      </c>
      <c r="DG154" s="207"/>
      <c r="DH154" s="225">
        <f t="shared" si="66"/>
        <v>0</v>
      </c>
      <c r="DI154" s="225">
        <f t="shared" si="67"/>
        <v>0</v>
      </c>
      <c r="DJ154" s="225">
        <f t="shared" si="68"/>
        <v>0</v>
      </c>
      <c r="DK154" s="225" t="e">
        <f>SUM(BS154,#REF!,BV154)</f>
        <v>#REF!</v>
      </c>
      <c r="DL154" s="145">
        <v>85</v>
      </c>
      <c r="DM154" s="145">
        <v>69.845590000000001</v>
      </c>
      <c r="DN154" s="145">
        <v>0</v>
      </c>
      <c r="DO154" s="145">
        <v>0</v>
      </c>
      <c r="DP154" s="145">
        <v>69.845590000000001</v>
      </c>
      <c r="DQ154" s="145">
        <v>15.15441</v>
      </c>
      <c r="DS154" s="219">
        <f t="shared" si="69"/>
        <v>0</v>
      </c>
    </row>
    <row r="155" spans="1:123" s="21" customFormat="1" ht="24" customHeight="1">
      <c r="A155" s="16"/>
      <c r="B155" s="2">
        <v>112</v>
      </c>
      <c r="C155" s="78" t="s">
        <v>174</v>
      </c>
      <c r="D155" s="78"/>
      <c r="E155" s="78" t="s">
        <v>871</v>
      </c>
      <c r="F155" s="3">
        <v>2019</v>
      </c>
      <c r="G155" s="4">
        <v>43656</v>
      </c>
      <c r="H155" s="4">
        <v>43676</v>
      </c>
      <c r="I155" s="4">
        <v>43984</v>
      </c>
      <c r="J155" s="13">
        <f t="shared" ca="1" si="58"/>
        <v>308</v>
      </c>
      <c r="K155" s="165">
        <f t="shared" si="70"/>
        <v>44223</v>
      </c>
      <c r="L155" s="165">
        <f t="shared" si="71"/>
        <v>44406</v>
      </c>
      <c r="M155" s="165"/>
      <c r="N155" s="165"/>
      <c r="O155" s="165"/>
      <c r="P155" s="165"/>
      <c r="Q155" s="165"/>
      <c r="R155" s="3" t="s">
        <v>175</v>
      </c>
      <c r="S155" s="11" t="s">
        <v>222</v>
      </c>
      <c r="T155" s="11"/>
      <c r="U155" s="5" t="s">
        <v>8</v>
      </c>
      <c r="V155" s="251">
        <v>1920845</v>
      </c>
      <c r="W155" s="5" t="s">
        <v>602</v>
      </c>
      <c r="X155" s="5" t="s">
        <v>480</v>
      </c>
      <c r="Y155" s="5" t="s">
        <v>123</v>
      </c>
      <c r="Z155" s="3" t="s">
        <v>185</v>
      </c>
      <c r="AA155" s="6" t="s">
        <v>217</v>
      </c>
      <c r="AB155" s="141" t="s">
        <v>196</v>
      </c>
      <c r="AC155" s="165" t="s">
        <v>5</v>
      </c>
      <c r="AD155" s="165" t="s">
        <v>5</v>
      </c>
      <c r="AE155" s="165" t="s">
        <v>5</v>
      </c>
      <c r="AF155" s="5"/>
      <c r="AG155" s="5"/>
      <c r="AH155" s="212"/>
      <c r="AI155" s="76"/>
      <c r="AJ155" s="76"/>
      <c r="AK155" s="221" t="e">
        <f>SUM(#REF!,BT155,BV155)</f>
        <v>#REF!</v>
      </c>
      <c r="AL155" s="48"/>
      <c r="AM155" s="48"/>
      <c r="AN155" s="48"/>
      <c r="AO155" s="48"/>
      <c r="AP155" s="48"/>
      <c r="AQ155" s="48"/>
      <c r="AR155" s="51">
        <v>85.744000000000014</v>
      </c>
      <c r="AS155" s="51">
        <v>4.7415000000000003</v>
      </c>
      <c r="AT155" s="51">
        <v>0.59535999999999945</v>
      </c>
      <c r="AU155" s="51"/>
      <c r="AV155" s="36">
        <v>96.3</v>
      </c>
      <c r="AW155" s="36">
        <v>3</v>
      </c>
      <c r="AX155" s="90">
        <f t="shared" si="59"/>
        <v>99.3</v>
      </c>
      <c r="AY155" s="157">
        <f t="shared" si="72"/>
        <v>0</v>
      </c>
      <c r="AZ155" s="182">
        <v>0</v>
      </c>
      <c r="BA155" s="158">
        <v>0</v>
      </c>
      <c r="BB155" s="182">
        <v>0</v>
      </c>
      <c r="BC155" s="158"/>
      <c r="BD155" s="182">
        <v>0</v>
      </c>
      <c r="BE155" s="158">
        <v>0</v>
      </c>
      <c r="BF155" s="182">
        <v>0</v>
      </c>
      <c r="BG155" s="158"/>
      <c r="BH155" s="182">
        <v>0</v>
      </c>
      <c r="BI155" s="158"/>
      <c r="BJ155" s="182">
        <v>0</v>
      </c>
      <c r="BK155" s="158"/>
      <c r="BL155" s="182"/>
      <c r="BM155" s="158"/>
      <c r="BN155" s="182"/>
      <c r="BO155" s="158"/>
      <c r="BP155" s="182"/>
      <c r="BQ155" s="158"/>
      <c r="BR155" s="182"/>
      <c r="BS155" s="158"/>
      <c r="BT155" s="182"/>
      <c r="BU155" s="158"/>
      <c r="BV155" s="182"/>
      <c r="BW155" s="234"/>
      <c r="BX155" s="237"/>
      <c r="BY155" s="81">
        <f t="shared" si="73"/>
        <v>0</v>
      </c>
      <c r="BZ155" s="241"/>
      <c r="CA155" s="241"/>
      <c r="CB155" s="241"/>
      <c r="CC155" s="241"/>
      <c r="CD155" s="241"/>
      <c r="CE155" s="241"/>
      <c r="CF155" s="241"/>
      <c r="CG155" s="241"/>
      <c r="CH155" s="241"/>
      <c r="CI155" s="241"/>
      <c r="CJ155" s="241"/>
      <c r="CK155" s="241"/>
      <c r="CL155" s="195">
        <f t="shared" si="63"/>
        <v>0</v>
      </c>
      <c r="CM155" s="196"/>
      <c r="CN155" s="196"/>
      <c r="CO155" s="196"/>
      <c r="CP155" s="196"/>
      <c r="CQ155" s="196"/>
      <c r="CR155" s="196"/>
      <c r="CS155" s="196"/>
      <c r="CT155" s="196"/>
      <c r="CU155" s="196"/>
      <c r="CV155" s="196"/>
      <c r="CW155" s="196"/>
      <c r="CX155" s="196"/>
      <c r="CY155" s="200">
        <f t="shared" si="60"/>
        <v>0</v>
      </c>
      <c r="CZ155" s="172">
        <f t="shared" si="74"/>
        <v>0</v>
      </c>
      <c r="DA155" s="201">
        <f t="shared" si="61"/>
        <v>0</v>
      </c>
      <c r="DB155" s="201">
        <f t="shared" si="62"/>
        <v>0</v>
      </c>
      <c r="DC155" s="201">
        <f t="shared" si="64"/>
        <v>0</v>
      </c>
      <c r="DD155" s="239">
        <v>0</v>
      </c>
      <c r="DE155" s="201">
        <f t="shared" si="65"/>
        <v>0</v>
      </c>
      <c r="DF155" s="172" t="e">
        <f>SUM(DN155:DO155)-SUM(#REF!,BV155)+BU155</f>
        <v>#REF!</v>
      </c>
      <c r="DG155" s="207"/>
      <c r="DH155" s="225">
        <f t="shared" si="66"/>
        <v>0</v>
      </c>
      <c r="DI155" s="225">
        <f t="shared" si="67"/>
        <v>0</v>
      </c>
      <c r="DJ155" s="225">
        <f t="shared" si="68"/>
        <v>0</v>
      </c>
      <c r="DK155" s="225" t="e">
        <f>SUM(BS155,#REF!,BV155)</f>
        <v>#REF!</v>
      </c>
      <c r="DL155" s="145">
        <v>96.3</v>
      </c>
      <c r="DM155" s="145">
        <v>86.339359999999999</v>
      </c>
      <c r="DN155" s="145">
        <v>0</v>
      </c>
      <c r="DO155" s="145">
        <v>0</v>
      </c>
      <c r="DP155" s="145">
        <v>86.339359999999999</v>
      </c>
      <c r="DQ155" s="145">
        <v>9.9606399999999997</v>
      </c>
      <c r="DS155" s="219">
        <f t="shared" si="69"/>
        <v>0</v>
      </c>
    </row>
    <row r="156" spans="1:123" s="21" customFormat="1" ht="24" customHeight="1">
      <c r="A156" s="16"/>
      <c r="B156" s="2">
        <v>113</v>
      </c>
      <c r="C156" s="78" t="s">
        <v>207</v>
      </c>
      <c r="D156" s="78"/>
      <c r="E156" s="78"/>
      <c r="F156" s="3">
        <v>2019</v>
      </c>
      <c r="G156" s="4">
        <v>43657</v>
      </c>
      <c r="H156" s="174">
        <v>43679</v>
      </c>
      <c r="I156" s="4">
        <v>44193</v>
      </c>
      <c r="J156" s="13">
        <f t="shared" ca="1" si="58"/>
        <v>514</v>
      </c>
      <c r="K156" s="165">
        <f t="shared" si="70"/>
        <v>44226</v>
      </c>
      <c r="L156" s="165">
        <f t="shared" si="71"/>
        <v>44409</v>
      </c>
      <c r="M156" s="165"/>
      <c r="N156" s="165"/>
      <c r="O156" s="165"/>
      <c r="P156" s="165"/>
      <c r="Q156" s="165"/>
      <c r="R156" s="3" t="s">
        <v>177</v>
      </c>
      <c r="S156" s="11" t="s">
        <v>222</v>
      </c>
      <c r="T156" s="11"/>
      <c r="U156" s="5" t="s">
        <v>8</v>
      </c>
      <c r="V156" s="251">
        <v>1883734</v>
      </c>
      <c r="W156" s="5" t="s">
        <v>602</v>
      </c>
      <c r="X156" s="5" t="s">
        <v>478</v>
      </c>
      <c r="Y156" s="5" t="s">
        <v>208</v>
      </c>
      <c r="Z156" s="3" t="s">
        <v>187</v>
      </c>
      <c r="AA156" s="6" t="s">
        <v>217</v>
      </c>
      <c r="AB156" s="141" t="s">
        <v>196</v>
      </c>
      <c r="AC156" s="165" t="s">
        <v>5</v>
      </c>
      <c r="AD156" s="165" t="s">
        <v>5</v>
      </c>
      <c r="AE156" s="165" t="s">
        <v>5</v>
      </c>
      <c r="AF156" s="5"/>
      <c r="AG156" s="5"/>
      <c r="AH156" s="212"/>
      <c r="AI156" s="76"/>
      <c r="AJ156" s="76"/>
      <c r="AK156" s="221" t="e">
        <f>SUM(#REF!,BT156,BV156)</f>
        <v>#REF!</v>
      </c>
      <c r="AL156" s="154"/>
      <c r="AM156" s="154"/>
      <c r="AN156" s="154"/>
      <c r="AO156" s="154"/>
      <c r="AP156" s="154"/>
      <c r="AQ156" s="154"/>
      <c r="AR156" s="51">
        <v>23.08418</v>
      </c>
      <c r="AS156" s="51">
        <v>820.53691000000003</v>
      </c>
      <c r="AT156" s="51">
        <v>699.36725000000001</v>
      </c>
      <c r="AU156" s="51">
        <v>14.6</v>
      </c>
      <c r="AV156" s="36">
        <v>844.22299999999996</v>
      </c>
      <c r="AW156" s="36">
        <v>194.255</v>
      </c>
      <c r="AX156" s="90">
        <f t="shared" si="59"/>
        <v>1038.4780000000001</v>
      </c>
      <c r="AY156" s="157">
        <f t="shared" si="72"/>
        <v>18.663270000000001</v>
      </c>
      <c r="AZ156" s="182">
        <v>0</v>
      </c>
      <c r="BA156" s="158">
        <v>0</v>
      </c>
      <c r="BB156" s="182">
        <v>0</v>
      </c>
      <c r="BC156" s="158"/>
      <c r="BD156" s="182">
        <v>0</v>
      </c>
      <c r="BE156" s="158">
        <v>0</v>
      </c>
      <c r="BF156" s="182">
        <v>0</v>
      </c>
      <c r="BG156" s="158"/>
      <c r="BH156" s="182">
        <v>0</v>
      </c>
      <c r="BI156" s="158"/>
      <c r="BJ156" s="182">
        <v>14.6</v>
      </c>
      <c r="BK156" s="158">
        <v>14.960870000000002</v>
      </c>
      <c r="BL156" s="182"/>
      <c r="BM156" s="158">
        <v>3.7023999999999999</v>
      </c>
      <c r="BN156" s="182"/>
      <c r="BO156" s="158"/>
      <c r="BP156" s="182"/>
      <c r="BQ156" s="158"/>
      <c r="BR156" s="182"/>
      <c r="BS156" s="158"/>
      <c r="BT156" s="182"/>
      <c r="BU156" s="158"/>
      <c r="BV156" s="182"/>
      <c r="BW156" s="234"/>
      <c r="BX156" s="237"/>
      <c r="BY156" s="81">
        <f t="shared" si="73"/>
        <v>0</v>
      </c>
      <c r="BZ156" s="198"/>
      <c r="CA156" s="198"/>
      <c r="CB156" s="198"/>
      <c r="CC156" s="198"/>
      <c r="CD156" s="198"/>
      <c r="CE156" s="198"/>
      <c r="CF156" s="198"/>
      <c r="CG156" s="198"/>
      <c r="CH156" s="198"/>
      <c r="CI156" s="198"/>
      <c r="CJ156" s="198"/>
      <c r="CK156" s="198"/>
      <c r="CL156" s="195">
        <f t="shared" si="63"/>
        <v>0</v>
      </c>
      <c r="CM156" s="196"/>
      <c r="CN156" s="196"/>
      <c r="CO156" s="196"/>
      <c r="CP156" s="196"/>
      <c r="CQ156" s="196"/>
      <c r="CR156" s="196"/>
      <c r="CS156" s="196"/>
      <c r="CT156" s="196"/>
      <c r="CU156" s="196"/>
      <c r="CV156" s="196"/>
      <c r="CW156" s="196"/>
      <c r="CX156" s="196"/>
      <c r="CY156" s="200">
        <f t="shared" si="60"/>
        <v>0</v>
      </c>
      <c r="CZ156" s="172">
        <f t="shared" si="74"/>
        <v>0</v>
      </c>
      <c r="DA156" s="201">
        <f t="shared" si="61"/>
        <v>18.663270000000001</v>
      </c>
      <c r="DB156" s="201">
        <f t="shared" si="62"/>
        <v>0</v>
      </c>
      <c r="DC156" s="201">
        <f t="shared" si="64"/>
        <v>18.663270000000001</v>
      </c>
      <c r="DD156" s="239">
        <v>18.663270000000001</v>
      </c>
      <c r="DE156" s="201">
        <f t="shared" si="65"/>
        <v>0</v>
      </c>
      <c r="DF156" s="172" t="e">
        <f>SUM(DN156:DO156)-SUM(#REF!,BV156)+BU156</f>
        <v>#REF!</v>
      </c>
      <c r="DG156" s="207"/>
      <c r="DH156" s="225">
        <f t="shared" si="66"/>
        <v>0</v>
      </c>
      <c r="DI156" s="225">
        <f t="shared" si="67"/>
        <v>14.960870000000002</v>
      </c>
      <c r="DJ156" s="225">
        <f t="shared" si="68"/>
        <v>3.7023999999999999</v>
      </c>
      <c r="DK156" s="225" t="e">
        <f>SUM(BS156,#REF!,BV156)</f>
        <v>#REF!</v>
      </c>
      <c r="DL156" s="145">
        <v>844.22315000000003</v>
      </c>
      <c r="DM156" s="145">
        <v>741.11469999999997</v>
      </c>
      <c r="DN156" s="145">
        <v>0</v>
      </c>
      <c r="DO156" s="145">
        <v>0</v>
      </c>
      <c r="DP156" s="145">
        <v>741.11469999999997</v>
      </c>
      <c r="DQ156" s="145">
        <v>103.10844999999999</v>
      </c>
      <c r="DR156" s="21">
        <f>VLOOKUP(C156,[6]Database!$B$143:$AD$521,29,FALSE)</f>
        <v>0</v>
      </c>
      <c r="DS156" s="219">
        <f t="shared" si="69"/>
        <v>0</v>
      </c>
    </row>
    <row r="157" spans="1:123" s="21" customFormat="1" ht="24" customHeight="1">
      <c r="A157" s="16"/>
      <c r="B157" s="2">
        <v>114</v>
      </c>
      <c r="C157" s="78" t="s">
        <v>204</v>
      </c>
      <c r="D157" s="78"/>
      <c r="E157" s="78"/>
      <c r="F157" s="3">
        <v>2019</v>
      </c>
      <c r="G157" s="4">
        <v>43657</v>
      </c>
      <c r="H157" s="4">
        <v>43668</v>
      </c>
      <c r="I157" s="4">
        <v>43797</v>
      </c>
      <c r="J157" s="13">
        <f t="shared" ca="1" si="58"/>
        <v>129</v>
      </c>
      <c r="K157" s="165">
        <f t="shared" si="70"/>
        <v>44215</v>
      </c>
      <c r="L157" s="165">
        <f t="shared" si="71"/>
        <v>44398</v>
      </c>
      <c r="M157" s="165"/>
      <c r="N157" s="165"/>
      <c r="O157" s="165"/>
      <c r="P157" s="165"/>
      <c r="Q157" s="165"/>
      <c r="R157" s="3" t="s">
        <v>177</v>
      </c>
      <c r="S157" s="11" t="s">
        <v>222</v>
      </c>
      <c r="T157" s="11"/>
      <c r="U157" s="5" t="s">
        <v>8</v>
      </c>
      <c r="V157" s="251">
        <v>1904716</v>
      </c>
      <c r="W157" s="5" t="s">
        <v>602</v>
      </c>
      <c r="X157" s="5" t="s">
        <v>473</v>
      </c>
      <c r="Y157" s="5" t="s">
        <v>203</v>
      </c>
      <c r="Z157" s="3" t="s">
        <v>187</v>
      </c>
      <c r="AA157" s="6" t="s">
        <v>217</v>
      </c>
      <c r="AB157" s="141" t="s">
        <v>196</v>
      </c>
      <c r="AC157" s="165" t="s">
        <v>5</v>
      </c>
      <c r="AD157" s="165" t="s">
        <v>5</v>
      </c>
      <c r="AE157" s="165" t="s">
        <v>5</v>
      </c>
      <c r="AF157" s="5"/>
      <c r="AG157" s="5"/>
      <c r="AH157" s="212"/>
      <c r="AI157" s="76"/>
      <c r="AJ157" s="76"/>
      <c r="AK157" s="221" t="e">
        <f>SUM(#REF!,BT157,BV157)</f>
        <v>#REF!</v>
      </c>
      <c r="AL157" s="48"/>
      <c r="AM157" s="48"/>
      <c r="AN157" s="48"/>
      <c r="AO157" s="48"/>
      <c r="AP157" s="48"/>
      <c r="AQ157" s="48"/>
      <c r="AR157" s="51">
        <v>15.10722</v>
      </c>
      <c r="AS157" s="51">
        <v>0</v>
      </c>
      <c r="AT157" s="51">
        <v>0</v>
      </c>
      <c r="AU157" s="51"/>
      <c r="AV157" s="36">
        <v>15.6</v>
      </c>
      <c r="AW157" s="36">
        <v>1.1000000000000001</v>
      </c>
      <c r="AX157" s="90">
        <f t="shared" si="59"/>
        <v>16.7</v>
      </c>
      <c r="AY157" s="157">
        <f t="shared" si="72"/>
        <v>0</v>
      </c>
      <c r="AZ157" s="182">
        <v>0</v>
      </c>
      <c r="BA157" s="158"/>
      <c r="BB157" s="182">
        <v>0</v>
      </c>
      <c r="BC157" s="158"/>
      <c r="BD157" s="182">
        <v>0</v>
      </c>
      <c r="BE157" s="158">
        <v>0</v>
      </c>
      <c r="BF157" s="182">
        <v>0</v>
      </c>
      <c r="BG157" s="158"/>
      <c r="BH157" s="182">
        <v>0</v>
      </c>
      <c r="BI157" s="158"/>
      <c r="BJ157" s="182">
        <v>0</v>
      </c>
      <c r="BK157" s="158"/>
      <c r="BL157" s="182"/>
      <c r="BM157" s="158"/>
      <c r="BN157" s="182"/>
      <c r="BO157" s="158"/>
      <c r="BP157" s="182"/>
      <c r="BQ157" s="158"/>
      <c r="BR157" s="182"/>
      <c r="BS157" s="158"/>
      <c r="BT157" s="182"/>
      <c r="BU157" s="158"/>
      <c r="BV157" s="182"/>
      <c r="BW157" s="234"/>
      <c r="BX157" s="237"/>
      <c r="BY157" s="81">
        <f t="shared" si="73"/>
        <v>0</v>
      </c>
      <c r="BZ157" s="198"/>
      <c r="CA157" s="198"/>
      <c r="CB157" s="198"/>
      <c r="CC157" s="198"/>
      <c r="CD157" s="198"/>
      <c r="CE157" s="198"/>
      <c r="CF157" s="198"/>
      <c r="CG157" s="198"/>
      <c r="CH157" s="198"/>
      <c r="CI157" s="198"/>
      <c r="CJ157" s="198"/>
      <c r="CK157" s="198"/>
      <c r="CL157" s="195">
        <f t="shared" ref="CL157:CL188" si="75">SUM(CM157:CX157)</f>
        <v>0</v>
      </c>
      <c r="CM157" s="196"/>
      <c r="CN157" s="196"/>
      <c r="CO157" s="196"/>
      <c r="CP157" s="196"/>
      <c r="CQ157" s="196"/>
      <c r="CR157" s="196"/>
      <c r="CS157" s="196"/>
      <c r="CT157" s="196"/>
      <c r="CU157" s="196"/>
      <c r="CV157" s="196"/>
      <c r="CW157" s="196"/>
      <c r="CX157" s="196"/>
      <c r="CY157" s="200">
        <f t="shared" si="60"/>
        <v>0</v>
      </c>
      <c r="CZ157" s="172">
        <f t="shared" si="74"/>
        <v>0</v>
      </c>
      <c r="DA157" s="201">
        <f t="shared" si="61"/>
        <v>0</v>
      </c>
      <c r="DB157" s="201">
        <f t="shared" si="62"/>
        <v>0</v>
      </c>
      <c r="DC157" s="201">
        <f t="shared" ref="DC157:DC188" si="76">SUM(AY157,BY157)</f>
        <v>0</v>
      </c>
      <c r="DD157" s="239">
        <v>0</v>
      </c>
      <c r="DE157" s="201">
        <f t="shared" ref="DE157:DE188" si="77">DC157-DD157</f>
        <v>0</v>
      </c>
      <c r="DF157" s="172" t="e">
        <f>SUM(DN157:DO157)-SUM(#REF!,BV157)+BU157</f>
        <v>#REF!</v>
      </c>
      <c r="DG157" s="207"/>
      <c r="DH157" s="225">
        <f t="shared" ref="DH157:DH188" si="78">SUM(BA157,BC157,BE157)</f>
        <v>0</v>
      </c>
      <c r="DI157" s="225">
        <f t="shared" ref="DI157:DI188" si="79">SUM(BG157,BI157,BK157)</f>
        <v>0</v>
      </c>
      <c r="DJ157" s="225">
        <f t="shared" ref="DJ157:DJ188" si="80">SUM(BM157,BO157,BQ157)</f>
        <v>0</v>
      </c>
      <c r="DK157" s="225" t="e">
        <f>SUM(BS157,#REF!,BV157)</f>
        <v>#REF!</v>
      </c>
      <c r="DL157" s="145">
        <v>15.6</v>
      </c>
      <c r="DM157" s="145">
        <v>15.10722</v>
      </c>
      <c r="DN157" s="145">
        <v>0</v>
      </c>
      <c r="DO157" s="145">
        <v>0</v>
      </c>
      <c r="DP157" s="145">
        <v>15.10722</v>
      </c>
      <c r="DQ157" s="145">
        <v>0.49278</v>
      </c>
      <c r="DS157" s="219">
        <f t="shared" ref="DS157:DS188" si="81">BY157-DR157</f>
        <v>0</v>
      </c>
    </row>
    <row r="158" spans="1:123" s="21" customFormat="1" ht="24" customHeight="1">
      <c r="A158" s="16"/>
      <c r="B158" s="2">
        <v>115</v>
      </c>
      <c r="C158" s="78" t="s">
        <v>205</v>
      </c>
      <c r="D158" s="78"/>
      <c r="E158" s="78"/>
      <c r="F158" s="3">
        <v>2019</v>
      </c>
      <c r="G158" s="4">
        <v>43658</v>
      </c>
      <c r="H158" s="174">
        <v>43753</v>
      </c>
      <c r="I158" s="4">
        <v>44201</v>
      </c>
      <c r="J158" s="13">
        <f t="shared" ca="1" si="58"/>
        <v>448</v>
      </c>
      <c r="K158" s="165">
        <f t="shared" si="70"/>
        <v>44300</v>
      </c>
      <c r="L158" s="165">
        <f t="shared" si="71"/>
        <v>44483</v>
      </c>
      <c r="M158" s="165"/>
      <c r="N158" s="165"/>
      <c r="O158" s="165"/>
      <c r="P158" s="165"/>
      <c r="Q158" s="165"/>
      <c r="R158" s="78" t="s">
        <v>178</v>
      </c>
      <c r="S158" s="11"/>
      <c r="T158" s="263"/>
      <c r="U158" s="5" t="s">
        <v>8</v>
      </c>
      <c r="V158" s="251">
        <v>2272070</v>
      </c>
      <c r="W158" s="5" t="s">
        <v>602</v>
      </c>
      <c r="X158" s="5" t="s">
        <v>478</v>
      </c>
      <c r="Y158" s="5" t="s">
        <v>206</v>
      </c>
      <c r="Z158" s="3" t="s">
        <v>187</v>
      </c>
      <c r="AA158" s="6" t="s">
        <v>217</v>
      </c>
      <c r="AB158" s="141" t="s">
        <v>196</v>
      </c>
      <c r="AC158" s="165" t="s">
        <v>5</v>
      </c>
      <c r="AD158" s="165">
        <v>44286</v>
      </c>
      <c r="AE158" s="165" t="s">
        <v>5</v>
      </c>
      <c r="AF158" s="5"/>
      <c r="AG158" s="5"/>
      <c r="AH158" s="212"/>
      <c r="AI158" s="76"/>
      <c r="AJ158" s="76"/>
      <c r="AK158" s="221" t="e">
        <f>SUM(#REF!,BT158,BV158)</f>
        <v>#REF!</v>
      </c>
      <c r="AL158" s="154"/>
      <c r="AM158" s="154"/>
      <c r="AN158" s="154"/>
      <c r="AO158" s="154"/>
      <c r="AP158" s="154"/>
      <c r="AQ158" s="154"/>
      <c r="AR158" s="51">
        <v>0</v>
      </c>
      <c r="AS158" s="51">
        <v>400</v>
      </c>
      <c r="AT158" s="51">
        <v>310.05028000000004</v>
      </c>
      <c r="AU158" s="51">
        <v>2.9873499999999993</v>
      </c>
      <c r="AV158" s="36">
        <v>427.82</v>
      </c>
      <c r="AW158" s="36">
        <v>0</v>
      </c>
      <c r="AX158" s="90">
        <f t="shared" si="59"/>
        <v>427.82</v>
      </c>
      <c r="AY158" s="157">
        <f t="shared" si="72"/>
        <v>2.9714299999999998</v>
      </c>
      <c r="AZ158" s="182">
        <v>0</v>
      </c>
      <c r="BA158" s="158">
        <v>-1.1126500000000001</v>
      </c>
      <c r="BB158" s="182">
        <v>0</v>
      </c>
      <c r="BC158" s="158">
        <v>2.6312700000000002</v>
      </c>
      <c r="BD158" s="182">
        <v>1.2</v>
      </c>
      <c r="BE158" s="158">
        <v>1.4528099999999999</v>
      </c>
      <c r="BF158" s="182">
        <v>0</v>
      </c>
      <c r="BG158" s="158"/>
      <c r="BH158" s="182">
        <v>0</v>
      </c>
      <c r="BI158" s="158"/>
      <c r="BJ158" s="182">
        <v>0</v>
      </c>
      <c r="BK158" s="158"/>
      <c r="BL158" s="182"/>
      <c r="BM158" s="158"/>
      <c r="BN158" s="182"/>
      <c r="BO158" s="158"/>
      <c r="BP158" s="182"/>
      <c r="BQ158" s="158"/>
      <c r="BR158" s="182"/>
      <c r="BS158" s="158"/>
      <c r="BT158" s="182"/>
      <c r="BU158" s="158"/>
      <c r="BV158" s="182"/>
      <c r="BW158" s="234"/>
      <c r="BX158" s="237"/>
      <c r="BY158" s="81">
        <f t="shared" si="73"/>
        <v>0</v>
      </c>
      <c r="BZ158" s="198"/>
      <c r="CA158" s="198"/>
      <c r="CB158" s="198"/>
      <c r="CC158" s="198"/>
      <c r="CD158" s="198"/>
      <c r="CE158" s="198"/>
      <c r="CF158" s="198"/>
      <c r="CG158" s="198"/>
      <c r="CH158" s="198"/>
      <c r="CI158" s="198"/>
      <c r="CJ158" s="198"/>
      <c r="CK158" s="198"/>
      <c r="CL158" s="195">
        <f t="shared" si="75"/>
        <v>0</v>
      </c>
      <c r="CM158" s="196"/>
      <c r="CN158" s="196"/>
      <c r="CO158" s="196"/>
      <c r="CP158" s="196"/>
      <c r="CQ158" s="196"/>
      <c r="CR158" s="196"/>
      <c r="CS158" s="196"/>
      <c r="CT158" s="196"/>
      <c r="CU158" s="196"/>
      <c r="CV158" s="196"/>
      <c r="CW158" s="196"/>
      <c r="CX158" s="196"/>
      <c r="CY158" s="200">
        <f t="shared" si="60"/>
        <v>0</v>
      </c>
      <c r="CZ158" s="172">
        <f t="shared" si="74"/>
        <v>0</v>
      </c>
      <c r="DA158" s="201">
        <f t="shared" si="61"/>
        <v>2.9714299999999998</v>
      </c>
      <c r="DB158" s="201">
        <f t="shared" si="62"/>
        <v>0</v>
      </c>
      <c r="DC158" s="201">
        <f t="shared" si="76"/>
        <v>2.9714299999999998</v>
      </c>
      <c r="DD158" s="239">
        <v>2.9714299999999998</v>
      </c>
      <c r="DE158" s="201">
        <f t="shared" si="77"/>
        <v>0</v>
      </c>
      <c r="DF158" s="172" t="e">
        <f>SUM(DN158:DO158)-SUM(#REF!,BV158)+BU158</f>
        <v>#REF!</v>
      </c>
      <c r="DG158" s="207"/>
      <c r="DH158" s="225">
        <f t="shared" si="78"/>
        <v>2.9714299999999998</v>
      </c>
      <c r="DI158" s="225">
        <f t="shared" si="79"/>
        <v>0</v>
      </c>
      <c r="DJ158" s="225">
        <f t="shared" si="80"/>
        <v>0</v>
      </c>
      <c r="DK158" s="225" t="e">
        <f>SUM(BS158,#REF!,BV158)</f>
        <v>#REF!</v>
      </c>
      <c r="DL158" s="145">
        <v>427.82044000000002</v>
      </c>
      <c r="DM158" s="145">
        <v>313.02171000000004</v>
      </c>
      <c r="DN158" s="145">
        <v>0</v>
      </c>
      <c r="DO158" s="145">
        <v>0</v>
      </c>
      <c r="DP158" s="145">
        <v>313.02171000000004</v>
      </c>
      <c r="DQ158" s="145">
        <v>114.79872999999999</v>
      </c>
      <c r="DR158" s="21">
        <f>VLOOKUP(C158,[6]Database!$B$143:$AD$521,29,FALSE)</f>
        <v>0</v>
      </c>
      <c r="DS158" s="219">
        <f t="shared" si="81"/>
        <v>0</v>
      </c>
    </row>
    <row r="159" spans="1:123" s="21" customFormat="1" ht="24" customHeight="1">
      <c r="A159" s="16"/>
      <c r="B159" s="2">
        <v>116</v>
      </c>
      <c r="C159" s="78" t="s">
        <v>200</v>
      </c>
      <c r="D159" s="78"/>
      <c r="E159" s="78" t="s">
        <v>828</v>
      </c>
      <c r="F159" s="3">
        <v>2019</v>
      </c>
      <c r="G159" s="4">
        <v>43661</v>
      </c>
      <c r="H159" s="174">
        <v>43700</v>
      </c>
      <c r="I159" s="4">
        <v>44407</v>
      </c>
      <c r="J159" s="13">
        <f t="shared" ca="1" si="58"/>
        <v>707</v>
      </c>
      <c r="K159" s="165">
        <f t="shared" ref="K159:K190" si="82">IF(H159="","",H159+547)</f>
        <v>44247</v>
      </c>
      <c r="L159" s="165">
        <f t="shared" ref="L159:L190" si="83">IF(H159="","",H159+730)</f>
        <v>44430</v>
      </c>
      <c r="M159" s="165" t="s">
        <v>597</v>
      </c>
      <c r="N159" s="165"/>
      <c r="O159" s="165"/>
      <c r="P159" s="165"/>
      <c r="Q159" s="165"/>
      <c r="R159" s="3" t="s">
        <v>175</v>
      </c>
      <c r="S159" s="11" t="s">
        <v>4</v>
      </c>
      <c r="T159" s="11" t="s">
        <v>904</v>
      </c>
      <c r="U159" s="5" t="s">
        <v>8</v>
      </c>
      <c r="V159" s="251">
        <v>2082380</v>
      </c>
      <c r="W159" s="5" t="s">
        <v>602</v>
      </c>
      <c r="X159" s="5" t="s">
        <v>475</v>
      </c>
      <c r="Y159" s="5" t="s">
        <v>199</v>
      </c>
      <c r="Z159" s="78" t="s">
        <v>315</v>
      </c>
      <c r="AA159" s="6" t="s">
        <v>217</v>
      </c>
      <c r="AB159" s="142" t="s">
        <v>196</v>
      </c>
      <c r="AC159" s="165" t="s">
        <v>5</v>
      </c>
      <c r="AD159" s="165" t="s">
        <v>5</v>
      </c>
      <c r="AE159" s="165" t="s">
        <v>5</v>
      </c>
      <c r="AF159" s="5"/>
      <c r="AG159" s="5"/>
      <c r="AH159" s="212"/>
      <c r="AI159" s="76"/>
      <c r="AJ159" s="76"/>
      <c r="AK159" s="221" t="e">
        <f>SUM(#REF!,BT159,BV159)</f>
        <v>#REF!</v>
      </c>
      <c r="AL159" s="167"/>
      <c r="AM159" s="167"/>
      <c r="AN159" s="167"/>
      <c r="AO159" s="167"/>
      <c r="AP159" s="167"/>
      <c r="AQ159" s="167"/>
      <c r="AR159" s="51">
        <v>78.383870000000002</v>
      </c>
      <c r="AS159" s="51">
        <v>542.41695000000004</v>
      </c>
      <c r="AT159" s="51">
        <v>360.27114000000006</v>
      </c>
      <c r="AU159" s="51">
        <v>108.0915</v>
      </c>
      <c r="AV159" s="36">
        <v>616.41</v>
      </c>
      <c r="AW159" s="36">
        <v>0</v>
      </c>
      <c r="AX159" s="90">
        <f t="shared" si="59"/>
        <v>616.41</v>
      </c>
      <c r="AY159" s="157">
        <f t="shared" si="72"/>
        <v>128.45499000000001</v>
      </c>
      <c r="AZ159" s="182">
        <v>15</v>
      </c>
      <c r="BA159" s="158">
        <v>18.091500000000003</v>
      </c>
      <c r="BB159" s="182">
        <v>10</v>
      </c>
      <c r="BC159" s="158">
        <v>29.040839999999999</v>
      </c>
      <c r="BD159" s="182">
        <v>0</v>
      </c>
      <c r="BE159" s="158">
        <v>13.255600000000001</v>
      </c>
      <c r="BF159" s="182">
        <v>10</v>
      </c>
      <c r="BG159" s="158">
        <v>32.314799999999998</v>
      </c>
      <c r="BH159" s="182">
        <v>0</v>
      </c>
      <c r="BI159" s="158">
        <v>7.9704499999999996</v>
      </c>
      <c r="BJ159" s="182">
        <v>7.5651399999999995</v>
      </c>
      <c r="BK159" s="158">
        <v>8.7998999999999992</v>
      </c>
      <c r="BL159" s="182">
        <v>15</v>
      </c>
      <c r="BM159" s="158">
        <v>18.9819</v>
      </c>
      <c r="BN159" s="182"/>
      <c r="BO159" s="158"/>
      <c r="BP159" s="182"/>
      <c r="BQ159" s="158"/>
      <c r="BR159" s="182"/>
      <c r="BS159" s="158"/>
      <c r="BT159" s="182"/>
      <c r="BU159" s="158"/>
      <c r="BV159" s="182"/>
      <c r="BW159" s="234"/>
      <c r="BX159" s="237"/>
      <c r="BY159" s="81">
        <f t="shared" si="73"/>
        <v>0</v>
      </c>
      <c r="BZ159" s="241"/>
      <c r="CA159" s="241"/>
      <c r="CB159" s="241"/>
      <c r="CC159" s="241"/>
      <c r="CD159" s="241"/>
      <c r="CE159" s="241"/>
      <c r="CF159" s="241"/>
      <c r="CG159" s="241"/>
      <c r="CH159" s="241"/>
      <c r="CI159" s="241"/>
      <c r="CJ159" s="241"/>
      <c r="CK159" s="241"/>
      <c r="CL159" s="195">
        <f t="shared" si="75"/>
        <v>0</v>
      </c>
      <c r="CM159" s="196"/>
      <c r="CN159" s="196"/>
      <c r="CO159" s="196"/>
      <c r="CP159" s="196"/>
      <c r="CQ159" s="196"/>
      <c r="CR159" s="196"/>
      <c r="CS159" s="196"/>
      <c r="CT159" s="196"/>
      <c r="CU159" s="196"/>
      <c r="CV159" s="196"/>
      <c r="CW159" s="196"/>
      <c r="CX159" s="196"/>
      <c r="CY159" s="200">
        <f t="shared" si="60"/>
        <v>0</v>
      </c>
      <c r="CZ159" s="172">
        <f t="shared" si="74"/>
        <v>0</v>
      </c>
      <c r="DA159" s="201">
        <f t="shared" si="61"/>
        <v>128.45499000000001</v>
      </c>
      <c r="DB159" s="201">
        <f t="shared" si="62"/>
        <v>0</v>
      </c>
      <c r="DC159" s="201">
        <f t="shared" si="76"/>
        <v>128.45499000000001</v>
      </c>
      <c r="DD159" s="239">
        <v>128.45499000000001</v>
      </c>
      <c r="DE159" s="201">
        <f t="shared" si="77"/>
        <v>0</v>
      </c>
      <c r="DF159" s="172" t="e">
        <f>SUM(DN159:DO159)-SUM(#REF!,BV159)+BU159</f>
        <v>#REF!</v>
      </c>
      <c r="DG159" s="207"/>
      <c r="DH159" s="225">
        <f t="shared" si="78"/>
        <v>60.38794</v>
      </c>
      <c r="DI159" s="225">
        <f t="shared" si="79"/>
        <v>49.085149999999999</v>
      </c>
      <c r="DJ159" s="225">
        <f t="shared" si="80"/>
        <v>18.9819</v>
      </c>
      <c r="DK159" s="225" t="e">
        <f>SUM(BS159,#REF!,BV159)</f>
        <v>#REF!</v>
      </c>
      <c r="DL159" s="145">
        <v>616.40979000000004</v>
      </c>
      <c r="DM159" s="145">
        <v>567.11</v>
      </c>
      <c r="DN159" s="145">
        <v>0</v>
      </c>
      <c r="DO159" s="145">
        <v>0</v>
      </c>
      <c r="DP159" s="145">
        <v>567.11</v>
      </c>
      <c r="DQ159" s="145">
        <v>49.299790000000002</v>
      </c>
      <c r="DR159" s="21">
        <f>VLOOKUP(C159,[6]Database!$B$143:$AD$521,29,FALSE)</f>
        <v>0</v>
      </c>
      <c r="DS159" s="219">
        <f t="shared" si="81"/>
        <v>0</v>
      </c>
    </row>
    <row r="160" spans="1:123" s="21" customFormat="1" ht="24" customHeight="1">
      <c r="A160" s="16"/>
      <c r="B160" s="2">
        <v>117</v>
      </c>
      <c r="C160" s="78" t="s">
        <v>198</v>
      </c>
      <c r="D160" s="78"/>
      <c r="E160" s="78" t="s">
        <v>877</v>
      </c>
      <c r="F160" s="3">
        <v>2019</v>
      </c>
      <c r="G160" s="4">
        <v>43661</v>
      </c>
      <c r="H160" s="4">
        <v>43676</v>
      </c>
      <c r="I160" s="4">
        <v>43797</v>
      </c>
      <c r="J160" s="13">
        <f t="shared" ca="1" si="58"/>
        <v>121</v>
      </c>
      <c r="K160" s="165">
        <f t="shared" si="82"/>
        <v>44223</v>
      </c>
      <c r="L160" s="165">
        <f t="shared" si="83"/>
        <v>44406</v>
      </c>
      <c r="M160" s="165"/>
      <c r="N160" s="165"/>
      <c r="O160" s="165"/>
      <c r="P160" s="165"/>
      <c r="Q160" s="165"/>
      <c r="R160" s="3" t="s">
        <v>176</v>
      </c>
      <c r="S160" s="11" t="s">
        <v>222</v>
      </c>
      <c r="T160" s="11"/>
      <c r="U160" s="5" t="s">
        <v>8</v>
      </c>
      <c r="V160" s="251">
        <v>1920524</v>
      </c>
      <c r="W160" s="5" t="s">
        <v>602</v>
      </c>
      <c r="X160" s="5" t="s">
        <v>473</v>
      </c>
      <c r="Y160" s="5" t="s">
        <v>197</v>
      </c>
      <c r="Z160" s="3" t="s">
        <v>180</v>
      </c>
      <c r="AA160" s="6" t="s">
        <v>217</v>
      </c>
      <c r="AB160" s="141" t="s">
        <v>196</v>
      </c>
      <c r="AC160" s="165" t="s">
        <v>5</v>
      </c>
      <c r="AD160" s="165" t="s">
        <v>5</v>
      </c>
      <c r="AE160" s="165" t="s">
        <v>5</v>
      </c>
      <c r="AF160" s="5"/>
      <c r="AG160" s="5"/>
      <c r="AH160" s="212"/>
      <c r="AI160" s="76"/>
      <c r="AJ160" s="76"/>
      <c r="AK160" s="221" t="e">
        <f>SUM(#REF!,BT160,BV160)</f>
        <v>#REF!</v>
      </c>
      <c r="AL160" s="48"/>
      <c r="AM160" s="48"/>
      <c r="AN160" s="48"/>
      <c r="AO160" s="48"/>
      <c r="AP160" s="48"/>
      <c r="AQ160" s="48"/>
      <c r="AR160" s="51">
        <v>20.149589999999996</v>
      </c>
      <c r="AS160" s="51">
        <v>0</v>
      </c>
      <c r="AT160" s="51">
        <v>0</v>
      </c>
      <c r="AU160" s="51"/>
      <c r="AV160" s="36">
        <v>67</v>
      </c>
      <c r="AW160" s="36">
        <v>0</v>
      </c>
      <c r="AX160" s="90">
        <f t="shared" si="59"/>
        <v>67</v>
      </c>
      <c r="AY160" s="157">
        <f t="shared" si="72"/>
        <v>0</v>
      </c>
      <c r="AZ160" s="182">
        <v>0</v>
      </c>
      <c r="BA160" s="158"/>
      <c r="BB160" s="182">
        <v>0</v>
      </c>
      <c r="BC160" s="158"/>
      <c r="BD160" s="182">
        <v>0</v>
      </c>
      <c r="BE160" s="158">
        <v>0</v>
      </c>
      <c r="BF160" s="182">
        <v>0</v>
      </c>
      <c r="BG160" s="158"/>
      <c r="BH160" s="182">
        <v>0</v>
      </c>
      <c r="BI160" s="158"/>
      <c r="BJ160" s="182">
        <v>0</v>
      </c>
      <c r="BK160" s="158"/>
      <c r="BL160" s="182"/>
      <c r="BM160" s="158"/>
      <c r="BN160" s="182"/>
      <c r="BO160" s="158"/>
      <c r="BP160" s="182"/>
      <c r="BQ160" s="158"/>
      <c r="BR160" s="182"/>
      <c r="BS160" s="158"/>
      <c r="BT160" s="182"/>
      <c r="BU160" s="158"/>
      <c r="BV160" s="182"/>
      <c r="BW160" s="234"/>
      <c r="BX160" s="237"/>
      <c r="BY160" s="81">
        <f t="shared" si="73"/>
        <v>0</v>
      </c>
      <c r="BZ160" s="198"/>
      <c r="CA160" s="198"/>
      <c r="CB160" s="198"/>
      <c r="CC160" s="198"/>
      <c r="CD160" s="198"/>
      <c r="CE160" s="198"/>
      <c r="CF160" s="198"/>
      <c r="CG160" s="198"/>
      <c r="CH160" s="198"/>
      <c r="CI160" s="198"/>
      <c r="CJ160" s="198"/>
      <c r="CK160" s="198"/>
      <c r="CL160" s="195">
        <f t="shared" si="75"/>
        <v>0</v>
      </c>
      <c r="CM160" s="196"/>
      <c r="CN160" s="196"/>
      <c r="CO160" s="196"/>
      <c r="CP160" s="196"/>
      <c r="CQ160" s="196"/>
      <c r="CR160" s="196"/>
      <c r="CS160" s="196"/>
      <c r="CT160" s="196"/>
      <c r="CU160" s="196"/>
      <c r="CV160" s="196"/>
      <c r="CW160" s="196"/>
      <c r="CX160" s="196"/>
      <c r="CY160" s="200">
        <f t="shared" si="60"/>
        <v>0</v>
      </c>
      <c r="CZ160" s="172">
        <f t="shared" si="74"/>
        <v>0</v>
      </c>
      <c r="DA160" s="201">
        <f t="shared" si="61"/>
        <v>0</v>
      </c>
      <c r="DB160" s="201">
        <f t="shared" si="62"/>
        <v>0</v>
      </c>
      <c r="DC160" s="201">
        <f t="shared" si="76"/>
        <v>0</v>
      </c>
      <c r="DD160" s="239">
        <v>0</v>
      </c>
      <c r="DE160" s="201">
        <f t="shared" si="77"/>
        <v>0</v>
      </c>
      <c r="DF160" s="172" t="e">
        <f>SUM(DN160:DO160)-SUM(#REF!,BV160)+BU160</f>
        <v>#REF!</v>
      </c>
      <c r="DG160" s="207"/>
      <c r="DH160" s="225">
        <f t="shared" si="78"/>
        <v>0</v>
      </c>
      <c r="DI160" s="225">
        <f t="shared" si="79"/>
        <v>0</v>
      </c>
      <c r="DJ160" s="225">
        <f t="shared" si="80"/>
        <v>0</v>
      </c>
      <c r="DK160" s="225" t="e">
        <f>SUM(BS160,#REF!,BV160)</f>
        <v>#REF!</v>
      </c>
      <c r="DL160" s="145">
        <v>67</v>
      </c>
      <c r="DM160" s="145">
        <v>20.14959</v>
      </c>
      <c r="DN160" s="145">
        <v>0</v>
      </c>
      <c r="DO160" s="145">
        <v>0</v>
      </c>
      <c r="DP160" s="145">
        <v>20.14959</v>
      </c>
      <c r="DQ160" s="145">
        <v>46.850410000000004</v>
      </c>
      <c r="DS160" s="219">
        <f t="shared" si="81"/>
        <v>0</v>
      </c>
    </row>
    <row r="161" spans="1:123" s="21" customFormat="1" ht="24" customHeight="1">
      <c r="A161" s="16"/>
      <c r="B161" s="2">
        <v>118</v>
      </c>
      <c r="C161" s="78" t="s">
        <v>202</v>
      </c>
      <c r="D161" s="78"/>
      <c r="E161" s="78" t="s">
        <v>885</v>
      </c>
      <c r="F161" s="3">
        <v>2019</v>
      </c>
      <c r="G161" s="4">
        <v>43657</v>
      </c>
      <c r="H161" s="4">
        <v>43676</v>
      </c>
      <c r="I161" s="4">
        <v>44201</v>
      </c>
      <c r="J161" s="13">
        <f t="shared" ca="1" si="58"/>
        <v>525</v>
      </c>
      <c r="K161" s="165">
        <f t="shared" si="82"/>
        <v>44223</v>
      </c>
      <c r="L161" s="165">
        <f t="shared" si="83"/>
        <v>44406</v>
      </c>
      <c r="M161" s="165"/>
      <c r="N161" s="165"/>
      <c r="O161" s="165"/>
      <c r="P161" s="165"/>
      <c r="Q161" s="165"/>
      <c r="R161" s="3" t="s">
        <v>175</v>
      </c>
      <c r="S161" s="11" t="s">
        <v>4</v>
      </c>
      <c r="T161" s="11" t="s">
        <v>905</v>
      </c>
      <c r="U161" s="5" t="s">
        <v>8</v>
      </c>
      <c r="V161" s="251">
        <v>1917345</v>
      </c>
      <c r="W161" s="5" t="s">
        <v>602</v>
      </c>
      <c r="X161" s="5" t="s">
        <v>477</v>
      </c>
      <c r="Y161" s="5" t="s">
        <v>201</v>
      </c>
      <c r="Z161" s="78" t="s">
        <v>315</v>
      </c>
      <c r="AA161" s="6" t="s">
        <v>217</v>
      </c>
      <c r="AB161" s="141" t="s">
        <v>196</v>
      </c>
      <c r="AC161" s="165" t="s">
        <v>5</v>
      </c>
      <c r="AD161" s="165" t="s">
        <v>5</v>
      </c>
      <c r="AE161" s="165" t="s">
        <v>5</v>
      </c>
      <c r="AF161" s="5"/>
      <c r="AG161" s="5"/>
      <c r="AH161" s="212"/>
      <c r="AI161" s="76"/>
      <c r="AJ161" s="76"/>
      <c r="AK161" s="221" t="e">
        <f>SUM(#REF!,BT161,BV161)</f>
        <v>#REF!</v>
      </c>
      <c r="AL161" s="153"/>
      <c r="AM161" s="153"/>
      <c r="AN161" s="153"/>
      <c r="AO161" s="153"/>
      <c r="AP161" s="153"/>
      <c r="AQ161" s="153"/>
      <c r="AR161" s="51">
        <v>1.56802</v>
      </c>
      <c r="AS161" s="51">
        <v>88.9</v>
      </c>
      <c r="AT161" s="51">
        <v>0</v>
      </c>
      <c r="AU161" s="51">
        <v>-1.56802</v>
      </c>
      <c r="AV161" s="36">
        <v>90.5</v>
      </c>
      <c r="AW161" s="36">
        <v>0</v>
      </c>
      <c r="AX161" s="90">
        <f t="shared" si="59"/>
        <v>90.5</v>
      </c>
      <c r="AY161" s="157">
        <f t="shared" si="72"/>
        <v>-1.56802</v>
      </c>
      <c r="AZ161" s="182">
        <v>0</v>
      </c>
      <c r="BA161" s="158">
        <v>-1.56802</v>
      </c>
      <c r="BB161" s="182">
        <v>0</v>
      </c>
      <c r="BC161" s="158"/>
      <c r="BD161" s="182">
        <v>0</v>
      </c>
      <c r="BE161" s="158">
        <v>0</v>
      </c>
      <c r="BF161" s="182">
        <v>0</v>
      </c>
      <c r="BG161" s="158"/>
      <c r="BH161" s="182">
        <v>0</v>
      </c>
      <c r="BI161" s="158"/>
      <c r="BJ161" s="182">
        <v>0</v>
      </c>
      <c r="BK161" s="158"/>
      <c r="BL161" s="182"/>
      <c r="BM161" s="158"/>
      <c r="BN161" s="182"/>
      <c r="BO161" s="158"/>
      <c r="BP161" s="182"/>
      <c r="BQ161" s="158"/>
      <c r="BR161" s="182"/>
      <c r="BS161" s="158"/>
      <c r="BT161" s="182"/>
      <c r="BU161" s="158"/>
      <c r="BV161" s="182"/>
      <c r="BW161" s="234"/>
      <c r="BX161" s="237"/>
      <c r="BY161" s="81">
        <f t="shared" si="73"/>
        <v>0</v>
      </c>
      <c r="BZ161" s="241"/>
      <c r="CA161" s="241"/>
      <c r="CB161" s="241"/>
      <c r="CC161" s="241"/>
      <c r="CD161" s="241"/>
      <c r="CE161" s="241"/>
      <c r="CF161" s="241"/>
      <c r="CG161" s="241"/>
      <c r="CH161" s="241"/>
      <c r="CI161" s="241"/>
      <c r="CJ161" s="241"/>
      <c r="CK161" s="241"/>
      <c r="CL161" s="195">
        <f t="shared" si="75"/>
        <v>0</v>
      </c>
      <c r="CM161" s="196"/>
      <c r="CN161" s="196"/>
      <c r="CO161" s="196"/>
      <c r="CP161" s="196"/>
      <c r="CQ161" s="196"/>
      <c r="CR161" s="196"/>
      <c r="CS161" s="196"/>
      <c r="CT161" s="196"/>
      <c r="CU161" s="196"/>
      <c r="CV161" s="196"/>
      <c r="CW161" s="196"/>
      <c r="CX161" s="196"/>
      <c r="CY161" s="200">
        <f t="shared" si="60"/>
        <v>0</v>
      </c>
      <c r="CZ161" s="172">
        <f t="shared" si="74"/>
        <v>0</v>
      </c>
      <c r="DA161" s="201">
        <f t="shared" si="61"/>
        <v>-1.56802</v>
      </c>
      <c r="DB161" s="201">
        <f t="shared" si="62"/>
        <v>0</v>
      </c>
      <c r="DC161" s="201">
        <f t="shared" si="76"/>
        <v>-1.56802</v>
      </c>
      <c r="DD161" s="239">
        <v>-1.56802</v>
      </c>
      <c r="DE161" s="201">
        <f t="shared" si="77"/>
        <v>0</v>
      </c>
      <c r="DF161" s="172" t="e">
        <f>SUM(DN161:DO161)-SUM(#REF!,BV161)+BU161</f>
        <v>#REF!</v>
      </c>
      <c r="DG161" s="207"/>
      <c r="DH161" s="225">
        <f t="shared" si="78"/>
        <v>-1.56802</v>
      </c>
      <c r="DI161" s="225">
        <f t="shared" si="79"/>
        <v>0</v>
      </c>
      <c r="DJ161" s="225">
        <f t="shared" si="80"/>
        <v>0</v>
      </c>
      <c r="DK161" s="225" t="e">
        <f>SUM(BS161,#REF!,BV161)</f>
        <v>#REF!</v>
      </c>
      <c r="DL161" s="145">
        <v>90.5</v>
      </c>
      <c r="DM161" s="145">
        <v>0</v>
      </c>
      <c r="DN161" s="145">
        <v>0</v>
      </c>
      <c r="DO161" s="145">
        <v>0</v>
      </c>
      <c r="DP161" s="145">
        <v>0</v>
      </c>
      <c r="DQ161" s="145">
        <v>90.5</v>
      </c>
      <c r="DR161" s="21">
        <f>VLOOKUP(C161,[6]Database!$B$143:$AD$521,29,FALSE)</f>
        <v>0</v>
      </c>
      <c r="DS161" s="219">
        <f t="shared" si="81"/>
        <v>0</v>
      </c>
    </row>
    <row r="162" spans="1:123" s="21" customFormat="1" ht="24" customHeight="1">
      <c r="A162" s="16"/>
      <c r="B162" s="2">
        <v>119</v>
      </c>
      <c r="C162" s="79" t="s">
        <v>209</v>
      </c>
      <c r="D162" s="79"/>
      <c r="E162" s="78" t="s">
        <v>878</v>
      </c>
      <c r="F162" s="3">
        <v>2019</v>
      </c>
      <c r="G162" s="40">
        <v>43669</v>
      </c>
      <c r="H162" s="4">
        <v>43698</v>
      </c>
      <c r="I162" s="40">
        <v>44168</v>
      </c>
      <c r="J162" s="13">
        <f t="shared" ca="1" si="58"/>
        <v>470</v>
      </c>
      <c r="K162" s="165">
        <f t="shared" si="82"/>
        <v>44245</v>
      </c>
      <c r="L162" s="165">
        <f t="shared" si="83"/>
        <v>44428</v>
      </c>
      <c r="M162" s="165"/>
      <c r="N162" s="165"/>
      <c r="O162" s="165"/>
      <c r="P162" s="165"/>
      <c r="Q162" s="165"/>
      <c r="R162" s="3" t="s">
        <v>175</v>
      </c>
      <c r="S162" s="11" t="s">
        <v>223</v>
      </c>
      <c r="T162" s="11"/>
      <c r="U162" s="5" t="s">
        <v>8</v>
      </c>
      <c r="V162" s="251">
        <v>1958617</v>
      </c>
      <c r="W162" s="5" t="s">
        <v>602</v>
      </c>
      <c r="X162" s="5" t="s">
        <v>475</v>
      </c>
      <c r="Y162" s="5" t="s">
        <v>210</v>
      </c>
      <c r="Z162" s="3" t="s">
        <v>180</v>
      </c>
      <c r="AA162" s="6" t="s">
        <v>217</v>
      </c>
      <c r="AB162" s="141" t="s">
        <v>196</v>
      </c>
      <c r="AC162" s="165" t="s">
        <v>5</v>
      </c>
      <c r="AD162" s="165" t="s">
        <v>5</v>
      </c>
      <c r="AE162" s="165" t="s">
        <v>5</v>
      </c>
      <c r="AF162" s="5" t="s">
        <v>1037</v>
      </c>
      <c r="AG162" s="41"/>
      <c r="AH162" s="212"/>
      <c r="AI162" s="76"/>
      <c r="AJ162" s="76"/>
      <c r="AK162" s="221" t="e">
        <f>SUM(#REF!,BT162,BV162)</f>
        <v>#REF!</v>
      </c>
      <c r="AL162" s="153"/>
      <c r="AM162" s="48"/>
      <c r="AN162" s="153"/>
      <c r="AO162" s="48"/>
      <c r="AP162" s="48"/>
      <c r="AQ162" s="48"/>
      <c r="AR162" s="51">
        <v>96.045529999999999</v>
      </c>
      <c r="AS162" s="51">
        <v>61.2</v>
      </c>
      <c r="AT162" s="51">
        <v>36.824869999999997</v>
      </c>
      <c r="AU162" s="51"/>
      <c r="AV162" s="44">
        <v>157.19999999999999</v>
      </c>
      <c r="AW162" s="44">
        <v>0</v>
      </c>
      <c r="AX162" s="90">
        <f t="shared" si="59"/>
        <v>157.19999999999999</v>
      </c>
      <c r="AY162" s="157">
        <f t="shared" si="72"/>
        <v>0</v>
      </c>
      <c r="AZ162" s="182">
        <v>0</v>
      </c>
      <c r="BA162" s="158">
        <v>0</v>
      </c>
      <c r="BB162" s="182">
        <v>0</v>
      </c>
      <c r="BC162" s="158"/>
      <c r="BD162" s="182">
        <v>0</v>
      </c>
      <c r="BE162" s="158">
        <v>0</v>
      </c>
      <c r="BF162" s="182">
        <v>0</v>
      </c>
      <c r="BG162" s="158"/>
      <c r="BH162" s="182">
        <v>0</v>
      </c>
      <c r="BI162" s="158"/>
      <c r="BJ162" s="182">
        <v>0</v>
      </c>
      <c r="BK162" s="158"/>
      <c r="BL162" s="182"/>
      <c r="BM162" s="158"/>
      <c r="BN162" s="182"/>
      <c r="BO162" s="158"/>
      <c r="BP162" s="182"/>
      <c r="BQ162" s="158"/>
      <c r="BR162" s="182"/>
      <c r="BS162" s="158"/>
      <c r="BT162" s="182"/>
      <c r="BU162" s="158"/>
      <c r="BV162" s="182"/>
      <c r="BW162" s="234"/>
      <c r="BX162" s="237"/>
      <c r="BY162" s="81">
        <f t="shared" si="73"/>
        <v>0</v>
      </c>
      <c r="BZ162" s="241"/>
      <c r="CA162" s="241"/>
      <c r="CB162" s="241"/>
      <c r="CC162" s="241"/>
      <c r="CD162" s="241"/>
      <c r="CE162" s="241"/>
      <c r="CF162" s="241"/>
      <c r="CG162" s="241"/>
      <c r="CH162" s="241"/>
      <c r="CI162" s="241"/>
      <c r="CJ162" s="241"/>
      <c r="CK162" s="241"/>
      <c r="CL162" s="195">
        <f t="shared" si="75"/>
        <v>0</v>
      </c>
      <c r="CM162" s="196"/>
      <c r="CN162" s="196"/>
      <c r="CO162" s="196"/>
      <c r="CP162" s="196"/>
      <c r="CQ162" s="196"/>
      <c r="CR162" s="196"/>
      <c r="CS162" s="196"/>
      <c r="CT162" s="196"/>
      <c r="CU162" s="196"/>
      <c r="CV162" s="196"/>
      <c r="CW162" s="196"/>
      <c r="CX162" s="196"/>
      <c r="CY162" s="200">
        <f t="shared" si="60"/>
        <v>0</v>
      </c>
      <c r="CZ162" s="172">
        <f t="shared" si="74"/>
        <v>0</v>
      </c>
      <c r="DA162" s="201">
        <f t="shared" si="61"/>
        <v>0</v>
      </c>
      <c r="DB162" s="201">
        <f t="shared" si="62"/>
        <v>0</v>
      </c>
      <c r="DC162" s="201">
        <f t="shared" si="76"/>
        <v>0</v>
      </c>
      <c r="DD162" s="239">
        <v>0</v>
      </c>
      <c r="DE162" s="201">
        <f t="shared" si="77"/>
        <v>0</v>
      </c>
      <c r="DF162" s="172" t="e">
        <f>SUM(DN162:DO162)-SUM(#REF!,BV162)+BU162</f>
        <v>#REF!</v>
      </c>
      <c r="DG162" s="207"/>
      <c r="DH162" s="225">
        <f t="shared" si="78"/>
        <v>0</v>
      </c>
      <c r="DI162" s="225">
        <f t="shared" si="79"/>
        <v>0</v>
      </c>
      <c r="DJ162" s="225">
        <f t="shared" si="80"/>
        <v>0</v>
      </c>
      <c r="DK162" s="225" t="e">
        <f>SUM(BS162,#REF!,BV162)</f>
        <v>#REF!</v>
      </c>
      <c r="DL162" s="145">
        <v>157.19999999999999</v>
      </c>
      <c r="DM162" s="145">
        <v>132.87039999999999</v>
      </c>
      <c r="DN162" s="145">
        <v>0</v>
      </c>
      <c r="DO162" s="145">
        <v>0</v>
      </c>
      <c r="DP162" s="145">
        <v>132.87039999999999</v>
      </c>
      <c r="DQ162" s="145">
        <v>24.329599999999999</v>
      </c>
      <c r="DS162" s="219">
        <f t="shared" si="81"/>
        <v>0</v>
      </c>
    </row>
    <row r="163" spans="1:123" s="21" customFormat="1" ht="24" customHeight="1">
      <c r="A163" s="16"/>
      <c r="B163" s="2">
        <v>120</v>
      </c>
      <c r="C163" s="257" t="s">
        <v>214</v>
      </c>
      <c r="D163" s="79"/>
      <c r="E163" s="78"/>
      <c r="F163" s="39">
        <v>2019</v>
      </c>
      <c r="G163" s="40">
        <v>43669</v>
      </c>
      <c r="H163" s="178">
        <v>43703</v>
      </c>
      <c r="I163" s="40"/>
      <c r="J163" s="13">
        <f t="shared" ca="1" si="58"/>
        <v>-1596.3359971064783</v>
      </c>
      <c r="K163" s="165">
        <f t="shared" si="82"/>
        <v>44250</v>
      </c>
      <c r="L163" s="165">
        <f t="shared" si="83"/>
        <v>44433</v>
      </c>
      <c r="M163" s="232" t="s">
        <v>597</v>
      </c>
      <c r="N163" s="165" t="s">
        <v>597</v>
      </c>
      <c r="O163" s="233" t="s">
        <v>597</v>
      </c>
      <c r="P163" s="227" t="s">
        <v>1263</v>
      </c>
      <c r="Q163" s="227" t="s">
        <v>1386</v>
      </c>
      <c r="R163" s="3" t="s">
        <v>175</v>
      </c>
      <c r="S163" s="11" t="s">
        <v>223</v>
      </c>
      <c r="T163" s="11" t="s">
        <v>912</v>
      </c>
      <c r="U163" s="5" t="s">
        <v>8</v>
      </c>
      <c r="V163" s="251">
        <v>1985371</v>
      </c>
      <c r="W163" s="5" t="s">
        <v>602</v>
      </c>
      <c r="X163" s="5" t="s">
        <v>472</v>
      </c>
      <c r="Y163" s="5" t="s">
        <v>213</v>
      </c>
      <c r="Z163" s="3" t="s">
        <v>180</v>
      </c>
      <c r="AA163" s="6" t="s">
        <v>461</v>
      </c>
      <c r="AB163" s="265" t="s">
        <v>1358</v>
      </c>
      <c r="AC163" s="165">
        <v>44620</v>
      </c>
      <c r="AD163" s="165">
        <v>44592</v>
      </c>
      <c r="AE163" s="165">
        <v>44499</v>
      </c>
      <c r="AF163" s="5" t="s">
        <v>1037</v>
      </c>
      <c r="AG163" s="41"/>
      <c r="AH163" s="212"/>
      <c r="AI163" s="76"/>
      <c r="AJ163" s="76"/>
      <c r="AK163" s="221" t="e">
        <f>SUM(#REF!,BT163,BV163)</f>
        <v>#REF!</v>
      </c>
      <c r="AL163" s="167"/>
      <c r="AM163" s="167"/>
      <c r="AN163" s="167"/>
      <c r="AO163" s="167"/>
      <c r="AP163" s="167"/>
      <c r="AQ163" s="167"/>
      <c r="AR163" s="51">
        <v>200.25262000000004</v>
      </c>
      <c r="AS163" s="51">
        <v>90.832830000000001</v>
      </c>
      <c r="AT163" s="51">
        <v>49.251629999999999</v>
      </c>
      <c r="AU163" s="51">
        <v>45</v>
      </c>
      <c r="AV163" s="36">
        <v>304</v>
      </c>
      <c r="AW163" s="36">
        <v>0</v>
      </c>
      <c r="AX163" s="90">
        <f t="shared" si="59"/>
        <v>304</v>
      </c>
      <c r="AY163" s="157">
        <f t="shared" si="72"/>
        <v>34.42745</v>
      </c>
      <c r="AZ163" s="182">
        <v>0</v>
      </c>
      <c r="BA163" s="158">
        <v>0</v>
      </c>
      <c r="BB163" s="182">
        <v>0</v>
      </c>
      <c r="BC163" s="158"/>
      <c r="BD163" s="182">
        <v>0</v>
      </c>
      <c r="BE163" s="158">
        <v>0</v>
      </c>
      <c r="BF163" s="182">
        <v>0</v>
      </c>
      <c r="BG163" s="158"/>
      <c r="BH163" s="182">
        <v>0</v>
      </c>
      <c r="BI163" s="158">
        <v>28.532799999999998</v>
      </c>
      <c r="BJ163" s="182">
        <v>0</v>
      </c>
      <c r="BK163" s="158"/>
      <c r="BL163" s="182"/>
      <c r="BM163" s="158">
        <v>-0.17842999999999998</v>
      </c>
      <c r="BN163" s="182"/>
      <c r="BO163" s="158">
        <v>6.07308</v>
      </c>
      <c r="BP163" s="182">
        <v>10.41314</v>
      </c>
      <c r="BQ163" s="158"/>
      <c r="BR163" s="182">
        <v>10.41314</v>
      </c>
      <c r="BS163" s="158"/>
      <c r="BT163" s="182">
        <v>10.41314</v>
      </c>
      <c r="BU163" s="158"/>
      <c r="BV163" s="182"/>
      <c r="BW163" s="234"/>
      <c r="BX163" s="237"/>
      <c r="BY163" s="81">
        <f t="shared" si="73"/>
        <v>10.41314</v>
      </c>
      <c r="BZ163" s="241">
        <v>10.41314</v>
      </c>
      <c r="CA163" s="241"/>
      <c r="CB163" s="241"/>
      <c r="CC163" s="241"/>
      <c r="CD163" s="241"/>
      <c r="CE163" s="241"/>
      <c r="CF163" s="241"/>
      <c r="CG163" s="241"/>
      <c r="CH163" s="241"/>
      <c r="CI163" s="241"/>
      <c r="CJ163" s="241"/>
      <c r="CK163" s="241"/>
      <c r="CL163" s="195">
        <f t="shared" si="75"/>
        <v>0</v>
      </c>
      <c r="CM163" s="196"/>
      <c r="CN163" s="196"/>
      <c r="CO163" s="196"/>
      <c r="CP163" s="196"/>
      <c r="CQ163" s="196"/>
      <c r="CR163" s="196"/>
      <c r="CS163" s="196"/>
      <c r="CT163" s="196"/>
      <c r="CU163" s="196"/>
      <c r="CV163" s="196"/>
      <c r="CW163" s="196"/>
      <c r="CX163" s="196"/>
      <c r="CY163" s="200">
        <f t="shared" si="60"/>
        <v>0</v>
      </c>
      <c r="CZ163" s="172">
        <f t="shared" si="74"/>
        <v>0</v>
      </c>
      <c r="DA163" s="201">
        <f t="shared" si="61"/>
        <v>34.42745</v>
      </c>
      <c r="DB163" s="201">
        <f t="shared" si="62"/>
        <v>0</v>
      </c>
      <c r="DC163" s="201">
        <f t="shared" si="76"/>
        <v>44.840589999999999</v>
      </c>
      <c r="DD163" s="239">
        <v>44.840589999999999</v>
      </c>
      <c r="DE163" s="201">
        <f t="shared" si="77"/>
        <v>0</v>
      </c>
      <c r="DF163" s="172" t="e">
        <f>SUM(DN163:DO163)-SUM(#REF!,BV163)+BU163</f>
        <v>#REF!</v>
      </c>
      <c r="DG163" s="207"/>
      <c r="DH163" s="225">
        <f t="shared" si="78"/>
        <v>0</v>
      </c>
      <c r="DI163" s="225">
        <f t="shared" si="79"/>
        <v>28.532799999999998</v>
      </c>
      <c r="DJ163" s="225">
        <f t="shared" si="80"/>
        <v>5.8946500000000004</v>
      </c>
      <c r="DK163" s="225" t="e">
        <f>SUM(BS163,#REF!,BV163)</f>
        <v>#REF!</v>
      </c>
      <c r="DL163" s="145">
        <v>304</v>
      </c>
      <c r="DM163" s="145">
        <v>283.93170000000003</v>
      </c>
      <c r="DN163" s="145">
        <v>22.738139999999998</v>
      </c>
      <c r="DO163" s="145">
        <v>0</v>
      </c>
      <c r="DP163" s="145">
        <v>306.66984000000002</v>
      </c>
      <c r="DQ163" s="145">
        <v>-2.6698400000000002</v>
      </c>
      <c r="DR163" s="21">
        <f>VLOOKUP(C163,[6]Database!$B$143:$AD$521,29,FALSE)</f>
        <v>0</v>
      </c>
      <c r="DS163" s="219">
        <f t="shared" si="81"/>
        <v>10.41314</v>
      </c>
    </row>
    <row r="164" spans="1:123" s="21" customFormat="1" ht="24" customHeight="1">
      <c r="A164" s="16"/>
      <c r="B164" s="2">
        <v>121</v>
      </c>
      <c r="C164" s="79" t="s">
        <v>211</v>
      </c>
      <c r="D164" s="79"/>
      <c r="E164" s="78" t="s">
        <v>879</v>
      </c>
      <c r="F164" s="39">
        <v>2019</v>
      </c>
      <c r="G164" s="40">
        <v>43669</v>
      </c>
      <c r="H164" s="40">
        <v>43699</v>
      </c>
      <c r="I164" s="40">
        <v>43914</v>
      </c>
      <c r="J164" s="13">
        <f t="shared" ca="1" si="58"/>
        <v>215</v>
      </c>
      <c r="K164" s="165">
        <f t="shared" si="82"/>
        <v>44246</v>
      </c>
      <c r="L164" s="165">
        <f t="shared" si="83"/>
        <v>44429</v>
      </c>
      <c r="M164" s="165"/>
      <c r="N164" s="165"/>
      <c r="O164" s="165"/>
      <c r="P164" s="165"/>
      <c r="Q164" s="165"/>
      <c r="R164" s="3" t="s">
        <v>175</v>
      </c>
      <c r="S164" s="11" t="s">
        <v>223</v>
      </c>
      <c r="T164" s="11"/>
      <c r="U164" s="5" t="s">
        <v>8</v>
      </c>
      <c r="V164" s="251">
        <v>1959852</v>
      </c>
      <c r="W164" s="5" t="s">
        <v>602</v>
      </c>
      <c r="X164" s="5" t="s">
        <v>475</v>
      </c>
      <c r="Y164" s="5" t="s">
        <v>212</v>
      </c>
      <c r="Z164" s="78" t="s">
        <v>315</v>
      </c>
      <c r="AA164" s="6" t="s">
        <v>217</v>
      </c>
      <c r="AB164" s="141" t="s">
        <v>196</v>
      </c>
      <c r="AC164" s="165" t="s">
        <v>5</v>
      </c>
      <c r="AD164" s="165" t="s">
        <v>5</v>
      </c>
      <c r="AE164" s="165" t="s">
        <v>5</v>
      </c>
      <c r="AF164" s="5"/>
      <c r="AG164" s="41"/>
      <c r="AH164" s="212"/>
      <c r="AI164" s="76"/>
      <c r="AJ164" s="76"/>
      <c r="AK164" s="221" t="e">
        <f>SUM(#REF!,BT164,BV164)</f>
        <v>#REF!</v>
      </c>
      <c r="AL164" s="153"/>
      <c r="AM164" s="153"/>
      <c r="AN164" s="153"/>
      <c r="AO164" s="153"/>
      <c r="AP164" s="153"/>
      <c r="AQ164" s="153"/>
      <c r="AR164" s="51">
        <v>28.859589999999997</v>
      </c>
      <c r="AS164" s="51">
        <v>48.305630000000001</v>
      </c>
      <c r="AT164" s="51">
        <v>11.837</v>
      </c>
      <c r="AU164" s="51"/>
      <c r="AV164" s="44">
        <v>79</v>
      </c>
      <c r="AW164" s="44">
        <v>3</v>
      </c>
      <c r="AX164" s="90">
        <f t="shared" si="59"/>
        <v>82</v>
      </c>
      <c r="AY164" s="157">
        <f t="shared" si="72"/>
        <v>0</v>
      </c>
      <c r="AZ164" s="182">
        <v>0</v>
      </c>
      <c r="BA164" s="158">
        <v>0</v>
      </c>
      <c r="BB164" s="182">
        <v>0</v>
      </c>
      <c r="BC164" s="158"/>
      <c r="BD164" s="182">
        <v>0</v>
      </c>
      <c r="BE164" s="158">
        <v>0</v>
      </c>
      <c r="BF164" s="182">
        <v>0</v>
      </c>
      <c r="BG164" s="158"/>
      <c r="BH164" s="182">
        <v>0</v>
      </c>
      <c r="BI164" s="158"/>
      <c r="BJ164" s="182">
        <v>0</v>
      </c>
      <c r="BK164" s="158"/>
      <c r="BL164" s="182"/>
      <c r="BM164" s="158"/>
      <c r="BN164" s="182"/>
      <c r="BO164" s="158"/>
      <c r="BP164" s="182"/>
      <c r="BQ164" s="158"/>
      <c r="BR164" s="182"/>
      <c r="BS164" s="158"/>
      <c r="BT164" s="182"/>
      <c r="BU164" s="158"/>
      <c r="BV164" s="182"/>
      <c r="BW164" s="234"/>
      <c r="BX164" s="237"/>
      <c r="BY164" s="81">
        <f t="shared" si="73"/>
        <v>0</v>
      </c>
      <c r="BZ164" s="241"/>
      <c r="CA164" s="241"/>
      <c r="CB164" s="241"/>
      <c r="CC164" s="241"/>
      <c r="CD164" s="241"/>
      <c r="CE164" s="241"/>
      <c r="CF164" s="241"/>
      <c r="CG164" s="241"/>
      <c r="CH164" s="241"/>
      <c r="CI164" s="241"/>
      <c r="CJ164" s="241"/>
      <c r="CK164" s="241"/>
      <c r="CL164" s="195">
        <f t="shared" si="75"/>
        <v>0</v>
      </c>
      <c r="CM164" s="196"/>
      <c r="CN164" s="196"/>
      <c r="CO164" s="196"/>
      <c r="CP164" s="196"/>
      <c r="CQ164" s="196"/>
      <c r="CR164" s="196"/>
      <c r="CS164" s="196"/>
      <c r="CT164" s="196"/>
      <c r="CU164" s="196"/>
      <c r="CV164" s="196"/>
      <c r="CW164" s="196"/>
      <c r="CX164" s="196"/>
      <c r="CY164" s="200">
        <f t="shared" si="60"/>
        <v>0</v>
      </c>
      <c r="CZ164" s="172">
        <f t="shared" si="74"/>
        <v>0</v>
      </c>
      <c r="DA164" s="201">
        <f t="shared" si="61"/>
        <v>0</v>
      </c>
      <c r="DB164" s="201">
        <f t="shared" si="62"/>
        <v>0</v>
      </c>
      <c r="DC164" s="201">
        <f t="shared" si="76"/>
        <v>0</v>
      </c>
      <c r="DD164" s="239">
        <v>0</v>
      </c>
      <c r="DE164" s="201">
        <f t="shared" si="77"/>
        <v>0</v>
      </c>
      <c r="DF164" s="172" t="e">
        <f>SUM(DN164:DO164)-SUM(#REF!,BV164)+BU164</f>
        <v>#REF!</v>
      </c>
      <c r="DG164" s="207"/>
      <c r="DH164" s="225">
        <f t="shared" si="78"/>
        <v>0</v>
      </c>
      <c r="DI164" s="225">
        <f t="shared" si="79"/>
        <v>0</v>
      </c>
      <c r="DJ164" s="225">
        <f t="shared" si="80"/>
        <v>0</v>
      </c>
      <c r="DK164" s="225" t="e">
        <f>SUM(BS164,#REF!,BV164)</f>
        <v>#REF!</v>
      </c>
      <c r="DL164" s="145">
        <v>79</v>
      </c>
      <c r="DM164" s="145">
        <v>40.696589999999993</v>
      </c>
      <c r="DN164" s="145">
        <v>0</v>
      </c>
      <c r="DO164" s="145">
        <v>0</v>
      </c>
      <c r="DP164" s="145">
        <v>40.696589999999993</v>
      </c>
      <c r="DQ164" s="145">
        <v>38.303410000000007</v>
      </c>
      <c r="DS164" s="219">
        <f t="shared" si="81"/>
        <v>0</v>
      </c>
    </row>
    <row r="165" spans="1:123" s="21" customFormat="1" ht="24" customHeight="1">
      <c r="A165" s="16"/>
      <c r="B165" s="2">
        <v>122</v>
      </c>
      <c r="C165" s="79" t="s">
        <v>225</v>
      </c>
      <c r="D165" s="79"/>
      <c r="E165" s="78"/>
      <c r="F165" s="39">
        <v>2019</v>
      </c>
      <c r="G165" s="40">
        <v>43669</v>
      </c>
      <c r="H165" s="40">
        <v>43670</v>
      </c>
      <c r="I165" s="40">
        <v>43670</v>
      </c>
      <c r="J165" s="13">
        <f t="shared" ca="1" si="58"/>
        <v>0</v>
      </c>
      <c r="K165" s="165">
        <f t="shared" si="82"/>
        <v>44217</v>
      </c>
      <c r="L165" s="165">
        <f t="shared" si="83"/>
        <v>44400</v>
      </c>
      <c r="M165" s="165"/>
      <c r="N165" s="165"/>
      <c r="O165" s="165"/>
      <c r="P165" s="165"/>
      <c r="Q165" s="165"/>
      <c r="R165" s="3" t="s">
        <v>175</v>
      </c>
      <c r="S165" s="11" t="s">
        <v>221</v>
      </c>
      <c r="T165" s="41"/>
      <c r="U165" s="5" t="s">
        <v>8</v>
      </c>
      <c r="V165" s="251">
        <v>2098754</v>
      </c>
      <c r="W165" s="5" t="s">
        <v>602</v>
      </c>
      <c r="X165" s="5" t="s">
        <v>472</v>
      </c>
      <c r="Y165" s="5" t="s">
        <v>224</v>
      </c>
      <c r="Z165" s="78" t="s">
        <v>315</v>
      </c>
      <c r="AA165" s="6" t="s">
        <v>217</v>
      </c>
      <c r="AB165" s="270" t="s">
        <v>513</v>
      </c>
      <c r="AC165" s="165" t="s">
        <v>5</v>
      </c>
      <c r="AD165" s="165" t="s">
        <v>5</v>
      </c>
      <c r="AE165" s="165" t="s">
        <v>5</v>
      </c>
      <c r="AF165" s="5"/>
      <c r="AG165" s="41"/>
      <c r="AH165" s="212"/>
      <c r="AI165" s="76"/>
      <c r="AJ165" s="76"/>
      <c r="AK165" s="221" t="e">
        <f>SUM(#REF!,BT165,BV165)</f>
        <v>#REF!</v>
      </c>
      <c r="AL165" s="153"/>
      <c r="AM165" s="153"/>
      <c r="AN165" s="153"/>
      <c r="AO165" s="153"/>
      <c r="AP165" s="153"/>
      <c r="AQ165" s="153"/>
      <c r="AR165" s="51">
        <v>0</v>
      </c>
      <c r="AS165" s="51"/>
      <c r="AT165" s="51">
        <v>0</v>
      </c>
      <c r="AU165" s="51"/>
      <c r="AV165" s="44">
        <v>0</v>
      </c>
      <c r="AW165" s="44">
        <v>0</v>
      </c>
      <c r="AX165" s="90">
        <f t="shared" si="59"/>
        <v>0</v>
      </c>
      <c r="AY165" s="157">
        <f t="shared" si="72"/>
        <v>0</v>
      </c>
      <c r="AZ165" s="182">
        <v>0</v>
      </c>
      <c r="BA165" s="158"/>
      <c r="BB165" s="182">
        <v>0</v>
      </c>
      <c r="BC165" s="158"/>
      <c r="BD165" s="182">
        <v>0</v>
      </c>
      <c r="BE165" s="158">
        <v>0</v>
      </c>
      <c r="BF165" s="182">
        <v>0</v>
      </c>
      <c r="BG165" s="158"/>
      <c r="BH165" s="182">
        <v>0</v>
      </c>
      <c r="BI165" s="158"/>
      <c r="BJ165" s="182">
        <v>0</v>
      </c>
      <c r="BK165" s="158"/>
      <c r="BL165" s="182"/>
      <c r="BM165" s="158"/>
      <c r="BN165" s="182"/>
      <c r="BO165" s="158"/>
      <c r="BP165" s="182"/>
      <c r="BQ165" s="158"/>
      <c r="BR165" s="182"/>
      <c r="BS165" s="158"/>
      <c r="BT165" s="182"/>
      <c r="BU165" s="158"/>
      <c r="BV165" s="182"/>
      <c r="BW165" s="234"/>
      <c r="BX165" s="237"/>
      <c r="BY165" s="81">
        <f t="shared" si="73"/>
        <v>0</v>
      </c>
      <c r="BZ165" s="241"/>
      <c r="CA165" s="241"/>
      <c r="CB165" s="241"/>
      <c r="CC165" s="241"/>
      <c r="CD165" s="241"/>
      <c r="CE165" s="241"/>
      <c r="CF165" s="241"/>
      <c r="CG165" s="241"/>
      <c r="CH165" s="241"/>
      <c r="CI165" s="241"/>
      <c r="CJ165" s="241"/>
      <c r="CK165" s="241"/>
      <c r="CL165" s="195">
        <f t="shared" si="75"/>
        <v>0</v>
      </c>
      <c r="CM165" s="196"/>
      <c r="CN165" s="196"/>
      <c r="CO165" s="196"/>
      <c r="CP165" s="196"/>
      <c r="CQ165" s="196"/>
      <c r="CR165" s="196"/>
      <c r="CS165" s="196"/>
      <c r="CT165" s="196"/>
      <c r="CU165" s="196"/>
      <c r="CV165" s="196"/>
      <c r="CW165" s="196"/>
      <c r="CX165" s="196"/>
      <c r="CY165" s="200">
        <f t="shared" si="60"/>
        <v>0</v>
      </c>
      <c r="CZ165" s="172">
        <f t="shared" si="74"/>
        <v>0</v>
      </c>
      <c r="DA165" s="201">
        <f t="shared" si="61"/>
        <v>0</v>
      </c>
      <c r="DB165" s="201">
        <f t="shared" si="62"/>
        <v>0</v>
      </c>
      <c r="DC165" s="201">
        <f t="shared" si="76"/>
        <v>0</v>
      </c>
      <c r="DD165" s="239">
        <v>0</v>
      </c>
      <c r="DE165" s="201">
        <f t="shared" si="77"/>
        <v>0</v>
      </c>
      <c r="DF165" s="172" t="e">
        <f>SUM(DN165:DO165)-SUM(#REF!,BV165)+BU165</f>
        <v>#REF!</v>
      </c>
      <c r="DG165" s="207"/>
      <c r="DH165" s="225">
        <f t="shared" si="78"/>
        <v>0</v>
      </c>
      <c r="DI165" s="225">
        <f t="shared" si="79"/>
        <v>0</v>
      </c>
      <c r="DJ165" s="225">
        <f t="shared" si="80"/>
        <v>0</v>
      </c>
      <c r="DK165" s="225" t="e">
        <f>SUM(BS165,#REF!,BV165)</f>
        <v>#REF!</v>
      </c>
      <c r="DL165" s="145">
        <v>0</v>
      </c>
      <c r="DM165" s="145">
        <v>0</v>
      </c>
      <c r="DN165" s="145">
        <v>0</v>
      </c>
      <c r="DO165" s="145">
        <v>0</v>
      </c>
      <c r="DP165" s="145">
        <v>0</v>
      </c>
      <c r="DQ165" s="145">
        <v>0</v>
      </c>
      <c r="DS165" s="219">
        <f t="shared" si="81"/>
        <v>0</v>
      </c>
    </row>
    <row r="166" spans="1:123" s="21" customFormat="1" ht="24" customHeight="1">
      <c r="A166" s="16"/>
      <c r="B166" s="2">
        <v>123</v>
      </c>
      <c r="C166" s="79" t="s">
        <v>226</v>
      </c>
      <c r="D166" s="79"/>
      <c r="E166" s="78"/>
      <c r="F166" s="39">
        <v>2019</v>
      </c>
      <c r="G166" s="40">
        <v>43669</v>
      </c>
      <c r="H166" s="4">
        <v>43776</v>
      </c>
      <c r="I166" s="4">
        <v>44237</v>
      </c>
      <c r="J166" s="13">
        <f t="shared" ca="1" si="58"/>
        <v>461</v>
      </c>
      <c r="K166" s="165">
        <f t="shared" si="82"/>
        <v>44323</v>
      </c>
      <c r="L166" s="165">
        <f t="shared" si="83"/>
        <v>44506</v>
      </c>
      <c r="M166" s="165"/>
      <c r="N166" s="170"/>
      <c r="O166" s="170"/>
      <c r="P166" s="170"/>
      <c r="Q166" s="170"/>
      <c r="R166" s="39" t="s">
        <v>175</v>
      </c>
      <c r="S166" s="11" t="s">
        <v>221</v>
      </c>
      <c r="T166" s="39" t="s">
        <v>909</v>
      </c>
      <c r="U166" s="5" t="s">
        <v>8</v>
      </c>
      <c r="V166" s="251">
        <v>2368366</v>
      </c>
      <c r="W166" s="5" t="s">
        <v>602</v>
      </c>
      <c r="X166" s="5" t="s">
        <v>472</v>
      </c>
      <c r="Y166" s="5" t="s">
        <v>249</v>
      </c>
      <c r="Z166" s="78" t="s">
        <v>315</v>
      </c>
      <c r="AA166" s="6" t="s">
        <v>217</v>
      </c>
      <c r="AB166" s="141" t="s">
        <v>196</v>
      </c>
      <c r="AC166" s="165" t="s">
        <v>5</v>
      </c>
      <c r="AD166" s="165" t="s">
        <v>5</v>
      </c>
      <c r="AE166" s="165" t="s">
        <v>5</v>
      </c>
      <c r="AF166" s="5"/>
      <c r="AG166" s="41"/>
      <c r="AH166" s="212"/>
      <c r="AI166" s="76" t="s">
        <v>660</v>
      </c>
      <c r="AJ166" s="76"/>
      <c r="AK166" s="221" t="e">
        <f>SUM(#REF!,BT166,BV166)</f>
        <v>#REF!</v>
      </c>
      <c r="AL166" s="154"/>
      <c r="AM166" s="154"/>
      <c r="AN166" s="154"/>
      <c r="AO166" s="154"/>
      <c r="AP166" s="154"/>
      <c r="AQ166" s="154"/>
      <c r="AR166" s="51">
        <v>0</v>
      </c>
      <c r="AS166" s="51">
        <v>0</v>
      </c>
      <c r="AT166" s="51">
        <v>180.02920999999998</v>
      </c>
      <c r="AU166" s="51">
        <v>9.1654499999999999</v>
      </c>
      <c r="AV166" s="36">
        <v>298.95999999999998</v>
      </c>
      <c r="AW166" s="36">
        <v>0</v>
      </c>
      <c r="AX166" s="90">
        <f t="shared" si="59"/>
        <v>298.95999999999998</v>
      </c>
      <c r="AY166" s="157">
        <f t="shared" si="72"/>
        <v>-0.33455000000000007</v>
      </c>
      <c r="AZ166" s="182">
        <v>0</v>
      </c>
      <c r="BA166" s="158">
        <v>-0.33455000000000007</v>
      </c>
      <c r="BB166" s="182">
        <v>0</v>
      </c>
      <c r="BC166" s="158"/>
      <c r="BD166" s="182">
        <v>0</v>
      </c>
      <c r="BE166" s="158">
        <v>0</v>
      </c>
      <c r="BF166" s="182">
        <v>0</v>
      </c>
      <c r="BG166" s="158"/>
      <c r="BH166" s="182">
        <v>0</v>
      </c>
      <c r="BI166" s="158"/>
      <c r="BJ166" s="182">
        <v>0</v>
      </c>
      <c r="BK166" s="158"/>
      <c r="BL166" s="182"/>
      <c r="BM166" s="158"/>
      <c r="BN166" s="182"/>
      <c r="BO166" s="158"/>
      <c r="BP166" s="182"/>
      <c r="BQ166" s="158"/>
      <c r="BR166" s="182"/>
      <c r="BS166" s="158"/>
      <c r="BT166" s="182"/>
      <c r="BU166" s="158"/>
      <c r="BV166" s="182"/>
      <c r="BW166" s="234"/>
      <c r="BX166" s="237"/>
      <c r="BY166" s="81">
        <f t="shared" si="73"/>
        <v>0</v>
      </c>
      <c r="BZ166" s="241"/>
      <c r="CA166" s="241"/>
      <c r="CB166" s="241"/>
      <c r="CC166" s="241"/>
      <c r="CD166" s="241"/>
      <c r="CE166" s="241"/>
      <c r="CF166" s="241"/>
      <c r="CG166" s="241"/>
      <c r="CH166" s="241"/>
      <c r="CI166" s="241"/>
      <c r="CJ166" s="241"/>
      <c r="CK166" s="241"/>
      <c r="CL166" s="195">
        <f t="shared" si="75"/>
        <v>0</v>
      </c>
      <c r="CM166" s="196"/>
      <c r="CN166" s="196"/>
      <c r="CO166" s="196"/>
      <c r="CP166" s="196"/>
      <c r="CQ166" s="196"/>
      <c r="CR166" s="196"/>
      <c r="CS166" s="196"/>
      <c r="CT166" s="196"/>
      <c r="CU166" s="196"/>
      <c r="CV166" s="196"/>
      <c r="CW166" s="196"/>
      <c r="CX166" s="196"/>
      <c r="CY166" s="200">
        <f t="shared" si="60"/>
        <v>0</v>
      </c>
      <c r="CZ166" s="172">
        <f t="shared" si="74"/>
        <v>0</v>
      </c>
      <c r="DA166" s="201">
        <f t="shared" si="61"/>
        <v>-0.33455000000000007</v>
      </c>
      <c r="DB166" s="201">
        <f t="shared" si="62"/>
        <v>0</v>
      </c>
      <c r="DC166" s="201">
        <f t="shared" si="76"/>
        <v>-0.33455000000000007</v>
      </c>
      <c r="DD166" s="239">
        <v>-0.33455000000000007</v>
      </c>
      <c r="DE166" s="201">
        <f t="shared" si="77"/>
        <v>0</v>
      </c>
      <c r="DF166" s="172" t="e">
        <f>SUM(DN166:DO166)-SUM(#REF!,BV166)+BU166</f>
        <v>#REF!</v>
      </c>
      <c r="DG166" s="207"/>
      <c r="DH166" s="225">
        <f t="shared" si="78"/>
        <v>-0.33455000000000007</v>
      </c>
      <c r="DI166" s="225">
        <f t="shared" si="79"/>
        <v>0</v>
      </c>
      <c r="DJ166" s="225">
        <f t="shared" si="80"/>
        <v>0</v>
      </c>
      <c r="DK166" s="225" t="e">
        <f>SUM(BS166,#REF!,BV166)</f>
        <v>#REF!</v>
      </c>
      <c r="DL166" s="145">
        <v>298.96199999999999</v>
      </c>
      <c r="DM166" s="145">
        <v>179.69466</v>
      </c>
      <c r="DN166" s="145">
        <v>0</v>
      </c>
      <c r="DO166" s="145">
        <v>0</v>
      </c>
      <c r="DP166" s="145">
        <v>179.69466</v>
      </c>
      <c r="DQ166" s="145">
        <v>119.26733999999999</v>
      </c>
      <c r="DR166" s="21">
        <f>VLOOKUP(C166,[6]Database!$B$143:$AD$521,29,FALSE)</f>
        <v>0</v>
      </c>
      <c r="DS166" s="219">
        <f t="shared" si="81"/>
        <v>0</v>
      </c>
    </row>
    <row r="167" spans="1:123" s="21" customFormat="1" ht="24" customHeight="1">
      <c r="A167" s="16"/>
      <c r="B167" s="2">
        <v>124</v>
      </c>
      <c r="C167" s="79" t="s">
        <v>232</v>
      </c>
      <c r="D167" s="79"/>
      <c r="E167" s="78"/>
      <c r="F167" s="39">
        <v>2019</v>
      </c>
      <c r="G167" s="40">
        <v>43692</v>
      </c>
      <c r="H167" s="4">
        <v>43706</v>
      </c>
      <c r="I167" s="40">
        <v>43914</v>
      </c>
      <c r="J167" s="13">
        <f t="shared" ca="1" si="58"/>
        <v>208</v>
      </c>
      <c r="K167" s="165">
        <f t="shared" si="82"/>
        <v>44253</v>
      </c>
      <c r="L167" s="165">
        <f t="shared" si="83"/>
        <v>44436</v>
      </c>
      <c r="M167" s="165"/>
      <c r="N167" s="170"/>
      <c r="O167" s="170"/>
      <c r="P167" s="170"/>
      <c r="Q167" s="170"/>
      <c r="R167" s="39" t="s">
        <v>177</v>
      </c>
      <c r="S167" s="11" t="s">
        <v>222</v>
      </c>
      <c r="T167" s="41"/>
      <c r="U167" s="5" t="s">
        <v>8</v>
      </c>
      <c r="V167" s="251">
        <v>2097632</v>
      </c>
      <c r="W167" s="5" t="s">
        <v>602</v>
      </c>
      <c r="X167" s="5" t="s">
        <v>481</v>
      </c>
      <c r="Y167" s="5" t="s">
        <v>231</v>
      </c>
      <c r="Z167" s="3" t="s">
        <v>187</v>
      </c>
      <c r="AA167" s="6" t="s">
        <v>217</v>
      </c>
      <c r="AB167" s="142" t="s">
        <v>196</v>
      </c>
      <c r="AC167" s="165" t="s">
        <v>5</v>
      </c>
      <c r="AD167" s="165" t="s">
        <v>5</v>
      </c>
      <c r="AE167" s="165" t="s">
        <v>5</v>
      </c>
      <c r="AF167" s="5"/>
      <c r="AG167" s="41"/>
      <c r="AH167" s="212"/>
      <c r="AI167" s="76"/>
      <c r="AJ167" s="76"/>
      <c r="AK167" s="221" t="e">
        <f>SUM(#REF!,BT167,BV167)</f>
        <v>#REF!</v>
      </c>
      <c r="AL167" s="48"/>
      <c r="AM167" s="48"/>
      <c r="AN167" s="48"/>
      <c r="AO167" s="48"/>
      <c r="AP167" s="48"/>
      <c r="AQ167" s="48"/>
      <c r="AR167" s="51">
        <v>137.65288999999999</v>
      </c>
      <c r="AS167" s="51">
        <v>0</v>
      </c>
      <c r="AT167" s="51">
        <v>13.678000000000003</v>
      </c>
      <c r="AU167" s="51"/>
      <c r="AV167" s="36">
        <v>180.02</v>
      </c>
      <c r="AW167" s="36">
        <v>0</v>
      </c>
      <c r="AX167" s="90">
        <f t="shared" si="59"/>
        <v>180.02</v>
      </c>
      <c r="AY167" s="157">
        <f t="shared" si="72"/>
        <v>0</v>
      </c>
      <c r="AZ167" s="182">
        <v>0</v>
      </c>
      <c r="BA167" s="158">
        <v>0</v>
      </c>
      <c r="BB167" s="182">
        <v>0</v>
      </c>
      <c r="BC167" s="158"/>
      <c r="BD167" s="182">
        <v>0</v>
      </c>
      <c r="BE167" s="158">
        <v>0</v>
      </c>
      <c r="BF167" s="182">
        <v>0</v>
      </c>
      <c r="BG167" s="158"/>
      <c r="BH167" s="182">
        <v>0</v>
      </c>
      <c r="BI167" s="158"/>
      <c r="BJ167" s="182">
        <v>0</v>
      </c>
      <c r="BK167" s="158"/>
      <c r="BL167" s="182"/>
      <c r="BM167" s="158"/>
      <c r="BN167" s="182"/>
      <c r="BO167" s="158"/>
      <c r="BP167" s="182"/>
      <c r="BQ167" s="158"/>
      <c r="BR167" s="182"/>
      <c r="BS167" s="158"/>
      <c r="BT167" s="182"/>
      <c r="BU167" s="158"/>
      <c r="BV167" s="182"/>
      <c r="BW167" s="234"/>
      <c r="BX167" s="237"/>
      <c r="BY167" s="81">
        <f t="shared" si="73"/>
        <v>0</v>
      </c>
      <c r="BZ167" s="198"/>
      <c r="CA167" s="198"/>
      <c r="CB167" s="198"/>
      <c r="CC167" s="198"/>
      <c r="CD167" s="198"/>
      <c r="CE167" s="198"/>
      <c r="CF167" s="198"/>
      <c r="CG167" s="198"/>
      <c r="CH167" s="198"/>
      <c r="CI167" s="198"/>
      <c r="CJ167" s="198"/>
      <c r="CK167" s="198"/>
      <c r="CL167" s="195">
        <f t="shared" si="75"/>
        <v>0</v>
      </c>
      <c r="CM167" s="196"/>
      <c r="CN167" s="196"/>
      <c r="CO167" s="196"/>
      <c r="CP167" s="196"/>
      <c r="CQ167" s="196"/>
      <c r="CR167" s="196"/>
      <c r="CS167" s="196"/>
      <c r="CT167" s="196"/>
      <c r="CU167" s="196"/>
      <c r="CV167" s="196"/>
      <c r="CW167" s="196"/>
      <c r="CX167" s="196"/>
      <c r="CY167" s="200">
        <f t="shared" si="60"/>
        <v>0</v>
      </c>
      <c r="CZ167" s="172">
        <f t="shared" si="74"/>
        <v>0</v>
      </c>
      <c r="DA167" s="201">
        <f t="shared" si="61"/>
        <v>0</v>
      </c>
      <c r="DB167" s="201">
        <f t="shared" si="62"/>
        <v>0</v>
      </c>
      <c r="DC167" s="201">
        <f t="shared" si="76"/>
        <v>0</v>
      </c>
      <c r="DD167" s="239">
        <v>0</v>
      </c>
      <c r="DE167" s="201">
        <f t="shared" si="77"/>
        <v>0</v>
      </c>
      <c r="DF167" s="172" t="e">
        <f>SUM(DN167:DO167)-SUM(#REF!,BV167)+BU167</f>
        <v>#REF!</v>
      </c>
      <c r="DG167" s="207"/>
      <c r="DH167" s="225">
        <f t="shared" si="78"/>
        <v>0</v>
      </c>
      <c r="DI167" s="225">
        <f t="shared" si="79"/>
        <v>0</v>
      </c>
      <c r="DJ167" s="225">
        <f t="shared" si="80"/>
        <v>0</v>
      </c>
      <c r="DK167" s="225" t="e">
        <f>SUM(BS167,#REF!,BV167)</f>
        <v>#REF!</v>
      </c>
      <c r="DL167" s="145">
        <v>180.01949999999999</v>
      </c>
      <c r="DM167" s="145">
        <v>151.33089000000001</v>
      </c>
      <c r="DN167" s="145">
        <v>0</v>
      </c>
      <c r="DO167" s="145">
        <v>0</v>
      </c>
      <c r="DP167" s="145">
        <v>151.33089000000001</v>
      </c>
      <c r="DQ167" s="145">
        <v>28.688610000000001</v>
      </c>
      <c r="DS167" s="219">
        <f t="shared" si="81"/>
        <v>0</v>
      </c>
    </row>
    <row r="168" spans="1:123" s="21" customFormat="1" ht="24" customHeight="1">
      <c r="A168" s="16"/>
      <c r="B168" s="2">
        <v>125</v>
      </c>
      <c r="C168" s="79" t="s">
        <v>234</v>
      </c>
      <c r="D168" s="79"/>
      <c r="E168" s="78" t="s">
        <v>1025</v>
      </c>
      <c r="F168" s="39">
        <v>2019</v>
      </c>
      <c r="G168" s="40">
        <v>43698</v>
      </c>
      <c r="H168" s="4">
        <v>43715</v>
      </c>
      <c r="I168" s="40">
        <v>43853</v>
      </c>
      <c r="J168" s="13">
        <f t="shared" ca="1" si="58"/>
        <v>138</v>
      </c>
      <c r="K168" s="165">
        <f t="shared" si="82"/>
        <v>44262</v>
      </c>
      <c r="L168" s="165">
        <f t="shared" si="83"/>
        <v>44445</v>
      </c>
      <c r="M168" s="165"/>
      <c r="N168" s="165"/>
      <c r="O168" s="170"/>
      <c r="P168" s="170"/>
      <c r="Q168" s="170"/>
      <c r="R168" s="39" t="s">
        <v>175</v>
      </c>
      <c r="S168" s="11" t="s">
        <v>4</v>
      </c>
      <c r="T168" s="5"/>
      <c r="U168" s="5" t="s">
        <v>8</v>
      </c>
      <c r="V168" s="251">
        <v>2112948</v>
      </c>
      <c r="W168" s="5" t="s">
        <v>602</v>
      </c>
      <c r="X168" s="5" t="s">
        <v>477</v>
      </c>
      <c r="Y168" s="5" t="s">
        <v>233</v>
      </c>
      <c r="Z168" s="3" t="s">
        <v>180</v>
      </c>
      <c r="AA168" s="6" t="s">
        <v>217</v>
      </c>
      <c r="AB168" s="142" t="s">
        <v>196</v>
      </c>
      <c r="AC168" s="165" t="s">
        <v>5</v>
      </c>
      <c r="AD168" s="165" t="s">
        <v>5</v>
      </c>
      <c r="AE168" s="165" t="s">
        <v>5</v>
      </c>
      <c r="AF168" s="5" t="s">
        <v>1037</v>
      </c>
      <c r="AG168" s="41"/>
      <c r="AH168" s="212"/>
      <c r="AI168" s="76"/>
      <c r="AJ168" s="76"/>
      <c r="AK168" s="221" t="e">
        <f>SUM(#REF!,BT168,BV168)</f>
        <v>#REF!</v>
      </c>
      <c r="AL168" s="48"/>
      <c r="AM168" s="48"/>
      <c r="AN168" s="48"/>
      <c r="AO168" s="48"/>
      <c r="AP168" s="48"/>
      <c r="AQ168" s="48"/>
      <c r="AR168" s="51">
        <v>420.09872999999999</v>
      </c>
      <c r="AS168" s="51">
        <v>-30.32985</v>
      </c>
      <c r="AT168" s="51">
        <v>-25.047710000000009</v>
      </c>
      <c r="AU168" s="51"/>
      <c r="AV168" s="44">
        <v>445.88</v>
      </c>
      <c r="AW168" s="44">
        <v>26.32</v>
      </c>
      <c r="AX168" s="90">
        <f t="shared" si="59"/>
        <v>472.2</v>
      </c>
      <c r="AY168" s="157">
        <f t="shared" si="72"/>
        <v>0</v>
      </c>
      <c r="AZ168" s="182">
        <v>0</v>
      </c>
      <c r="BA168" s="158"/>
      <c r="BB168" s="182">
        <v>0</v>
      </c>
      <c r="BC168" s="158"/>
      <c r="BD168" s="182">
        <v>0</v>
      </c>
      <c r="BE168" s="158">
        <v>0</v>
      </c>
      <c r="BF168" s="182">
        <v>0</v>
      </c>
      <c r="BG168" s="158"/>
      <c r="BH168" s="182">
        <v>0</v>
      </c>
      <c r="BI168" s="158"/>
      <c r="BJ168" s="182">
        <v>0</v>
      </c>
      <c r="BK168" s="158"/>
      <c r="BL168" s="182"/>
      <c r="BM168" s="158"/>
      <c r="BN168" s="182"/>
      <c r="BO168" s="158"/>
      <c r="BP168" s="182"/>
      <c r="BQ168" s="158"/>
      <c r="BR168" s="182"/>
      <c r="BS168" s="158"/>
      <c r="BT168" s="182"/>
      <c r="BU168" s="158"/>
      <c r="BV168" s="182"/>
      <c r="BW168" s="234"/>
      <c r="BX168" s="237"/>
      <c r="BY168" s="81">
        <f t="shared" si="73"/>
        <v>0</v>
      </c>
      <c r="BZ168" s="241"/>
      <c r="CA168" s="241"/>
      <c r="CB168" s="241"/>
      <c r="CC168" s="241"/>
      <c r="CD168" s="241"/>
      <c r="CE168" s="241"/>
      <c r="CF168" s="241"/>
      <c r="CG168" s="241"/>
      <c r="CH168" s="241"/>
      <c r="CI168" s="241"/>
      <c r="CJ168" s="241"/>
      <c r="CK168" s="241"/>
      <c r="CL168" s="195">
        <f t="shared" si="75"/>
        <v>0</v>
      </c>
      <c r="CM168" s="196"/>
      <c r="CN168" s="196"/>
      <c r="CO168" s="196"/>
      <c r="CP168" s="196"/>
      <c r="CQ168" s="196"/>
      <c r="CR168" s="196"/>
      <c r="CS168" s="196"/>
      <c r="CT168" s="196"/>
      <c r="CU168" s="196"/>
      <c r="CV168" s="196"/>
      <c r="CW168" s="196"/>
      <c r="CX168" s="196"/>
      <c r="CY168" s="200">
        <f t="shared" si="60"/>
        <v>0</v>
      </c>
      <c r="CZ168" s="172">
        <f t="shared" si="74"/>
        <v>0</v>
      </c>
      <c r="DA168" s="201">
        <f t="shared" si="61"/>
        <v>0</v>
      </c>
      <c r="DB168" s="201">
        <f t="shared" si="62"/>
        <v>0</v>
      </c>
      <c r="DC168" s="201">
        <f t="shared" si="76"/>
        <v>0</v>
      </c>
      <c r="DD168" s="239">
        <v>0</v>
      </c>
      <c r="DE168" s="201">
        <f t="shared" si="77"/>
        <v>0</v>
      </c>
      <c r="DF168" s="172" t="e">
        <f>SUM(DN168:DO168)-SUM(#REF!,BV168)+BU168</f>
        <v>#REF!</v>
      </c>
      <c r="DG168" s="207"/>
      <c r="DH168" s="225">
        <f t="shared" si="78"/>
        <v>0</v>
      </c>
      <c r="DI168" s="225">
        <f t="shared" si="79"/>
        <v>0</v>
      </c>
      <c r="DJ168" s="225">
        <f t="shared" si="80"/>
        <v>0</v>
      </c>
      <c r="DK168" s="225" t="e">
        <f>SUM(BS168,#REF!,BV168)</f>
        <v>#REF!</v>
      </c>
      <c r="DL168" s="145">
        <v>445.88299999999998</v>
      </c>
      <c r="DM168" s="145">
        <v>395.05101999999999</v>
      </c>
      <c r="DN168" s="145">
        <v>0</v>
      </c>
      <c r="DO168" s="145">
        <v>0</v>
      </c>
      <c r="DP168" s="145">
        <v>395.05101999999999</v>
      </c>
      <c r="DQ168" s="145">
        <v>50.831980000000001</v>
      </c>
      <c r="DS168" s="219">
        <f t="shared" si="81"/>
        <v>0</v>
      </c>
    </row>
    <row r="169" spans="1:123" s="21" customFormat="1" ht="24" customHeight="1">
      <c r="A169" s="16"/>
      <c r="B169" s="2">
        <v>126</v>
      </c>
      <c r="C169" s="79" t="s">
        <v>241</v>
      </c>
      <c r="D169" s="79"/>
      <c r="E169" s="78" t="s">
        <v>592</v>
      </c>
      <c r="F169" s="39">
        <v>2019</v>
      </c>
      <c r="G169" s="40">
        <v>43714</v>
      </c>
      <c r="H169" s="40">
        <v>43715</v>
      </c>
      <c r="I169" s="40">
        <v>43715</v>
      </c>
      <c r="J169" s="13">
        <f t="shared" ca="1" si="58"/>
        <v>0</v>
      </c>
      <c r="K169" s="165">
        <f t="shared" si="82"/>
        <v>44262</v>
      </c>
      <c r="L169" s="165">
        <f t="shared" si="83"/>
        <v>44445</v>
      </c>
      <c r="M169" s="165"/>
      <c r="N169" s="165"/>
      <c r="O169" s="165"/>
      <c r="P169" s="165"/>
      <c r="Q169" s="165"/>
      <c r="R169" s="3" t="s">
        <v>175</v>
      </c>
      <c r="S169" s="11" t="s">
        <v>4</v>
      </c>
      <c r="T169" s="11"/>
      <c r="U169" s="5" t="s">
        <v>8</v>
      </c>
      <c r="V169" s="251"/>
      <c r="W169" s="5" t="s">
        <v>602</v>
      </c>
      <c r="X169" s="5" t="s">
        <v>477</v>
      </c>
      <c r="Y169" s="5" t="s">
        <v>240</v>
      </c>
      <c r="Z169" s="78" t="s">
        <v>315</v>
      </c>
      <c r="AA169" s="6" t="s">
        <v>217</v>
      </c>
      <c r="AB169" s="150" t="s">
        <v>250</v>
      </c>
      <c r="AC169" s="165" t="s">
        <v>5</v>
      </c>
      <c r="AD169" s="165" t="s">
        <v>5</v>
      </c>
      <c r="AE169" s="165" t="s">
        <v>5</v>
      </c>
      <c r="AF169" s="5"/>
      <c r="AG169" s="5"/>
      <c r="AH169" s="212"/>
      <c r="AI169" s="115"/>
      <c r="AJ169" s="115"/>
      <c r="AK169" s="221" t="e">
        <f>SUM(#REF!,BT169,BV169)</f>
        <v>#REF!</v>
      </c>
      <c r="AL169" s="48"/>
      <c r="AM169" s="48"/>
      <c r="AN169" s="48"/>
      <c r="AO169" s="48"/>
      <c r="AP169" s="48"/>
      <c r="AQ169" s="48"/>
      <c r="AR169" s="51">
        <v>0</v>
      </c>
      <c r="AS169" s="51"/>
      <c r="AT169" s="51">
        <v>0</v>
      </c>
      <c r="AU169" s="51"/>
      <c r="AV169" s="44">
        <v>0</v>
      </c>
      <c r="AW169" s="44">
        <v>0</v>
      </c>
      <c r="AX169" s="90">
        <f t="shared" si="59"/>
        <v>0</v>
      </c>
      <c r="AY169" s="157">
        <f t="shared" si="72"/>
        <v>0</v>
      </c>
      <c r="AZ169" s="182">
        <v>0</v>
      </c>
      <c r="BA169" s="158"/>
      <c r="BB169" s="182">
        <v>0</v>
      </c>
      <c r="BC169" s="158"/>
      <c r="BD169" s="182">
        <v>0</v>
      </c>
      <c r="BE169" s="158">
        <v>0</v>
      </c>
      <c r="BF169" s="182">
        <v>0</v>
      </c>
      <c r="BG169" s="158"/>
      <c r="BH169" s="182">
        <v>0</v>
      </c>
      <c r="BI169" s="158"/>
      <c r="BJ169" s="182">
        <v>0</v>
      </c>
      <c r="BK169" s="158"/>
      <c r="BL169" s="182"/>
      <c r="BM169" s="158"/>
      <c r="BN169" s="182"/>
      <c r="BO169" s="158"/>
      <c r="BP169" s="182"/>
      <c r="BQ169" s="158"/>
      <c r="BR169" s="182"/>
      <c r="BS169" s="158"/>
      <c r="BT169" s="182"/>
      <c r="BU169" s="158"/>
      <c r="BV169" s="182"/>
      <c r="BW169" s="234"/>
      <c r="BX169" s="237"/>
      <c r="BY169" s="81">
        <f t="shared" si="73"/>
        <v>0</v>
      </c>
      <c r="BZ169" s="241"/>
      <c r="CA169" s="241"/>
      <c r="CB169" s="241"/>
      <c r="CC169" s="241"/>
      <c r="CD169" s="241"/>
      <c r="CE169" s="241"/>
      <c r="CF169" s="241"/>
      <c r="CG169" s="241"/>
      <c r="CH169" s="241"/>
      <c r="CI169" s="241"/>
      <c r="CJ169" s="241"/>
      <c r="CK169" s="241"/>
      <c r="CL169" s="195">
        <f t="shared" si="75"/>
        <v>0</v>
      </c>
      <c r="CM169" s="196"/>
      <c r="CN169" s="196"/>
      <c r="CO169" s="196"/>
      <c r="CP169" s="196"/>
      <c r="CQ169" s="196"/>
      <c r="CR169" s="196"/>
      <c r="CS169" s="196"/>
      <c r="CT169" s="196"/>
      <c r="CU169" s="196"/>
      <c r="CV169" s="196"/>
      <c r="CW169" s="196"/>
      <c r="CX169" s="196"/>
      <c r="CY169" s="200">
        <f t="shared" si="60"/>
        <v>0</v>
      </c>
      <c r="CZ169" s="172">
        <f t="shared" si="74"/>
        <v>0</v>
      </c>
      <c r="DA169" s="201">
        <f t="shared" si="61"/>
        <v>0</v>
      </c>
      <c r="DB169" s="201">
        <f t="shared" si="62"/>
        <v>0</v>
      </c>
      <c r="DC169" s="201">
        <f t="shared" si="76"/>
        <v>0</v>
      </c>
      <c r="DD169" s="239">
        <v>0</v>
      </c>
      <c r="DE169" s="201">
        <f t="shared" si="77"/>
        <v>0</v>
      </c>
      <c r="DF169" s="172" t="e">
        <f>SUM(DN169:DO169)-SUM(#REF!,BV169)+BU169</f>
        <v>#REF!</v>
      </c>
      <c r="DG169" s="207"/>
      <c r="DH169" s="225">
        <f t="shared" si="78"/>
        <v>0</v>
      </c>
      <c r="DI169" s="225">
        <f t="shared" si="79"/>
        <v>0</v>
      </c>
      <c r="DJ169" s="225">
        <f t="shared" si="80"/>
        <v>0</v>
      </c>
      <c r="DK169" s="225" t="e">
        <f>SUM(BS169,#REF!,BV169)</f>
        <v>#REF!</v>
      </c>
      <c r="DL169" s="145"/>
      <c r="DM169" s="145"/>
      <c r="DN169" s="145"/>
      <c r="DO169" s="145"/>
      <c r="DP169" s="145"/>
      <c r="DQ169" s="145"/>
      <c r="DS169" s="219">
        <f t="shared" si="81"/>
        <v>0</v>
      </c>
    </row>
    <row r="170" spans="1:123" s="21" customFormat="1" ht="24" customHeight="1">
      <c r="A170" s="16"/>
      <c r="B170" s="2">
        <v>127</v>
      </c>
      <c r="C170" s="79" t="s">
        <v>235</v>
      </c>
      <c r="D170" s="79"/>
      <c r="E170" s="78" t="s">
        <v>881</v>
      </c>
      <c r="F170" s="39">
        <v>2019</v>
      </c>
      <c r="G170" s="40">
        <v>43689</v>
      </c>
      <c r="H170" s="40">
        <v>43833</v>
      </c>
      <c r="I170" s="40">
        <v>44200</v>
      </c>
      <c r="J170" s="13">
        <f t="shared" ca="1" si="58"/>
        <v>367</v>
      </c>
      <c r="K170" s="165">
        <f t="shared" si="82"/>
        <v>44380</v>
      </c>
      <c r="L170" s="165">
        <f t="shared" si="83"/>
        <v>44563</v>
      </c>
      <c r="M170" s="165"/>
      <c r="N170" s="165"/>
      <c r="O170" s="165"/>
      <c r="P170" s="165"/>
      <c r="Q170" s="165"/>
      <c r="R170" s="3" t="s">
        <v>175</v>
      </c>
      <c r="S170" s="11" t="s">
        <v>4</v>
      </c>
      <c r="T170" s="11"/>
      <c r="U170" s="5" t="s">
        <v>8</v>
      </c>
      <c r="V170" s="251">
        <v>2422247</v>
      </c>
      <c r="W170" s="5" t="s">
        <v>602</v>
      </c>
      <c r="X170" s="5" t="s">
        <v>477</v>
      </c>
      <c r="Y170" s="5" t="s">
        <v>230</v>
      </c>
      <c r="Z170" s="78" t="s">
        <v>315</v>
      </c>
      <c r="AA170" s="6" t="s">
        <v>217</v>
      </c>
      <c r="AB170" s="141" t="s">
        <v>196</v>
      </c>
      <c r="AC170" s="165" t="s">
        <v>5</v>
      </c>
      <c r="AD170" s="165" t="s">
        <v>5</v>
      </c>
      <c r="AE170" s="165" t="s">
        <v>5</v>
      </c>
      <c r="AF170" s="5"/>
      <c r="AG170" s="5"/>
      <c r="AH170" s="212"/>
      <c r="AI170" s="115"/>
      <c r="AJ170" s="115"/>
      <c r="AK170" s="221" t="e">
        <f>SUM(#REF!,BT170,BV170)</f>
        <v>#REF!</v>
      </c>
      <c r="AL170" s="153"/>
      <c r="AM170" s="153"/>
      <c r="AN170" s="153"/>
      <c r="AO170" s="153"/>
      <c r="AP170" s="153"/>
      <c r="AQ170" s="153"/>
      <c r="AR170" s="51">
        <v>0</v>
      </c>
      <c r="AS170" s="51">
        <v>132.4</v>
      </c>
      <c r="AT170" s="51">
        <v>0</v>
      </c>
      <c r="AU170" s="51"/>
      <c r="AV170" s="44">
        <v>132.4</v>
      </c>
      <c r="AW170" s="44">
        <v>0</v>
      </c>
      <c r="AX170" s="90">
        <f t="shared" si="59"/>
        <v>132.4</v>
      </c>
      <c r="AY170" s="157">
        <f t="shared" si="72"/>
        <v>0</v>
      </c>
      <c r="AZ170" s="182">
        <v>0</v>
      </c>
      <c r="BA170" s="158">
        <v>0</v>
      </c>
      <c r="BB170" s="182">
        <v>0</v>
      </c>
      <c r="BC170" s="158"/>
      <c r="BD170" s="182">
        <v>0</v>
      </c>
      <c r="BE170" s="158">
        <v>0</v>
      </c>
      <c r="BF170" s="182">
        <v>0</v>
      </c>
      <c r="BG170" s="158"/>
      <c r="BH170" s="182">
        <v>0</v>
      </c>
      <c r="BI170" s="158"/>
      <c r="BJ170" s="182">
        <v>0</v>
      </c>
      <c r="BK170" s="158"/>
      <c r="BL170" s="182"/>
      <c r="BM170" s="158"/>
      <c r="BN170" s="182"/>
      <c r="BO170" s="158"/>
      <c r="BP170" s="182"/>
      <c r="BQ170" s="158"/>
      <c r="BR170" s="182"/>
      <c r="BS170" s="158"/>
      <c r="BT170" s="182"/>
      <c r="BU170" s="158"/>
      <c r="BV170" s="182"/>
      <c r="BW170" s="234"/>
      <c r="BX170" s="237"/>
      <c r="BY170" s="81">
        <f t="shared" si="73"/>
        <v>0</v>
      </c>
      <c r="BZ170" s="241"/>
      <c r="CA170" s="241"/>
      <c r="CB170" s="241"/>
      <c r="CC170" s="241"/>
      <c r="CD170" s="241"/>
      <c r="CE170" s="241"/>
      <c r="CF170" s="241"/>
      <c r="CG170" s="241"/>
      <c r="CH170" s="241"/>
      <c r="CI170" s="241"/>
      <c r="CJ170" s="241"/>
      <c r="CK170" s="241"/>
      <c r="CL170" s="195">
        <f t="shared" si="75"/>
        <v>0</v>
      </c>
      <c r="CM170" s="196"/>
      <c r="CN170" s="196"/>
      <c r="CO170" s="196"/>
      <c r="CP170" s="196"/>
      <c r="CQ170" s="196"/>
      <c r="CR170" s="196"/>
      <c r="CS170" s="196"/>
      <c r="CT170" s="196"/>
      <c r="CU170" s="196"/>
      <c r="CV170" s="196"/>
      <c r="CW170" s="196"/>
      <c r="CX170" s="196"/>
      <c r="CY170" s="200">
        <f t="shared" si="60"/>
        <v>0</v>
      </c>
      <c r="CZ170" s="172">
        <f t="shared" si="74"/>
        <v>0</v>
      </c>
      <c r="DA170" s="201">
        <f t="shared" si="61"/>
        <v>0</v>
      </c>
      <c r="DB170" s="201">
        <f t="shared" si="62"/>
        <v>0</v>
      </c>
      <c r="DC170" s="201">
        <f t="shared" si="76"/>
        <v>0</v>
      </c>
      <c r="DD170" s="239">
        <v>0</v>
      </c>
      <c r="DE170" s="201">
        <f t="shared" si="77"/>
        <v>0</v>
      </c>
      <c r="DF170" s="172" t="e">
        <f>SUM(DN170:DO170)-SUM(#REF!,BV170)+BU170</f>
        <v>#REF!</v>
      </c>
      <c r="DG170" s="207"/>
      <c r="DH170" s="225">
        <f t="shared" si="78"/>
        <v>0</v>
      </c>
      <c r="DI170" s="225">
        <f t="shared" si="79"/>
        <v>0</v>
      </c>
      <c r="DJ170" s="225">
        <f t="shared" si="80"/>
        <v>0</v>
      </c>
      <c r="DK170" s="225" t="e">
        <f>SUM(BS170,#REF!,BV170)</f>
        <v>#REF!</v>
      </c>
      <c r="DL170" s="145">
        <v>132.4</v>
      </c>
      <c r="DM170" s="145">
        <v>0</v>
      </c>
      <c r="DN170" s="145">
        <v>0</v>
      </c>
      <c r="DO170" s="145">
        <v>0</v>
      </c>
      <c r="DP170" s="145">
        <v>0</v>
      </c>
      <c r="DQ170" s="145">
        <v>132.4</v>
      </c>
      <c r="DS170" s="219">
        <f t="shared" si="81"/>
        <v>0</v>
      </c>
    </row>
    <row r="171" spans="1:123" s="21" customFormat="1" ht="24" customHeight="1">
      <c r="A171" s="16"/>
      <c r="B171" s="2">
        <v>128</v>
      </c>
      <c r="C171" s="79" t="s">
        <v>236</v>
      </c>
      <c r="D171" s="79"/>
      <c r="E171" s="78" t="s">
        <v>834</v>
      </c>
      <c r="F171" s="39">
        <v>2019</v>
      </c>
      <c r="G171" s="40">
        <v>43713</v>
      </c>
      <c r="H171" s="178">
        <v>43747</v>
      </c>
      <c r="I171" s="40">
        <v>44286</v>
      </c>
      <c r="J171" s="13">
        <f t="shared" ca="1" si="58"/>
        <v>539</v>
      </c>
      <c r="K171" s="165">
        <f t="shared" si="82"/>
        <v>44294</v>
      </c>
      <c r="L171" s="165">
        <f t="shared" si="83"/>
        <v>44477</v>
      </c>
      <c r="M171" s="165"/>
      <c r="N171" s="165"/>
      <c r="O171" s="165"/>
      <c r="P171" s="170"/>
      <c r="Q171" s="170"/>
      <c r="R171" s="3" t="s">
        <v>179</v>
      </c>
      <c r="S171" s="11" t="s">
        <v>222</v>
      </c>
      <c r="T171" s="11"/>
      <c r="U171" s="5" t="s">
        <v>8</v>
      </c>
      <c r="V171" s="251">
        <v>2238197</v>
      </c>
      <c r="W171" s="5" t="s">
        <v>602</v>
      </c>
      <c r="X171" s="5" t="s">
        <v>473</v>
      </c>
      <c r="Y171" s="5" t="s">
        <v>237</v>
      </c>
      <c r="Z171" s="3" t="s">
        <v>187</v>
      </c>
      <c r="AA171" s="6" t="s">
        <v>217</v>
      </c>
      <c r="AB171" s="142" t="s">
        <v>196</v>
      </c>
      <c r="AC171" s="165" t="s">
        <v>5</v>
      </c>
      <c r="AD171" s="165" t="s">
        <v>5</v>
      </c>
      <c r="AE171" s="165" t="s">
        <v>5</v>
      </c>
      <c r="AF171" s="5"/>
      <c r="AG171" s="41"/>
      <c r="AH171" s="212"/>
      <c r="AI171" s="76" t="s">
        <v>666</v>
      </c>
      <c r="AJ171" s="76"/>
      <c r="AK171" s="221" t="e">
        <f>SUM(#REF!,BT171,BV171)</f>
        <v>#REF!</v>
      </c>
      <c r="AL171" s="167"/>
      <c r="AM171" s="167"/>
      <c r="AN171" s="167"/>
      <c r="AO171" s="167"/>
      <c r="AP171" s="167"/>
      <c r="AQ171" s="167"/>
      <c r="AR171" s="51">
        <v>50.368540000000003</v>
      </c>
      <c r="AS171" s="51">
        <v>1358.2448300000001</v>
      </c>
      <c r="AT171" s="51">
        <v>1240.3935200000001</v>
      </c>
      <c r="AU171" s="51">
        <v>96.589320000000001</v>
      </c>
      <c r="AV171" s="44">
        <v>1490</v>
      </c>
      <c r="AW171" s="44">
        <v>1135</v>
      </c>
      <c r="AX171" s="90">
        <f t="shared" si="59"/>
        <v>2625</v>
      </c>
      <c r="AY171" s="157">
        <f t="shared" si="72"/>
        <v>60.190020000000004</v>
      </c>
      <c r="AZ171" s="182">
        <v>10</v>
      </c>
      <c r="BA171" s="158">
        <v>2.5893199999999998</v>
      </c>
      <c r="BB171" s="182">
        <v>28</v>
      </c>
      <c r="BC171" s="158">
        <v>27.138630000000003</v>
      </c>
      <c r="BD171" s="182">
        <v>30</v>
      </c>
      <c r="BE171" s="158">
        <v>23.740740000000002</v>
      </c>
      <c r="BF171" s="182">
        <v>9</v>
      </c>
      <c r="BG171" s="158">
        <v>3.65239</v>
      </c>
      <c r="BH171" s="182">
        <v>5</v>
      </c>
      <c r="BI171" s="158">
        <v>-0.18156999999999998</v>
      </c>
      <c r="BJ171" s="182">
        <v>3</v>
      </c>
      <c r="BK171" s="158">
        <v>3.2505100000000002</v>
      </c>
      <c r="BL171" s="182"/>
      <c r="BM171" s="158"/>
      <c r="BN171" s="182"/>
      <c r="BO171" s="158"/>
      <c r="BP171" s="182"/>
      <c r="BQ171" s="158"/>
      <c r="BR171" s="182"/>
      <c r="BS171" s="158"/>
      <c r="BT171" s="182"/>
      <c r="BU171" s="158"/>
      <c r="BV171" s="182"/>
      <c r="BW171" s="234"/>
      <c r="BX171" s="237"/>
      <c r="BY171" s="81">
        <f t="shared" si="73"/>
        <v>0</v>
      </c>
      <c r="BZ171" s="198"/>
      <c r="CA171" s="198"/>
      <c r="CB171" s="198"/>
      <c r="CC171" s="198"/>
      <c r="CD171" s="198"/>
      <c r="CE171" s="198"/>
      <c r="CF171" s="198"/>
      <c r="CG171" s="198"/>
      <c r="CH171" s="198"/>
      <c r="CI171" s="198"/>
      <c r="CJ171" s="198"/>
      <c r="CK171" s="198"/>
      <c r="CL171" s="195">
        <f t="shared" si="75"/>
        <v>0</v>
      </c>
      <c r="CM171" s="196"/>
      <c r="CN171" s="196"/>
      <c r="CO171" s="196"/>
      <c r="CP171" s="196"/>
      <c r="CQ171" s="196"/>
      <c r="CR171" s="196"/>
      <c r="CS171" s="196"/>
      <c r="CT171" s="196"/>
      <c r="CU171" s="196"/>
      <c r="CV171" s="196"/>
      <c r="CW171" s="196"/>
      <c r="CX171" s="196"/>
      <c r="CY171" s="200">
        <f t="shared" si="60"/>
        <v>0</v>
      </c>
      <c r="CZ171" s="172">
        <f t="shared" si="74"/>
        <v>0</v>
      </c>
      <c r="DA171" s="201">
        <f t="shared" si="61"/>
        <v>60.190020000000004</v>
      </c>
      <c r="DB171" s="201">
        <f t="shared" si="62"/>
        <v>0</v>
      </c>
      <c r="DC171" s="201">
        <f t="shared" si="76"/>
        <v>60.190020000000004</v>
      </c>
      <c r="DD171" s="239">
        <v>60.190020000000004</v>
      </c>
      <c r="DE171" s="201">
        <f t="shared" si="77"/>
        <v>0</v>
      </c>
      <c r="DF171" s="172" t="e">
        <f>SUM(DN171:DO171)-SUM(#REF!,BV171)+BU171</f>
        <v>#REF!</v>
      </c>
      <c r="DG171" s="207"/>
      <c r="DH171" s="225">
        <f t="shared" si="78"/>
        <v>53.468690000000009</v>
      </c>
      <c r="DI171" s="225">
        <f t="shared" si="79"/>
        <v>6.72133</v>
      </c>
      <c r="DJ171" s="225">
        <f t="shared" si="80"/>
        <v>0</v>
      </c>
      <c r="DK171" s="225" t="e">
        <f>SUM(BS171,#REF!,BV171)</f>
        <v>#REF!</v>
      </c>
      <c r="DL171" s="145">
        <v>1490</v>
      </c>
      <c r="DM171" s="145">
        <v>1350.95208</v>
      </c>
      <c r="DN171" s="145">
        <v>0</v>
      </c>
      <c r="DO171" s="145">
        <v>0</v>
      </c>
      <c r="DP171" s="145">
        <v>1350.95208</v>
      </c>
      <c r="DQ171" s="145">
        <v>139.04792</v>
      </c>
      <c r="DR171" s="21">
        <f>VLOOKUP(C171,[6]Database!$B$143:$AD$521,29,FALSE)</f>
        <v>0</v>
      </c>
      <c r="DS171" s="219">
        <f t="shared" si="81"/>
        <v>0</v>
      </c>
    </row>
    <row r="172" spans="1:123" s="21" customFormat="1" ht="24" customHeight="1">
      <c r="A172" s="16"/>
      <c r="B172" s="2">
        <v>129</v>
      </c>
      <c r="C172" s="79" t="s">
        <v>238</v>
      </c>
      <c r="D172" s="79"/>
      <c r="E172" s="78" t="s">
        <v>592</v>
      </c>
      <c r="F172" s="39">
        <v>2019</v>
      </c>
      <c r="G172" s="40">
        <v>43713</v>
      </c>
      <c r="H172" s="40">
        <v>43714</v>
      </c>
      <c r="I172" s="40">
        <v>43714</v>
      </c>
      <c r="J172" s="13">
        <f t="shared" ca="1" si="58"/>
        <v>0</v>
      </c>
      <c r="K172" s="165">
        <f t="shared" si="82"/>
        <v>44261</v>
      </c>
      <c r="L172" s="165">
        <f t="shared" si="83"/>
        <v>44444</v>
      </c>
      <c r="M172" s="165"/>
      <c r="N172" s="165"/>
      <c r="O172" s="165"/>
      <c r="P172" s="170"/>
      <c r="Q172" s="170"/>
      <c r="R172" s="3" t="s">
        <v>175</v>
      </c>
      <c r="S172" s="11" t="s">
        <v>4</v>
      </c>
      <c r="T172" s="104"/>
      <c r="U172" s="5" t="s">
        <v>8</v>
      </c>
      <c r="V172" s="251">
        <v>2359750</v>
      </c>
      <c r="W172" s="5" t="s">
        <v>602</v>
      </c>
      <c r="X172" s="5" t="s">
        <v>477</v>
      </c>
      <c r="Y172" s="5" t="s">
        <v>263</v>
      </c>
      <c r="Z172" s="78" t="s">
        <v>315</v>
      </c>
      <c r="AA172" s="6" t="s">
        <v>217</v>
      </c>
      <c r="AB172" s="270" t="s">
        <v>514</v>
      </c>
      <c r="AC172" s="165" t="s">
        <v>5</v>
      </c>
      <c r="AD172" s="165" t="s">
        <v>5</v>
      </c>
      <c r="AE172" s="165" t="s">
        <v>5</v>
      </c>
      <c r="AF172" s="5"/>
      <c r="AG172" s="41"/>
      <c r="AH172" s="212"/>
      <c r="AI172" s="76"/>
      <c r="AJ172" s="76"/>
      <c r="AK172" s="221" t="e">
        <f>SUM(#REF!,BT172,BV172)</f>
        <v>#REF!</v>
      </c>
      <c r="AL172" s="153"/>
      <c r="AM172" s="153"/>
      <c r="AN172" s="153"/>
      <c r="AO172" s="153"/>
      <c r="AP172" s="153"/>
      <c r="AQ172" s="153"/>
      <c r="AR172" s="51">
        <v>0</v>
      </c>
      <c r="AS172" s="51"/>
      <c r="AT172" s="51">
        <v>0</v>
      </c>
      <c r="AU172" s="51"/>
      <c r="AV172" s="44">
        <v>0</v>
      </c>
      <c r="AW172" s="44">
        <v>0</v>
      </c>
      <c r="AX172" s="90">
        <f t="shared" si="59"/>
        <v>0</v>
      </c>
      <c r="AY172" s="157">
        <f t="shared" si="72"/>
        <v>0</v>
      </c>
      <c r="AZ172" s="182">
        <v>0</v>
      </c>
      <c r="BA172" s="158"/>
      <c r="BB172" s="182">
        <v>0</v>
      </c>
      <c r="BC172" s="158"/>
      <c r="BD172" s="182">
        <v>0</v>
      </c>
      <c r="BE172" s="158">
        <v>0</v>
      </c>
      <c r="BF172" s="182">
        <v>0</v>
      </c>
      <c r="BG172" s="158"/>
      <c r="BH172" s="182">
        <v>0</v>
      </c>
      <c r="BI172" s="158"/>
      <c r="BJ172" s="182">
        <v>0</v>
      </c>
      <c r="BK172" s="158"/>
      <c r="BL172" s="182"/>
      <c r="BM172" s="158"/>
      <c r="BN172" s="182"/>
      <c r="BO172" s="158"/>
      <c r="BP172" s="182"/>
      <c r="BQ172" s="158"/>
      <c r="BR172" s="182"/>
      <c r="BS172" s="158"/>
      <c r="BT172" s="182"/>
      <c r="BU172" s="158"/>
      <c r="BV172" s="182"/>
      <c r="BW172" s="234"/>
      <c r="BX172" s="237"/>
      <c r="BY172" s="81">
        <f t="shared" si="73"/>
        <v>0</v>
      </c>
      <c r="BZ172" s="241"/>
      <c r="CA172" s="241"/>
      <c r="CB172" s="241"/>
      <c r="CC172" s="241"/>
      <c r="CD172" s="241"/>
      <c r="CE172" s="241"/>
      <c r="CF172" s="241"/>
      <c r="CG172" s="241"/>
      <c r="CH172" s="241"/>
      <c r="CI172" s="241"/>
      <c r="CJ172" s="241"/>
      <c r="CK172" s="241"/>
      <c r="CL172" s="195">
        <f t="shared" si="75"/>
        <v>0</v>
      </c>
      <c r="CM172" s="196"/>
      <c r="CN172" s="196"/>
      <c r="CO172" s="196"/>
      <c r="CP172" s="196"/>
      <c r="CQ172" s="196"/>
      <c r="CR172" s="196"/>
      <c r="CS172" s="196"/>
      <c r="CT172" s="196"/>
      <c r="CU172" s="196"/>
      <c r="CV172" s="196"/>
      <c r="CW172" s="196"/>
      <c r="CX172" s="196"/>
      <c r="CY172" s="200">
        <f t="shared" si="60"/>
        <v>0</v>
      </c>
      <c r="CZ172" s="172">
        <f t="shared" si="74"/>
        <v>0</v>
      </c>
      <c r="DA172" s="201">
        <f t="shared" si="61"/>
        <v>0</v>
      </c>
      <c r="DB172" s="201">
        <f t="shared" si="62"/>
        <v>0</v>
      </c>
      <c r="DC172" s="201">
        <f t="shared" si="76"/>
        <v>0</v>
      </c>
      <c r="DD172" s="239">
        <v>0</v>
      </c>
      <c r="DE172" s="201">
        <f t="shared" si="77"/>
        <v>0</v>
      </c>
      <c r="DF172" s="172" t="e">
        <f>SUM(DN172:DO172)-SUM(#REF!,BV172)+BU172</f>
        <v>#REF!</v>
      </c>
      <c r="DG172" s="207"/>
      <c r="DH172" s="225">
        <f t="shared" si="78"/>
        <v>0</v>
      </c>
      <c r="DI172" s="225">
        <f t="shared" si="79"/>
        <v>0</v>
      </c>
      <c r="DJ172" s="225">
        <f t="shared" si="80"/>
        <v>0</v>
      </c>
      <c r="DK172" s="225" t="e">
        <f>SUM(BS172,#REF!,BV172)</f>
        <v>#REF!</v>
      </c>
      <c r="DL172" s="145">
        <v>0</v>
      </c>
      <c r="DM172" s="145">
        <v>0</v>
      </c>
      <c r="DN172" s="145">
        <v>0</v>
      </c>
      <c r="DO172" s="145">
        <v>0</v>
      </c>
      <c r="DP172" s="145">
        <v>0</v>
      </c>
      <c r="DQ172" s="145">
        <v>0</v>
      </c>
      <c r="DS172" s="219">
        <f t="shared" si="81"/>
        <v>0</v>
      </c>
    </row>
    <row r="173" spans="1:123" s="21" customFormat="1" ht="24" customHeight="1">
      <c r="A173" s="16"/>
      <c r="B173" s="2">
        <v>130</v>
      </c>
      <c r="C173" s="79" t="s">
        <v>239</v>
      </c>
      <c r="D173" s="79"/>
      <c r="E173" s="78"/>
      <c r="F173" s="39">
        <v>2019</v>
      </c>
      <c r="G173" s="40">
        <v>43725</v>
      </c>
      <c r="H173" s="4">
        <v>43748</v>
      </c>
      <c r="I173" s="4">
        <v>43839</v>
      </c>
      <c r="J173" s="13">
        <f t="shared" ca="1" si="58"/>
        <v>91</v>
      </c>
      <c r="K173" s="165">
        <f t="shared" si="82"/>
        <v>44295</v>
      </c>
      <c r="L173" s="165">
        <f t="shared" si="83"/>
        <v>44478</v>
      </c>
      <c r="M173" s="165"/>
      <c r="N173" s="165"/>
      <c r="O173" s="165"/>
      <c r="P173" s="165"/>
      <c r="Q173" s="165"/>
      <c r="R173" s="3" t="s">
        <v>179</v>
      </c>
      <c r="S173" s="11" t="s">
        <v>222</v>
      </c>
      <c r="T173" s="41"/>
      <c r="U173" s="5" t="s">
        <v>8</v>
      </c>
      <c r="V173" s="251">
        <v>2266751</v>
      </c>
      <c r="W173" s="5" t="s">
        <v>602</v>
      </c>
      <c r="X173" s="5" t="s">
        <v>473</v>
      </c>
      <c r="Y173" s="5" t="s">
        <v>147</v>
      </c>
      <c r="Z173" s="3" t="s">
        <v>187</v>
      </c>
      <c r="AA173" s="6" t="s">
        <v>217</v>
      </c>
      <c r="AB173" s="142" t="s">
        <v>196</v>
      </c>
      <c r="AC173" s="165" t="s">
        <v>5</v>
      </c>
      <c r="AD173" s="165" t="s">
        <v>5</v>
      </c>
      <c r="AE173" s="165" t="s">
        <v>5</v>
      </c>
      <c r="AF173" s="5"/>
      <c r="AG173" s="41"/>
      <c r="AH173" s="212"/>
      <c r="AI173" s="76"/>
      <c r="AJ173" s="76"/>
      <c r="AK173" s="221" t="e">
        <f>SUM(#REF!,BT173,BV173)</f>
        <v>#REF!</v>
      </c>
      <c r="AL173" s="48"/>
      <c r="AM173" s="48"/>
      <c r="AN173" s="48"/>
      <c r="AO173" s="48"/>
      <c r="AP173" s="48"/>
      <c r="AQ173" s="48"/>
      <c r="AR173" s="51">
        <v>0</v>
      </c>
      <c r="AS173" s="51">
        <v>50</v>
      </c>
      <c r="AT173" s="51">
        <v>9.4718499999999999</v>
      </c>
      <c r="AU173" s="51"/>
      <c r="AV173" s="44">
        <v>10.5</v>
      </c>
      <c r="AW173" s="44">
        <v>0</v>
      </c>
      <c r="AX173" s="90">
        <f t="shared" si="59"/>
        <v>10.5</v>
      </c>
      <c r="AY173" s="157">
        <f t="shared" si="72"/>
        <v>0</v>
      </c>
      <c r="AZ173" s="182">
        <v>0</v>
      </c>
      <c r="BA173" s="158"/>
      <c r="BB173" s="182">
        <v>0</v>
      </c>
      <c r="BC173" s="158"/>
      <c r="BD173" s="182">
        <v>0</v>
      </c>
      <c r="BE173" s="158">
        <v>0</v>
      </c>
      <c r="BF173" s="182">
        <v>0</v>
      </c>
      <c r="BG173" s="158"/>
      <c r="BH173" s="182">
        <v>0</v>
      </c>
      <c r="BI173" s="158"/>
      <c r="BJ173" s="182">
        <v>0</v>
      </c>
      <c r="BK173" s="158"/>
      <c r="BL173" s="182"/>
      <c r="BM173" s="158"/>
      <c r="BN173" s="182"/>
      <c r="BO173" s="158"/>
      <c r="BP173" s="182"/>
      <c r="BQ173" s="158"/>
      <c r="BR173" s="182"/>
      <c r="BS173" s="158"/>
      <c r="BT173" s="182"/>
      <c r="BU173" s="158"/>
      <c r="BV173" s="182"/>
      <c r="BW173" s="234"/>
      <c r="BX173" s="237"/>
      <c r="BY173" s="81">
        <f t="shared" si="73"/>
        <v>0</v>
      </c>
      <c r="BZ173" s="198"/>
      <c r="CA173" s="198"/>
      <c r="CB173" s="198"/>
      <c r="CC173" s="198"/>
      <c r="CD173" s="198"/>
      <c r="CE173" s="198"/>
      <c r="CF173" s="198"/>
      <c r="CG173" s="198"/>
      <c r="CH173" s="198"/>
      <c r="CI173" s="198"/>
      <c r="CJ173" s="198"/>
      <c r="CK173" s="198"/>
      <c r="CL173" s="195">
        <f t="shared" si="75"/>
        <v>0</v>
      </c>
      <c r="CM173" s="196"/>
      <c r="CN173" s="196"/>
      <c r="CO173" s="196"/>
      <c r="CP173" s="196"/>
      <c r="CQ173" s="196"/>
      <c r="CR173" s="196"/>
      <c r="CS173" s="196"/>
      <c r="CT173" s="196"/>
      <c r="CU173" s="196"/>
      <c r="CV173" s="196"/>
      <c r="CW173" s="196"/>
      <c r="CX173" s="196"/>
      <c r="CY173" s="200">
        <f t="shared" si="60"/>
        <v>0</v>
      </c>
      <c r="CZ173" s="172">
        <f t="shared" si="74"/>
        <v>0</v>
      </c>
      <c r="DA173" s="201">
        <f t="shared" si="61"/>
        <v>0</v>
      </c>
      <c r="DB173" s="201">
        <f t="shared" si="62"/>
        <v>0</v>
      </c>
      <c r="DC173" s="201">
        <f t="shared" si="76"/>
        <v>0</v>
      </c>
      <c r="DD173" s="239">
        <v>0</v>
      </c>
      <c r="DE173" s="201">
        <f t="shared" si="77"/>
        <v>0</v>
      </c>
      <c r="DF173" s="172" t="e">
        <f>SUM(DN173:DO173)-SUM(#REF!,BV173)+BU173</f>
        <v>#REF!</v>
      </c>
      <c r="DG173" s="207"/>
      <c r="DH173" s="225">
        <f t="shared" si="78"/>
        <v>0</v>
      </c>
      <c r="DI173" s="225">
        <f t="shared" si="79"/>
        <v>0</v>
      </c>
      <c r="DJ173" s="225">
        <f t="shared" si="80"/>
        <v>0</v>
      </c>
      <c r="DK173" s="225" t="e">
        <f>SUM(BS173,#REF!,BV173)</f>
        <v>#REF!</v>
      </c>
      <c r="DL173" s="145">
        <v>10.99</v>
      </c>
      <c r="DM173" s="145">
        <v>9.4718499999999999</v>
      </c>
      <c r="DN173" s="145">
        <v>0</v>
      </c>
      <c r="DO173" s="145">
        <v>0</v>
      </c>
      <c r="DP173" s="145">
        <v>9.4718499999999999</v>
      </c>
      <c r="DQ173" s="145">
        <v>1.5181500000000001</v>
      </c>
      <c r="DS173" s="219">
        <f t="shared" si="81"/>
        <v>0</v>
      </c>
    </row>
    <row r="174" spans="1:123" s="21" customFormat="1" ht="24" customHeight="1">
      <c r="A174" s="16"/>
      <c r="B174" s="2">
        <v>131</v>
      </c>
      <c r="C174" s="79" t="s">
        <v>246</v>
      </c>
      <c r="D174" s="79"/>
      <c r="E174" s="78" t="s">
        <v>592</v>
      </c>
      <c r="F174" s="39">
        <v>2019</v>
      </c>
      <c r="G174" s="40">
        <v>43725</v>
      </c>
      <c r="H174" s="40">
        <v>43726</v>
      </c>
      <c r="I174" s="40">
        <v>43726</v>
      </c>
      <c r="J174" s="13">
        <f t="shared" ref="J174:J237" ca="1" si="84">IF(H174="","",IF(I174&lt;&gt;"",I174-H174,EDATE(H174,18)-NOW()))</f>
        <v>0</v>
      </c>
      <c r="K174" s="165">
        <f t="shared" si="82"/>
        <v>44273</v>
      </c>
      <c r="L174" s="165">
        <f t="shared" si="83"/>
        <v>44456</v>
      </c>
      <c r="M174" s="165"/>
      <c r="N174" s="165"/>
      <c r="O174" s="165"/>
      <c r="P174" s="165"/>
      <c r="Q174" s="165"/>
      <c r="R174" s="3" t="s">
        <v>175</v>
      </c>
      <c r="S174" s="11" t="s">
        <v>4</v>
      </c>
      <c r="T174" s="41"/>
      <c r="U174" s="5" t="s">
        <v>8</v>
      </c>
      <c r="V174" s="251"/>
      <c r="W174" s="5" t="s">
        <v>602</v>
      </c>
      <c r="X174" s="5" t="s">
        <v>477</v>
      </c>
      <c r="Y174" s="5" t="s">
        <v>245</v>
      </c>
      <c r="Z174" s="78" t="s">
        <v>315</v>
      </c>
      <c r="AA174" s="6" t="s">
        <v>217</v>
      </c>
      <c r="AB174" s="270" t="s">
        <v>515</v>
      </c>
      <c r="AC174" s="165" t="s">
        <v>5</v>
      </c>
      <c r="AD174" s="165" t="s">
        <v>5</v>
      </c>
      <c r="AE174" s="165" t="s">
        <v>5</v>
      </c>
      <c r="AF174" s="5"/>
      <c r="AG174" s="41"/>
      <c r="AH174" s="212"/>
      <c r="AI174" s="76"/>
      <c r="AJ174" s="76"/>
      <c r="AK174" s="221" t="e">
        <f>SUM(#REF!,BT174,BV174)</f>
        <v>#REF!</v>
      </c>
      <c r="AL174" s="153"/>
      <c r="AM174" s="153"/>
      <c r="AN174" s="153"/>
      <c r="AO174" s="153"/>
      <c r="AP174" s="153"/>
      <c r="AQ174" s="153"/>
      <c r="AR174" s="51">
        <v>0</v>
      </c>
      <c r="AS174" s="51"/>
      <c r="AT174" s="51">
        <v>0</v>
      </c>
      <c r="AU174" s="51"/>
      <c r="AV174" s="44">
        <v>0</v>
      </c>
      <c r="AW174" s="44">
        <v>0</v>
      </c>
      <c r="AX174" s="90">
        <f t="shared" si="59"/>
        <v>0</v>
      </c>
      <c r="AY174" s="157">
        <f t="shared" si="72"/>
        <v>0</v>
      </c>
      <c r="AZ174" s="182">
        <v>0</v>
      </c>
      <c r="BA174" s="158"/>
      <c r="BB174" s="182">
        <v>0</v>
      </c>
      <c r="BC174" s="158"/>
      <c r="BD174" s="182">
        <v>0</v>
      </c>
      <c r="BE174" s="158">
        <v>0</v>
      </c>
      <c r="BF174" s="182">
        <v>0</v>
      </c>
      <c r="BG174" s="158"/>
      <c r="BH174" s="182">
        <v>0</v>
      </c>
      <c r="BI174" s="158"/>
      <c r="BJ174" s="182">
        <v>0</v>
      </c>
      <c r="BK174" s="158"/>
      <c r="BL174" s="182"/>
      <c r="BM174" s="158"/>
      <c r="BN174" s="182"/>
      <c r="BO174" s="158"/>
      <c r="BP174" s="182"/>
      <c r="BQ174" s="158"/>
      <c r="BR174" s="182"/>
      <c r="BS174" s="158"/>
      <c r="BT174" s="182"/>
      <c r="BU174" s="158"/>
      <c r="BV174" s="182"/>
      <c r="BW174" s="234"/>
      <c r="BX174" s="237"/>
      <c r="BY174" s="81">
        <f t="shared" si="73"/>
        <v>0</v>
      </c>
      <c r="BZ174" s="241"/>
      <c r="CA174" s="241"/>
      <c r="CB174" s="241"/>
      <c r="CC174" s="241"/>
      <c r="CD174" s="241"/>
      <c r="CE174" s="241"/>
      <c r="CF174" s="241"/>
      <c r="CG174" s="241"/>
      <c r="CH174" s="241"/>
      <c r="CI174" s="241"/>
      <c r="CJ174" s="241"/>
      <c r="CK174" s="241"/>
      <c r="CL174" s="195">
        <f t="shared" si="75"/>
        <v>0</v>
      </c>
      <c r="CM174" s="196"/>
      <c r="CN174" s="196"/>
      <c r="CO174" s="196"/>
      <c r="CP174" s="196"/>
      <c r="CQ174" s="196"/>
      <c r="CR174" s="196"/>
      <c r="CS174" s="196"/>
      <c r="CT174" s="196"/>
      <c r="CU174" s="196"/>
      <c r="CV174" s="196"/>
      <c r="CW174" s="196"/>
      <c r="CX174" s="196"/>
      <c r="CY174" s="200">
        <f t="shared" si="60"/>
        <v>0</v>
      </c>
      <c r="CZ174" s="172">
        <f t="shared" si="74"/>
        <v>0</v>
      </c>
      <c r="DA174" s="201">
        <f t="shared" si="61"/>
        <v>0</v>
      </c>
      <c r="DB174" s="201">
        <f t="shared" si="62"/>
        <v>0</v>
      </c>
      <c r="DC174" s="201">
        <f t="shared" si="76"/>
        <v>0</v>
      </c>
      <c r="DD174" s="239">
        <v>0</v>
      </c>
      <c r="DE174" s="201">
        <f t="shared" si="77"/>
        <v>0</v>
      </c>
      <c r="DF174" s="172" t="e">
        <f>SUM(DN174:DO174)-SUM(#REF!,BV174)+BU174</f>
        <v>#REF!</v>
      </c>
      <c r="DG174" s="207"/>
      <c r="DH174" s="225">
        <f t="shared" si="78"/>
        <v>0</v>
      </c>
      <c r="DI174" s="225">
        <f t="shared" si="79"/>
        <v>0</v>
      </c>
      <c r="DJ174" s="225">
        <f t="shared" si="80"/>
        <v>0</v>
      </c>
      <c r="DK174" s="225" t="e">
        <f>SUM(BS174,#REF!,BV174)</f>
        <v>#REF!</v>
      </c>
      <c r="DL174" s="145">
        <v>0</v>
      </c>
      <c r="DM174" s="145">
        <v>0</v>
      </c>
      <c r="DN174" s="145">
        <v>0</v>
      </c>
      <c r="DO174" s="145">
        <v>0</v>
      </c>
      <c r="DP174" s="145">
        <v>0</v>
      </c>
      <c r="DQ174" s="145">
        <v>0</v>
      </c>
      <c r="DS174" s="219">
        <f t="shared" si="81"/>
        <v>0</v>
      </c>
    </row>
    <row r="175" spans="1:123" s="21" customFormat="1" ht="24" customHeight="1">
      <c r="A175" s="16"/>
      <c r="B175" s="2">
        <v>132</v>
      </c>
      <c r="C175" s="79" t="s">
        <v>248</v>
      </c>
      <c r="D175" s="79"/>
      <c r="E175" s="78"/>
      <c r="F175" s="39">
        <v>2019</v>
      </c>
      <c r="G175" s="40">
        <v>43726</v>
      </c>
      <c r="H175" s="40">
        <v>43762</v>
      </c>
      <c r="I175" s="40">
        <v>44201</v>
      </c>
      <c r="J175" s="13">
        <f t="shared" ca="1" si="84"/>
        <v>439</v>
      </c>
      <c r="K175" s="165">
        <f t="shared" si="82"/>
        <v>44309</v>
      </c>
      <c r="L175" s="165">
        <f t="shared" si="83"/>
        <v>44492</v>
      </c>
      <c r="M175" s="165"/>
      <c r="N175" s="165"/>
      <c r="O175" s="165"/>
      <c r="P175" s="165"/>
      <c r="Q175" s="165"/>
      <c r="R175" s="3" t="s">
        <v>177</v>
      </c>
      <c r="S175" s="11" t="s">
        <v>222</v>
      </c>
      <c r="T175" s="41"/>
      <c r="U175" s="5" t="s">
        <v>8</v>
      </c>
      <c r="V175" s="251">
        <v>2272176</v>
      </c>
      <c r="W175" s="5" t="s">
        <v>602</v>
      </c>
      <c r="X175" s="5" t="s">
        <v>480</v>
      </c>
      <c r="Y175" s="5" t="s">
        <v>247</v>
      </c>
      <c r="Z175" s="3" t="s">
        <v>187</v>
      </c>
      <c r="AA175" s="6" t="s">
        <v>217</v>
      </c>
      <c r="AB175" s="142" t="s">
        <v>196</v>
      </c>
      <c r="AC175" s="165" t="s">
        <v>5</v>
      </c>
      <c r="AD175" s="165" t="s">
        <v>5</v>
      </c>
      <c r="AE175" s="165" t="s">
        <v>5</v>
      </c>
      <c r="AF175" s="5"/>
      <c r="AG175" s="41"/>
      <c r="AH175" s="212"/>
      <c r="AI175" s="115"/>
      <c r="AJ175" s="115"/>
      <c r="AK175" s="221" t="e">
        <f>SUM(#REF!,BT175,BV175)</f>
        <v>#REF!</v>
      </c>
      <c r="AL175" s="167"/>
      <c r="AM175" s="167"/>
      <c r="AN175" s="167"/>
      <c r="AO175" s="167"/>
      <c r="AP175" s="167"/>
      <c r="AQ175" s="167"/>
      <c r="AR175" s="51">
        <v>26.297199999999997</v>
      </c>
      <c r="AS175" s="51">
        <v>0</v>
      </c>
      <c r="AT175" s="51">
        <v>11.164490000000001</v>
      </c>
      <c r="AU175" s="51">
        <v>5.0495900000000002</v>
      </c>
      <c r="AV175" s="44">
        <v>46</v>
      </c>
      <c r="AW175" s="44">
        <v>0</v>
      </c>
      <c r="AX175" s="90">
        <f t="shared" ref="AX175:AX238" si="85">AW175+AV175</f>
        <v>46</v>
      </c>
      <c r="AY175" s="157">
        <f t="shared" si="72"/>
        <v>4.9530600000000007</v>
      </c>
      <c r="AZ175" s="182">
        <v>0</v>
      </c>
      <c r="BA175" s="158">
        <v>5.0495900000000002</v>
      </c>
      <c r="BB175" s="182">
        <v>0</v>
      </c>
      <c r="BC175" s="158">
        <v>-9.6530000000000005E-2</v>
      </c>
      <c r="BD175" s="182">
        <v>0</v>
      </c>
      <c r="BE175" s="158">
        <v>0</v>
      </c>
      <c r="BF175" s="182">
        <v>0</v>
      </c>
      <c r="BG175" s="158"/>
      <c r="BH175" s="182">
        <v>0</v>
      </c>
      <c r="BI175" s="158"/>
      <c r="BJ175" s="182">
        <v>0</v>
      </c>
      <c r="BK175" s="158"/>
      <c r="BL175" s="182"/>
      <c r="BM175" s="158"/>
      <c r="BN175" s="182"/>
      <c r="BO175" s="158"/>
      <c r="BP175" s="182"/>
      <c r="BQ175" s="158"/>
      <c r="BR175" s="182"/>
      <c r="BS175" s="158"/>
      <c r="BT175" s="182"/>
      <c r="BU175" s="158"/>
      <c r="BV175" s="182"/>
      <c r="BW175" s="234"/>
      <c r="BX175" s="237"/>
      <c r="BY175" s="81">
        <f t="shared" si="73"/>
        <v>0</v>
      </c>
      <c r="BZ175" s="198"/>
      <c r="CA175" s="198"/>
      <c r="CB175" s="198"/>
      <c r="CC175" s="198"/>
      <c r="CD175" s="198"/>
      <c r="CE175" s="198"/>
      <c r="CF175" s="198"/>
      <c r="CG175" s="198"/>
      <c r="CH175" s="198"/>
      <c r="CI175" s="198"/>
      <c r="CJ175" s="198"/>
      <c r="CK175" s="198"/>
      <c r="CL175" s="195">
        <f t="shared" si="75"/>
        <v>0</v>
      </c>
      <c r="CM175" s="196"/>
      <c r="CN175" s="196"/>
      <c r="CO175" s="196"/>
      <c r="CP175" s="196"/>
      <c r="CQ175" s="196"/>
      <c r="CR175" s="196"/>
      <c r="CS175" s="196"/>
      <c r="CT175" s="196"/>
      <c r="CU175" s="196"/>
      <c r="CV175" s="196"/>
      <c r="CW175" s="196"/>
      <c r="CX175" s="196"/>
      <c r="CY175" s="200">
        <f t="shared" ref="CY175:CY238" si="86">BV175-BX175</f>
        <v>0</v>
      </c>
      <c r="CZ175" s="172">
        <f t="shared" si="74"/>
        <v>0</v>
      </c>
      <c r="DA175" s="201">
        <f t="shared" ref="DA175:DA238" si="87">SUM(BA175,BC175,BE175,BG175,BI175,BK175,BM175,BO175,BQ175,BS175,BU175)</f>
        <v>4.9530600000000007</v>
      </c>
      <c r="DB175" s="201">
        <f t="shared" ref="DB175:DB238" si="88">SUM(BX175)</f>
        <v>0</v>
      </c>
      <c r="DC175" s="201">
        <f t="shared" si="76"/>
        <v>4.9530600000000007</v>
      </c>
      <c r="DD175" s="239">
        <v>4.9530600000000007</v>
      </c>
      <c r="DE175" s="201">
        <f t="shared" si="77"/>
        <v>0</v>
      </c>
      <c r="DF175" s="172" t="e">
        <f>SUM(DN175:DO175)-SUM(#REF!,BV175)+BU175</f>
        <v>#REF!</v>
      </c>
      <c r="DG175" s="207"/>
      <c r="DH175" s="225">
        <f t="shared" si="78"/>
        <v>4.9530600000000007</v>
      </c>
      <c r="DI175" s="225">
        <f t="shared" si="79"/>
        <v>0</v>
      </c>
      <c r="DJ175" s="225">
        <f t="shared" si="80"/>
        <v>0</v>
      </c>
      <c r="DK175" s="225" t="e">
        <f>SUM(BS175,#REF!,BV175)</f>
        <v>#REF!</v>
      </c>
      <c r="DL175" s="145">
        <v>46.003</v>
      </c>
      <c r="DM175" s="145">
        <v>42.414749999999998</v>
      </c>
      <c r="DN175" s="145">
        <v>0</v>
      </c>
      <c r="DO175" s="145">
        <v>0</v>
      </c>
      <c r="DP175" s="145">
        <v>42.414749999999998</v>
      </c>
      <c r="DQ175" s="145">
        <v>3.5882499999999999</v>
      </c>
      <c r="DR175" s="21">
        <f>VLOOKUP(C175,[6]Database!$B$143:$AD$521,29,FALSE)</f>
        <v>0</v>
      </c>
      <c r="DS175" s="219">
        <f t="shared" si="81"/>
        <v>0</v>
      </c>
    </row>
    <row r="176" spans="1:123" s="21" customFormat="1" ht="24" customHeight="1">
      <c r="A176" s="16"/>
      <c r="B176" s="2">
        <v>133</v>
      </c>
      <c r="C176" s="79" t="s">
        <v>251</v>
      </c>
      <c r="D176" s="79"/>
      <c r="E176" s="78" t="s">
        <v>818</v>
      </c>
      <c r="F176" s="39">
        <v>2019</v>
      </c>
      <c r="G176" s="40">
        <v>43732</v>
      </c>
      <c r="H176" s="178">
        <v>43812</v>
      </c>
      <c r="I176" s="4">
        <v>44466</v>
      </c>
      <c r="J176" s="13">
        <f t="shared" ca="1" si="84"/>
        <v>654</v>
      </c>
      <c r="K176" s="165">
        <f t="shared" si="82"/>
        <v>44359</v>
      </c>
      <c r="L176" s="165">
        <f t="shared" si="83"/>
        <v>44542</v>
      </c>
      <c r="M176" s="165" t="s">
        <v>597</v>
      </c>
      <c r="N176" s="165" t="s">
        <v>597</v>
      </c>
      <c r="O176" s="233" t="s">
        <v>597</v>
      </c>
      <c r="P176" s="206" t="s">
        <v>1267</v>
      </c>
      <c r="Q176" s="165"/>
      <c r="R176" s="3" t="s">
        <v>175</v>
      </c>
      <c r="S176" s="11" t="s">
        <v>4</v>
      </c>
      <c r="T176" s="41" t="s">
        <v>904</v>
      </c>
      <c r="U176" s="5" t="s">
        <v>8</v>
      </c>
      <c r="V176" s="251">
        <v>2347067</v>
      </c>
      <c r="W176" s="5" t="s">
        <v>602</v>
      </c>
      <c r="X176" s="5" t="s">
        <v>475</v>
      </c>
      <c r="Y176" s="5" t="s">
        <v>252</v>
      </c>
      <c r="Z176" s="3" t="s">
        <v>180</v>
      </c>
      <c r="AA176" s="6" t="s">
        <v>217</v>
      </c>
      <c r="AB176" s="142" t="s">
        <v>196</v>
      </c>
      <c r="AC176" s="165" t="s">
        <v>5</v>
      </c>
      <c r="AD176" s="165">
        <v>44408</v>
      </c>
      <c r="AE176" s="165">
        <f>IFERROR(EOMONTH(L176,-2),"")</f>
        <v>44500</v>
      </c>
      <c r="AF176" s="5"/>
      <c r="AG176" s="41"/>
      <c r="AH176" s="212"/>
      <c r="AI176" s="76" t="s">
        <v>680</v>
      </c>
      <c r="AJ176" s="76"/>
      <c r="AK176" s="221" t="e">
        <f>SUM(#REF!,BT176,BV176)</f>
        <v>#REF!</v>
      </c>
      <c r="AL176" s="167" t="s">
        <v>1079</v>
      </c>
      <c r="AM176" s="167" t="s">
        <v>1079</v>
      </c>
      <c r="AN176" s="167" t="s">
        <v>1079</v>
      </c>
      <c r="AO176" s="167" t="s">
        <v>592</v>
      </c>
      <c r="AP176" s="167" t="s">
        <v>592</v>
      </c>
      <c r="AQ176" s="167" t="s">
        <v>592</v>
      </c>
      <c r="AR176" s="51">
        <v>0</v>
      </c>
      <c r="AS176" s="51">
        <v>1431.3</v>
      </c>
      <c r="AT176" s="51">
        <v>916.52558999999997</v>
      </c>
      <c r="AU176" s="51">
        <v>456.93375999999984</v>
      </c>
      <c r="AV176" s="44">
        <v>1431.34</v>
      </c>
      <c r="AW176" s="44">
        <v>38</v>
      </c>
      <c r="AX176" s="90">
        <f t="shared" si="85"/>
        <v>1469.34</v>
      </c>
      <c r="AY176" s="157">
        <f t="shared" si="72"/>
        <v>468.76527999999985</v>
      </c>
      <c r="AZ176" s="182">
        <v>270</v>
      </c>
      <c r="BA176" s="158">
        <v>211.93375999999984</v>
      </c>
      <c r="BB176" s="182">
        <v>10</v>
      </c>
      <c r="BC176" s="158">
        <v>40.843360000000004</v>
      </c>
      <c r="BD176" s="182">
        <v>0</v>
      </c>
      <c r="BE176" s="158">
        <v>2.5068499999999991</v>
      </c>
      <c r="BF176" s="182">
        <v>7</v>
      </c>
      <c r="BG176" s="158">
        <v>30.145109999999999</v>
      </c>
      <c r="BH176" s="182">
        <v>0</v>
      </c>
      <c r="BI176" s="158">
        <v>29.07901</v>
      </c>
      <c r="BJ176" s="182">
        <v>0</v>
      </c>
      <c r="BK176" s="158">
        <v>29.290760000000002</v>
      </c>
      <c r="BL176" s="182">
        <f>50-20.3</f>
        <v>29.7</v>
      </c>
      <c r="BM176" s="158">
        <v>87.738100000000003</v>
      </c>
      <c r="BN176" s="182">
        <v>9.1000000000000014</v>
      </c>
      <c r="BO176" s="158">
        <v>20.914929999999998</v>
      </c>
      <c r="BP176" s="182">
        <v>9</v>
      </c>
      <c r="BQ176" s="158">
        <v>14.88284</v>
      </c>
      <c r="BR176" s="182">
        <f>1.5-0.3</f>
        <v>1.2</v>
      </c>
      <c r="BS176" s="158">
        <v>1.4305600000000001</v>
      </c>
      <c r="BT176" s="182"/>
      <c r="BU176" s="158"/>
      <c r="BV176" s="182"/>
      <c r="BW176" s="234"/>
      <c r="BX176" s="237"/>
      <c r="BY176" s="81">
        <f t="shared" si="73"/>
        <v>0</v>
      </c>
      <c r="BZ176" s="241"/>
      <c r="CA176" s="241"/>
      <c r="CB176" s="241"/>
      <c r="CC176" s="241"/>
      <c r="CD176" s="241"/>
      <c r="CE176" s="241"/>
      <c r="CF176" s="241"/>
      <c r="CG176" s="241"/>
      <c r="CH176" s="241"/>
      <c r="CI176" s="241"/>
      <c r="CJ176" s="241"/>
      <c r="CK176" s="241"/>
      <c r="CL176" s="195">
        <f t="shared" si="75"/>
        <v>0</v>
      </c>
      <c r="CM176" s="196"/>
      <c r="CN176" s="196"/>
      <c r="CO176" s="196"/>
      <c r="CP176" s="196"/>
      <c r="CQ176" s="196"/>
      <c r="CR176" s="196"/>
      <c r="CS176" s="196"/>
      <c r="CT176" s="196"/>
      <c r="CU176" s="196"/>
      <c r="CV176" s="196"/>
      <c r="CW176" s="196"/>
      <c r="CX176" s="196"/>
      <c r="CY176" s="200">
        <f t="shared" si="86"/>
        <v>0</v>
      </c>
      <c r="CZ176" s="172">
        <f t="shared" si="74"/>
        <v>0</v>
      </c>
      <c r="DA176" s="201">
        <f t="shared" si="87"/>
        <v>468.76527999999985</v>
      </c>
      <c r="DB176" s="201">
        <f t="shared" si="88"/>
        <v>0</v>
      </c>
      <c r="DC176" s="201">
        <f t="shared" si="76"/>
        <v>468.76527999999985</v>
      </c>
      <c r="DD176" s="239">
        <v>468.76527999999985</v>
      </c>
      <c r="DE176" s="201">
        <f t="shared" si="77"/>
        <v>0</v>
      </c>
      <c r="DF176" s="172" t="e">
        <f>SUM(DN176:DO176)-SUM(#REF!,BV176)+BU176</f>
        <v>#REF!</v>
      </c>
      <c r="DG176" s="207"/>
      <c r="DH176" s="225">
        <f t="shared" si="78"/>
        <v>255.28396999999984</v>
      </c>
      <c r="DI176" s="225">
        <f t="shared" si="79"/>
        <v>88.514880000000005</v>
      </c>
      <c r="DJ176" s="225">
        <f t="shared" si="80"/>
        <v>123.53587</v>
      </c>
      <c r="DK176" s="225" t="e">
        <f>SUM(BS176,#REF!,BV176)</f>
        <v>#REF!</v>
      </c>
      <c r="DL176" s="145">
        <v>1431.34</v>
      </c>
      <c r="DM176" s="145">
        <v>1385.29087</v>
      </c>
      <c r="DN176" s="145">
        <v>0</v>
      </c>
      <c r="DO176" s="145">
        <v>0</v>
      </c>
      <c r="DP176" s="145">
        <v>1385.29087</v>
      </c>
      <c r="DQ176" s="145">
        <v>46.049129999999998</v>
      </c>
      <c r="DR176" s="21">
        <f>VLOOKUP(C176,[6]Database!$B$143:$AD$521,29,FALSE)</f>
        <v>0</v>
      </c>
      <c r="DS176" s="219">
        <f t="shared" si="81"/>
        <v>0</v>
      </c>
    </row>
    <row r="177" spans="1:123" s="21" customFormat="1" ht="24" customHeight="1">
      <c r="A177" s="16"/>
      <c r="B177" s="2">
        <v>134</v>
      </c>
      <c r="C177" s="79" t="s">
        <v>254</v>
      </c>
      <c r="D177" s="79"/>
      <c r="E177" s="78" t="s">
        <v>852</v>
      </c>
      <c r="F177" s="39">
        <v>2019</v>
      </c>
      <c r="G177" s="40">
        <v>43732</v>
      </c>
      <c r="H177" s="40">
        <v>43774</v>
      </c>
      <c r="I177" s="40">
        <v>44224</v>
      </c>
      <c r="J177" s="13">
        <f t="shared" ca="1" si="84"/>
        <v>450</v>
      </c>
      <c r="K177" s="165">
        <f t="shared" si="82"/>
        <v>44321</v>
      </c>
      <c r="L177" s="165">
        <f t="shared" si="83"/>
        <v>44504</v>
      </c>
      <c r="M177" s="165"/>
      <c r="N177" s="165"/>
      <c r="O177" s="165"/>
      <c r="P177" s="165"/>
      <c r="Q177" s="165"/>
      <c r="R177" s="3" t="s">
        <v>175</v>
      </c>
      <c r="S177" s="11" t="s">
        <v>919</v>
      </c>
      <c r="T177" s="41" t="s">
        <v>906</v>
      </c>
      <c r="U177" s="5" t="s">
        <v>8</v>
      </c>
      <c r="V177" s="251">
        <v>2382119</v>
      </c>
      <c r="W177" s="5" t="s">
        <v>602</v>
      </c>
      <c r="X177" s="5" t="s">
        <v>476</v>
      </c>
      <c r="Y177" s="5" t="s">
        <v>253</v>
      </c>
      <c r="Z177" s="3" t="s">
        <v>185</v>
      </c>
      <c r="AA177" s="6" t="s">
        <v>217</v>
      </c>
      <c r="AB177" s="142" t="s">
        <v>196</v>
      </c>
      <c r="AC177" s="165" t="s">
        <v>5</v>
      </c>
      <c r="AD177" s="165" t="s">
        <v>5</v>
      </c>
      <c r="AE177" s="165" t="s">
        <v>5</v>
      </c>
      <c r="AF177" s="5"/>
      <c r="AG177" s="41"/>
      <c r="AH177" s="212"/>
      <c r="AI177" s="115"/>
      <c r="AJ177" s="115"/>
      <c r="AK177" s="221" t="e">
        <f>SUM(#REF!,BT177,BV177)</f>
        <v>#REF!</v>
      </c>
      <c r="AL177" s="48"/>
      <c r="AM177" s="48"/>
      <c r="AN177" s="48"/>
      <c r="AO177" s="48"/>
      <c r="AP177" s="48"/>
      <c r="AQ177" s="48"/>
      <c r="AR177" s="51">
        <v>29.671410000000005</v>
      </c>
      <c r="AS177" s="51">
        <v>26.310889999999993</v>
      </c>
      <c r="AT177" s="51">
        <v>35.295410000000004</v>
      </c>
      <c r="AU177" s="51">
        <v>0.53947000000000001</v>
      </c>
      <c r="AV177" s="44">
        <v>72.099999999999994</v>
      </c>
      <c r="AW177" s="44">
        <v>0</v>
      </c>
      <c r="AX177" s="90">
        <f t="shared" si="85"/>
        <v>72.099999999999994</v>
      </c>
      <c r="AY177" s="157">
        <f t="shared" si="72"/>
        <v>0.53947000000000001</v>
      </c>
      <c r="AZ177" s="182">
        <v>0.7</v>
      </c>
      <c r="BA177" s="158">
        <v>0.53947000000000001</v>
      </c>
      <c r="BB177" s="182">
        <v>0</v>
      </c>
      <c r="BC177" s="158"/>
      <c r="BD177" s="182">
        <v>0</v>
      </c>
      <c r="BE177" s="158">
        <v>0</v>
      </c>
      <c r="BF177" s="182">
        <v>0</v>
      </c>
      <c r="BG177" s="158"/>
      <c r="BH177" s="182">
        <v>0</v>
      </c>
      <c r="BI177" s="158"/>
      <c r="BJ177" s="182">
        <v>0</v>
      </c>
      <c r="BK177" s="158"/>
      <c r="BL177" s="182"/>
      <c r="BM177" s="158"/>
      <c r="BN177" s="182"/>
      <c r="BO177" s="158"/>
      <c r="BP177" s="182"/>
      <c r="BQ177" s="158"/>
      <c r="BR177" s="182"/>
      <c r="BS177" s="158"/>
      <c r="BT177" s="182"/>
      <c r="BU177" s="158"/>
      <c r="BV177" s="182"/>
      <c r="BW177" s="234"/>
      <c r="BX177" s="237"/>
      <c r="BY177" s="81">
        <f t="shared" si="73"/>
        <v>0</v>
      </c>
      <c r="BZ177" s="241"/>
      <c r="CA177" s="241"/>
      <c r="CB177" s="241"/>
      <c r="CC177" s="241"/>
      <c r="CD177" s="241"/>
      <c r="CE177" s="241"/>
      <c r="CF177" s="241"/>
      <c r="CG177" s="241"/>
      <c r="CH177" s="241"/>
      <c r="CI177" s="241"/>
      <c r="CJ177" s="241"/>
      <c r="CK177" s="241"/>
      <c r="CL177" s="195">
        <f t="shared" si="75"/>
        <v>0</v>
      </c>
      <c r="CM177" s="196"/>
      <c r="CN177" s="196"/>
      <c r="CO177" s="196"/>
      <c r="CP177" s="196"/>
      <c r="CQ177" s="196"/>
      <c r="CR177" s="196"/>
      <c r="CS177" s="196"/>
      <c r="CT177" s="196"/>
      <c r="CU177" s="196"/>
      <c r="CV177" s="196"/>
      <c r="CW177" s="196"/>
      <c r="CX177" s="196"/>
      <c r="CY177" s="200">
        <f t="shared" si="86"/>
        <v>0</v>
      </c>
      <c r="CZ177" s="172">
        <f t="shared" si="74"/>
        <v>0</v>
      </c>
      <c r="DA177" s="201">
        <f t="shared" si="87"/>
        <v>0.53947000000000001</v>
      </c>
      <c r="DB177" s="201">
        <f t="shared" si="88"/>
        <v>0</v>
      </c>
      <c r="DC177" s="201">
        <f t="shared" si="76"/>
        <v>0.53947000000000001</v>
      </c>
      <c r="DD177" s="239">
        <v>0.53947000000000001</v>
      </c>
      <c r="DE177" s="201">
        <f t="shared" si="77"/>
        <v>0</v>
      </c>
      <c r="DF177" s="172" t="e">
        <f>SUM(DN177:DO177)-SUM(#REF!,BV177)+BU177</f>
        <v>#REF!</v>
      </c>
      <c r="DG177" s="207"/>
      <c r="DH177" s="225">
        <f t="shared" si="78"/>
        <v>0.53947000000000001</v>
      </c>
      <c r="DI177" s="225">
        <f t="shared" si="79"/>
        <v>0</v>
      </c>
      <c r="DJ177" s="225">
        <f t="shared" si="80"/>
        <v>0</v>
      </c>
      <c r="DK177" s="225" t="e">
        <f>SUM(BS177,#REF!,BV177)</f>
        <v>#REF!</v>
      </c>
      <c r="DL177" s="145">
        <v>72.099999999999994</v>
      </c>
      <c r="DM177" s="145">
        <v>65.506290000000007</v>
      </c>
      <c r="DN177" s="145">
        <v>0</v>
      </c>
      <c r="DO177" s="145">
        <v>0</v>
      </c>
      <c r="DP177" s="145">
        <v>65.506290000000007</v>
      </c>
      <c r="DQ177" s="145">
        <v>6.5937099999999997</v>
      </c>
      <c r="DR177" s="21">
        <f>VLOOKUP(C177,[6]Database!$B$143:$AD$521,29,FALSE)</f>
        <v>0</v>
      </c>
      <c r="DS177" s="219">
        <f t="shared" si="81"/>
        <v>0</v>
      </c>
    </row>
    <row r="178" spans="1:123" s="21" customFormat="1" ht="24" customHeight="1">
      <c r="A178" s="16"/>
      <c r="B178" s="2">
        <v>135</v>
      </c>
      <c r="C178" s="79" t="s">
        <v>255</v>
      </c>
      <c r="D178" s="79"/>
      <c r="E178" s="78" t="s">
        <v>949</v>
      </c>
      <c r="F178" s="39">
        <v>2019</v>
      </c>
      <c r="G178" s="40">
        <v>43733</v>
      </c>
      <c r="H178" s="178">
        <v>43787</v>
      </c>
      <c r="I178" s="40"/>
      <c r="J178" s="13">
        <f t="shared" ca="1" si="84"/>
        <v>-1515.3359971064783</v>
      </c>
      <c r="K178" s="165">
        <f t="shared" si="82"/>
        <v>44334</v>
      </c>
      <c r="L178" s="165">
        <f t="shared" si="83"/>
        <v>44517</v>
      </c>
      <c r="M178" s="165"/>
      <c r="N178" s="165" t="s">
        <v>597</v>
      </c>
      <c r="O178" s="233" t="s">
        <v>597</v>
      </c>
      <c r="P178" s="206" t="s">
        <v>1267</v>
      </c>
      <c r="Q178" s="165"/>
      <c r="R178" s="3" t="s">
        <v>175</v>
      </c>
      <c r="S178" s="11" t="s">
        <v>223</v>
      </c>
      <c r="T178" s="41" t="s">
        <v>912</v>
      </c>
      <c r="U178" s="5" t="s">
        <v>8</v>
      </c>
      <c r="V178" s="251">
        <v>2352674</v>
      </c>
      <c r="W178" s="5" t="s">
        <v>602</v>
      </c>
      <c r="X178" s="5" t="s">
        <v>478</v>
      </c>
      <c r="Y178" s="5" t="s">
        <v>256</v>
      </c>
      <c r="Z178" s="78" t="s">
        <v>315</v>
      </c>
      <c r="AA178" s="6" t="s">
        <v>217</v>
      </c>
      <c r="AB178" s="142" t="s">
        <v>196</v>
      </c>
      <c r="AC178" s="165" t="s">
        <v>5</v>
      </c>
      <c r="AD178" s="165">
        <v>44408</v>
      </c>
      <c r="AE178" s="165">
        <f>IFERROR(EOMONTH(L178,-2),"")</f>
        <v>44469</v>
      </c>
      <c r="AF178" s="5"/>
      <c r="AG178" s="41"/>
      <c r="AH178" s="212"/>
      <c r="AI178" s="76" t="s">
        <v>664</v>
      </c>
      <c r="AJ178" s="76"/>
      <c r="AK178" s="221" t="e">
        <f>SUM(#REF!,BT178,BV178)</f>
        <v>#REF!</v>
      </c>
      <c r="AL178" s="154"/>
      <c r="AM178" s="154"/>
      <c r="AN178" s="154"/>
      <c r="AO178" s="154"/>
      <c r="AP178" s="154"/>
      <c r="AQ178" s="154"/>
      <c r="AR178" s="51">
        <v>0</v>
      </c>
      <c r="AS178" s="51">
        <v>131.6</v>
      </c>
      <c r="AT178" s="51">
        <v>99.45938000000001</v>
      </c>
      <c r="AU178" s="51">
        <v>24.49933</v>
      </c>
      <c r="AV178" s="44">
        <v>131.6</v>
      </c>
      <c r="AW178" s="44">
        <v>0</v>
      </c>
      <c r="AX178" s="90">
        <f t="shared" si="85"/>
        <v>131.6</v>
      </c>
      <c r="AY178" s="157">
        <f t="shared" si="72"/>
        <v>30.76388</v>
      </c>
      <c r="AZ178" s="182">
        <v>10</v>
      </c>
      <c r="BA178" s="158">
        <v>4.4993299999999996</v>
      </c>
      <c r="BB178" s="182">
        <v>4</v>
      </c>
      <c r="BC178" s="158">
        <v>0.39062000000000002</v>
      </c>
      <c r="BD178" s="182">
        <v>0</v>
      </c>
      <c r="BE178" s="158">
        <v>0.17463999999999999</v>
      </c>
      <c r="BF178" s="182">
        <v>2</v>
      </c>
      <c r="BG178" s="158">
        <v>1.8841199999999998</v>
      </c>
      <c r="BH178" s="182">
        <v>3</v>
      </c>
      <c r="BI178" s="158">
        <v>13.16933</v>
      </c>
      <c r="BJ178" s="182">
        <v>0</v>
      </c>
      <c r="BK178" s="158">
        <v>0.56834000000000007</v>
      </c>
      <c r="BL178" s="182">
        <f>10-0.748</f>
        <v>9.2520000000000007</v>
      </c>
      <c r="BM178" s="158"/>
      <c r="BN178" s="182">
        <v>9.2520000000000007</v>
      </c>
      <c r="BO178" s="158">
        <v>10.077500000000001</v>
      </c>
      <c r="BP178" s="182"/>
      <c r="BQ178" s="158">
        <v>-9.6759999999999999E-2</v>
      </c>
      <c r="BR178" s="182"/>
      <c r="BS178" s="158">
        <v>9.2719999999999997E-2</v>
      </c>
      <c r="BT178" s="182"/>
      <c r="BU178" s="158">
        <v>4.0400000000000002E-3</v>
      </c>
      <c r="BV178" s="182"/>
      <c r="BW178" s="234"/>
      <c r="BX178" s="237"/>
      <c r="BY178" s="81">
        <f t="shared" si="73"/>
        <v>0</v>
      </c>
      <c r="BZ178" s="241"/>
      <c r="CA178" s="241"/>
      <c r="CB178" s="241"/>
      <c r="CC178" s="241"/>
      <c r="CD178" s="241"/>
      <c r="CE178" s="241"/>
      <c r="CF178" s="241"/>
      <c r="CG178" s="241"/>
      <c r="CH178" s="241"/>
      <c r="CI178" s="241"/>
      <c r="CJ178" s="241"/>
      <c r="CK178" s="241"/>
      <c r="CL178" s="195">
        <f t="shared" si="75"/>
        <v>0</v>
      </c>
      <c r="CM178" s="196"/>
      <c r="CN178" s="196"/>
      <c r="CO178" s="196"/>
      <c r="CP178" s="196"/>
      <c r="CQ178" s="196"/>
      <c r="CR178" s="196"/>
      <c r="CS178" s="196"/>
      <c r="CT178" s="196"/>
      <c r="CU178" s="196"/>
      <c r="CV178" s="196"/>
      <c r="CW178" s="196"/>
      <c r="CX178" s="196"/>
      <c r="CY178" s="200">
        <f t="shared" si="86"/>
        <v>0</v>
      </c>
      <c r="CZ178" s="172">
        <f t="shared" si="74"/>
        <v>0</v>
      </c>
      <c r="DA178" s="201">
        <f t="shared" si="87"/>
        <v>30.76388</v>
      </c>
      <c r="DB178" s="201">
        <f t="shared" si="88"/>
        <v>0</v>
      </c>
      <c r="DC178" s="201">
        <f t="shared" si="76"/>
        <v>30.76388</v>
      </c>
      <c r="DD178" s="239">
        <v>30.759840000000001</v>
      </c>
      <c r="DE178" s="201">
        <f t="shared" si="77"/>
        <v>4.0399999999998215E-3</v>
      </c>
      <c r="DF178" s="172" t="e">
        <f>SUM(DN178:DO178)-SUM(#REF!,BV178)+BU178</f>
        <v>#REF!</v>
      </c>
      <c r="DG178" s="207"/>
      <c r="DH178" s="225">
        <f t="shared" si="78"/>
        <v>5.0645899999999999</v>
      </c>
      <c r="DI178" s="225">
        <f t="shared" si="79"/>
        <v>15.621790000000001</v>
      </c>
      <c r="DJ178" s="225">
        <f t="shared" si="80"/>
        <v>9.9807400000000008</v>
      </c>
      <c r="DK178" s="225" t="e">
        <f>SUM(BS178,#REF!,BV178)</f>
        <v>#REF!</v>
      </c>
      <c r="DL178" s="145">
        <v>131.6</v>
      </c>
      <c r="DM178" s="145">
        <v>130.22325999999998</v>
      </c>
      <c r="DN178" s="145">
        <v>0</v>
      </c>
      <c r="DO178" s="145">
        <v>0</v>
      </c>
      <c r="DP178" s="145">
        <v>130.22325999999998</v>
      </c>
      <c r="DQ178" s="145">
        <v>1.3767400000000001</v>
      </c>
      <c r="DR178" s="21">
        <f>VLOOKUP(C178,[6]Database!$B$143:$AD$521,29,FALSE)</f>
        <v>0</v>
      </c>
      <c r="DS178" s="219">
        <f t="shared" si="81"/>
        <v>0</v>
      </c>
    </row>
    <row r="179" spans="1:123" s="21" customFormat="1" ht="24" customHeight="1">
      <c r="A179" s="16"/>
      <c r="B179" s="2">
        <v>136</v>
      </c>
      <c r="C179" s="79" t="s">
        <v>257</v>
      </c>
      <c r="D179" s="79"/>
      <c r="E179" s="78" t="s">
        <v>836</v>
      </c>
      <c r="F179" s="39">
        <v>2019</v>
      </c>
      <c r="G179" s="40">
        <v>43739</v>
      </c>
      <c r="H179" s="178">
        <v>43802</v>
      </c>
      <c r="I179" s="40">
        <v>44377</v>
      </c>
      <c r="J179" s="13">
        <f t="shared" ca="1" si="84"/>
        <v>575</v>
      </c>
      <c r="K179" s="165">
        <f t="shared" si="82"/>
        <v>44349</v>
      </c>
      <c r="L179" s="165">
        <f t="shared" si="83"/>
        <v>44532</v>
      </c>
      <c r="M179" s="165"/>
      <c r="N179" s="165"/>
      <c r="O179" s="165"/>
      <c r="P179" s="165"/>
      <c r="Q179" s="165"/>
      <c r="R179" s="3" t="s">
        <v>175</v>
      </c>
      <c r="S179" s="11" t="s">
        <v>223</v>
      </c>
      <c r="T179" s="41" t="s">
        <v>912</v>
      </c>
      <c r="U179" s="5" t="s">
        <v>8</v>
      </c>
      <c r="V179" s="251">
        <v>2340229</v>
      </c>
      <c r="W179" s="5" t="s">
        <v>602</v>
      </c>
      <c r="X179" s="5" t="s">
        <v>475</v>
      </c>
      <c r="Y179" s="5" t="s">
        <v>142</v>
      </c>
      <c r="Z179" s="78" t="s">
        <v>315</v>
      </c>
      <c r="AA179" s="6" t="s">
        <v>217</v>
      </c>
      <c r="AB179" s="142" t="s">
        <v>196</v>
      </c>
      <c r="AC179" s="165" t="s">
        <v>5</v>
      </c>
      <c r="AD179" s="165">
        <v>44377</v>
      </c>
      <c r="AE179" s="165" t="s">
        <v>5</v>
      </c>
      <c r="AF179" s="5"/>
      <c r="AG179" s="41"/>
      <c r="AH179" s="212"/>
      <c r="AI179" s="76" t="s">
        <v>663</v>
      </c>
      <c r="AJ179" s="76"/>
      <c r="AK179" s="221" t="e">
        <f>SUM(#REF!,BT179,BV179)</f>
        <v>#REF!</v>
      </c>
      <c r="AL179" s="154"/>
      <c r="AM179" s="154"/>
      <c r="AN179" s="154"/>
      <c r="AO179" s="154"/>
      <c r="AP179" s="154"/>
      <c r="AQ179" s="154"/>
      <c r="AR179" s="51">
        <v>0</v>
      </c>
      <c r="AS179" s="51">
        <v>560.5</v>
      </c>
      <c r="AT179" s="51">
        <v>441.72093000000012</v>
      </c>
      <c r="AU179" s="51">
        <v>29.232530000000001</v>
      </c>
      <c r="AV179" s="44">
        <v>560.5</v>
      </c>
      <c r="AW179" s="44">
        <v>0</v>
      </c>
      <c r="AX179" s="90">
        <f t="shared" si="85"/>
        <v>560.5</v>
      </c>
      <c r="AY179" s="157">
        <f t="shared" si="72"/>
        <v>83.706119999999999</v>
      </c>
      <c r="AZ179" s="182">
        <v>15</v>
      </c>
      <c r="BA179" s="158">
        <v>2.3387399999999996</v>
      </c>
      <c r="BB179" s="182">
        <v>7.893790000000001</v>
      </c>
      <c r="BC179" s="158">
        <v>10.11022</v>
      </c>
      <c r="BD179" s="182">
        <v>8</v>
      </c>
      <c r="BE179" s="158">
        <v>17.808330000000002</v>
      </c>
      <c r="BF179" s="182">
        <v>2</v>
      </c>
      <c r="BG179" s="158">
        <v>6.6118900000000007</v>
      </c>
      <c r="BH179" s="182">
        <v>5</v>
      </c>
      <c r="BI179" s="158">
        <v>16.513649999999998</v>
      </c>
      <c r="BJ179" s="182">
        <v>5</v>
      </c>
      <c r="BK179" s="158">
        <v>10.20201</v>
      </c>
      <c r="BL179" s="182">
        <v>5</v>
      </c>
      <c r="BM179" s="158">
        <v>6.5672999999999995</v>
      </c>
      <c r="BN179" s="182"/>
      <c r="BO179" s="158"/>
      <c r="BP179" s="182"/>
      <c r="BQ179" s="158"/>
      <c r="BR179" s="182"/>
      <c r="BS179" s="158">
        <v>13.553979999999999</v>
      </c>
      <c r="BT179" s="182"/>
      <c r="BU179" s="158"/>
      <c r="BV179" s="182"/>
      <c r="BW179" s="234"/>
      <c r="BX179" s="237"/>
      <c r="BY179" s="81">
        <f t="shared" si="73"/>
        <v>0</v>
      </c>
      <c r="BZ179" s="241"/>
      <c r="CA179" s="241"/>
      <c r="CB179" s="241"/>
      <c r="CC179" s="241"/>
      <c r="CD179" s="241"/>
      <c r="CE179" s="241"/>
      <c r="CF179" s="241"/>
      <c r="CG179" s="241"/>
      <c r="CH179" s="241"/>
      <c r="CI179" s="241"/>
      <c r="CJ179" s="241"/>
      <c r="CK179" s="241"/>
      <c r="CL179" s="195">
        <f t="shared" si="75"/>
        <v>0</v>
      </c>
      <c r="CM179" s="196"/>
      <c r="CN179" s="196"/>
      <c r="CO179" s="196"/>
      <c r="CP179" s="196"/>
      <c r="CQ179" s="196"/>
      <c r="CR179" s="196"/>
      <c r="CS179" s="196"/>
      <c r="CT179" s="196"/>
      <c r="CU179" s="196"/>
      <c r="CV179" s="196"/>
      <c r="CW179" s="196"/>
      <c r="CX179" s="196"/>
      <c r="CY179" s="200">
        <f t="shared" si="86"/>
        <v>0</v>
      </c>
      <c r="CZ179" s="172">
        <f t="shared" si="74"/>
        <v>0</v>
      </c>
      <c r="DA179" s="201">
        <f t="shared" si="87"/>
        <v>83.706119999999999</v>
      </c>
      <c r="DB179" s="201">
        <f t="shared" si="88"/>
        <v>0</v>
      </c>
      <c r="DC179" s="201">
        <f t="shared" si="76"/>
        <v>83.706119999999999</v>
      </c>
      <c r="DD179" s="239">
        <v>83.706119999999999</v>
      </c>
      <c r="DE179" s="201">
        <f t="shared" si="77"/>
        <v>0</v>
      </c>
      <c r="DF179" s="172" t="e">
        <f>SUM(DN179:DO179)-SUM(#REF!,BV179)+BU179</f>
        <v>#REF!</v>
      </c>
      <c r="DG179" s="207"/>
      <c r="DH179" s="225">
        <f t="shared" si="78"/>
        <v>30.257290000000001</v>
      </c>
      <c r="DI179" s="225">
        <f t="shared" si="79"/>
        <v>33.327550000000002</v>
      </c>
      <c r="DJ179" s="225">
        <f t="shared" si="80"/>
        <v>6.5672999999999995</v>
      </c>
      <c r="DK179" s="225" t="e">
        <f>SUM(BS179,#REF!,BV179)</f>
        <v>#REF!</v>
      </c>
      <c r="DL179" s="145">
        <v>560.5</v>
      </c>
      <c r="DM179" s="145">
        <v>525.42705000000001</v>
      </c>
      <c r="DN179" s="145">
        <v>0</v>
      </c>
      <c r="DO179" s="145">
        <v>0</v>
      </c>
      <c r="DP179" s="145">
        <v>525.42705000000001</v>
      </c>
      <c r="DQ179" s="145">
        <v>35.072949999999999</v>
      </c>
      <c r="DR179" s="21">
        <f>VLOOKUP(C179,[6]Database!$B$143:$AD$521,29,FALSE)</f>
        <v>0</v>
      </c>
      <c r="DS179" s="219">
        <f t="shared" si="81"/>
        <v>0</v>
      </c>
    </row>
    <row r="180" spans="1:123" s="21" customFormat="1" ht="24" customHeight="1">
      <c r="A180" s="16"/>
      <c r="B180" s="2">
        <v>139</v>
      </c>
      <c r="C180" s="79" t="s">
        <v>266</v>
      </c>
      <c r="D180" s="79"/>
      <c r="E180" s="78"/>
      <c r="F180" s="39">
        <v>2019</v>
      </c>
      <c r="G180" s="40">
        <v>43752</v>
      </c>
      <c r="H180" s="40">
        <v>43787</v>
      </c>
      <c r="I180" s="40">
        <v>43787</v>
      </c>
      <c r="J180" s="13">
        <f t="shared" ca="1" si="84"/>
        <v>0</v>
      </c>
      <c r="K180" s="165">
        <f t="shared" si="82"/>
        <v>44334</v>
      </c>
      <c r="L180" s="165">
        <f t="shared" si="83"/>
        <v>44517</v>
      </c>
      <c r="M180" s="165"/>
      <c r="N180" s="165"/>
      <c r="O180" s="165"/>
      <c r="P180" s="165"/>
      <c r="Q180" s="165"/>
      <c r="R180" s="3" t="s">
        <v>177</v>
      </c>
      <c r="S180" s="11" t="s">
        <v>223</v>
      </c>
      <c r="T180" s="41"/>
      <c r="U180" s="5" t="s">
        <v>8</v>
      </c>
      <c r="V180" s="251">
        <v>2398291</v>
      </c>
      <c r="W180" s="5" t="s">
        <v>602</v>
      </c>
      <c r="X180" s="5" t="s">
        <v>478</v>
      </c>
      <c r="Y180" s="5" t="s">
        <v>264</v>
      </c>
      <c r="Z180" s="3" t="s">
        <v>180</v>
      </c>
      <c r="AA180" s="6" t="s">
        <v>217</v>
      </c>
      <c r="AB180" s="270" t="s">
        <v>330</v>
      </c>
      <c r="AC180" s="165" t="s">
        <v>5</v>
      </c>
      <c r="AD180" s="165" t="s">
        <v>5</v>
      </c>
      <c r="AE180" s="165" t="s">
        <v>5</v>
      </c>
      <c r="AF180" s="5"/>
      <c r="AG180" s="41"/>
      <c r="AH180" s="212"/>
      <c r="AI180" s="76"/>
      <c r="AJ180" s="76"/>
      <c r="AK180" s="221" t="e">
        <f>SUM(#REF!,BT180,BV180)</f>
        <v>#REF!</v>
      </c>
      <c r="AL180" s="48"/>
      <c r="AM180" s="48"/>
      <c r="AN180" s="48"/>
      <c r="AO180" s="48"/>
      <c r="AP180" s="48"/>
      <c r="AQ180" s="48"/>
      <c r="AR180" s="51">
        <v>0</v>
      </c>
      <c r="AS180" s="51"/>
      <c r="AT180" s="51">
        <v>0</v>
      </c>
      <c r="AU180" s="51"/>
      <c r="AV180" s="44">
        <v>0</v>
      </c>
      <c r="AW180" s="44">
        <v>0</v>
      </c>
      <c r="AX180" s="90">
        <f t="shared" si="85"/>
        <v>0</v>
      </c>
      <c r="AY180" s="157">
        <f t="shared" si="72"/>
        <v>0</v>
      </c>
      <c r="AZ180" s="182">
        <v>0</v>
      </c>
      <c r="BA180" s="158"/>
      <c r="BB180" s="182">
        <v>0</v>
      </c>
      <c r="BC180" s="158"/>
      <c r="BD180" s="182">
        <v>0</v>
      </c>
      <c r="BE180" s="158">
        <v>0</v>
      </c>
      <c r="BF180" s="182">
        <v>0</v>
      </c>
      <c r="BG180" s="158"/>
      <c r="BH180" s="182">
        <v>0</v>
      </c>
      <c r="BI180" s="158"/>
      <c r="BJ180" s="182">
        <v>0</v>
      </c>
      <c r="BK180" s="158"/>
      <c r="BL180" s="182"/>
      <c r="BM180" s="158"/>
      <c r="BN180" s="182"/>
      <c r="BO180" s="158"/>
      <c r="BP180" s="182"/>
      <c r="BQ180" s="158"/>
      <c r="BR180" s="182"/>
      <c r="BS180" s="158"/>
      <c r="BT180" s="182"/>
      <c r="BU180" s="158"/>
      <c r="BV180" s="182"/>
      <c r="BW180" s="234"/>
      <c r="BX180" s="237"/>
      <c r="BY180" s="81">
        <f t="shared" si="73"/>
        <v>0</v>
      </c>
      <c r="BZ180" s="198"/>
      <c r="CA180" s="198"/>
      <c r="CB180" s="198"/>
      <c r="CC180" s="198"/>
      <c r="CD180" s="198"/>
      <c r="CE180" s="198"/>
      <c r="CF180" s="198"/>
      <c r="CG180" s="198"/>
      <c r="CH180" s="198"/>
      <c r="CI180" s="198"/>
      <c r="CJ180" s="198"/>
      <c r="CK180" s="198"/>
      <c r="CL180" s="195">
        <f t="shared" si="75"/>
        <v>0</v>
      </c>
      <c r="CM180" s="196"/>
      <c r="CN180" s="196"/>
      <c r="CO180" s="196"/>
      <c r="CP180" s="196"/>
      <c r="CQ180" s="196"/>
      <c r="CR180" s="196"/>
      <c r="CS180" s="196"/>
      <c r="CT180" s="196"/>
      <c r="CU180" s="196"/>
      <c r="CV180" s="196"/>
      <c r="CW180" s="196"/>
      <c r="CX180" s="196"/>
      <c r="CY180" s="200">
        <f t="shared" si="86"/>
        <v>0</v>
      </c>
      <c r="CZ180" s="172">
        <f t="shared" si="74"/>
        <v>0</v>
      </c>
      <c r="DA180" s="201">
        <f t="shared" si="87"/>
        <v>0</v>
      </c>
      <c r="DB180" s="201">
        <f t="shared" si="88"/>
        <v>0</v>
      </c>
      <c r="DC180" s="201">
        <f t="shared" si="76"/>
        <v>0</v>
      </c>
      <c r="DD180" s="239">
        <v>0</v>
      </c>
      <c r="DE180" s="201">
        <f t="shared" si="77"/>
        <v>0</v>
      </c>
      <c r="DF180" s="172" t="e">
        <f>SUM(DN180:DO180)-SUM(#REF!,BV180)+BU180</f>
        <v>#REF!</v>
      </c>
      <c r="DG180" s="207"/>
      <c r="DH180" s="225">
        <f t="shared" si="78"/>
        <v>0</v>
      </c>
      <c r="DI180" s="225">
        <f t="shared" si="79"/>
        <v>0</v>
      </c>
      <c r="DJ180" s="225">
        <f t="shared" si="80"/>
        <v>0</v>
      </c>
      <c r="DK180" s="225" t="e">
        <f>SUM(BS180,#REF!,BV180)</f>
        <v>#REF!</v>
      </c>
      <c r="DL180" s="145">
        <v>140</v>
      </c>
      <c r="DM180" s="145">
        <v>0</v>
      </c>
      <c r="DN180" s="145">
        <v>0</v>
      </c>
      <c r="DO180" s="145">
        <v>0</v>
      </c>
      <c r="DP180" s="145">
        <v>0</v>
      </c>
      <c r="DQ180" s="145">
        <v>140</v>
      </c>
      <c r="DS180" s="219">
        <f t="shared" si="81"/>
        <v>0</v>
      </c>
    </row>
    <row r="181" spans="1:123" s="21" customFormat="1" ht="24" customHeight="1">
      <c r="A181" s="16"/>
      <c r="B181" s="2">
        <v>140</v>
      </c>
      <c r="C181" s="79" t="s">
        <v>272</v>
      </c>
      <c r="D181" s="79"/>
      <c r="E181" s="78"/>
      <c r="F181" s="39">
        <v>2019</v>
      </c>
      <c r="G181" s="40">
        <v>43752</v>
      </c>
      <c r="H181" s="269">
        <v>43753</v>
      </c>
      <c r="I181" s="269">
        <v>43753</v>
      </c>
      <c r="J181" s="13">
        <f t="shared" ca="1" si="84"/>
        <v>0</v>
      </c>
      <c r="K181" s="165">
        <f t="shared" si="82"/>
        <v>44300</v>
      </c>
      <c r="L181" s="165">
        <f t="shared" si="83"/>
        <v>44483</v>
      </c>
      <c r="M181" s="165"/>
      <c r="N181" s="165"/>
      <c r="O181" s="165"/>
      <c r="P181" s="165"/>
      <c r="Q181" s="165"/>
      <c r="R181" s="3" t="s">
        <v>175</v>
      </c>
      <c r="S181" s="11" t="s">
        <v>223</v>
      </c>
      <c r="T181" s="41"/>
      <c r="U181" s="5" t="s">
        <v>8</v>
      </c>
      <c r="V181" s="251"/>
      <c r="W181" s="5" t="s">
        <v>602</v>
      </c>
      <c r="X181" s="5" t="s">
        <v>478</v>
      </c>
      <c r="Y181" s="5" t="s">
        <v>271</v>
      </c>
      <c r="Z181" s="3" t="s">
        <v>180</v>
      </c>
      <c r="AA181" s="6" t="s">
        <v>217</v>
      </c>
      <c r="AB181" s="270" t="s">
        <v>523</v>
      </c>
      <c r="AC181" s="165" t="s">
        <v>5</v>
      </c>
      <c r="AD181" s="165" t="s">
        <v>5</v>
      </c>
      <c r="AE181" s="165" t="s">
        <v>5</v>
      </c>
      <c r="AF181" s="5"/>
      <c r="AG181" s="41"/>
      <c r="AH181" s="212"/>
      <c r="AI181" s="115"/>
      <c r="AJ181" s="115"/>
      <c r="AK181" s="221" t="e">
        <f>SUM(#REF!,BT181,BV181)</f>
        <v>#REF!</v>
      </c>
      <c r="AL181" s="153"/>
      <c r="AM181" s="153"/>
      <c r="AN181" s="153"/>
      <c r="AO181" s="153"/>
      <c r="AP181" s="153"/>
      <c r="AQ181" s="153"/>
      <c r="AR181" s="51">
        <v>0</v>
      </c>
      <c r="AS181" s="51"/>
      <c r="AT181" s="51">
        <v>0</v>
      </c>
      <c r="AU181" s="51"/>
      <c r="AV181" s="44">
        <v>0</v>
      </c>
      <c r="AW181" s="44">
        <v>0</v>
      </c>
      <c r="AX181" s="90">
        <f t="shared" si="85"/>
        <v>0</v>
      </c>
      <c r="AY181" s="157">
        <f t="shared" si="72"/>
        <v>0</v>
      </c>
      <c r="AZ181" s="182">
        <v>0</v>
      </c>
      <c r="BA181" s="158"/>
      <c r="BB181" s="182">
        <v>0</v>
      </c>
      <c r="BC181" s="158"/>
      <c r="BD181" s="182">
        <v>0</v>
      </c>
      <c r="BE181" s="158">
        <v>0</v>
      </c>
      <c r="BF181" s="182">
        <v>0</v>
      </c>
      <c r="BG181" s="158"/>
      <c r="BH181" s="182">
        <v>0</v>
      </c>
      <c r="BI181" s="158"/>
      <c r="BJ181" s="182">
        <v>0</v>
      </c>
      <c r="BK181" s="158"/>
      <c r="BL181" s="182"/>
      <c r="BM181" s="158"/>
      <c r="BN181" s="182"/>
      <c r="BO181" s="158"/>
      <c r="BP181" s="182"/>
      <c r="BQ181" s="158"/>
      <c r="BR181" s="182"/>
      <c r="BS181" s="158"/>
      <c r="BT181" s="182"/>
      <c r="BU181" s="158"/>
      <c r="BV181" s="182"/>
      <c r="BW181" s="234"/>
      <c r="BX181" s="237"/>
      <c r="BY181" s="81">
        <f t="shared" si="73"/>
        <v>0</v>
      </c>
      <c r="BZ181" s="241"/>
      <c r="CA181" s="241"/>
      <c r="CB181" s="241"/>
      <c r="CC181" s="241"/>
      <c r="CD181" s="241"/>
      <c r="CE181" s="241"/>
      <c r="CF181" s="241"/>
      <c r="CG181" s="241"/>
      <c r="CH181" s="241"/>
      <c r="CI181" s="241"/>
      <c r="CJ181" s="241"/>
      <c r="CK181" s="241"/>
      <c r="CL181" s="195">
        <f t="shared" si="75"/>
        <v>0</v>
      </c>
      <c r="CM181" s="196"/>
      <c r="CN181" s="196"/>
      <c r="CO181" s="196"/>
      <c r="CP181" s="196"/>
      <c r="CQ181" s="196"/>
      <c r="CR181" s="196"/>
      <c r="CS181" s="196"/>
      <c r="CT181" s="196"/>
      <c r="CU181" s="196"/>
      <c r="CV181" s="196"/>
      <c r="CW181" s="196"/>
      <c r="CX181" s="196"/>
      <c r="CY181" s="200">
        <f t="shared" si="86"/>
        <v>0</v>
      </c>
      <c r="CZ181" s="172">
        <f t="shared" si="74"/>
        <v>0</v>
      </c>
      <c r="DA181" s="201">
        <f t="shared" si="87"/>
        <v>0</v>
      </c>
      <c r="DB181" s="201">
        <f t="shared" si="88"/>
        <v>0</v>
      </c>
      <c r="DC181" s="201">
        <f t="shared" si="76"/>
        <v>0</v>
      </c>
      <c r="DD181" s="239">
        <v>0</v>
      </c>
      <c r="DE181" s="201">
        <f t="shared" si="77"/>
        <v>0</v>
      </c>
      <c r="DF181" s="172" t="e">
        <f>SUM(DN181:DO181)-SUM(#REF!,BV181)+BU181</f>
        <v>#REF!</v>
      </c>
      <c r="DG181" s="207"/>
      <c r="DH181" s="225">
        <f t="shared" si="78"/>
        <v>0</v>
      </c>
      <c r="DI181" s="225">
        <f t="shared" si="79"/>
        <v>0</v>
      </c>
      <c r="DJ181" s="225">
        <f t="shared" si="80"/>
        <v>0</v>
      </c>
      <c r="DK181" s="225" t="e">
        <f>SUM(BS181,#REF!,BV181)</f>
        <v>#REF!</v>
      </c>
      <c r="DL181" s="145">
        <v>0</v>
      </c>
      <c r="DM181" s="145">
        <v>0</v>
      </c>
      <c r="DN181" s="145">
        <v>0</v>
      </c>
      <c r="DO181" s="145">
        <v>0</v>
      </c>
      <c r="DP181" s="145">
        <v>0</v>
      </c>
      <c r="DQ181" s="145">
        <v>0</v>
      </c>
      <c r="DS181" s="219">
        <f t="shared" si="81"/>
        <v>0</v>
      </c>
    </row>
    <row r="182" spans="1:123" s="21" customFormat="1" ht="24" customHeight="1">
      <c r="A182" s="16"/>
      <c r="B182" s="2">
        <v>141</v>
      </c>
      <c r="C182" s="79" t="s">
        <v>267</v>
      </c>
      <c r="D182" s="79"/>
      <c r="E182" s="78"/>
      <c r="F182" s="39">
        <v>2019</v>
      </c>
      <c r="G182" s="40">
        <v>43752</v>
      </c>
      <c r="H182" s="269">
        <v>43753</v>
      </c>
      <c r="I182" s="269">
        <v>43753</v>
      </c>
      <c r="J182" s="13">
        <f t="shared" ca="1" si="84"/>
        <v>0</v>
      </c>
      <c r="K182" s="165">
        <f t="shared" si="82"/>
        <v>44300</v>
      </c>
      <c r="L182" s="165">
        <f t="shared" si="83"/>
        <v>44483</v>
      </c>
      <c r="M182" s="165"/>
      <c r="N182" s="165"/>
      <c r="O182" s="165"/>
      <c r="P182" s="165"/>
      <c r="Q182" s="165"/>
      <c r="R182" s="3" t="s">
        <v>175</v>
      </c>
      <c r="S182" s="11" t="s">
        <v>221</v>
      </c>
      <c r="T182" s="41"/>
      <c r="U182" s="5" t="s">
        <v>8</v>
      </c>
      <c r="V182" s="251">
        <v>2422075</v>
      </c>
      <c r="W182" s="5" t="s">
        <v>602</v>
      </c>
      <c r="X182" s="5" t="s">
        <v>471</v>
      </c>
      <c r="Y182" s="5" t="s">
        <v>269</v>
      </c>
      <c r="Z182" s="3" t="s">
        <v>180</v>
      </c>
      <c r="AA182" s="6" t="s">
        <v>217</v>
      </c>
      <c r="AB182" s="270" t="s">
        <v>521</v>
      </c>
      <c r="AC182" s="165" t="s">
        <v>5</v>
      </c>
      <c r="AD182" s="165" t="s">
        <v>5</v>
      </c>
      <c r="AE182" s="165" t="s">
        <v>5</v>
      </c>
      <c r="AF182" s="5"/>
      <c r="AG182" s="41"/>
      <c r="AH182" s="212"/>
      <c r="AI182" s="115"/>
      <c r="AJ182" s="115"/>
      <c r="AK182" s="221" t="e">
        <f>SUM(#REF!,BT182,BV182)</f>
        <v>#REF!</v>
      </c>
      <c r="AL182" s="48"/>
      <c r="AM182" s="48"/>
      <c r="AN182" s="48"/>
      <c r="AO182" s="48"/>
      <c r="AP182" s="48"/>
      <c r="AQ182" s="48"/>
      <c r="AR182" s="51">
        <v>0</v>
      </c>
      <c r="AS182" s="51"/>
      <c r="AT182" s="51">
        <v>0</v>
      </c>
      <c r="AU182" s="51"/>
      <c r="AV182" s="44">
        <v>0</v>
      </c>
      <c r="AW182" s="44">
        <v>0</v>
      </c>
      <c r="AX182" s="90">
        <f t="shared" si="85"/>
        <v>0</v>
      </c>
      <c r="AY182" s="157">
        <f t="shared" si="72"/>
        <v>0</v>
      </c>
      <c r="AZ182" s="182">
        <v>0</v>
      </c>
      <c r="BA182" s="158"/>
      <c r="BB182" s="182">
        <v>0</v>
      </c>
      <c r="BC182" s="158"/>
      <c r="BD182" s="182">
        <v>0</v>
      </c>
      <c r="BE182" s="158">
        <v>0</v>
      </c>
      <c r="BF182" s="182">
        <v>0</v>
      </c>
      <c r="BG182" s="158"/>
      <c r="BH182" s="182">
        <v>0</v>
      </c>
      <c r="BI182" s="158"/>
      <c r="BJ182" s="182">
        <v>0</v>
      </c>
      <c r="BK182" s="158"/>
      <c r="BL182" s="182"/>
      <c r="BM182" s="158"/>
      <c r="BN182" s="182"/>
      <c r="BO182" s="158"/>
      <c r="BP182" s="182"/>
      <c r="BQ182" s="158"/>
      <c r="BR182" s="182"/>
      <c r="BS182" s="158"/>
      <c r="BT182" s="182"/>
      <c r="BU182" s="158"/>
      <c r="BV182" s="182"/>
      <c r="BW182" s="234"/>
      <c r="BX182" s="237"/>
      <c r="BY182" s="81">
        <f t="shared" si="73"/>
        <v>0</v>
      </c>
      <c r="BZ182" s="241"/>
      <c r="CA182" s="241"/>
      <c r="CB182" s="241"/>
      <c r="CC182" s="241"/>
      <c r="CD182" s="241"/>
      <c r="CE182" s="241"/>
      <c r="CF182" s="241"/>
      <c r="CG182" s="241"/>
      <c r="CH182" s="241"/>
      <c r="CI182" s="241"/>
      <c r="CJ182" s="241"/>
      <c r="CK182" s="241"/>
      <c r="CL182" s="195">
        <f t="shared" si="75"/>
        <v>0</v>
      </c>
      <c r="CM182" s="196"/>
      <c r="CN182" s="196"/>
      <c r="CO182" s="196"/>
      <c r="CP182" s="196"/>
      <c r="CQ182" s="196"/>
      <c r="CR182" s="196"/>
      <c r="CS182" s="196"/>
      <c r="CT182" s="196"/>
      <c r="CU182" s="196"/>
      <c r="CV182" s="196"/>
      <c r="CW182" s="196"/>
      <c r="CX182" s="196"/>
      <c r="CY182" s="200">
        <f t="shared" si="86"/>
        <v>0</v>
      </c>
      <c r="CZ182" s="172">
        <f t="shared" si="74"/>
        <v>0</v>
      </c>
      <c r="DA182" s="201">
        <f t="shared" si="87"/>
        <v>0</v>
      </c>
      <c r="DB182" s="201">
        <f t="shared" si="88"/>
        <v>0</v>
      </c>
      <c r="DC182" s="201">
        <f t="shared" si="76"/>
        <v>0</v>
      </c>
      <c r="DD182" s="239">
        <v>0</v>
      </c>
      <c r="DE182" s="201">
        <f t="shared" si="77"/>
        <v>0</v>
      </c>
      <c r="DF182" s="172" t="e">
        <f>SUM(DN182:DO182)-SUM(#REF!,BV182)+BU182</f>
        <v>#REF!</v>
      </c>
      <c r="DG182" s="207"/>
      <c r="DH182" s="225">
        <f t="shared" si="78"/>
        <v>0</v>
      </c>
      <c r="DI182" s="225">
        <f t="shared" si="79"/>
        <v>0</v>
      </c>
      <c r="DJ182" s="225">
        <f t="shared" si="80"/>
        <v>0</v>
      </c>
      <c r="DK182" s="225" t="e">
        <f>SUM(BS182,#REF!,BV182)</f>
        <v>#REF!</v>
      </c>
      <c r="DL182" s="145">
        <v>0</v>
      </c>
      <c r="DM182" s="145">
        <v>0</v>
      </c>
      <c r="DN182" s="145">
        <v>0</v>
      </c>
      <c r="DO182" s="145">
        <v>0</v>
      </c>
      <c r="DP182" s="145">
        <v>0</v>
      </c>
      <c r="DQ182" s="145">
        <v>0</v>
      </c>
      <c r="DS182" s="219">
        <f t="shared" si="81"/>
        <v>0</v>
      </c>
    </row>
    <row r="183" spans="1:123" s="21" customFormat="1" ht="24" customHeight="1">
      <c r="A183" s="16"/>
      <c r="B183" s="2">
        <v>142</v>
      </c>
      <c r="C183" s="79" t="s">
        <v>268</v>
      </c>
      <c r="D183" s="79"/>
      <c r="E183" s="78" t="s">
        <v>850</v>
      </c>
      <c r="F183" s="39">
        <v>2019</v>
      </c>
      <c r="G183" s="40">
        <v>43752</v>
      </c>
      <c r="H183" s="178">
        <v>43771</v>
      </c>
      <c r="I183" s="40">
        <v>44201</v>
      </c>
      <c r="J183" s="13">
        <f t="shared" ca="1" si="84"/>
        <v>430</v>
      </c>
      <c r="K183" s="165">
        <f t="shared" si="82"/>
        <v>44318</v>
      </c>
      <c r="L183" s="165">
        <f t="shared" si="83"/>
        <v>44501</v>
      </c>
      <c r="M183" s="165"/>
      <c r="N183" s="165"/>
      <c r="O183" s="165"/>
      <c r="P183" s="165"/>
      <c r="Q183" s="165"/>
      <c r="R183" s="3" t="s">
        <v>175</v>
      </c>
      <c r="S183" s="11" t="s">
        <v>221</v>
      </c>
      <c r="T183" s="41" t="s">
        <v>916</v>
      </c>
      <c r="U183" s="5" t="s">
        <v>8</v>
      </c>
      <c r="V183" s="251">
        <v>2368666</v>
      </c>
      <c r="W183" s="5" t="s">
        <v>602</v>
      </c>
      <c r="X183" s="5" t="s">
        <v>471</v>
      </c>
      <c r="Y183" s="5" t="s">
        <v>270</v>
      </c>
      <c r="Z183" s="3" t="s">
        <v>180</v>
      </c>
      <c r="AA183" s="6" t="s">
        <v>217</v>
      </c>
      <c r="AB183" s="151" t="s">
        <v>922</v>
      </c>
      <c r="AC183" s="165" t="s">
        <v>5</v>
      </c>
      <c r="AD183" s="165">
        <v>44286</v>
      </c>
      <c r="AE183" s="165" t="s">
        <v>5</v>
      </c>
      <c r="AF183" s="5"/>
      <c r="AG183" s="41"/>
      <c r="AH183" s="212"/>
      <c r="AI183" s="115"/>
      <c r="AJ183" s="115"/>
      <c r="AK183" s="221" t="e">
        <f>SUM(#REF!,BT183,BV183)</f>
        <v>#REF!</v>
      </c>
      <c r="AL183" s="154"/>
      <c r="AM183" s="154"/>
      <c r="AN183" s="154"/>
      <c r="AO183" s="154"/>
      <c r="AP183" s="154"/>
      <c r="AQ183" s="154"/>
      <c r="AR183" s="51">
        <v>0</v>
      </c>
      <c r="AS183" s="51">
        <v>0</v>
      </c>
      <c r="AT183" s="51">
        <v>96.49378999999999</v>
      </c>
      <c r="AU183" s="51">
        <v>6</v>
      </c>
      <c r="AV183" s="44">
        <v>120</v>
      </c>
      <c r="AW183" s="44">
        <v>0</v>
      </c>
      <c r="AX183" s="90">
        <f t="shared" si="85"/>
        <v>120</v>
      </c>
      <c r="AY183" s="157">
        <f t="shared" si="72"/>
        <v>3.8177699999999999</v>
      </c>
      <c r="AZ183" s="182">
        <v>0</v>
      </c>
      <c r="BA183" s="158">
        <v>0</v>
      </c>
      <c r="BB183" s="182">
        <v>6</v>
      </c>
      <c r="BC183" s="158"/>
      <c r="BD183" s="182">
        <v>4</v>
      </c>
      <c r="BE183" s="158">
        <v>3.8177699999999999</v>
      </c>
      <c r="BF183" s="182">
        <v>0</v>
      </c>
      <c r="BG183" s="158"/>
      <c r="BH183" s="182">
        <v>0</v>
      </c>
      <c r="BI183" s="158"/>
      <c r="BJ183" s="182">
        <v>0</v>
      </c>
      <c r="BK183" s="158"/>
      <c r="BL183" s="182"/>
      <c r="BM183" s="158"/>
      <c r="BN183" s="182"/>
      <c r="BO183" s="158"/>
      <c r="BP183" s="182"/>
      <c r="BQ183" s="158"/>
      <c r="BR183" s="182"/>
      <c r="BS183" s="158"/>
      <c r="BT183" s="182"/>
      <c r="BU183" s="158"/>
      <c r="BV183" s="182"/>
      <c r="BW183" s="234"/>
      <c r="BX183" s="237"/>
      <c r="BY183" s="81">
        <f t="shared" si="73"/>
        <v>0</v>
      </c>
      <c r="BZ183" s="241"/>
      <c r="CA183" s="241"/>
      <c r="CB183" s="241"/>
      <c r="CC183" s="241"/>
      <c r="CD183" s="241"/>
      <c r="CE183" s="241"/>
      <c r="CF183" s="241"/>
      <c r="CG183" s="241"/>
      <c r="CH183" s="241"/>
      <c r="CI183" s="241"/>
      <c r="CJ183" s="241"/>
      <c r="CK183" s="241"/>
      <c r="CL183" s="195">
        <f t="shared" si="75"/>
        <v>0</v>
      </c>
      <c r="CM183" s="196"/>
      <c r="CN183" s="196"/>
      <c r="CO183" s="196"/>
      <c r="CP183" s="196"/>
      <c r="CQ183" s="196"/>
      <c r="CR183" s="196"/>
      <c r="CS183" s="196"/>
      <c r="CT183" s="196"/>
      <c r="CU183" s="196"/>
      <c r="CV183" s="196"/>
      <c r="CW183" s="196"/>
      <c r="CX183" s="196"/>
      <c r="CY183" s="200">
        <f t="shared" si="86"/>
        <v>0</v>
      </c>
      <c r="CZ183" s="172">
        <f t="shared" si="74"/>
        <v>0</v>
      </c>
      <c r="DA183" s="201">
        <f t="shared" si="87"/>
        <v>3.8177699999999999</v>
      </c>
      <c r="DB183" s="201">
        <f t="shared" si="88"/>
        <v>0</v>
      </c>
      <c r="DC183" s="201">
        <f t="shared" si="76"/>
        <v>3.8177699999999999</v>
      </c>
      <c r="DD183" s="239">
        <v>3.8177699999999999</v>
      </c>
      <c r="DE183" s="201">
        <f t="shared" si="77"/>
        <v>0</v>
      </c>
      <c r="DF183" s="172" t="e">
        <f>SUM(DN183:DO183)-SUM(#REF!,BV183)+BU183</f>
        <v>#REF!</v>
      </c>
      <c r="DG183" s="207"/>
      <c r="DH183" s="225">
        <f t="shared" si="78"/>
        <v>3.8177699999999999</v>
      </c>
      <c r="DI183" s="225">
        <f t="shared" si="79"/>
        <v>0</v>
      </c>
      <c r="DJ183" s="225">
        <f t="shared" si="80"/>
        <v>0</v>
      </c>
      <c r="DK183" s="225" t="e">
        <f>SUM(BS183,#REF!,BV183)</f>
        <v>#REF!</v>
      </c>
      <c r="DL183" s="145">
        <v>120</v>
      </c>
      <c r="DM183" s="145">
        <v>100.31156</v>
      </c>
      <c r="DN183" s="145">
        <v>0</v>
      </c>
      <c r="DO183" s="145">
        <v>0</v>
      </c>
      <c r="DP183" s="145">
        <v>100.31156</v>
      </c>
      <c r="DQ183" s="145">
        <v>19.68844</v>
      </c>
      <c r="DR183" s="21">
        <f>VLOOKUP(C183,[6]Database!$B$143:$AD$521,29,FALSE)</f>
        <v>0</v>
      </c>
      <c r="DS183" s="219">
        <f t="shared" si="81"/>
        <v>0</v>
      </c>
    </row>
    <row r="184" spans="1:123" s="21" customFormat="1" ht="24" customHeight="1">
      <c r="A184" s="16"/>
      <c r="B184" s="2">
        <v>143</v>
      </c>
      <c r="C184" s="79" t="s">
        <v>273</v>
      </c>
      <c r="D184" s="79"/>
      <c r="E184" s="78" t="s">
        <v>853</v>
      </c>
      <c r="F184" s="39">
        <v>2019</v>
      </c>
      <c r="G184" s="40">
        <v>43752</v>
      </c>
      <c r="H184" s="178">
        <v>43804</v>
      </c>
      <c r="I184" s="40">
        <v>44285</v>
      </c>
      <c r="J184" s="13">
        <f t="shared" ca="1" si="84"/>
        <v>481</v>
      </c>
      <c r="K184" s="165">
        <f t="shared" si="82"/>
        <v>44351</v>
      </c>
      <c r="L184" s="165">
        <f t="shared" si="83"/>
        <v>44534</v>
      </c>
      <c r="M184" s="165"/>
      <c r="N184" s="165"/>
      <c r="O184" s="165"/>
      <c r="P184" s="165"/>
      <c r="Q184" s="165"/>
      <c r="R184" s="3" t="s">
        <v>175</v>
      </c>
      <c r="S184" s="11" t="s">
        <v>4</v>
      </c>
      <c r="T184" s="41"/>
      <c r="U184" s="5" t="s">
        <v>8</v>
      </c>
      <c r="V184" s="251">
        <v>2421971</v>
      </c>
      <c r="W184" s="5" t="s">
        <v>602</v>
      </c>
      <c r="X184" s="5" t="s">
        <v>477</v>
      </c>
      <c r="Y184" s="5" t="s">
        <v>274</v>
      </c>
      <c r="Z184" s="3" t="s">
        <v>180</v>
      </c>
      <c r="AA184" s="6" t="s">
        <v>217</v>
      </c>
      <c r="AB184" s="142" t="s">
        <v>196</v>
      </c>
      <c r="AC184" s="165" t="s">
        <v>5</v>
      </c>
      <c r="AD184" s="165">
        <v>44285</v>
      </c>
      <c r="AE184" s="165" t="s">
        <v>5</v>
      </c>
      <c r="AF184" s="5"/>
      <c r="AG184" s="41"/>
      <c r="AH184" s="212"/>
      <c r="AI184" s="76"/>
      <c r="AJ184" s="76"/>
      <c r="AK184" s="221" t="e">
        <f>SUM(#REF!,BT184,BV184)</f>
        <v>#REF!</v>
      </c>
      <c r="AL184" s="167"/>
      <c r="AM184" s="167"/>
      <c r="AN184" s="167"/>
      <c r="AO184" s="167"/>
      <c r="AP184" s="167"/>
      <c r="AQ184" s="167"/>
      <c r="AR184" s="51">
        <v>150.19739999999999</v>
      </c>
      <c r="AS184" s="51">
        <v>74.8</v>
      </c>
      <c r="AT184" s="51">
        <v>47.090540000000004</v>
      </c>
      <c r="AU184" s="51">
        <v>18</v>
      </c>
      <c r="AV184" s="44">
        <v>225</v>
      </c>
      <c r="AW184" s="44">
        <v>0</v>
      </c>
      <c r="AX184" s="90">
        <f t="shared" si="85"/>
        <v>225</v>
      </c>
      <c r="AY184" s="157">
        <f t="shared" si="72"/>
        <v>0</v>
      </c>
      <c r="AZ184" s="182">
        <v>0</v>
      </c>
      <c r="BA184" s="158">
        <v>0</v>
      </c>
      <c r="BB184" s="182">
        <v>0</v>
      </c>
      <c r="BC184" s="158"/>
      <c r="BD184" s="182">
        <v>2</v>
      </c>
      <c r="BE184" s="158">
        <v>0</v>
      </c>
      <c r="BF184" s="182">
        <v>0</v>
      </c>
      <c r="BG184" s="158"/>
      <c r="BH184" s="182">
        <v>0</v>
      </c>
      <c r="BI184" s="158"/>
      <c r="BJ184" s="182">
        <v>0</v>
      </c>
      <c r="BK184" s="158"/>
      <c r="BL184" s="182"/>
      <c r="BM184" s="158"/>
      <c r="BN184" s="182"/>
      <c r="BO184" s="158"/>
      <c r="BP184" s="182"/>
      <c r="BQ184" s="158"/>
      <c r="BR184" s="182"/>
      <c r="BS184" s="158"/>
      <c r="BT184" s="182"/>
      <c r="BU184" s="158"/>
      <c r="BV184" s="182"/>
      <c r="BW184" s="234"/>
      <c r="BX184" s="237"/>
      <c r="BY184" s="81">
        <f t="shared" si="73"/>
        <v>0</v>
      </c>
      <c r="BZ184" s="241"/>
      <c r="CA184" s="241"/>
      <c r="CB184" s="241"/>
      <c r="CC184" s="241"/>
      <c r="CD184" s="241"/>
      <c r="CE184" s="241"/>
      <c r="CF184" s="241"/>
      <c r="CG184" s="241"/>
      <c r="CH184" s="241"/>
      <c r="CI184" s="241"/>
      <c r="CJ184" s="241"/>
      <c r="CK184" s="241"/>
      <c r="CL184" s="195">
        <f t="shared" si="75"/>
        <v>0</v>
      </c>
      <c r="CM184" s="196"/>
      <c r="CN184" s="196"/>
      <c r="CO184" s="196"/>
      <c r="CP184" s="196"/>
      <c r="CQ184" s="196"/>
      <c r="CR184" s="196"/>
      <c r="CS184" s="196"/>
      <c r="CT184" s="196"/>
      <c r="CU184" s="196"/>
      <c r="CV184" s="196"/>
      <c r="CW184" s="196"/>
      <c r="CX184" s="196"/>
      <c r="CY184" s="200">
        <f t="shared" si="86"/>
        <v>0</v>
      </c>
      <c r="CZ184" s="172">
        <f t="shared" si="74"/>
        <v>0</v>
      </c>
      <c r="DA184" s="201">
        <f t="shared" si="87"/>
        <v>0</v>
      </c>
      <c r="DB184" s="201">
        <f t="shared" si="88"/>
        <v>0</v>
      </c>
      <c r="DC184" s="201">
        <f t="shared" si="76"/>
        <v>0</v>
      </c>
      <c r="DD184" s="239">
        <v>0</v>
      </c>
      <c r="DE184" s="201">
        <f t="shared" si="77"/>
        <v>0</v>
      </c>
      <c r="DF184" s="172" t="e">
        <f>SUM(DN184:DO184)-SUM(#REF!,BV184)+BU184</f>
        <v>#REF!</v>
      </c>
      <c r="DG184" s="207"/>
      <c r="DH184" s="225">
        <f t="shared" si="78"/>
        <v>0</v>
      </c>
      <c r="DI184" s="225">
        <f t="shared" si="79"/>
        <v>0</v>
      </c>
      <c r="DJ184" s="225">
        <f t="shared" si="80"/>
        <v>0</v>
      </c>
      <c r="DK184" s="225" t="e">
        <f>SUM(BS184,#REF!,BV184)</f>
        <v>#REF!</v>
      </c>
      <c r="DL184" s="145">
        <v>225</v>
      </c>
      <c r="DM184" s="145">
        <v>197.28793999999999</v>
      </c>
      <c r="DN184" s="145">
        <v>0</v>
      </c>
      <c r="DO184" s="145">
        <v>0</v>
      </c>
      <c r="DP184" s="145">
        <v>197.28793999999999</v>
      </c>
      <c r="DQ184" s="145">
        <v>27.712060000000001</v>
      </c>
      <c r="DR184" s="21">
        <f>VLOOKUP(C184,[6]Database!$B$143:$AD$521,29,FALSE)</f>
        <v>0</v>
      </c>
      <c r="DS184" s="219">
        <f t="shared" si="81"/>
        <v>0</v>
      </c>
    </row>
    <row r="185" spans="1:123" s="21" customFormat="1" ht="24" customHeight="1">
      <c r="A185" s="16"/>
      <c r="B185" s="2">
        <v>144</v>
      </c>
      <c r="C185" s="79" t="s">
        <v>276</v>
      </c>
      <c r="D185" s="79"/>
      <c r="E185" s="78"/>
      <c r="F185" s="39">
        <v>2019</v>
      </c>
      <c r="G185" s="40">
        <v>43752</v>
      </c>
      <c r="H185" s="269">
        <v>43753</v>
      </c>
      <c r="I185" s="269">
        <v>43753</v>
      </c>
      <c r="J185" s="13">
        <f t="shared" ca="1" si="84"/>
        <v>0</v>
      </c>
      <c r="K185" s="165">
        <f t="shared" si="82"/>
        <v>44300</v>
      </c>
      <c r="L185" s="165">
        <f t="shared" si="83"/>
        <v>44483</v>
      </c>
      <c r="M185" s="165"/>
      <c r="N185" s="165"/>
      <c r="O185" s="165"/>
      <c r="P185" s="165"/>
      <c r="Q185" s="165"/>
      <c r="R185" s="3" t="s">
        <v>175</v>
      </c>
      <c r="S185" s="11" t="s">
        <v>221</v>
      </c>
      <c r="T185" s="41"/>
      <c r="U185" s="5" t="s">
        <v>8</v>
      </c>
      <c r="V185" s="251">
        <v>2380800</v>
      </c>
      <c r="W185" s="5" t="s">
        <v>602</v>
      </c>
      <c r="X185" s="5" t="s">
        <v>478</v>
      </c>
      <c r="Y185" s="5" t="s">
        <v>275</v>
      </c>
      <c r="Z185" s="3" t="s">
        <v>180</v>
      </c>
      <c r="AA185" s="6" t="s">
        <v>217</v>
      </c>
      <c r="AB185" s="270" t="s">
        <v>522</v>
      </c>
      <c r="AC185" s="165" t="s">
        <v>5</v>
      </c>
      <c r="AD185" s="165" t="s">
        <v>5</v>
      </c>
      <c r="AE185" s="165" t="s">
        <v>5</v>
      </c>
      <c r="AF185" s="5"/>
      <c r="AG185" s="41"/>
      <c r="AH185" s="212"/>
      <c r="AI185" s="76"/>
      <c r="AJ185" s="76"/>
      <c r="AK185" s="221" t="e">
        <f>SUM(#REF!,BT185,BV185)</f>
        <v>#REF!</v>
      </c>
      <c r="AL185" s="153"/>
      <c r="AM185" s="153"/>
      <c r="AN185" s="153"/>
      <c r="AO185" s="153"/>
      <c r="AP185" s="153"/>
      <c r="AQ185" s="153"/>
      <c r="AR185" s="51">
        <v>0</v>
      </c>
      <c r="AS185" s="51"/>
      <c r="AT185" s="51">
        <v>0</v>
      </c>
      <c r="AU185" s="51"/>
      <c r="AV185" s="44">
        <v>0</v>
      </c>
      <c r="AW185" s="44">
        <v>0</v>
      </c>
      <c r="AX185" s="90">
        <f t="shared" si="85"/>
        <v>0</v>
      </c>
      <c r="AY185" s="157">
        <f t="shared" si="72"/>
        <v>0</v>
      </c>
      <c r="AZ185" s="182">
        <v>0</v>
      </c>
      <c r="BA185" s="158"/>
      <c r="BB185" s="182">
        <v>0</v>
      </c>
      <c r="BC185" s="158"/>
      <c r="BD185" s="182">
        <v>0</v>
      </c>
      <c r="BE185" s="158">
        <v>0</v>
      </c>
      <c r="BF185" s="182">
        <v>0</v>
      </c>
      <c r="BG185" s="158"/>
      <c r="BH185" s="182">
        <v>0</v>
      </c>
      <c r="BI185" s="158"/>
      <c r="BJ185" s="182">
        <v>0</v>
      </c>
      <c r="BK185" s="158"/>
      <c r="BL185" s="182"/>
      <c r="BM185" s="158"/>
      <c r="BN185" s="182"/>
      <c r="BO185" s="158"/>
      <c r="BP185" s="182"/>
      <c r="BQ185" s="158"/>
      <c r="BR185" s="182"/>
      <c r="BS185" s="158"/>
      <c r="BT185" s="182"/>
      <c r="BU185" s="158"/>
      <c r="BV185" s="182"/>
      <c r="BW185" s="234"/>
      <c r="BX185" s="237"/>
      <c r="BY185" s="81">
        <f t="shared" si="73"/>
        <v>0</v>
      </c>
      <c r="BZ185" s="241"/>
      <c r="CA185" s="241"/>
      <c r="CB185" s="241"/>
      <c r="CC185" s="241"/>
      <c r="CD185" s="241"/>
      <c r="CE185" s="241"/>
      <c r="CF185" s="241"/>
      <c r="CG185" s="241"/>
      <c r="CH185" s="241"/>
      <c r="CI185" s="241"/>
      <c r="CJ185" s="241"/>
      <c r="CK185" s="241"/>
      <c r="CL185" s="195">
        <f t="shared" si="75"/>
        <v>0</v>
      </c>
      <c r="CM185" s="196"/>
      <c r="CN185" s="196"/>
      <c r="CO185" s="196"/>
      <c r="CP185" s="196"/>
      <c r="CQ185" s="196"/>
      <c r="CR185" s="196"/>
      <c r="CS185" s="196"/>
      <c r="CT185" s="196"/>
      <c r="CU185" s="196"/>
      <c r="CV185" s="196"/>
      <c r="CW185" s="196"/>
      <c r="CX185" s="196"/>
      <c r="CY185" s="200">
        <f t="shared" si="86"/>
        <v>0</v>
      </c>
      <c r="CZ185" s="172">
        <f t="shared" si="74"/>
        <v>0</v>
      </c>
      <c r="DA185" s="201">
        <f t="shared" si="87"/>
        <v>0</v>
      </c>
      <c r="DB185" s="201">
        <f t="shared" si="88"/>
        <v>0</v>
      </c>
      <c r="DC185" s="201">
        <f t="shared" si="76"/>
        <v>0</v>
      </c>
      <c r="DD185" s="239">
        <v>0</v>
      </c>
      <c r="DE185" s="201">
        <f t="shared" si="77"/>
        <v>0</v>
      </c>
      <c r="DF185" s="172" t="e">
        <f>SUM(DN185:DO185)-SUM(#REF!,BV185)+BU185</f>
        <v>#REF!</v>
      </c>
      <c r="DG185" s="207"/>
      <c r="DH185" s="225">
        <f t="shared" si="78"/>
        <v>0</v>
      </c>
      <c r="DI185" s="225">
        <f t="shared" si="79"/>
        <v>0</v>
      </c>
      <c r="DJ185" s="225">
        <f t="shared" si="80"/>
        <v>0</v>
      </c>
      <c r="DK185" s="225" t="e">
        <f>SUM(BS185,#REF!,BV185)</f>
        <v>#REF!</v>
      </c>
      <c r="DL185" s="145">
        <v>0</v>
      </c>
      <c r="DM185" s="145">
        <v>0</v>
      </c>
      <c r="DN185" s="145">
        <v>0</v>
      </c>
      <c r="DO185" s="145">
        <v>0</v>
      </c>
      <c r="DP185" s="145">
        <v>0</v>
      </c>
      <c r="DQ185" s="145">
        <v>0</v>
      </c>
      <c r="DS185" s="219">
        <f t="shared" si="81"/>
        <v>0</v>
      </c>
    </row>
    <row r="186" spans="1:123" s="21" customFormat="1" ht="24" customHeight="1">
      <c r="A186" s="16"/>
      <c r="B186" s="2">
        <v>145</v>
      </c>
      <c r="C186" s="79" t="s">
        <v>278</v>
      </c>
      <c r="D186" s="79"/>
      <c r="E186" s="78"/>
      <c r="F186" s="39">
        <v>2019</v>
      </c>
      <c r="G186" s="40">
        <v>43752</v>
      </c>
      <c r="H186" s="269">
        <v>43753</v>
      </c>
      <c r="I186" s="269">
        <v>43753</v>
      </c>
      <c r="J186" s="13">
        <f t="shared" ca="1" si="84"/>
        <v>0</v>
      </c>
      <c r="K186" s="165">
        <f t="shared" si="82"/>
        <v>44300</v>
      </c>
      <c r="L186" s="165">
        <f t="shared" si="83"/>
        <v>44483</v>
      </c>
      <c r="M186" s="165"/>
      <c r="N186" s="165"/>
      <c r="O186" s="165"/>
      <c r="P186" s="165"/>
      <c r="Q186" s="165"/>
      <c r="R186" s="3" t="s">
        <v>175</v>
      </c>
      <c r="S186" s="11" t="s">
        <v>223</v>
      </c>
      <c r="T186" s="41"/>
      <c r="U186" s="5" t="s">
        <v>8</v>
      </c>
      <c r="V186" s="251">
        <v>2380886</v>
      </c>
      <c r="W186" s="5" t="s">
        <v>602</v>
      </c>
      <c r="X186" s="5" t="s">
        <v>478</v>
      </c>
      <c r="Y186" s="5" t="s">
        <v>277</v>
      </c>
      <c r="Z186" s="3" t="s">
        <v>180</v>
      </c>
      <c r="AA186" s="6" t="s">
        <v>217</v>
      </c>
      <c r="AB186" s="270" t="s">
        <v>516</v>
      </c>
      <c r="AC186" s="165" t="s">
        <v>5</v>
      </c>
      <c r="AD186" s="165" t="s">
        <v>5</v>
      </c>
      <c r="AE186" s="165" t="s">
        <v>5</v>
      </c>
      <c r="AF186" s="5"/>
      <c r="AG186" s="41"/>
      <c r="AH186" s="212"/>
      <c r="AI186" s="76"/>
      <c r="AJ186" s="76"/>
      <c r="AK186" s="221" t="e">
        <f>SUM(#REF!,BT186,BV186)</f>
        <v>#REF!</v>
      </c>
      <c r="AL186" s="153"/>
      <c r="AM186" s="153"/>
      <c r="AN186" s="153"/>
      <c r="AO186" s="153"/>
      <c r="AP186" s="153"/>
      <c r="AQ186" s="153"/>
      <c r="AR186" s="51">
        <v>0</v>
      </c>
      <c r="AS186" s="51"/>
      <c r="AT186" s="51">
        <v>0</v>
      </c>
      <c r="AU186" s="51"/>
      <c r="AV186" s="44">
        <v>0</v>
      </c>
      <c r="AW186" s="44">
        <v>0</v>
      </c>
      <c r="AX186" s="90">
        <f t="shared" si="85"/>
        <v>0</v>
      </c>
      <c r="AY186" s="157">
        <f t="shared" si="72"/>
        <v>0</v>
      </c>
      <c r="AZ186" s="182">
        <v>0</v>
      </c>
      <c r="BA186" s="158"/>
      <c r="BB186" s="182">
        <v>0</v>
      </c>
      <c r="BC186" s="158"/>
      <c r="BD186" s="182">
        <v>0</v>
      </c>
      <c r="BE186" s="158">
        <v>0</v>
      </c>
      <c r="BF186" s="182">
        <v>0</v>
      </c>
      <c r="BG186" s="158"/>
      <c r="BH186" s="182">
        <v>0</v>
      </c>
      <c r="BI186" s="158"/>
      <c r="BJ186" s="182">
        <v>0</v>
      </c>
      <c r="BK186" s="158"/>
      <c r="BL186" s="182"/>
      <c r="BM186" s="158"/>
      <c r="BN186" s="182"/>
      <c r="BO186" s="158"/>
      <c r="BP186" s="182"/>
      <c r="BQ186" s="158"/>
      <c r="BR186" s="182"/>
      <c r="BS186" s="158"/>
      <c r="BT186" s="182"/>
      <c r="BU186" s="158"/>
      <c r="BV186" s="182"/>
      <c r="BW186" s="234"/>
      <c r="BX186" s="237"/>
      <c r="BY186" s="81">
        <f t="shared" si="73"/>
        <v>0</v>
      </c>
      <c r="BZ186" s="241"/>
      <c r="CA186" s="241"/>
      <c r="CB186" s="241"/>
      <c r="CC186" s="241"/>
      <c r="CD186" s="241"/>
      <c r="CE186" s="241"/>
      <c r="CF186" s="241"/>
      <c r="CG186" s="241"/>
      <c r="CH186" s="241"/>
      <c r="CI186" s="241"/>
      <c r="CJ186" s="241"/>
      <c r="CK186" s="241"/>
      <c r="CL186" s="195">
        <f t="shared" si="75"/>
        <v>0</v>
      </c>
      <c r="CM186" s="196"/>
      <c r="CN186" s="196"/>
      <c r="CO186" s="196"/>
      <c r="CP186" s="196"/>
      <c r="CQ186" s="196"/>
      <c r="CR186" s="196"/>
      <c r="CS186" s="196"/>
      <c r="CT186" s="196"/>
      <c r="CU186" s="196"/>
      <c r="CV186" s="196"/>
      <c r="CW186" s="196"/>
      <c r="CX186" s="196"/>
      <c r="CY186" s="200">
        <f t="shared" si="86"/>
        <v>0</v>
      </c>
      <c r="CZ186" s="172">
        <f t="shared" si="74"/>
        <v>0</v>
      </c>
      <c r="DA186" s="201">
        <f t="shared" si="87"/>
        <v>0</v>
      </c>
      <c r="DB186" s="201">
        <f t="shared" si="88"/>
        <v>0</v>
      </c>
      <c r="DC186" s="201">
        <f t="shared" si="76"/>
        <v>0</v>
      </c>
      <c r="DD186" s="239">
        <v>0</v>
      </c>
      <c r="DE186" s="201">
        <f t="shared" si="77"/>
        <v>0</v>
      </c>
      <c r="DF186" s="172" t="e">
        <f>SUM(DN186:DO186)-SUM(#REF!,BV186)+BU186</f>
        <v>#REF!</v>
      </c>
      <c r="DG186" s="207"/>
      <c r="DH186" s="225">
        <f t="shared" si="78"/>
        <v>0</v>
      </c>
      <c r="DI186" s="225">
        <f t="shared" si="79"/>
        <v>0</v>
      </c>
      <c r="DJ186" s="225">
        <f t="shared" si="80"/>
        <v>0</v>
      </c>
      <c r="DK186" s="225" t="e">
        <f>SUM(BS186,#REF!,BV186)</f>
        <v>#REF!</v>
      </c>
      <c r="DL186" s="145">
        <v>0</v>
      </c>
      <c r="DM186" s="145">
        <v>0</v>
      </c>
      <c r="DN186" s="145">
        <v>0</v>
      </c>
      <c r="DO186" s="145">
        <v>0</v>
      </c>
      <c r="DP186" s="145">
        <v>0</v>
      </c>
      <c r="DQ186" s="145">
        <v>0</v>
      </c>
      <c r="DS186" s="219">
        <f t="shared" si="81"/>
        <v>0</v>
      </c>
    </row>
    <row r="187" spans="1:123" s="21" customFormat="1" ht="24" customHeight="1">
      <c r="A187" s="16"/>
      <c r="B187" s="2">
        <v>146</v>
      </c>
      <c r="C187" s="79" t="s">
        <v>280</v>
      </c>
      <c r="D187" s="79"/>
      <c r="E187" s="78" t="s">
        <v>882</v>
      </c>
      <c r="F187" s="39">
        <v>2019</v>
      </c>
      <c r="G187" s="40">
        <v>43752</v>
      </c>
      <c r="H187" s="269">
        <v>43753</v>
      </c>
      <c r="I187" s="269">
        <v>43753</v>
      </c>
      <c r="J187" s="13">
        <f t="shared" ca="1" si="84"/>
        <v>0</v>
      </c>
      <c r="K187" s="165">
        <f t="shared" si="82"/>
        <v>44300</v>
      </c>
      <c r="L187" s="165">
        <f t="shared" si="83"/>
        <v>44483</v>
      </c>
      <c r="M187" s="165"/>
      <c r="N187" s="165"/>
      <c r="O187" s="165"/>
      <c r="P187" s="165"/>
      <c r="Q187" s="165"/>
      <c r="R187" s="3" t="s">
        <v>175</v>
      </c>
      <c r="S187" s="11" t="s">
        <v>4</v>
      </c>
      <c r="T187" s="41"/>
      <c r="U187" s="5" t="s">
        <v>8</v>
      </c>
      <c r="V187" s="251">
        <v>2380972</v>
      </c>
      <c r="W187" s="5" t="s">
        <v>602</v>
      </c>
      <c r="X187" s="5" t="s">
        <v>477</v>
      </c>
      <c r="Y187" s="5" t="s">
        <v>279</v>
      </c>
      <c r="Z187" s="3" t="s">
        <v>180</v>
      </c>
      <c r="AA187" s="6" t="s">
        <v>217</v>
      </c>
      <c r="AB187" s="270" t="s">
        <v>520</v>
      </c>
      <c r="AC187" s="165" t="s">
        <v>5</v>
      </c>
      <c r="AD187" s="165" t="s">
        <v>5</v>
      </c>
      <c r="AE187" s="165" t="s">
        <v>5</v>
      </c>
      <c r="AF187" s="5"/>
      <c r="AG187" s="41"/>
      <c r="AH187" s="212"/>
      <c r="AI187" s="76"/>
      <c r="AJ187" s="76"/>
      <c r="AK187" s="221" t="e">
        <f>SUM(#REF!,BT187,BV187)</f>
        <v>#REF!</v>
      </c>
      <c r="AL187" s="153"/>
      <c r="AM187" s="153"/>
      <c r="AN187" s="153"/>
      <c r="AO187" s="153"/>
      <c r="AP187" s="153"/>
      <c r="AQ187" s="153"/>
      <c r="AR187" s="51">
        <v>0</v>
      </c>
      <c r="AS187" s="51"/>
      <c r="AT187" s="51">
        <v>0</v>
      </c>
      <c r="AU187" s="51"/>
      <c r="AV187" s="44">
        <v>0</v>
      </c>
      <c r="AW187" s="44">
        <v>0</v>
      </c>
      <c r="AX187" s="90">
        <f t="shared" si="85"/>
        <v>0</v>
      </c>
      <c r="AY187" s="157">
        <f t="shared" si="72"/>
        <v>0</v>
      </c>
      <c r="AZ187" s="182">
        <v>0</v>
      </c>
      <c r="BA187" s="158"/>
      <c r="BB187" s="182">
        <v>0</v>
      </c>
      <c r="BC187" s="158"/>
      <c r="BD187" s="182">
        <v>0</v>
      </c>
      <c r="BE187" s="158">
        <v>0</v>
      </c>
      <c r="BF187" s="182">
        <v>0</v>
      </c>
      <c r="BG187" s="158"/>
      <c r="BH187" s="182">
        <v>0</v>
      </c>
      <c r="BI187" s="158"/>
      <c r="BJ187" s="182">
        <v>0</v>
      </c>
      <c r="BK187" s="158"/>
      <c r="BL187" s="182"/>
      <c r="BM187" s="158"/>
      <c r="BN187" s="182"/>
      <c r="BO187" s="158"/>
      <c r="BP187" s="182"/>
      <c r="BQ187" s="158"/>
      <c r="BR187" s="182"/>
      <c r="BS187" s="158"/>
      <c r="BT187" s="182"/>
      <c r="BU187" s="158"/>
      <c r="BV187" s="182"/>
      <c r="BW187" s="234"/>
      <c r="BX187" s="237"/>
      <c r="BY187" s="81">
        <f t="shared" si="73"/>
        <v>0</v>
      </c>
      <c r="BZ187" s="241"/>
      <c r="CA187" s="241"/>
      <c r="CB187" s="241"/>
      <c r="CC187" s="241"/>
      <c r="CD187" s="241"/>
      <c r="CE187" s="241"/>
      <c r="CF187" s="241"/>
      <c r="CG187" s="241"/>
      <c r="CH187" s="241"/>
      <c r="CI187" s="241"/>
      <c r="CJ187" s="241"/>
      <c r="CK187" s="241"/>
      <c r="CL187" s="195">
        <f t="shared" si="75"/>
        <v>0</v>
      </c>
      <c r="CM187" s="196"/>
      <c r="CN187" s="196"/>
      <c r="CO187" s="196"/>
      <c r="CP187" s="196"/>
      <c r="CQ187" s="196"/>
      <c r="CR187" s="196"/>
      <c r="CS187" s="196"/>
      <c r="CT187" s="196"/>
      <c r="CU187" s="196"/>
      <c r="CV187" s="196"/>
      <c r="CW187" s="196"/>
      <c r="CX187" s="196"/>
      <c r="CY187" s="200">
        <f t="shared" si="86"/>
        <v>0</v>
      </c>
      <c r="CZ187" s="172">
        <f t="shared" si="74"/>
        <v>0</v>
      </c>
      <c r="DA187" s="201">
        <f t="shared" si="87"/>
        <v>0</v>
      </c>
      <c r="DB187" s="201">
        <f t="shared" si="88"/>
        <v>0</v>
      </c>
      <c r="DC187" s="201">
        <f t="shared" si="76"/>
        <v>0</v>
      </c>
      <c r="DD187" s="239">
        <v>0</v>
      </c>
      <c r="DE187" s="201">
        <f t="shared" si="77"/>
        <v>0</v>
      </c>
      <c r="DF187" s="172" t="e">
        <f>SUM(DN187:DO187)-SUM(#REF!,BV187)+BU187</f>
        <v>#REF!</v>
      </c>
      <c r="DG187" s="207"/>
      <c r="DH187" s="225">
        <f t="shared" si="78"/>
        <v>0</v>
      </c>
      <c r="DI187" s="225">
        <f t="shared" si="79"/>
        <v>0</v>
      </c>
      <c r="DJ187" s="225">
        <f t="shared" si="80"/>
        <v>0</v>
      </c>
      <c r="DK187" s="225" t="e">
        <f>SUM(BS187,#REF!,BV187)</f>
        <v>#REF!</v>
      </c>
      <c r="DL187" s="145"/>
      <c r="DM187" s="145"/>
      <c r="DN187" s="145"/>
      <c r="DO187" s="145"/>
      <c r="DP187" s="145"/>
      <c r="DQ187" s="145"/>
      <c r="DS187" s="219">
        <f t="shared" si="81"/>
        <v>0</v>
      </c>
    </row>
    <row r="188" spans="1:123" s="21" customFormat="1" ht="24" customHeight="1">
      <c r="A188" s="16"/>
      <c r="B188" s="2">
        <v>147</v>
      </c>
      <c r="C188" s="79" t="s">
        <v>282</v>
      </c>
      <c r="D188" s="79"/>
      <c r="E188" s="78" t="s">
        <v>592</v>
      </c>
      <c r="F188" s="39">
        <v>2019</v>
      </c>
      <c r="G188" s="40">
        <v>43752</v>
      </c>
      <c r="H188" s="269">
        <v>43753</v>
      </c>
      <c r="I188" s="269">
        <v>43753</v>
      </c>
      <c r="J188" s="13">
        <f t="shared" ca="1" si="84"/>
        <v>0</v>
      </c>
      <c r="K188" s="165">
        <f t="shared" si="82"/>
        <v>44300</v>
      </c>
      <c r="L188" s="165">
        <f t="shared" si="83"/>
        <v>44483</v>
      </c>
      <c r="M188" s="165"/>
      <c r="N188" s="165"/>
      <c r="O188" s="165"/>
      <c r="P188" s="165"/>
      <c r="Q188" s="170"/>
      <c r="R188" s="3" t="s">
        <v>175</v>
      </c>
      <c r="S188" s="11" t="s">
        <v>4</v>
      </c>
      <c r="T188" s="41"/>
      <c r="U188" s="5" t="s">
        <v>8</v>
      </c>
      <c r="V188" s="251">
        <v>2422159</v>
      </c>
      <c r="W188" s="5" t="s">
        <v>602</v>
      </c>
      <c r="X188" s="5" t="s">
        <v>475</v>
      </c>
      <c r="Y188" s="5" t="s">
        <v>281</v>
      </c>
      <c r="Z188" s="3" t="s">
        <v>180</v>
      </c>
      <c r="AA188" s="6" t="s">
        <v>217</v>
      </c>
      <c r="AB188" s="270" t="s">
        <v>216</v>
      </c>
      <c r="AC188" s="165" t="s">
        <v>5</v>
      </c>
      <c r="AD188" s="165" t="s">
        <v>5</v>
      </c>
      <c r="AE188" s="165" t="s">
        <v>5</v>
      </c>
      <c r="AF188" s="5"/>
      <c r="AG188" s="41"/>
      <c r="AH188" s="212"/>
      <c r="AI188" s="76"/>
      <c r="AJ188" s="76"/>
      <c r="AK188" s="221" t="e">
        <f>SUM(#REF!,BT188,BV188)</f>
        <v>#REF!</v>
      </c>
      <c r="AL188" s="153"/>
      <c r="AM188" s="153"/>
      <c r="AN188" s="153"/>
      <c r="AO188" s="153"/>
      <c r="AP188" s="153"/>
      <c r="AQ188" s="153"/>
      <c r="AR188" s="51">
        <v>0</v>
      </c>
      <c r="AS188" s="51"/>
      <c r="AT188" s="51">
        <v>0</v>
      </c>
      <c r="AU188" s="51"/>
      <c r="AV188" s="44">
        <v>0</v>
      </c>
      <c r="AW188" s="44">
        <v>0</v>
      </c>
      <c r="AX188" s="90">
        <f t="shared" si="85"/>
        <v>0</v>
      </c>
      <c r="AY188" s="157">
        <f t="shared" si="72"/>
        <v>0</v>
      </c>
      <c r="AZ188" s="182">
        <v>0</v>
      </c>
      <c r="BA188" s="158"/>
      <c r="BB188" s="182">
        <v>0</v>
      </c>
      <c r="BC188" s="158"/>
      <c r="BD188" s="182">
        <v>0</v>
      </c>
      <c r="BE188" s="158">
        <v>0</v>
      </c>
      <c r="BF188" s="182">
        <v>0</v>
      </c>
      <c r="BG188" s="158"/>
      <c r="BH188" s="182">
        <v>0</v>
      </c>
      <c r="BI188" s="158"/>
      <c r="BJ188" s="182">
        <v>0</v>
      </c>
      <c r="BK188" s="158"/>
      <c r="BL188" s="182"/>
      <c r="BM188" s="158"/>
      <c r="BN188" s="182"/>
      <c r="BO188" s="158"/>
      <c r="BP188" s="182"/>
      <c r="BQ188" s="158"/>
      <c r="BR188" s="182"/>
      <c r="BS188" s="158"/>
      <c r="BT188" s="182"/>
      <c r="BU188" s="158"/>
      <c r="BV188" s="182"/>
      <c r="BW188" s="234"/>
      <c r="BX188" s="237"/>
      <c r="BY188" s="81">
        <f t="shared" si="73"/>
        <v>0</v>
      </c>
      <c r="BZ188" s="241"/>
      <c r="CA188" s="241"/>
      <c r="CB188" s="241"/>
      <c r="CC188" s="241"/>
      <c r="CD188" s="241"/>
      <c r="CE188" s="241"/>
      <c r="CF188" s="241"/>
      <c r="CG188" s="241"/>
      <c r="CH188" s="241"/>
      <c r="CI188" s="241"/>
      <c r="CJ188" s="241"/>
      <c r="CK188" s="241"/>
      <c r="CL188" s="195">
        <f t="shared" si="75"/>
        <v>0</v>
      </c>
      <c r="CM188" s="196"/>
      <c r="CN188" s="196"/>
      <c r="CO188" s="196"/>
      <c r="CP188" s="196"/>
      <c r="CQ188" s="196"/>
      <c r="CR188" s="196"/>
      <c r="CS188" s="196"/>
      <c r="CT188" s="196"/>
      <c r="CU188" s="196"/>
      <c r="CV188" s="196"/>
      <c r="CW188" s="196"/>
      <c r="CX188" s="196"/>
      <c r="CY188" s="200">
        <f t="shared" si="86"/>
        <v>0</v>
      </c>
      <c r="CZ188" s="172">
        <f t="shared" si="74"/>
        <v>0</v>
      </c>
      <c r="DA188" s="201">
        <f t="shared" si="87"/>
        <v>0</v>
      </c>
      <c r="DB188" s="201">
        <f t="shared" si="88"/>
        <v>0</v>
      </c>
      <c r="DC188" s="201">
        <f t="shared" si="76"/>
        <v>0</v>
      </c>
      <c r="DD188" s="239">
        <v>0</v>
      </c>
      <c r="DE188" s="201">
        <f t="shared" si="77"/>
        <v>0</v>
      </c>
      <c r="DF188" s="172" t="e">
        <f>SUM(DN188:DO188)-SUM(#REF!,BV188)+BU188</f>
        <v>#REF!</v>
      </c>
      <c r="DG188" s="207"/>
      <c r="DH188" s="225">
        <f t="shared" si="78"/>
        <v>0</v>
      </c>
      <c r="DI188" s="225">
        <f t="shared" si="79"/>
        <v>0</v>
      </c>
      <c r="DJ188" s="225">
        <f t="shared" si="80"/>
        <v>0</v>
      </c>
      <c r="DK188" s="225" t="e">
        <f>SUM(BS188,#REF!,BV188)</f>
        <v>#REF!</v>
      </c>
      <c r="DL188" s="145">
        <v>0</v>
      </c>
      <c r="DM188" s="145">
        <v>0</v>
      </c>
      <c r="DN188" s="145">
        <v>0</v>
      </c>
      <c r="DO188" s="145">
        <v>0</v>
      </c>
      <c r="DP188" s="145">
        <v>0</v>
      </c>
      <c r="DQ188" s="145">
        <v>0</v>
      </c>
      <c r="DS188" s="219">
        <f t="shared" si="81"/>
        <v>0</v>
      </c>
    </row>
    <row r="189" spans="1:123" s="21" customFormat="1" ht="24" customHeight="1">
      <c r="A189" s="16"/>
      <c r="B189" s="2">
        <v>148</v>
      </c>
      <c r="C189" s="79" t="s">
        <v>284</v>
      </c>
      <c r="D189" s="79"/>
      <c r="E189" s="78" t="s">
        <v>592</v>
      </c>
      <c r="F189" s="39">
        <v>2019</v>
      </c>
      <c r="G189" s="40">
        <v>43752</v>
      </c>
      <c r="H189" s="269">
        <v>43753</v>
      </c>
      <c r="I189" s="269">
        <v>43753</v>
      </c>
      <c r="J189" s="13">
        <f t="shared" ca="1" si="84"/>
        <v>0</v>
      </c>
      <c r="K189" s="165">
        <f t="shared" si="82"/>
        <v>44300</v>
      </c>
      <c r="L189" s="165">
        <f t="shared" si="83"/>
        <v>44483</v>
      </c>
      <c r="M189" s="165"/>
      <c r="N189" s="165"/>
      <c r="O189" s="165"/>
      <c r="P189" s="165"/>
      <c r="Q189" s="165"/>
      <c r="R189" s="3" t="s">
        <v>175</v>
      </c>
      <c r="S189" s="11" t="s">
        <v>4</v>
      </c>
      <c r="T189" s="41"/>
      <c r="U189" s="5" t="s">
        <v>8</v>
      </c>
      <c r="V189" s="251">
        <v>2381301</v>
      </c>
      <c r="W189" s="5" t="s">
        <v>602</v>
      </c>
      <c r="X189" s="5" t="s">
        <v>477</v>
      </c>
      <c r="Y189" s="5" t="s">
        <v>283</v>
      </c>
      <c r="Z189" s="3" t="s">
        <v>180</v>
      </c>
      <c r="AA189" s="6" t="s">
        <v>217</v>
      </c>
      <c r="AB189" s="270" t="s">
        <v>517</v>
      </c>
      <c r="AC189" s="165" t="s">
        <v>5</v>
      </c>
      <c r="AD189" s="165" t="s">
        <v>5</v>
      </c>
      <c r="AE189" s="165" t="s">
        <v>5</v>
      </c>
      <c r="AF189" s="5"/>
      <c r="AG189" s="41"/>
      <c r="AH189" s="212"/>
      <c r="AI189" s="76"/>
      <c r="AJ189" s="76"/>
      <c r="AK189" s="221" t="e">
        <f>SUM(#REF!,BT189,BV189)</f>
        <v>#REF!</v>
      </c>
      <c r="AL189" s="153"/>
      <c r="AM189" s="153"/>
      <c r="AN189" s="153"/>
      <c r="AO189" s="153"/>
      <c r="AP189" s="153"/>
      <c r="AQ189" s="153"/>
      <c r="AR189" s="51">
        <v>0</v>
      </c>
      <c r="AS189" s="51"/>
      <c r="AT189" s="51">
        <v>0</v>
      </c>
      <c r="AU189" s="51"/>
      <c r="AV189" s="44">
        <v>0</v>
      </c>
      <c r="AW189" s="44">
        <v>0</v>
      </c>
      <c r="AX189" s="90">
        <f t="shared" si="85"/>
        <v>0</v>
      </c>
      <c r="AY189" s="157">
        <f t="shared" si="72"/>
        <v>0</v>
      </c>
      <c r="AZ189" s="182">
        <v>0</v>
      </c>
      <c r="BA189" s="158"/>
      <c r="BB189" s="182">
        <v>0</v>
      </c>
      <c r="BC189" s="158"/>
      <c r="BD189" s="182">
        <v>0</v>
      </c>
      <c r="BE189" s="158">
        <v>0</v>
      </c>
      <c r="BF189" s="182">
        <v>0</v>
      </c>
      <c r="BG189" s="158"/>
      <c r="BH189" s="182">
        <v>0</v>
      </c>
      <c r="BI189" s="158"/>
      <c r="BJ189" s="182">
        <v>0</v>
      </c>
      <c r="BK189" s="158"/>
      <c r="BL189" s="182"/>
      <c r="BM189" s="158"/>
      <c r="BN189" s="182"/>
      <c r="BO189" s="158"/>
      <c r="BP189" s="182"/>
      <c r="BQ189" s="158"/>
      <c r="BR189" s="182"/>
      <c r="BS189" s="158"/>
      <c r="BT189" s="182"/>
      <c r="BU189" s="158"/>
      <c r="BV189" s="182"/>
      <c r="BW189" s="234"/>
      <c r="BX189" s="237"/>
      <c r="BY189" s="81">
        <f t="shared" si="73"/>
        <v>0</v>
      </c>
      <c r="BZ189" s="241"/>
      <c r="CA189" s="241"/>
      <c r="CB189" s="241"/>
      <c r="CC189" s="241"/>
      <c r="CD189" s="241"/>
      <c r="CE189" s="241"/>
      <c r="CF189" s="241"/>
      <c r="CG189" s="241"/>
      <c r="CH189" s="241"/>
      <c r="CI189" s="241"/>
      <c r="CJ189" s="241"/>
      <c r="CK189" s="241"/>
      <c r="CL189" s="195">
        <f t="shared" ref="CL189:CL220" si="89">SUM(CM189:CX189)</f>
        <v>0</v>
      </c>
      <c r="CM189" s="196"/>
      <c r="CN189" s="196"/>
      <c r="CO189" s="196"/>
      <c r="CP189" s="196"/>
      <c r="CQ189" s="196"/>
      <c r="CR189" s="196"/>
      <c r="CS189" s="196"/>
      <c r="CT189" s="196"/>
      <c r="CU189" s="196"/>
      <c r="CV189" s="196"/>
      <c r="CW189" s="196"/>
      <c r="CX189" s="196"/>
      <c r="CY189" s="200">
        <f t="shared" si="86"/>
        <v>0</v>
      </c>
      <c r="CZ189" s="172">
        <f t="shared" si="74"/>
        <v>0</v>
      </c>
      <c r="DA189" s="201">
        <f t="shared" si="87"/>
        <v>0</v>
      </c>
      <c r="DB189" s="201">
        <f t="shared" si="88"/>
        <v>0</v>
      </c>
      <c r="DC189" s="201">
        <f t="shared" ref="DC189:DC220" si="90">SUM(AY189,BY189)</f>
        <v>0</v>
      </c>
      <c r="DD189" s="239">
        <v>0</v>
      </c>
      <c r="DE189" s="201">
        <f t="shared" ref="DE189:DE220" si="91">DC189-DD189</f>
        <v>0</v>
      </c>
      <c r="DF189" s="172" t="e">
        <f>SUM(DN189:DO189)-SUM(#REF!,BV189)+BU189</f>
        <v>#REF!</v>
      </c>
      <c r="DG189" s="207"/>
      <c r="DH189" s="225">
        <f t="shared" ref="DH189:DH220" si="92">SUM(BA189,BC189,BE189)</f>
        <v>0</v>
      </c>
      <c r="DI189" s="225">
        <f t="shared" ref="DI189:DI220" si="93">SUM(BG189,BI189,BK189)</f>
        <v>0</v>
      </c>
      <c r="DJ189" s="225">
        <f t="shared" ref="DJ189:DJ220" si="94">SUM(BM189,BO189,BQ189)</f>
        <v>0</v>
      </c>
      <c r="DK189" s="225" t="e">
        <f>SUM(BS189,#REF!,BV189)</f>
        <v>#REF!</v>
      </c>
      <c r="DL189" s="145">
        <v>0</v>
      </c>
      <c r="DM189" s="145">
        <v>0</v>
      </c>
      <c r="DN189" s="145">
        <v>0</v>
      </c>
      <c r="DO189" s="145">
        <v>0</v>
      </c>
      <c r="DP189" s="145">
        <v>0</v>
      </c>
      <c r="DQ189" s="145">
        <v>0</v>
      </c>
      <c r="DS189" s="219">
        <f t="shared" ref="DS189:DS220" si="95">BY189-DR189</f>
        <v>0</v>
      </c>
    </row>
    <row r="190" spans="1:123" s="21" customFormat="1" ht="24" customHeight="1">
      <c r="A190" s="16"/>
      <c r="B190" s="2">
        <v>149</v>
      </c>
      <c r="C190" s="79" t="s">
        <v>286</v>
      </c>
      <c r="D190" s="79"/>
      <c r="E190" s="78" t="s">
        <v>592</v>
      </c>
      <c r="F190" s="39">
        <v>2019</v>
      </c>
      <c r="G190" s="40">
        <v>43752</v>
      </c>
      <c r="H190" s="269">
        <v>43753</v>
      </c>
      <c r="I190" s="269">
        <v>43753</v>
      </c>
      <c r="J190" s="13">
        <f t="shared" ca="1" si="84"/>
        <v>0</v>
      </c>
      <c r="K190" s="165">
        <f t="shared" si="82"/>
        <v>44300</v>
      </c>
      <c r="L190" s="165">
        <f t="shared" si="83"/>
        <v>44483</v>
      </c>
      <c r="M190" s="165"/>
      <c r="N190" s="165"/>
      <c r="O190" s="170"/>
      <c r="P190" s="170"/>
      <c r="Q190" s="165"/>
      <c r="R190" s="39" t="s">
        <v>175</v>
      </c>
      <c r="S190" s="11" t="s">
        <v>4</v>
      </c>
      <c r="T190" s="41"/>
      <c r="U190" s="5" t="s">
        <v>8</v>
      </c>
      <c r="V190" s="251">
        <v>2381471</v>
      </c>
      <c r="W190" s="5" t="s">
        <v>602</v>
      </c>
      <c r="X190" s="5" t="s">
        <v>477</v>
      </c>
      <c r="Y190" s="5" t="s">
        <v>285</v>
      </c>
      <c r="Z190" s="3" t="s">
        <v>180</v>
      </c>
      <c r="AA190" s="6" t="s">
        <v>217</v>
      </c>
      <c r="AB190" s="270" t="s">
        <v>518</v>
      </c>
      <c r="AC190" s="165" t="s">
        <v>5</v>
      </c>
      <c r="AD190" s="165" t="s">
        <v>5</v>
      </c>
      <c r="AE190" s="165" t="s">
        <v>5</v>
      </c>
      <c r="AF190" s="5"/>
      <c r="AG190" s="41"/>
      <c r="AH190" s="212"/>
      <c r="AI190" s="76"/>
      <c r="AJ190" s="76"/>
      <c r="AK190" s="221" t="e">
        <f>SUM(#REF!,BT190,BV190)</f>
        <v>#REF!</v>
      </c>
      <c r="AL190" s="48"/>
      <c r="AM190" s="48"/>
      <c r="AN190" s="48"/>
      <c r="AO190" s="48"/>
      <c r="AP190" s="48"/>
      <c r="AQ190" s="48"/>
      <c r="AR190" s="51">
        <v>0</v>
      </c>
      <c r="AS190" s="51"/>
      <c r="AT190" s="51">
        <v>0</v>
      </c>
      <c r="AU190" s="51"/>
      <c r="AV190" s="44">
        <v>0</v>
      </c>
      <c r="AW190" s="44">
        <v>0</v>
      </c>
      <c r="AX190" s="90">
        <f t="shared" si="85"/>
        <v>0</v>
      </c>
      <c r="AY190" s="157">
        <f t="shared" si="72"/>
        <v>0</v>
      </c>
      <c r="AZ190" s="182">
        <v>0</v>
      </c>
      <c r="BA190" s="158"/>
      <c r="BB190" s="182">
        <v>0</v>
      </c>
      <c r="BC190" s="158"/>
      <c r="BD190" s="182">
        <v>0</v>
      </c>
      <c r="BE190" s="158">
        <v>0</v>
      </c>
      <c r="BF190" s="182">
        <v>0</v>
      </c>
      <c r="BG190" s="158"/>
      <c r="BH190" s="182">
        <v>0</v>
      </c>
      <c r="BI190" s="158"/>
      <c r="BJ190" s="182">
        <v>0</v>
      </c>
      <c r="BK190" s="158"/>
      <c r="BL190" s="182"/>
      <c r="BM190" s="158"/>
      <c r="BN190" s="182"/>
      <c r="BO190" s="158"/>
      <c r="BP190" s="182"/>
      <c r="BQ190" s="158"/>
      <c r="BR190" s="182"/>
      <c r="BS190" s="158"/>
      <c r="BT190" s="182"/>
      <c r="BU190" s="158"/>
      <c r="BV190" s="182"/>
      <c r="BW190" s="234"/>
      <c r="BX190" s="237"/>
      <c r="BY190" s="81">
        <f t="shared" si="73"/>
        <v>0</v>
      </c>
      <c r="BZ190" s="241"/>
      <c r="CA190" s="241"/>
      <c r="CB190" s="241"/>
      <c r="CC190" s="241"/>
      <c r="CD190" s="241"/>
      <c r="CE190" s="241"/>
      <c r="CF190" s="241"/>
      <c r="CG190" s="241"/>
      <c r="CH190" s="241"/>
      <c r="CI190" s="241"/>
      <c r="CJ190" s="241"/>
      <c r="CK190" s="241"/>
      <c r="CL190" s="195">
        <f t="shared" si="89"/>
        <v>0</v>
      </c>
      <c r="CM190" s="196"/>
      <c r="CN190" s="196"/>
      <c r="CO190" s="196"/>
      <c r="CP190" s="196"/>
      <c r="CQ190" s="196"/>
      <c r="CR190" s="196"/>
      <c r="CS190" s="196"/>
      <c r="CT190" s="196"/>
      <c r="CU190" s="196"/>
      <c r="CV190" s="196"/>
      <c r="CW190" s="196"/>
      <c r="CX190" s="196"/>
      <c r="CY190" s="200">
        <f t="shared" si="86"/>
        <v>0</v>
      </c>
      <c r="CZ190" s="172">
        <f t="shared" si="74"/>
        <v>0</v>
      </c>
      <c r="DA190" s="201">
        <f t="shared" si="87"/>
        <v>0</v>
      </c>
      <c r="DB190" s="201">
        <f t="shared" si="88"/>
        <v>0</v>
      </c>
      <c r="DC190" s="201">
        <f t="shared" si="90"/>
        <v>0</v>
      </c>
      <c r="DD190" s="239">
        <v>0</v>
      </c>
      <c r="DE190" s="201">
        <f t="shared" si="91"/>
        <v>0</v>
      </c>
      <c r="DF190" s="172" t="e">
        <f>SUM(DN190:DO190)-SUM(#REF!,BV190)+BU190</f>
        <v>#REF!</v>
      </c>
      <c r="DG190" s="207"/>
      <c r="DH190" s="225">
        <f t="shared" si="92"/>
        <v>0</v>
      </c>
      <c r="DI190" s="225">
        <f t="shared" si="93"/>
        <v>0</v>
      </c>
      <c r="DJ190" s="225">
        <f t="shared" si="94"/>
        <v>0</v>
      </c>
      <c r="DK190" s="225" t="e">
        <f>SUM(BS190,#REF!,BV190)</f>
        <v>#REF!</v>
      </c>
      <c r="DL190" s="145"/>
      <c r="DM190" s="145"/>
      <c r="DN190" s="145"/>
      <c r="DO190" s="145"/>
      <c r="DP190" s="145"/>
      <c r="DQ190" s="145"/>
      <c r="DS190" s="219">
        <f t="shared" si="95"/>
        <v>0</v>
      </c>
    </row>
    <row r="191" spans="1:123" s="21" customFormat="1" ht="24" customHeight="1">
      <c r="A191" s="16"/>
      <c r="B191" s="2">
        <v>150</v>
      </c>
      <c r="C191" s="79" t="s">
        <v>287</v>
      </c>
      <c r="D191" s="79"/>
      <c r="E191" s="78"/>
      <c r="F191" s="39">
        <v>2019</v>
      </c>
      <c r="G191" s="40">
        <v>43752</v>
      </c>
      <c r="H191" s="269">
        <v>43753</v>
      </c>
      <c r="I191" s="269">
        <v>43753</v>
      </c>
      <c r="J191" s="13">
        <f t="shared" ca="1" si="84"/>
        <v>0</v>
      </c>
      <c r="K191" s="165">
        <f t="shared" ref="K191:K222" si="96">IF(H191="","",H191+547)</f>
        <v>44300</v>
      </c>
      <c r="L191" s="165">
        <f t="shared" ref="L191:L222" si="97">IF(H191="","",H191+730)</f>
        <v>44483</v>
      </c>
      <c r="M191" s="165"/>
      <c r="N191" s="170"/>
      <c r="O191" s="170"/>
      <c r="P191" s="170"/>
      <c r="Q191" s="165"/>
      <c r="R191" s="39" t="s">
        <v>175</v>
      </c>
      <c r="S191" s="11" t="s">
        <v>223</v>
      </c>
      <c r="T191" s="41"/>
      <c r="U191" s="5" t="s">
        <v>8</v>
      </c>
      <c r="V191" s="251"/>
      <c r="W191" s="5" t="s">
        <v>602</v>
      </c>
      <c r="X191" s="5" t="s">
        <v>478</v>
      </c>
      <c r="Y191" s="5" t="s">
        <v>288</v>
      </c>
      <c r="Z191" s="3" t="s">
        <v>180</v>
      </c>
      <c r="AA191" s="6" t="s">
        <v>217</v>
      </c>
      <c r="AB191" s="270" t="s">
        <v>519</v>
      </c>
      <c r="AC191" s="165" t="s">
        <v>5</v>
      </c>
      <c r="AD191" s="165" t="s">
        <v>5</v>
      </c>
      <c r="AE191" s="165" t="s">
        <v>5</v>
      </c>
      <c r="AF191" s="5"/>
      <c r="AG191" s="41"/>
      <c r="AH191" s="212"/>
      <c r="AI191" s="76"/>
      <c r="AJ191" s="76"/>
      <c r="AK191" s="221" t="e">
        <f>SUM(#REF!,BT191,BV191)</f>
        <v>#REF!</v>
      </c>
      <c r="AL191" s="153"/>
      <c r="AM191" s="153"/>
      <c r="AN191" s="153"/>
      <c r="AO191" s="153"/>
      <c r="AP191" s="153"/>
      <c r="AQ191" s="153"/>
      <c r="AR191" s="51">
        <v>0</v>
      </c>
      <c r="AS191" s="51"/>
      <c r="AT191" s="51">
        <v>0</v>
      </c>
      <c r="AU191" s="51"/>
      <c r="AV191" s="44">
        <v>0</v>
      </c>
      <c r="AW191" s="44">
        <v>0</v>
      </c>
      <c r="AX191" s="90">
        <f t="shared" si="85"/>
        <v>0</v>
      </c>
      <c r="AY191" s="157">
        <f t="shared" si="72"/>
        <v>0</v>
      </c>
      <c r="AZ191" s="182">
        <v>0</v>
      </c>
      <c r="BA191" s="158"/>
      <c r="BB191" s="182">
        <v>0</v>
      </c>
      <c r="BC191" s="158"/>
      <c r="BD191" s="182">
        <v>0</v>
      </c>
      <c r="BE191" s="158">
        <v>0</v>
      </c>
      <c r="BF191" s="182">
        <v>0</v>
      </c>
      <c r="BG191" s="158"/>
      <c r="BH191" s="182">
        <v>0</v>
      </c>
      <c r="BI191" s="158"/>
      <c r="BJ191" s="182">
        <v>0</v>
      </c>
      <c r="BK191" s="158"/>
      <c r="BL191" s="182"/>
      <c r="BM191" s="158"/>
      <c r="BN191" s="182"/>
      <c r="BO191" s="158"/>
      <c r="BP191" s="182"/>
      <c r="BQ191" s="158"/>
      <c r="BR191" s="182"/>
      <c r="BS191" s="158"/>
      <c r="BT191" s="182"/>
      <c r="BU191" s="158"/>
      <c r="BV191" s="182"/>
      <c r="BW191" s="234"/>
      <c r="BX191" s="237"/>
      <c r="BY191" s="81">
        <f t="shared" si="73"/>
        <v>0</v>
      </c>
      <c r="BZ191" s="241"/>
      <c r="CA191" s="241"/>
      <c r="CB191" s="241"/>
      <c r="CC191" s="241"/>
      <c r="CD191" s="241"/>
      <c r="CE191" s="241"/>
      <c r="CF191" s="241"/>
      <c r="CG191" s="241"/>
      <c r="CH191" s="241"/>
      <c r="CI191" s="241"/>
      <c r="CJ191" s="241"/>
      <c r="CK191" s="241"/>
      <c r="CL191" s="195">
        <f t="shared" si="89"/>
        <v>0</v>
      </c>
      <c r="CM191" s="196"/>
      <c r="CN191" s="196"/>
      <c r="CO191" s="196"/>
      <c r="CP191" s="196"/>
      <c r="CQ191" s="196"/>
      <c r="CR191" s="196"/>
      <c r="CS191" s="196"/>
      <c r="CT191" s="196"/>
      <c r="CU191" s="196"/>
      <c r="CV191" s="196"/>
      <c r="CW191" s="196"/>
      <c r="CX191" s="196"/>
      <c r="CY191" s="200">
        <f t="shared" si="86"/>
        <v>0</v>
      </c>
      <c r="CZ191" s="172">
        <f t="shared" si="74"/>
        <v>0</v>
      </c>
      <c r="DA191" s="201">
        <f t="shared" si="87"/>
        <v>0</v>
      </c>
      <c r="DB191" s="201">
        <f t="shared" si="88"/>
        <v>0</v>
      </c>
      <c r="DC191" s="201">
        <f t="shared" si="90"/>
        <v>0</v>
      </c>
      <c r="DD191" s="239">
        <v>0</v>
      </c>
      <c r="DE191" s="201">
        <f t="shared" si="91"/>
        <v>0</v>
      </c>
      <c r="DF191" s="172" t="e">
        <f>SUM(DN191:DO191)-SUM(#REF!,BV191)+BU191</f>
        <v>#REF!</v>
      </c>
      <c r="DG191" s="207"/>
      <c r="DH191" s="225">
        <f t="shared" si="92"/>
        <v>0</v>
      </c>
      <c r="DI191" s="225">
        <f t="shared" si="93"/>
        <v>0</v>
      </c>
      <c r="DJ191" s="225">
        <f t="shared" si="94"/>
        <v>0</v>
      </c>
      <c r="DK191" s="225" t="e">
        <f>SUM(BS191,#REF!,BV191)</f>
        <v>#REF!</v>
      </c>
      <c r="DL191" s="145">
        <v>0</v>
      </c>
      <c r="DM191" s="145">
        <v>0</v>
      </c>
      <c r="DN191" s="145">
        <v>0</v>
      </c>
      <c r="DO191" s="145">
        <v>0</v>
      </c>
      <c r="DP191" s="145">
        <v>0</v>
      </c>
      <c r="DQ191" s="145">
        <v>0</v>
      </c>
      <c r="DS191" s="219">
        <f t="shared" si="95"/>
        <v>0</v>
      </c>
    </row>
    <row r="192" spans="1:123" s="21" customFormat="1" ht="24" customHeight="1">
      <c r="A192" s="16"/>
      <c r="B192" s="2">
        <v>151</v>
      </c>
      <c r="C192" s="79" t="s">
        <v>317</v>
      </c>
      <c r="D192" s="79"/>
      <c r="E192" s="78"/>
      <c r="F192" s="39">
        <v>2019</v>
      </c>
      <c r="G192" s="40">
        <v>43797</v>
      </c>
      <c r="H192" s="40">
        <v>43816</v>
      </c>
      <c r="I192" s="40">
        <v>43816</v>
      </c>
      <c r="J192" s="13">
        <f t="shared" ca="1" si="84"/>
        <v>0</v>
      </c>
      <c r="K192" s="165">
        <f t="shared" si="96"/>
        <v>44363</v>
      </c>
      <c r="L192" s="165">
        <f t="shared" si="97"/>
        <v>44546</v>
      </c>
      <c r="M192" s="165"/>
      <c r="N192" s="170"/>
      <c r="O192" s="170"/>
      <c r="P192" s="170"/>
      <c r="Q192" s="170"/>
      <c r="R192" s="39" t="s">
        <v>177</v>
      </c>
      <c r="S192" s="11" t="s">
        <v>222</v>
      </c>
      <c r="T192" s="41"/>
      <c r="U192" s="5" t="s">
        <v>8</v>
      </c>
      <c r="V192" s="251">
        <v>2462310</v>
      </c>
      <c r="W192" s="5" t="s">
        <v>602</v>
      </c>
      <c r="X192" s="5" t="s">
        <v>481</v>
      </c>
      <c r="Y192" s="5" t="s">
        <v>293</v>
      </c>
      <c r="Z192" s="3" t="s">
        <v>186</v>
      </c>
      <c r="AA192" s="6" t="s">
        <v>217</v>
      </c>
      <c r="AB192" s="276" t="s">
        <v>524</v>
      </c>
      <c r="AC192" s="165" t="s">
        <v>5</v>
      </c>
      <c r="AD192" s="165" t="s">
        <v>5</v>
      </c>
      <c r="AE192" s="165" t="s">
        <v>5</v>
      </c>
      <c r="AF192" s="5"/>
      <c r="AG192" s="41"/>
      <c r="AH192" s="212"/>
      <c r="AI192" s="76"/>
      <c r="AJ192" s="76"/>
      <c r="AK192" s="221" t="e">
        <f>SUM(#REF!,BT192,BV192)</f>
        <v>#REF!</v>
      </c>
      <c r="AL192" s="167"/>
      <c r="AM192" s="167"/>
      <c r="AN192" s="167"/>
      <c r="AO192" s="167"/>
      <c r="AP192" s="167"/>
      <c r="AQ192" s="167"/>
      <c r="AR192" s="51">
        <v>0</v>
      </c>
      <c r="AS192" s="51"/>
      <c r="AT192" s="51">
        <v>0</v>
      </c>
      <c r="AU192" s="51"/>
      <c r="AV192" s="44">
        <v>0</v>
      </c>
      <c r="AW192" s="44">
        <v>0</v>
      </c>
      <c r="AX192" s="90">
        <f t="shared" si="85"/>
        <v>0</v>
      </c>
      <c r="AY192" s="157">
        <f t="shared" si="72"/>
        <v>0</v>
      </c>
      <c r="AZ192" s="182">
        <v>0</v>
      </c>
      <c r="BA192" s="158"/>
      <c r="BB192" s="182">
        <v>0</v>
      </c>
      <c r="BC192" s="158"/>
      <c r="BD192" s="182">
        <v>0</v>
      </c>
      <c r="BE192" s="158">
        <v>0</v>
      </c>
      <c r="BF192" s="182">
        <v>0</v>
      </c>
      <c r="BG192" s="158"/>
      <c r="BH192" s="182">
        <v>0</v>
      </c>
      <c r="BI192" s="158"/>
      <c r="BJ192" s="182">
        <v>0</v>
      </c>
      <c r="BK192" s="158"/>
      <c r="BL192" s="182"/>
      <c r="BM192" s="158"/>
      <c r="BN192" s="182"/>
      <c r="BO192" s="158"/>
      <c r="BP192" s="182"/>
      <c r="BQ192" s="158"/>
      <c r="BR192" s="182"/>
      <c r="BS192" s="158"/>
      <c r="BT192" s="182"/>
      <c r="BU192" s="158"/>
      <c r="BV192" s="182"/>
      <c r="BW192" s="234"/>
      <c r="BX192" s="237"/>
      <c r="BY192" s="81">
        <f t="shared" si="73"/>
        <v>0</v>
      </c>
      <c r="BZ192" s="198"/>
      <c r="CA192" s="198"/>
      <c r="CB192" s="198"/>
      <c r="CC192" s="198"/>
      <c r="CD192" s="198"/>
      <c r="CE192" s="198"/>
      <c r="CF192" s="198"/>
      <c r="CG192" s="198"/>
      <c r="CH192" s="198"/>
      <c r="CI192" s="198"/>
      <c r="CJ192" s="198"/>
      <c r="CK192" s="198"/>
      <c r="CL192" s="195">
        <f t="shared" si="89"/>
        <v>0</v>
      </c>
      <c r="CM192" s="196"/>
      <c r="CN192" s="196"/>
      <c r="CO192" s="196"/>
      <c r="CP192" s="196"/>
      <c r="CQ192" s="196"/>
      <c r="CR192" s="196"/>
      <c r="CS192" s="196"/>
      <c r="CT192" s="196"/>
      <c r="CU192" s="196"/>
      <c r="CV192" s="196"/>
      <c r="CW192" s="196"/>
      <c r="CX192" s="196"/>
      <c r="CY192" s="200">
        <f t="shared" si="86"/>
        <v>0</v>
      </c>
      <c r="CZ192" s="172">
        <f t="shared" si="74"/>
        <v>0</v>
      </c>
      <c r="DA192" s="201">
        <f t="shared" si="87"/>
        <v>0</v>
      </c>
      <c r="DB192" s="201">
        <f t="shared" si="88"/>
        <v>0</v>
      </c>
      <c r="DC192" s="201">
        <f t="shared" si="90"/>
        <v>0</v>
      </c>
      <c r="DD192" s="239">
        <v>0</v>
      </c>
      <c r="DE192" s="201">
        <f t="shared" si="91"/>
        <v>0</v>
      </c>
      <c r="DF192" s="172" t="e">
        <f>SUM(DN192:DO192)-SUM(#REF!,BV192)+BU192</f>
        <v>#REF!</v>
      </c>
      <c r="DG192" s="207"/>
      <c r="DH192" s="225">
        <f t="shared" si="92"/>
        <v>0</v>
      </c>
      <c r="DI192" s="225">
        <f t="shared" si="93"/>
        <v>0</v>
      </c>
      <c r="DJ192" s="225">
        <f t="shared" si="94"/>
        <v>0</v>
      </c>
      <c r="DK192" s="225" t="e">
        <f>SUM(BS192,#REF!,BV192)</f>
        <v>#REF!</v>
      </c>
      <c r="DL192" s="145">
        <v>55.65</v>
      </c>
      <c r="DM192" s="145">
        <v>0</v>
      </c>
      <c r="DN192" s="145">
        <v>0</v>
      </c>
      <c r="DO192" s="145">
        <v>0</v>
      </c>
      <c r="DP192" s="145">
        <v>0</v>
      </c>
      <c r="DQ192" s="145">
        <v>55.65</v>
      </c>
      <c r="DS192" s="219">
        <f t="shared" si="95"/>
        <v>0</v>
      </c>
    </row>
    <row r="193" spans="1:123" s="21" customFormat="1" ht="24" customHeight="1">
      <c r="A193" s="16"/>
      <c r="B193" s="2">
        <v>152</v>
      </c>
      <c r="C193" s="79" t="s">
        <v>261</v>
      </c>
      <c r="D193" s="79"/>
      <c r="E193" s="78" t="s">
        <v>817</v>
      </c>
      <c r="F193" s="39">
        <v>2019</v>
      </c>
      <c r="G193" s="40">
        <v>43714</v>
      </c>
      <c r="H193" s="178">
        <v>43809</v>
      </c>
      <c r="I193" s="40">
        <v>44404</v>
      </c>
      <c r="J193" s="13">
        <f t="shared" ca="1" si="84"/>
        <v>595</v>
      </c>
      <c r="K193" s="165">
        <f t="shared" si="96"/>
        <v>44356</v>
      </c>
      <c r="L193" s="165">
        <f t="shared" si="97"/>
        <v>44539</v>
      </c>
      <c r="M193" s="165" t="s">
        <v>597</v>
      </c>
      <c r="N193" s="165" t="s">
        <v>597</v>
      </c>
      <c r="O193" s="258" t="s">
        <v>597</v>
      </c>
      <c r="P193" s="206" t="s">
        <v>1267</v>
      </c>
      <c r="Q193" s="165"/>
      <c r="R193" s="39" t="s">
        <v>175</v>
      </c>
      <c r="S193" s="11" t="s">
        <v>4</v>
      </c>
      <c r="T193" s="41" t="s">
        <v>905</v>
      </c>
      <c r="U193" s="5" t="s">
        <v>8</v>
      </c>
      <c r="V193" s="251">
        <v>2357919</v>
      </c>
      <c r="W193" s="5" t="s">
        <v>602</v>
      </c>
      <c r="X193" s="5" t="s">
        <v>477</v>
      </c>
      <c r="Y193" s="5" t="s">
        <v>242</v>
      </c>
      <c r="Z193" s="3" t="s">
        <v>180</v>
      </c>
      <c r="AA193" s="6" t="s">
        <v>217</v>
      </c>
      <c r="AB193" s="142" t="s">
        <v>196</v>
      </c>
      <c r="AC193" s="165" t="s">
        <v>5</v>
      </c>
      <c r="AD193" s="165">
        <v>44530</v>
      </c>
      <c r="AE193" s="165">
        <f>IFERROR(EOMONTH(L193,-2),"")</f>
        <v>44500</v>
      </c>
      <c r="AF193" s="5"/>
      <c r="AG193" s="41"/>
      <c r="AH193" s="212"/>
      <c r="AI193" s="76"/>
      <c r="AJ193" s="76"/>
      <c r="AK193" s="221" t="e">
        <f>SUM(#REF!,BT193,BV193)</f>
        <v>#REF!</v>
      </c>
      <c r="AL193" s="48" t="s">
        <v>1094</v>
      </c>
      <c r="AM193" s="48" t="s">
        <v>1094</v>
      </c>
      <c r="AN193" s="48" t="s">
        <v>1094</v>
      </c>
      <c r="AO193" s="48" t="s">
        <v>592</v>
      </c>
      <c r="AP193" s="48" t="s">
        <v>592</v>
      </c>
      <c r="AQ193" s="48" t="s">
        <v>592</v>
      </c>
      <c r="AR193" s="51">
        <v>0</v>
      </c>
      <c r="AS193" s="51">
        <v>1209</v>
      </c>
      <c r="AT193" s="51">
        <v>273.32321000000002</v>
      </c>
      <c r="AU193" s="51">
        <v>814.2</v>
      </c>
      <c r="AV193" s="44">
        <v>1208.9570000000001</v>
      </c>
      <c r="AW193" s="44">
        <v>24.077999999999999</v>
      </c>
      <c r="AX193" s="90">
        <f t="shared" si="85"/>
        <v>1233.0350000000001</v>
      </c>
      <c r="AY193" s="157">
        <f t="shared" si="72"/>
        <v>807.6702600000001</v>
      </c>
      <c r="AZ193" s="182">
        <v>0</v>
      </c>
      <c r="BA193" s="158">
        <v>0</v>
      </c>
      <c r="BB193" s="182">
        <v>0</v>
      </c>
      <c r="BC193" s="158"/>
      <c r="BD193" s="182">
        <v>0</v>
      </c>
      <c r="BE193" s="158">
        <v>0</v>
      </c>
      <c r="BF193" s="182">
        <v>0</v>
      </c>
      <c r="BG193" s="158"/>
      <c r="BH193" s="182">
        <v>0</v>
      </c>
      <c r="BI193" s="158">
        <v>785.86026000000004</v>
      </c>
      <c r="BJ193" s="182">
        <v>0</v>
      </c>
      <c r="BK193" s="158">
        <v>1.5433800000000002</v>
      </c>
      <c r="BL193" s="182"/>
      <c r="BM193" s="158">
        <v>-5.0220000000000001E-2</v>
      </c>
      <c r="BN193" s="182">
        <v>4</v>
      </c>
      <c r="BO193" s="158"/>
      <c r="BP193" s="182"/>
      <c r="BQ193" s="158">
        <v>1.0001599999999999</v>
      </c>
      <c r="BR193" s="182"/>
      <c r="BS193" s="158"/>
      <c r="BT193" s="182">
        <f>20-0.6</f>
        <v>19.399999999999999</v>
      </c>
      <c r="BU193" s="158">
        <v>19.316680000000002</v>
      </c>
      <c r="BV193" s="182"/>
      <c r="BW193" s="234"/>
      <c r="BX193" s="237"/>
      <c r="BY193" s="81">
        <f t="shared" si="73"/>
        <v>0</v>
      </c>
      <c r="BZ193" s="241"/>
      <c r="CA193" s="241"/>
      <c r="CB193" s="241"/>
      <c r="CC193" s="241"/>
      <c r="CD193" s="241"/>
      <c r="CE193" s="241"/>
      <c r="CF193" s="241"/>
      <c r="CG193" s="241"/>
      <c r="CH193" s="241"/>
      <c r="CI193" s="241"/>
      <c r="CJ193" s="241"/>
      <c r="CK193" s="241"/>
      <c r="CL193" s="195">
        <f t="shared" si="89"/>
        <v>0</v>
      </c>
      <c r="CM193" s="196"/>
      <c r="CN193" s="196"/>
      <c r="CO193" s="196"/>
      <c r="CP193" s="196"/>
      <c r="CQ193" s="196"/>
      <c r="CR193" s="196"/>
      <c r="CS193" s="196"/>
      <c r="CT193" s="196"/>
      <c r="CU193" s="196"/>
      <c r="CV193" s="196"/>
      <c r="CW193" s="196"/>
      <c r="CX193" s="196"/>
      <c r="CY193" s="200">
        <f t="shared" si="86"/>
        <v>0</v>
      </c>
      <c r="CZ193" s="172">
        <f t="shared" si="74"/>
        <v>0</v>
      </c>
      <c r="DA193" s="201">
        <f t="shared" si="87"/>
        <v>807.6702600000001</v>
      </c>
      <c r="DB193" s="201">
        <f t="shared" si="88"/>
        <v>0</v>
      </c>
      <c r="DC193" s="201">
        <f t="shared" si="90"/>
        <v>807.6702600000001</v>
      </c>
      <c r="DD193" s="239">
        <v>807.75358000000006</v>
      </c>
      <c r="DE193" s="201">
        <f t="shared" si="91"/>
        <v>-8.3319999999957872E-2</v>
      </c>
      <c r="DF193" s="172" t="e">
        <f>SUM(DN193:DO193)-SUM(#REF!,BV193)+BU193</f>
        <v>#REF!</v>
      </c>
      <c r="DG193" s="207"/>
      <c r="DH193" s="225">
        <f t="shared" si="92"/>
        <v>0</v>
      </c>
      <c r="DI193" s="225">
        <f t="shared" si="93"/>
        <v>787.40364</v>
      </c>
      <c r="DJ193" s="225">
        <f t="shared" si="94"/>
        <v>0.9499399999999999</v>
      </c>
      <c r="DK193" s="225" t="e">
        <f>SUM(BS193,#REF!,BV193)</f>
        <v>#REF!</v>
      </c>
      <c r="DL193" s="145">
        <v>1208.9570000000001</v>
      </c>
      <c r="DM193" s="145">
        <v>1080.9934699999999</v>
      </c>
      <c r="DN193" s="145">
        <v>0</v>
      </c>
      <c r="DO193" s="145">
        <v>0</v>
      </c>
      <c r="DP193" s="145">
        <v>1080.9934699999999</v>
      </c>
      <c r="DQ193" s="145">
        <v>127.96353000000001</v>
      </c>
      <c r="DR193" s="21">
        <f>VLOOKUP(C193,[6]Database!$B$143:$AD$521,29,FALSE)</f>
        <v>0</v>
      </c>
      <c r="DS193" s="219">
        <f t="shared" si="95"/>
        <v>0</v>
      </c>
    </row>
    <row r="194" spans="1:123" s="21" customFormat="1" ht="24" customHeight="1">
      <c r="A194" s="16"/>
      <c r="B194" s="2">
        <v>153</v>
      </c>
      <c r="C194" s="257" t="s">
        <v>290</v>
      </c>
      <c r="D194" s="79"/>
      <c r="E194" s="78" t="s">
        <v>837</v>
      </c>
      <c r="F194" s="39">
        <v>2019</v>
      </c>
      <c r="G194" s="40">
        <v>43714</v>
      </c>
      <c r="H194" s="178">
        <v>43775</v>
      </c>
      <c r="I194" s="40">
        <v>44529</v>
      </c>
      <c r="J194" s="13">
        <f t="shared" ca="1" si="84"/>
        <v>754</v>
      </c>
      <c r="K194" s="165">
        <f t="shared" si="96"/>
        <v>44322</v>
      </c>
      <c r="L194" s="165">
        <f t="shared" si="97"/>
        <v>44505</v>
      </c>
      <c r="M194" s="232" t="s">
        <v>597</v>
      </c>
      <c r="N194" s="170" t="s">
        <v>597</v>
      </c>
      <c r="O194" s="258" t="s">
        <v>597</v>
      </c>
      <c r="P194" s="259" t="s">
        <v>1267</v>
      </c>
      <c r="Q194" s="170"/>
      <c r="R194" s="39" t="s">
        <v>175</v>
      </c>
      <c r="S194" s="11" t="s">
        <v>4</v>
      </c>
      <c r="T194" s="41" t="s">
        <v>905</v>
      </c>
      <c r="U194" s="5" t="s">
        <v>8</v>
      </c>
      <c r="V194" s="251">
        <v>2358387</v>
      </c>
      <c r="W194" s="5" t="s">
        <v>602</v>
      </c>
      <c r="X194" s="5" t="s">
        <v>477</v>
      </c>
      <c r="Y194" s="5" t="s">
        <v>243</v>
      </c>
      <c r="Z194" s="3" t="s">
        <v>180</v>
      </c>
      <c r="AA194" s="6" t="s">
        <v>217</v>
      </c>
      <c r="AB194" s="142" t="s">
        <v>196</v>
      </c>
      <c r="AC194" s="165" t="s">
        <v>5</v>
      </c>
      <c r="AD194" s="165">
        <v>44561</v>
      </c>
      <c r="AE194" s="165">
        <f>IFERROR(EOMONTH(L194,-2),"")</f>
        <v>44469</v>
      </c>
      <c r="AF194" s="5"/>
      <c r="AG194" s="41"/>
      <c r="AH194" s="212"/>
      <c r="AI194" s="76"/>
      <c r="AJ194" s="76"/>
      <c r="AK194" s="221" t="e">
        <f>SUM(#REF!,BT194,BV194)</f>
        <v>#REF!</v>
      </c>
      <c r="AL194" s="48" t="s">
        <v>1097</v>
      </c>
      <c r="AM194" s="48" t="s">
        <v>1098</v>
      </c>
      <c r="AN194" s="48" t="s">
        <v>1094</v>
      </c>
      <c r="AO194" s="48" t="s">
        <v>1099</v>
      </c>
      <c r="AP194" s="48" t="s">
        <v>1181</v>
      </c>
      <c r="AQ194" s="48"/>
      <c r="AR194" s="51">
        <v>2.1484299999999998</v>
      </c>
      <c r="AS194" s="51">
        <v>953.69999999999993</v>
      </c>
      <c r="AT194" s="51">
        <v>203.18324999999999</v>
      </c>
      <c r="AU194" s="51">
        <v>199.04179999999999</v>
      </c>
      <c r="AV194" s="44">
        <v>955.78200000000004</v>
      </c>
      <c r="AW194" s="44">
        <v>48.155999999999999</v>
      </c>
      <c r="AX194" s="90">
        <f t="shared" si="85"/>
        <v>1003.938</v>
      </c>
      <c r="AY194" s="157">
        <f t="shared" si="72"/>
        <v>122.86459999999998</v>
      </c>
      <c r="AZ194" s="182">
        <v>0</v>
      </c>
      <c r="BA194" s="158">
        <v>1.4418000000000002</v>
      </c>
      <c r="BB194" s="182">
        <v>0</v>
      </c>
      <c r="BC194" s="158">
        <v>1.3903099999999999</v>
      </c>
      <c r="BD194" s="182">
        <v>0</v>
      </c>
      <c r="BE194" s="158">
        <v>0</v>
      </c>
      <c r="BF194" s="182">
        <v>0</v>
      </c>
      <c r="BG194" s="158">
        <v>22.379849999999998</v>
      </c>
      <c r="BH194" s="182">
        <v>0</v>
      </c>
      <c r="BI194" s="158">
        <v>2.1657199999999999</v>
      </c>
      <c r="BJ194" s="182">
        <v>0</v>
      </c>
      <c r="BK194" s="158">
        <v>3.0791500000000003</v>
      </c>
      <c r="BL194" s="182"/>
      <c r="BM194" s="158">
        <v>1.55871</v>
      </c>
      <c r="BN194" s="182"/>
      <c r="BO194" s="158"/>
      <c r="BP194" s="182"/>
      <c r="BQ194" s="158"/>
      <c r="BR194" s="182"/>
      <c r="BS194" s="158"/>
      <c r="BT194" s="182">
        <v>35</v>
      </c>
      <c r="BU194" s="158">
        <v>91.180419999999998</v>
      </c>
      <c r="BV194" s="182"/>
      <c r="BW194" s="234">
        <v>-0.33135999999999999</v>
      </c>
      <c r="BX194" s="237">
        <v>-0.33135999999999999</v>
      </c>
      <c r="BY194" s="81">
        <f t="shared" si="73"/>
        <v>0</v>
      </c>
      <c r="BZ194" s="241"/>
      <c r="CA194" s="241"/>
      <c r="CB194" s="241"/>
      <c r="CC194" s="241"/>
      <c r="CD194" s="241"/>
      <c r="CE194" s="241"/>
      <c r="CF194" s="241"/>
      <c r="CG194" s="241"/>
      <c r="CH194" s="241"/>
      <c r="CI194" s="241"/>
      <c r="CJ194" s="241"/>
      <c r="CK194" s="241"/>
      <c r="CL194" s="195">
        <f t="shared" si="89"/>
        <v>0</v>
      </c>
      <c r="CM194" s="196"/>
      <c r="CN194" s="196"/>
      <c r="CO194" s="196"/>
      <c r="CP194" s="196"/>
      <c r="CQ194" s="196"/>
      <c r="CR194" s="196"/>
      <c r="CS194" s="196"/>
      <c r="CT194" s="196"/>
      <c r="CU194" s="196"/>
      <c r="CV194" s="196"/>
      <c r="CW194" s="196"/>
      <c r="CX194" s="196"/>
      <c r="CY194" s="200">
        <f t="shared" si="86"/>
        <v>0.33135999999999999</v>
      </c>
      <c r="CZ194" s="172">
        <f t="shared" si="74"/>
        <v>0</v>
      </c>
      <c r="DA194" s="201">
        <f t="shared" si="87"/>
        <v>123.19595999999999</v>
      </c>
      <c r="DB194" s="201">
        <f t="shared" si="88"/>
        <v>-0.33135999999999999</v>
      </c>
      <c r="DC194" s="201">
        <f t="shared" si="90"/>
        <v>122.86459999999998</v>
      </c>
      <c r="DD194" s="239">
        <v>67.015539999999987</v>
      </c>
      <c r="DE194" s="201">
        <f t="shared" si="91"/>
        <v>55.849059999999994</v>
      </c>
      <c r="DF194" s="172" t="e">
        <f>SUM(DN194:DO194)-SUM(#REF!,BV194)+BU194</f>
        <v>#REF!</v>
      </c>
      <c r="DG194" s="231" t="s">
        <v>1049</v>
      </c>
      <c r="DH194" s="225">
        <f t="shared" si="92"/>
        <v>2.8321100000000001</v>
      </c>
      <c r="DI194" s="225">
        <f t="shared" si="93"/>
        <v>27.624719999999996</v>
      </c>
      <c r="DJ194" s="225">
        <f t="shared" si="94"/>
        <v>1.55871</v>
      </c>
      <c r="DK194" s="225" t="e">
        <f>SUM(BS194,#REF!,BV194)</f>
        <v>#REF!</v>
      </c>
      <c r="DL194" s="145">
        <v>955.78200000000004</v>
      </c>
      <c r="DM194" s="145">
        <v>328.19628</v>
      </c>
      <c r="DN194" s="145">
        <v>0</v>
      </c>
      <c r="DO194" s="145">
        <v>0</v>
      </c>
      <c r="DP194" s="145">
        <v>328.19628</v>
      </c>
      <c r="DQ194" s="145">
        <v>627.58571999999992</v>
      </c>
      <c r="DR194" s="21">
        <f>VLOOKUP(C194,[6]Database!$B$143:$AD$521,29,FALSE)</f>
        <v>0</v>
      </c>
      <c r="DS194" s="219">
        <f t="shared" si="95"/>
        <v>0</v>
      </c>
    </row>
    <row r="195" spans="1:123" s="21" customFormat="1" ht="24" customHeight="1">
      <c r="A195" s="16"/>
      <c r="B195" s="2">
        <v>154</v>
      </c>
      <c r="C195" s="257" t="s">
        <v>291</v>
      </c>
      <c r="D195" s="79"/>
      <c r="E195" s="78" t="s">
        <v>826</v>
      </c>
      <c r="F195" s="39">
        <v>2019</v>
      </c>
      <c r="G195" s="40">
        <v>43714</v>
      </c>
      <c r="H195" s="178">
        <v>43802</v>
      </c>
      <c r="I195" s="40"/>
      <c r="J195" s="13">
        <f t="shared" ca="1" si="84"/>
        <v>-1499.3359971064783</v>
      </c>
      <c r="K195" s="165">
        <f t="shared" si="96"/>
        <v>44349</v>
      </c>
      <c r="L195" s="165">
        <f t="shared" si="97"/>
        <v>44532</v>
      </c>
      <c r="M195" s="232" t="s">
        <v>597</v>
      </c>
      <c r="N195" s="170" t="s">
        <v>597</v>
      </c>
      <c r="O195" s="258" t="s">
        <v>597</v>
      </c>
      <c r="P195" s="260" t="s">
        <v>1246</v>
      </c>
      <c r="Q195" s="260" t="s">
        <v>1387</v>
      </c>
      <c r="R195" s="39" t="s">
        <v>175</v>
      </c>
      <c r="S195" s="11" t="s">
        <v>4</v>
      </c>
      <c r="T195" s="41" t="s">
        <v>905</v>
      </c>
      <c r="U195" s="5" t="s">
        <v>8</v>
      </c>
      <c r="V195" s="251">
        <v>2357839</v>
      </c>
      <c r="W195" s="5" t="s">
        <v>602</v>
      </c>
      <c r="X195" s="5" t="s">
        <v>477</v>
      </c>
      <c r="Y195" s="5" t="s">
        <v>244</v>
      </c>
      <c r="Z195" s="3" t="s">
        <v>180</v>
      </c>
      <c r="AA195" s="6" t="s">
        <v>461</v>
      </c>
      <c r="AB195" s="278" t="s">
        <v>1065</v>
      </c>
      <c r="AC195" s="165">
        <v>44773</v>
      </c>
      <c r="AD195" s="165">
        <v>44742</v>
      </c>
      <c r="AE195" s="165">
        <f>IFERROR(EOMONTH(L195,-2),"")</f>
        <v>44500</v>
      </c>
      <c r="AF195" s="5"/>
      <c r="AG195" s="41"/>
      <c r="AH195" s="212"/>
      <c r="AI195" s="76"/>
      <c r="AJ195" s="76"/>
      <c r="AK195" s="221" t="e">
        <f>SUM(#REF!,BT195,BV195)</f>
        <v>#REF!</v>
      </c>
      <c r="AL195" s="153" t="s">
        <v>1094</v>
      </c>
      <c r="AM195" s="153" t="s">
        <v>1094</v>
      </c>
      <c r="AN195" s="153" t="s">
        <v>1094</v>
      </c>
      <c r="AO195" s="153" t="s">
        <v>592</v>
      </c>
      <c r="AP195" s="153" t="s">
        <v>592</v>
      </c>
      <c r="AQ195" s="153" t="s">
        <v>592</v>
      </c>
      <c r="AR195" s="51">
        <v>53.241159999999994</v>
      </c>
      <c r="AS195" s="51">
        <v>815.29365000000007</v>
      </c>
      <c r="AT195" s="51">
        <v>56.696770000000001</v>
      </c>
      <c r="AU195" s="51">
        <v>261</v>
      </c>
      <c r="AV195" s="44">
        <v>864.93799999999999</v>
      </c>
      <c r="AW195" s="44">
        <v>48.155999999999999</v>
      </c>
      <c r="AX195" s="90">
        <f t="shared" si="85"/>
        <v>913.09399999999994</v>
      </c>
      <c r="AY195" s="157">
        <f t="shared" si="72"/>
        <v>126.68428999999999</v>
      </c>
      <c r="AZ195" s="182">
        <v>0</v>
      </c>
      <c r="BA195" s="158">
        <v>0</v>
      </c>
      <c r="BB195" s="182">
        <v>0</v>
      </c>
      <c r="BC195" s="158">
        <v>19.900029999999997</v>
      </c>
      <c r="BD195" s="182">
        <v>116</v>
      </c>
      <c r="BE195" s="158">
        <v>60.723800000000004</v>
      </c>
      <c r="BF195" s="182">
        <v>0</v>
      </c>
      <c r="BG195" s="158">
        <v>1.75159</v>
      </c>
      <c r="BH195" s="182">
        <v>0</v>
      </c>
      <c r="BI195" s="158">
        <v>20.405279999999998</v>
      </c>
      <c r="BJ195" s="182">
        <v>18.371009999999998</v>
      </c>
      <c r="BK195" s="158">
        <v>1.18733</v>
      </c>
      <c r="BL195" s="182">
        <v>17</v>
      </c>
      <c r="BM195" s="158">
        <v>22.46613</v>
      </c>
      <c r="BN195" s="182"/>
      <c r="BO195" s="158">
        <v>0.45424000000000003</v>
      </c>
      <c r="BP195" s="182"/>
      <c r="BQ195" s="158">
        <v>2.1714099999999998</v>
      </c>
      <c r="BR195" s="182">
        <v>-5.5</v>
      </c>
      <c r="BS195" s="158">
        <v>0.71101999999999999</v>
      </c>
      <c r="BT195" s="182">
        <v>-5.5</v>
      </c>
      <c r="BU195" s="158">
        <v>-4.6118800000000002</v>
      </c>
      <c r="BV195" s="182"/>
      <c r="BW195" s="234">
        <v>1.5253400000000001</v>
      </c>
      <c r="BX195" s="237">
        <v>1.5253400000000001</v>
      </c>
      <c r="BY195" s="81">
        <f t="shared" si="73"/>
        <v>33.5</v>
      </c>
      <c r="BZ195" s="241"/>
      <c r="CA195" s="241"/>
      <c r="CB195" s="241"/>
      <c r="CC195" s="241">
        <f>35-1.5</f>
        <v>33.5</v>
      </c>
      <c r="CD195" s="241"/>
      <c r="CE195" s="241"/>
      <c r="CF195" s="241"/>
      <c r="CG195" s="241"/>
      <c r="CH195" s="241"/>
      <c r="CI195" s="241"/>
      <c r="CJ195" s="241"/>
      <c r="CK195" s="241"/>
      <c r="CL195" s="195">
        <f t="shared" si="89"/>
        <v>0</v>
      </c>
      <c r="CM195" s="196"/>
      <c r="CN195" s="196"/>
      <c r="CO195" s="196"/>
      <c r="CP195" s="196"/>
      <c r="CQ195" s="196"/>
      <c r="CR195" s="196"/>
      <c r="CS195" s="196"/>
      <c r="CT195" s="196"/>
      <c r="CU195" s="196"/>
      <c r="CV195" s="196"/>
      <c r="CW195" s="196"/>
      <c r="CX195" s="196"/>
      <c r="CY195" s="200">
        <f t="shared" si="86"/>
        <v>-1.5253400000000001</v>
      </c>
      <c r="CZ195" s="172">
        <f t="shared" si="74"/>
        <v>0</v>
      </c>
      <c r="DA195" s="201">
        <f t="shared" si="87"/>
        <v>125.15894999999999</v>
      </c>
      <c r="DB195" s="201">
        <f t="shared" si="88"/>
        <v>1.5253400000000001</v>
      </c>
      <c r="DC195" s="201">
        <f t="shared" si="90"/>
        <v>160.18428999999998</v>
      </c>
      <c r="DD195" s="239">
        <v>159.27082999999999</v>
      </c>
      <c r="DE195" s="201">
        <f t="shared" si="91"/>
        <v>0.91345999999998639</v>
      </c>
      <c r="DF195" s="172" t="e">
        <f>SUM(DN195:DO195)-SUM(#REF!,BV195)+BU195</f>
        <v>#REF!</v>
      </c>
      <c r="DG195" s="207"/>
      <c r="DH195" s="225">
        <f t="shared" si="92"/>
        <v>80.623829999999998</v>
      </c>
      <c r="DI195" s="225">
        <f t="shared" si="93"/>
        <v>23.344199999999997</v>
      </c>
      <c r="DJ195" s="225">
        <f t="shared" si="94"/>
        <v>25.09178</v>
      </c>
      <c r="DK195" s="225" t="e">
        <f>SUM(BS195,#REF!,BV195)</f>
        <v>#REF!</v>
      </c>
      <c r="DL195" s="145">
        <v>864.93799999999999</v>
      </c>
      <c r="DM195" s="145">
        <v>236.62222</v>
      </c>
      <c r="DN195" s="145">
        <v>53.712240000000001</v>
      </c>
      <c r="DO195" s="145">
        <v>0</v>
      </c>
      <c r="DP195" s="145">
        <v>290.33446000000004</v>
      </c>
      <c r="DQ195" s="145">
        <v>574.60354000000007</v>
      </c>
      <c r="DR195" s="21">
        <f>VLOOKUP(C195,[6]Database!$B$143:$AD$521,29,FALSE)</f>
        <v>35</v>
      </c>
      <c r="DS195" s="219">
        <f t="shared" si="95"/>
        <v>-1.5</v>
      </c>
    </row>
    <row r="196" spans="1:123" s="21" customFormat="1" ht="24" customHeight="1">
      <c r="A196" s="16"/>
      <c r="B196" s="2">
        <v>156</v>
      </c>
      <c r="C196" s="79" t="s">
        <v>308</v>
      </c>
      <c r="D196" s="79"/>
      <c r="E196" s="78"/>
      <c r="F196" s="39">
        <v>2019</v>
      </c>
      <c r="G196" s="40">
        <v>43810</v>
      </c>
      <c r="H196" s="178">
        <v>43885</v>
      </c>
      <c r="I196" s="40">
        <v>44463</v>
      </c>
      <c r="J196" s="13">
        <f t="shared" ca="1" si="84"/>
        <v>578</v>
      </c>
      <c r="K196" s="165">
        <f t="shared" si="96"/>
        <v>44432</v>
      </c>
      <c r="L196" s="165">
        <f t="shared" si="97"/>
        <v>44615</v>
      </c>
      <c r="M196" s="165"/>
      <c r="N196" s="170" t="s">
        <v>597</v>
      </c>
      <c r="O196" s="170"/>
      <c r="P196" s="259" t="s">
        <v>1266</v>
      </c>
      <c r="Q196" s="165"/>
      <c r="R196" s="39" t="s">
        <v>175</v>
      </c>
      <c r="S196" s="11" t="s">
        <v>221</v>
      </c>
      <c r="T196" s="41" t="s">
        <v>912</v>
      </c>
      <c r="U196" s="5" t="s">
        <v>8</v>
      </c>
      <c r="V196" s="251">
        <v>2729964</v>
      </c>
      <c r="W196" s="5" t="s">
        <v>602</v>
      </c>
      <c r="X196" s="5" t="s">
        <v>472</v>
      </c>
      <c r="Y196" s="5" t="s">
        <v>309</v>
      </c>
      <c r="Z196" s="3" t="s">
        <v>180</v>
      </c>
      <c r="AA196" s="6" t="s">
        <v>194</v>
      </c>
      <c r="AB196" s="151" t="s">
        <v>1223</v>
      </c>
      <c r="AC196" s="165" t="s">
        <v>5</v>
      </c>
      <c r="AD196" s="165">
        <v>44561</v>
      </c>
      <c r="AE196" s="165">
        <f>IFERROR(EOMONTH(L196,-2),"")</f>
        <v>44561</v>
      </c>
      <c r="AF196" s="5" t="s">
        <v>1037</v>
      </c>
      <c r="AG196" s="41" t="s">
        <v>1040</v>
      </c>
      <c r="AH196" s="212">
        <v>9.7600000000000006E-2</v>
      </c>
      <c r="AI196" s="76" t="s">
        <v>665</v>
      </c>
      <c r="AJ196" s="76"/>
      <c r="AK196" s="221" t="e">
        <f>SUM(#REF!,BT196,BV196)</f>
        <v>#REF!</v>
      </c>
      <c r="AL196" s="167"/>
      <c r="AM196" s="167"/>
      <c r="AN196" s="167"/>
      <c r="AO196" s="167"/>
      <c r="AP196" s="167"/>
      <c r="AQ196" s="167"/>
      <c r="AR196" s="51">
        <v>0</v>
      </c>
      <c r="AS196" s="51">
        <v>300</v>
      </c>
      <c r="AT196" s="51">
        <v>354.84650000000005</v>
      </c>
      <c r="AU196" s="51">
        <v>86</v>
      </c>
      <c r="AV196" s="44">
        <v>571.51850000000002</v>
      </c>
      <c r="AW196" s="44">
        <v>5.45</v>
      </c>
      <c r="AX196" s="90">
        <f t="shared" si="85"/>
        <v>576.96850000000006</v>
      </c>
      <c r="AY196" s="157">
        <f t="shared" si="72"/>
        <v>214.56279000000001</v>
      </c>
      <c r="AZ196" s="182">
        <v>0</v>
      </c>
      <c r="BA196" s="158">
        <v>11.241680000000001</v>
      </c>
      <c r="BB196" s="182">
        <v>0</v>
      </c>
      <c r="BC196" s="158">
        <v>6.9047000000000001</v>
      </c>
      <c r="BD196" s="182">
        <v>0</v>
      </c>
      <c r="BE196" s="158">
        <v>12.376009999999999</v>
      </c>
      <c r="BF196" s="182">
        <v>0</v>
      </c>
      <c r="BG196" s="158">
        <v>11.799609999999999</v>
      </c>
      <c r="BH196" s="182">
        <v>0</v>
      </c>
      <c r="BI196" s="158">
        <v>16.510469999999998</v>
      </c>
      <c r="BJ196" s="182">
        <v>0</v>
      </c>
      <c r="BK196" s="158">
        <v>9.9053799999999974</v>
      </c>
      <c r="BL196" s="182"/>
      <c r="BM196" s="158">
        <v>7.054850000000001</v>
      </c>
      <c r="BN196" s="182">
        <v>36</v>
      </c>
      <c r="BO196" s="158">
        <v>40.67597</v>
      </c>
      <c r="BP196" s="182"/>
      <c r="BQ196" s="158">
        <v>0.22431000000000001</v>
      </c>
      <c r="BR196" s="182">
        <v>0</v>
      </c>
      <c r="BS196" s="158">
        <v>39.22842</v>
      </c>
      <c r="BT196" s="182">
        <f>63-0.8-38.5</f>
        <v>23.700000000000003</v>
      </c>
      <c r="BU196" s="158">
        <v>57.756</v>
      </c>
      <c r="BV196" s="182"/>
      <c r="BW196" s="234">
        <v>0.8853899999999999</v>
      </c>
      <c r="BX196" s="237">
        <v>0.8853899999999999</v>
      </c>
      <c r="BY196" s="81">
        <f t="shared" si="73"/>
        <v>16.099999999999998</v>
      </c>
      <c r="BZ196" s="241">
        <f>17-0.1-0.8</f>
        <v>16.099999999999998</v>
      </c>
      <c r="CA196" s="241"/>
      <c r="CB196" s="241"/>
      <c r="CC196" s="241"/>
      <c r="CD196" s="241"/>
      <c r="CE196" s="241"/>
      <c r="CF196" s="241"/>
      <c r="CG196" s="241"/>
      <c r="CH196" s="241"/>
      <c r="CI196" s="241"/>
      <c r="CJ196" s="241"/>
      <c r="CK196" s="241"/>
      <c r="CL196" s="195">
        <f t="shared" si="89"/>
        <v>0</v>
      </c>
      <c r="CM196" s="196"/>
      <c r="CN196" s="196"/>
      <c r="CO196" s="196"/>
      <c r="CP196" s="196"/>
      <c r="CQ196" s="196"/>
      <c r="CR196" s="196"/>
      <c r="CS196" s="196"/>
      <c r="CT196" s="196"/>
      <c r="CU196" s="196"/>
      <c r="CV196" s="196"/>
      <c r="CW196" s="196"/>
      <c r="CX196" s="196"/>
      <c r="CY196" s="200">
        <f t="shared" si="86"/>
        <v>-0.8853899999999999</v>
      </c>
      <c r="CZ196" s="172">
        <f t="shared" si="74"/>
        <v>0</v>
      </c>
      <c r="DA196" s="201">
        <f t="shared" si="87"/>
        <v>213.67740000000001</v>
      </c>
      <c r="DB196" s="201">
        <f t="shared" si="88"/>
        <v>0.8853899999999999</v>
      </c>
      <c r="DC196" s="201">
        <f t="shared" si="90"/>
        <v>230.66279</v>
      </c>
      <c r="DD196" s="239">
        <v>196.62139999999999</v>
      </c>
      <c r="DE196" s="201">
        <f t="shared" si="91"/>
        <v>34.041390000000007</v>
      </c>
      <c r="DF196" s="172" t="e">
        <f>SUM(DN196:DO196)-SUM(#REF!,BV196)+BU196</f>
        <v>#REF!</v>
      </c>
      <c r="DG196" s="231" t="s">
        <v>1190</v>
      </c>
      <c r="DH196" s="225">
        <f t="shared" si="92"/>
        <v>30.522390000000001</v>
      </c>
      <c r="DI196" s="225">
        <f t="shared" si="93"/>
        <v>38.215459999999993</v>
      </c>
      <c r="DJ196" s="225">
        <f t="shared" si="94"/>
        <v>47.955130000000004</v>
      </c>
      <c r="DK196" s="225" t="e">
        <f>SUM(BS196,#REF!,BV196)</f>
        <v>#REF!</v>
      </c>
      <c r="DL196" s="145">
        <v>571.44849999999997</v>
      </c>
      <c r="DM196" s="145">
        <v>569.40929000000006</v>
      </c>
      <c r="DN196" s="145">
        <v>0</v>
      </c>
      <c r="DO196" s="145">
        <v>0</v>
      </c>
      <c r="DP196" s="145">
        <v>569.40929000000006</v>
      </c>
      <c r="DQ196" s="145">
        <v>2.0392100000000002</v>
      </c>
      <c r="DR196" s="21">
        <f>VLOOKUP(C196,[6]Database!$B$143:$AD$521,29,FALSE)</f>
        <v>0</v>
      </c>
      <c r="DS196" s="219">
        <f t="shared" si="95"/>
        <v>16.099999999999998</v>
      </c>
    </row>
    <row r="197" spans="1:123" s="21" customFormat="1" ht="24" customHeight="1">
      <c r="A197" s="16"/>
      <c r="B197" s="2">
        <v>157</v>
      </c>
      <c r="C197" s="79" t="s">
        <v>310</v>
      </c>
      <c r="D197" s="79"/>
      <c r="E197" s="78"/>
      <c r="F197" s="39">
        <v>2020</v>
      </c>
      <c r="G197" s="40">
        <v>43837</v>
      </c>
      <c r="H197" s="40">
        <v>43867</v>
      </c>
      <c r="I197" s="40">
        <v>44196</v>
      </c>
      <c r="J197" s="13">
        <f t="shared" ca="1" si="84"/>
        <v>329</v>
      </c>
      <c r="K197" s="165">
        <f t="shared" si="96"/>
        <v>44414</v>
      </c>
      <c r="L197" s="165">
        <f t="shared" si="97"/>
        <v>44597</v>
      </c>
      <c r="M197" s="165"/>
      <c r="N197" s="170"/>
      <c r="O197" s="170"/>
      <c r="P197" s="170"/>
      <c r="Q197" s="165"/>
      <c r="R197" s="39" t="s">
        <v>175</v>
      </c>
      <c r="S197" s="11" t="s">
        <v>222</v>
      </c>
      <c r="T197" s="41" t="s">
        <v>601</v>
      </c>
      <c r="U197" s="5" t="s">
        <v>8</v>
      </c>
      <c r="V197" s="251">
        <v>2657378</v>
      </c>
      <c r="W197" s="5" t="s">
        <v>602</v>
      </c>
      <c r="X197" s="5" t="s">
        <v>536</v>
      </c>
      <c r="Y197" s="5" t="s">
        <v>311</v>
      </c>
      <c r="Z197" s="3" t="s">
        <v>180</v>
      </c>
      <c r="AA197" s="6" t="s">
        <v>217</v>
      </c>
      <c r="AB197" s="142" t="s">
        <v>196</v>
      </c>
      <c r="AC197" s="165" t="s">
        <v>5</v>
      </c>
      <c r="AD197" s="165" t="s">
        <v>5</v>
      </c>
      <c r="AE197" s="165" t="s">
        <v>5</v>
      </c>
      <c r="AF197" s="5"/>
      <c r="AG197" s="113"/>
      <c r="AH197" s="212"/>
      <c r="AI197" s="76"/>
      <c r="AJ197" s="76"/>
      <c r="AK197" s="221" t="e">
        <f>SUM(#REF!,BT197,BV197)</f>
        <v>#REF!</v>
      </c>
      <c r="AL197" s="167"/>
      <c r="AM197" s="167"/>
      <c r="AN197" s="167"/>
      <c r="AO197" s="167"/>
      <c r="AP197" s="167"/>
      <c r="AQ197" s="167"/>
      <c r="AR197" s="51">
        <v>0</v>
      </c>
      <c r="AS197" s="51">
        <v>1000</v>
      </c>
      <c r="AT197" s="51">
        <v>821.01602000000003</v>
      </c>
      <c r="AU197" s="51">
        <v>37.937039999999996</v>
      </c>
      <c r="AV197" s="44">
        <v>1000</v>
      </c>
      <c r="AW197" s="44"/>
      <c r="AX197" s="90">
        <f t="shared" si="85"/>
        <v>1000</v>
      </c>
      <c r="AY197" s="157">
        <f t="shared" si="72"/>
        <v>29.465679999999992</v>
      </c>
      <c r="AZ197" s="182">
        <v>40</v>
      </c>
      <c r="BA197" s="158">
        <v>3.6548999999999996</v>
      </c>
      <c r="BB197" s="182">
        <v>34.282139999999998</v>
      </c>
      <c r="BC197" s="158">
        <v>20.721239999999995</v>
      </c>
      <c r="BD197" s="182">
        <v>4.5</v>
      </c>
      <c r="BE197" s="158">
        <v>5.0895399999999995</v>
      </c>
      <c r="BF197" s="182">
        <v>0</v>
      </c>
      <c r="BG197" s="158"/>
      <c r="BH197" s="182">
        <v>0</v>
      </c>
      <c r="BI197" s="158"/>
      <c r="BJ197" s="182">
        <v>0</v>
      </c>
      <c r="BK197" s="158"/>
      <c r="BL197" s="182"/>
      <c r="BM197" s="158"/>
      <c r="BN197" s="182"/>
      <c r="BO197" s="158"/>
      <c r="BP197" s="182"/>
      <c r="BQ197" s="158"/>
      <c r="BR197" s="182"/>
      <c r="BS197" s="158"/>
      <c r="BT197" s="182"/>
      <c r="BU197" s="158"/>
      <c r="BV197" s="182"/>
      <c r="BW197" s="234"/>
      <c r="BX197" s="237"/>
      <c r="BY197" s="81">
        <f t="shared" si="73"/>
        <v>0</v>
      </c>
      <c r="BZ197" s="241"/>
      <c r="CA197" s="241"/>
      <c r="CB197" s="241"/>
      <c r="CC197" s="241"/>
      <c r="CD197" s="241"/>
      <c r="CE197" s="241"/>
      <c r="CF197" s="241"/>
      <c r="CG197" s="241"/>
      <c r="CH197" s="241"/>
      <c r="CI197" s="241"/>
      <c r="CJ197" s="241"/>
      <c r="CK197" s="241"/>
      <c r="CL197" s="195">
        <f t="shared" si="89"/>
        <v>0</v>
      </c>
      <c r="CM197" s="196"/>
      <c r="CN197" s="196"/>
      <c r="CO197" s="196"/>
      <c r="CP197" s="196"/>
      <c r="CQ197" s="196"/>
      <c r="CR197" s="196"/>
      <c r="CS197" s="196"/>
      <c r="CT197" s="196"/>
      <c r="CU197" s="196"/>
      <c r="CV197" s="196"/>
      <c r="CW197" s="196"/>
      <c r="CX197" s="196"/>
      <c r="CY197" s="200">
        <f t="shared" si="86"/>
        <v>0</v>
      </c>
      <c r="CZ197" s="172">
        <f t="shared" si="74"/>
        <v>0</v>
      </c>
      <c r="DA197" s="201">
        <f t="shared" si="87"/>
        <v>29.465679999999992</v>
      </c>
      <c r="DB197" s="201">
        <f t="shared" si="88"/>
        <v>0</v>
      </c>
      <c r="DC197" s="201">
        <f t="shared" si="90"/>
        <v>29.465679999999992</v>
      </c>
      <c r="DD197" s="239">
        <v>29.465679999999992</v>
      </c>
      <c r="DE197" s="201">
        <f t="shared" si="91"/>
        <v>0</v>
      </c>
      <c r="DF197" s="172" t="e">
        <f>SUM(DN197:DO197)-SUM(#REF!,BV197)+BU197</f>
        <v>#REF!</v>
      </c>
      <c r="DG197" s="207"/>
      <c r="DH197" s="225">
        <f t="shared" si="92"/>
        <v>29.465679999999992</v>
      </c>
      <c r="DI197" s="225">
        <f t="shared" si="93"/>
        <v>0</v>
      </c>
      <c r="DJ197" s="225">
        <f t="shared" si="94"/>
        <v>0</v>
      </c>
      <c r="DK197" s="225" t="e">
        <f>SUM(BS197,#REF!,BV197)</f>
        <v>#REF!</v>
      </c>
      <c r="DL197" s="145">
        <v>1000</v>
      </c>
      <c r="DM197" s="145">
        <v>850.48169999999993</v>
      </c>
      <c r="DN197" s="145">
        <v>0</v>
      </c>
      <c r="DO197" s="145">
        <v>0</v>
      </c>
      <c r="DP197" s="145">
        <v>850.48169999999993</v>
      </c>
      <c r="DQ197" s="145">
        <v>149.51829999999998</v>
      </c>
      <c r="DR197" s="21">
        <f>VLOOKUP(C197,[6]Database!$B$143:$AD$521,29,FALSE)</f>
        <v>0</v>
      </c>
      <c r="DS197" s="219">
        <f t="shared" si="95"/>
        <v>0</v>
      </c>
    </row>
    <row r="198" spans="1:123" s="21" customFormat="1" ht="24" customHeight="1">
      <c r="A198" s="16"/>
      <c r="B198" s="2">
        <v>158</v>
      </c>
      <c r="C198" s="79" t="s">
        <v>314</v>
      </c>
      <c r="D198" s="79"/>
      <c r="E198" s="78"/>
      <c r="F198" s="39">
        <v>2020</v>
      </c>
      <c r="G198" s="40">
        <v>43838</v>
      </c>
      <c r="H198" s="40">
        <v>43858</v>
      </c>
      <c r="I198" s="40">
        <v>44193</v>
      </c>
      <c r="J198" s="13">
        <f t="shared" ca="1" si="84"/>
        <v>335</v>
      </c>
      <c r="K198" s="165">
        <f t="shared" si="96"/>
        <v>44405</v>
      </c>
      <c r="L198" s="165">
        <f t="shared" si="97"/>
        <v>44588</v>
      </c>
      <c r="M198" s="165"/>
      <c r="N198" s="170"/>
      <c r="O198" s="170"/>
      <c r="P198" s="170"/>
      <c r="Q198" s="170"/>
      <c r="R198" s="39" t="s">
        <v>175</v>
      </c>
      <c r="S198" s="11" t="s">
        <v>221</v>
      </c>
      <c r="T198" s="41" t="s">
        <v>912</v>
      </c>
      <c r="U198" s="5" t="s">
        <v>8</v>
      </c>
      <c r="V198" s="251">
        <v>2669295</v>
      </c>
      <c r="W198" s="5" t="s">
        <v>602</v>
      </c>
      <c r="X198" s="5" t="s">
        <v>472</v>
      </c>
      <c r="Y198" s="5" t="s">
        <v>313</v>
      </c>
      <c r="Z198" s="3" t="s">
        <v>180</v>
      </c>
      <c r="AA198" s="6" t="s">
        <v>217</v>
      </c>
      <c r="AB198" s="141" t="s">
        <v>196</v>
      </c>
      <c r="AC198" s="165" t="s">
        <v>5</v>
      </c>
      <c r="AD198" s="165" t="s">
        <v>5</v>
      </c>
      <c r="AE198" s="165" t="s">
        <v>5</v>
      </c>
      <c r="AF198" s="5" t="s">
        <v>1038</v>
      </c>
      <c r="AG198" s="41"/>
      <c r="AH198" s="212">
        <v>4.2000000000000003E-2</v>
      </c>
      <c r="AI198" s="76"/>
      <c r="AJ198" s="76"/>
      <c r="AK198" s="221" t="e">
        <f>SUM(#REF!,BT198,BV198)</f>
        <v>#REF!</v>
      </c>
      <c r="AL198" s="167"/>
      <c r="AM198" s="167"/>
      <c r="AN198" s="167"/>
      <c r="AO198" s="167"/>
      <c r="AP198" s="167"/>
      <c r="AQ198" s="167"/>
      <c r="AR198" s="51">
        <v>0</v>
      </c>
      <c r="AS198" s="51">
        <v>299.60000000000002</v>
      </c>
      <c r="AT198" s="51">
        <v>284.95877999999999</v>
      </c>
      <c r="AU198" s="51">
        <v>-0.55757000000000001</v>
      </c>
      <c r="AV198" s="44">
        <v>312.55259999999998</v>
      </c>
      <c r="AW198" s="44"/>
      <c r="AX198" s="90">
        <f t="shared" si="85"/>
        <v>312.55259999999998</v>
      </c>
      <c r="AY198" s="157">
        <f t="shared" ref="AY198:AY261" si="98">BA198+BC198+BE198+BG198+BI198+BK198+BM198+BO198+BQ198+BS198+BU198+BX198</f>
        <v>-0.55757000000000001</v>
      </c>
      <c r="AZ198" s="182">
        <v>0</v>
      </c>
      <c r="BA198" s="158">
        <v>-0.55757000000000001</v>
      </c>
      <c r="BB198" s="182">
        <v>0</v>
      </c>
      <c r="BC198" s="158"/>
      <c r="BD198" s="182">
        <v>0</v>
      </c>
      <c r="BE198" s="158">
        <v>0</v>
      </c>
      <c r="BF198" s="182">
        <v>0</v>
      </c>
      <c r="BG198" s="158"/>
      <c r="BH198" s="182">
        <v>0</v>
      </c>
      <c r="BI198" s="158"/>
      <c r="BJ198" s="182">
        <v>0</v>
      </c>
      <c r="BK198" s="158"/>
      <c r="BL198" s="182"/>
      <c r="BM198" s="158"/>
      <c r="BN198" s="182"/>
      <c r="BO198" s="158"/>
      <c r="BP198" s="182"/>
      <c r="BQ198" s="158"/>
      <c r="BR198" s="182"/>
      <c r="BS198" s="158"/>
      <c r="BT198" s="182"/>
      <c r="BU198" s="158"/>
      <c r="BV198" s="182"/>
      <c r="BW198" s="234"/>
      <c r="BX198" s="237"/>
      <c r="BY198" s="81">
        <f t="shared" ref="BY198:BY261" si="99">SUM(BZ198:CK198)</f>
        <v>0</v>
      </c>
      <c r="BZ198" s="241"/>
      <c r="CA198" s="241"/>
      <c r="CB198" s="241"/>
      <c r="CC198" s="241"/>
      <c r="CD198" s="241"/>
      <c r="CE198" s="241"/>
      <c r="CF198" s="241"/>
      <c r="CG198" s="241"/>
      <c r="CH198" s="241"/>
      <c r="CI198" s="241"/>
      <c r="CJ198" s="241"/>
      <c r="CK198" s="241"/>
      <c r="CL198" s="195">
        <f t="shared" si="89"/>
        <v>0</v>
      </c>
      <c r="CM198" s="196"/>
      <c r="CN198" s="196"/>
      <c r="CO198" s="196"/>
      <c r="CP198" s="196"/>
      <c r="CQ198" s="196"/>
      <c r="CR198" s="196"/>
      <c r="CS198" s="196"/>
      <c r="CT198" s="196"/>
      <c r="CU198" s="196"/>
      <c r="CV198" s="196"/>
      <c r="CW198" s="196"/>
      <c r="CX198" s="196"/>
      <c r="CY198" s="200">
        <f t="shared" si="86"/>
        <v>0</v>
      </c>
      <c r="CZ198" s="172">
        <f t="shared" ref="CZ198:CZ261" si="100">BW198-BX198</f>
        <v>0</v>
      </c>
      <c r="DA198" s="201">
        <f t="shared" si="87"/>
        <v>-0.55757000000000001</v>
      </c>
      <c r="DB198" s="201">
        <f t="shared" si="88"/>
        <v>0</v>
      </c>
      <c r="DC198" s="201">
        <f t="shared" si="90"/>
        <v>-0.55757000000000001</v>
      </c>
      <c r="DD198" s="239">
        <v>-0.55757000000000001</v>
      </c>
      <c r="DE198" s="201">
        <f t="shared" si="91"/>
        <v>0</v>
      </c>
      <c r="DF198" s="172" t="e">
        <f>SUM(DN198:DO198)-SUM(#REF!,BV198)+BU198</f>
        <v>#REF!</v>
      </c>
      <c r="DG198" s="207"/>
      <c r="DH198" s="225">
        <f t="shared" si="92"/>
        <v>-0.55757000000000001</v>
      </c>
      <c r="DI198" s="225">
        <f t="shared" si="93"/>
        <v>0</v>
      </c>
      <c r="DJ198" s="225">
        <f t="shared" si="94"/>
        <v>0</v>
      </c>
      <c r="DK198" s="225" t="e">
        <f>SUM(BS198,#REF!,BV198)</f>
        <v>#REF!</v>
      </c>
      <c r="DL198" s="145">
        <v>312.55259999999998</v>
      </c>
      <c r="DM198" s="145">
        <v>284.40121000000005</v>
      </c>
      <c r="DN198" s="145">
        <v>0</v>
      </c>
      <c r="DO198" s="145">
        <v>0</v>
      </c>
      <c r="DP198" s="145">
        <v>284.40121000000005</v>
      </c>
      <c r="DQ198" s="145">
        <v>28.151389999999999</v>
      </c>
      <c r="DR198" s="21">
        <f>VLOOKUP(C198,[6]Database!$B$143:$AD$521,29,FALSE)</f>
        <v>0</v>
      </c>
      <c r="DS198" s="219">
        <f t="shared" si="95"/>
        <v>0</v>
      </c>
    </row>
    <row r="199" spans="1:123" s="21" customFormat="1" ht="24" customHeight="1">
      <c r="A199" s="17"/>
      <c r="B199" s="2">
        <v>159</v>
      </c>
      <c r="C199" s="79" t="s">
        <v>318</v>
      </c>
      <c r="D199" s="79"/>
      <c r="E199" s="78" t="s">
        <v>883</v>
      </c>
      <c r="F199" s="39">
        <v>2020</v>
      </c>
      <c r="G199" s="40">
        <v>43845</v>
      </c>
      <c r="H199" s="40">
        <v>43887</v>
      </c>
      <c r="I199" s="40">
        <v>44159</v>
      </c>
      <c r="J199" s="13">
        <f t="shared" ca="1" si="84"/>
        <v>272</v>
      </c>
      <c r="K199" s="165">
        <f t="shared" si="96"/>
        <v>44434</v>
      </c>
      <c r="L199" s="165">
        <f t="shared" si="97"/>
        <v>44617</v>
      </c>
      <c r="M199" s="165"/>
      <c r="N199" s="170"/>
      <c r="O199" s="170"/>
      <c r="P199" s="170"/>
      <c r="Q199" s="165"/>
      <c r="R199" s="39" t="s">
        <v>175</v>
      </c>
      <c r="S199" s="11" t="s">
        <v>4</v>
      </c>
      <c r="T199" s="41"/>
      <c r="U199" s="5" t="s">
        <v>8</v>
      </c>
      <c r="V199" s="251">
        <v>2732555</v>
      </c>
      <c r="W199" s="5" t="s">
        <v>602</v>
      </c>
      <c r="X199" s="5" t="s">
        <v>477</v>
      </c>
      <c r="Y199" s="5" t="s">
        <v>319</v>
      </c>
      <c r="Z199" s="3" t="s">
        <v>180</v>
      </c>
      <c r="AA199" s="6" t="s">
        <v>217</v>
      </c>
      <c r="AB199" s="142" t="s">
        <v>196</v>
      </c>
      <c r="AC199" s="165" t="s">
        <v>5</v>
      </c>
      <c r="AD199" s="165" t="s">
        <v>5</v>
      </c>
      <c r="AE199" s="165" t="s">
        <v>5</v>
      </c>
      <c r="AF199" s="5" t="s">
        <v>1037</v>
      </c>
      <c r="AG199" s="41" t="s">
        <v>1041</v>
      </c>
      <c r="AH199" s="212"/>
      <c r="AI199" s="76"/>
      <c r="AJ199" s="76"/>
      <c r="AK199" s="221" t="e">
        <f>SUM(#REF!,BT199,BV199)</f>
        <v>#REF!</v>
      </c>
      <c r="AL199" s="167"/>
      <c r="AM199" s="167"/>
      <c r="AN199" s="167"/>
      <c r="AO199" s="167"/>
      <c r="AP199" s="167"/>
      <c r="AQ199" s="167"/>
      <c r="AR199" s="51">
        <v>0</v>
      </c>
      <c r="AS199" s="51">
        <v>302.2</v>
      </c>
      <c r="AT199" s="51">
        <v>355.31524000000007</v>
      </c>
      <c r="AU199" s="51"/>
      <c r="AV199" s="44">
        <v>372.81900000000002</v>
      </c>
      <c r="AW199" s="44"/>
      <c r="AX199" s="90">
        <f t="shared" si="85"/>
        <v>372.81900000000002</v>
      </c>
      <c r="AY199" s="157">
        <f t="shared" si="98"/>
        <v>0</v>
      </c>
      <c r="AZ199" s="182">
        <v>0</v>
      </c>
      <c r="BA199" s="158">
        <v>0</v>
      </c>
      <c r="BB199" s="182">
        <v>0</v>
      </c>
      <c r="BC199" s="158"/>
      <c r="BD199" s="182">
        <v>0</v>
      </c>
      <c r="BE199" s="158">
        <v>0</v>
      </c>
      <c r="BF199" s="182">
        <v>0</v>
      </c>
      <c r="BG199" s="158"/>
      <c r="BH199" s="182">
        <v>0</v>
      </c>
      <c r="BI199" s="158"/>
      <c r="BJ199" s="182">
        <v>0</v>
      </c>
      <c r="BK199" s="158"/>
      <c r="BL199" s="182"/>
      <c r="BM199" s="158"/>
      <c r="BN199" s="182"/>
      <c r="BO199" s="158"/>
      <c r="BP199" s="182"/>
      <c r="BQ199" s="158"/>
      <c r="BR199" s="182"/>
      <c r="BS199" s="158"/>
      <c r="BT199" s="182"/>
      <c r="BU199" s="158"/>
      <c r="BV199" s="182"/>
      <c r="BW199" s="234"/>
      <c r="BX199" s="237"/>
      <c r="BY199" s="81">
        <f t="shared" si="99"/>
        <v>0</v>
      </c>
      <c r="BZ199" s="241"/>
      <c r="CA199" s="241"/>
      <c r="CB199" s="241"/>
      <c r="CC199" s="241"/>
      <c r="CD199" s="241"/>
      <c r="CE199" s="241"/>
      <c r="CF199" s="241"/>
      <c r="CG199" s="241"/>
      <c r="CH199" s="241"/>
      <c r="CI199" s="241"/>
      <c r="CJ199" s="241"/>
      <c r="CK199" s="241"/>
      <c r="CL199" s="195">
        <f t="shared" si="89"/>
        <v>0</v>
      </c>
      <c r="CM199" s="196"/>
      <c r="CN199" s="196"/>
      <c r="CO199" s="196"/>
      <c r="CP199" s="196"/>
      <c r="CQ199" s="196"/>
      <c r="CR199" s="196"/>
      <c r="CS199" s="196"/>
      <c r="CT199" s="196"/>
      <c r="CU199" s="196"/>
      <c r="CV199" s="196"/>
      <c r="CW199" s="196"/>
      <c r="CX199" s="196"/>
      <c r="CY199" s="200">
        <f t="shared" si="86"/>
        <v>0</v>
      </c>
      <c r="CZ199" s="172">
        <f t="shared" si="100"/>
        <v>0</v>
      </c>
      <c r="DA199" s="201">
        <f t="shared" si="87"/>
        <v>0</v>
      </c>
      <c r="DB199" s="201">
        <f t="shared" si="88"/>
        <v>0</v>
      </c>
      <c r="DC199" s="201">
        <f t="shared" si="90"/>
        <v>0</v>
      </c>
      <c r="DD199" s="239">
        <v>0</v>
      </c>
      <c r="DE199" s="201">
        <f t="shared" si="91"/>
        <v>0</v>
      </c>
      <c r="DF199" s="172" t="e">
        <f>SUM(DN199:DO199)-SUM(#REF!,BV199)+BU199</f>
        <v>#REF!</v>
      </c>
      <c r="DG199" s="207"/>
      <c r="DH199" s="225">
        <f t="shared" si="92"/>
        <v>0</v>
      </c>
      <c r="DI199" s="225">
        <f t="shared" si="93"/>
        <v>0</v>
      </c>
      <c r="DJ199" s="225">
        <f t="shared" si="94"/>
        <v>0</v>
      </c>
      <c r="DK199" s="225" t="e">
        <f>SUM(BS199,#REF!,BV199)</f>
        <v>#REF!</v>
      </c>
      <c r="DL199" s="145">
        <v>372.81900000000002</v>
      </c>
      <c r="DM199" s="145">
        <v>355.31524000000002</v>
      </c>
      <c r="DN199" s="145">
        <v>0</v>
      </c>
      <c r="DO199" s="145">
        <v>0</v>
      </c>
      <c r="DP199" s="145">
        <v>355.31524000000002</v>
      </c>
      <c r="DQ199" s="145">
        <v>17.50376</v>
      </c>
      <c r="DS199" s="219">
        <f t="shared" si="95"/>
        <v>0</v>
      </c>
    </row>
    <row r="200" spans="1:123" s="21" customFormat="1" ht="24" customHeight="1">
      <c r="A200" s="16"/>
      <c r="B200" s="2">
        <v>160</v>
      </c>
      <c r="C200" s="79" t="s">
        <v>316</v>
      </c>
      <c r="D200" s="79"/>
      <c r="E200" s="78" t="s">
        <v>884</v>
      </c>
      <c r="F200" s="39">
        <v>2020</v>
      </c>
      <c r="G200" s="40">
        <v>43837</v>
      </c>
      <c r="H200" s="40">
        <v>43858</v>
      </c>
      <c r="I200" s="40">
        <v>44193</v>
      </c>
      <c r="J200" s="13">
        <f t="shared" ca="1" si="84"/>
        <v>335</v>
      </c>
      <c r="K200" s="165">
        <f t="shared" si="96"/>
        <v>44405</v>
      </c>
      <c r="L200" s="165">
        <f t="shared" si="97"/>
        <v>44588</v>
      </c>
      <c r="M200" s="165"/>
      <c r="N200" s="170"/>
      <c r="O200" s="170"/>
      <c r="P200" s="170"/>
      <c r="Q200" s="170"/>
      <c r="R200" s="39" t="s">
        <v>175</v>
      </c>
      <c r="S200" s="11" t="s">
        <v>4</v>
      </c>
      <c r="T200" s="41"/>
      <c r="U200" s="5" t="s">
        <v>8</v>
      </c>
      <c r="V200" s="251">
        <v>2668149</v>
      </c>
      <c r="W200" s="5" t="s">
        <v>602</v>
      </c>
      <c r="X200" s="5" t="s">
        <v>477</v>
      </c>
      <c r="Y200" s="5" t="s">
        <v>312</v>
      </c>
      <c r="Z200" s="3" t="s">
        <v>180</v>
      </c>
      <c r="AA200" s="6" t="s">
        <v>217</v>
      </c>
      <c r="AB200" s="142" t="s">
        <v>196</v>
      </c>
      <c r="AC200" s="165" t="s">
        <v>5</v>
      </c>
      <c r="AD200" s="165" t="s">
        <v>5</v>
      </c>
      <c r="AE200" s="165" t="s">
        <v>5</v>
      </c>
      <c r="AF200" s="5"/>
      <c r="AG200" s="41"/>
      <c r="AH200" s="212"/>
      <c r="AI200" s="76"/>
      <c r="AJ200" s="76"/>
      <c r="AK200" s="221" t="e">
        <f>SUM(#REF!,BT200,BV200)</f>
        <v>#REF!</v>
      </c>
      <c r="AL200" s="167"/>
      <c r="AM200" s="167"/>
      <c r="AN200" s="167"/>
      <c r="AO200" s="167"/>
      <c r="AP200" s="167"/>
      <c r="AQ200" s="167"/>
      <c r="AR200" s="51">
        <v>0</v>
      </c>
      <c r="AS200" s="51">
        <v>341.86599999999999</v>
      </c>
      <c r="AT200" s="51">
        <v>225.72057999999998</v>
      </c>
      <c r="AU200" s="51"/>
      <c r="AV200" s="44">
        <v>341.86599999999999</v>
      </c>
      <c r="AW200" s="44"/>
      <c r="AX200" s="90">
        <f t="shared" si="85"/>
        <v>341.86599999999999</v>
      </c>
      <c r="AY200" s="157">
        <f t="shared" si="98"/>
        <v>0</v>
      </c>
      <c r="AZ200" s="182">
        <v>0</v>
      </c>
      <c r="BA200" s="158">
        <v>0</v>
      </c>
      <c r="BB200" s="182">
        <v>0</v>
      </c>
      <c r="BC200" s="158"/>
      <c r="BD200" s="182">
        <v>0</v>
      </c>
      <c r="BE200" s="158">
        <v>0</v>
      </c>
      <c r="BF200" s="182">
        <v>0</v>
      </c>
      <c r="BG200" s="158"/>
      <c r="BH200" s="182">
        <v>0</v>
      </c>
      <c r="BI200" s="158"/>
      <c r="BJ200" s="182">
        <v>0</v>
      </c>
      <c r="BK200" s="158"/>
      <c r="BL200" s="182"/>
      <c r="BM200" s="158"/>
      <c r="BN200" s="182"/>
      <c r="BO200" s="158"/>
      <c r="BP200" s="182"/>
      <c r="BQ200" s="158"/>
      <c r="BR200" s="182"/>
      <c r="BS200" s="158"/>
      <c r="BT200" s="182"/>
      <c r="BU200" s="158"/>
      <c r="BV200" s="182"/>
      <c r="BW200" s="234"/>
      <c r="BX200" s="237"/>
      <c r="BY200" s="81">
        <f t="shared" si="99"/>
        <v>0</v>
      </c>
      <c r="BZ200" s="241"/>
      <c r="CA200" s="241"/>
      <c r="CB200" s="241"/>
      <c r="CC200" s="241"/>
      <c r="CD200" s="241"/>
      <c r="CE200" s="241"/>
      <c r="CF200" s="241"/>
      <c r="CG200" s="241"/>
      <c r="CH200" s="241"/>
      <c r="CI200" s="241"/>
      <c r="CJ200" s="241"/>
      <c r="CK200" s="241"/>
      <c r="CL200" s="195">
        <f t="shared" si="89"/>
        <v>0</v>
      </c>
      <c r="CM200" s="196"/>
      <c r="CN200" s="196"/>
      <c r="CO200" s="196"/>
      <c r="CP200" s="196"/>
      <c r="CQ200" s="196"/>
      <c r="CR200" s="196"/>
      <c r="CS200" s="196"/>
      <c r="CT200" s="196"/>
      <c r="CU200" s="196"/>
      <c r="CV200" s="196"/>
      <c r="CW200" s="196"/>
      <c r="CX200" s="196"/>
      <c r="CY200" s="200">
        <f t="shared" si="86"/>
        <v>0</v>
      </c>
      <c r="CZ200" s="172">
        <f t="shared" si="100"/>
        <v>0</v>
      </c>
      <c r="DA200" s="201">
        <f t="shared" si="87"/>
        <v>0</v>
      </c>
      <c r="DB200" s="201">
        <f t="shared" si="88"/>
        <v>0</v>
      </c>
      <c r="DC200" s="201">
        <f t="shared" si="90"/>
        <v>0</v>
      </c>
      <c r="DD200" s="239">
        <v>0</v>
      </c>
      <c r="DE200" s="201">
        <f t="shared" si="91"/>
        <v>0</v>
      </c>
      <c r="DF200" s="172" t="e">
        <f>SUM(DN200:DO200)-SUM(#REF!,BV200)+BU200</f>
        <v>#REF!</v>
      </c>
      <c r="DG200" s="207"/>
      <c r="DH200" s="225">
        <f t="shared" si="92"/>
        <v>0</v>
      </c>
      <c r="DI200" s="225">
        <f t="shared" si="93"/>
        <v>0</v>
      </c>
      <c r="DJ200" s="225">
        <f t="shared" si="94"/>
        <v>0</v>
      </c>
      <c r="DK200" s="225" t="e">
        <f>SUM(BS200,#REF!,BV200)</f>
        <v>#REF!</v>
      </c>
      <c r="DL200" s="145">
        <v>341.86599999999999</v>
      </c>
      <c r="DM200" s="145">
        <v>225.72057999999998</v>
      </c>
      <c r="DN200" s="145">
        <v>0</v>
      </c>
      <c r="DO200" s="145">
        <v>0</v>
      </c>
      <c r="DP200" s="145">
        <v>225.72057999999998</v>
      </c>
      <c r="DQ200" s="145">
        <v>116.14542</v>
      </c>
      <c r="DS200" s="219">
        <f t="shared" si="95"/>
        <v>0</v>
      </c>
    </row>
    <row r="201" spans="1:123" s="21" customFormat="1" ht="24" customHeight="1">
      <c r="A201" s="16"/>
      <c r="B201" s="2">
        <v>162</v>
      </c>
      <c r="C201" s="79" t="s">
        <v>339</v>
      </c>
      <c r="D201" s="79"/>
      <c r="E201" s="78" t="s">
        <v>833</v>
      </c>
      <c r="F201" s="39">
        <v>2020</v>
      </c>
      <c r="G201" s="40">
        <v>43889</v>
      </c>
      <c r="H201" s="178">
        <v>44082</v>
      </c>
      <c r="I201" s="40"/>
      <c r="J201" s="13">
        <f t="shared" ca="1" si="84"/>
        <v>-1221.3359971064783</v>
      </c>
      <c r="K201" s="165">
        <f t="shared" si="96"/>
        <v>44629</v>
      </c>
      <c r="L201" s="165">
        <f t="shared" si="97"/>
        <v>44812</v>
      </c>
      <c r="M201" s="165"/>
      <c r="N201" s="170" t="s">
        <v>597</v>
      </c>
      <c r="O201" s="170"/>
      <c r="P201" s="259" t="s">
        <v>1266</v>
      </c>
      <c r="Q201" s="170"/>
      <c r="R201" s="39" t="s">
        <v>175</v>
      </c>
      <c r="S201" s="11" t="s">
        <v>4</v>
      </c>
      <c r="T201" s="39" t="s">
        <v>905</v>
      </c>
      <c r="U201" s="5" t="s">
        <v>8</v>
      </c>
      <c r="V201" s="251">
        <v>2807147</v>
      </c>
      <c r="W201" s="5" t="s">
        <v>602</v>
      </c>
      <c r="X201" s="5" t="s">
        <v>477</v>
      </c>
      <c r="Y201" s="5" t="s">
        <v>338</v>
      </c>
      <c r="Z201" s="3" t="s">
        <v>180</v>
      </c>
      <c r="AA201" s="6" t="s">
        <v>461</v>
      </c>
      <c r="AB201" s="151" t="s">
        <v>1366</v>
      </c>
      <c r="AC201" s="165">
        <v>44591</v>
      </c>
      <c r="AD201" s="165">
        <v>44561</v>
      </c>
      <c r="AE201" s="165">
        <f>IFERROR(EOMONTH(L201,-2),"")</f>
        <v>44773</v>
      </c>
      <c r="AF201" s="5" t="s">
        <v>1038</v>
      </c>
      <c r="AG201" s="41" t="s">
        <v>1052</v>
      </c>
      <c r="AH201" s="212">
        <v>9.9000000000000005E-2</v>
      </c>
      <c r="AI201" s="76"/>
      <c r="AJ201" s="76"/>
      <c r="AK201" s="221" t="e">
        <f>SUM(#REF!,BT201,BV201)</f>
        <v>#REF!</v>
      </c>
      <c r="AL201" s="153"/>
      <c r="AM201" s="153"/>
      <c r="AN201" s="153"/>
      <c r="AO201" s="153"/>
      <c r="AP201" s="153"/>
      <c r="AQ201" s="153"/>
      <c r="AR201" s="51">
        <v>0</v>
      </c>
      <c r="AS201" s="51">
        <v>0</v>
      </c>
      <c r="AT201" s="51">
        <v>76.748619999999988</v>
      </c>
      <c r="AU201" s="51">
        <v>64.375</v>
      </c>
      <c r="AV201" s="44">
        <v>158.28787</v>
      </c>
      <c r="AW201" s="44"/>
      <c r="AX201" s="90">
        <f t="shared" si="85"/>
        <v>158.28787</v>
      </c>
      <c r="AY201" s="157">
        <f t="shared" si="98"/>
        <v>75.511650000000003</v>
      </c>
      <c r="AZ201" s="182">
        <v>0</v>
      </c>
      <c r="BA201" s="158">
        <v>0</v>
      </c>
      <c r="BB201" s="182">
        <v>0</v>
      </c>
      <c r="BC201" s="158"/>
      <c r="BD201" s="182">
        <v>0</v>
      </c>
      <c r="BE201" s="158">
        <v>0</v>
      </c>
      <c r="BF201" s="182">
        <v>0</v>
      </c>
      <c r="BG201" s="158"/>
      <c r="BH201" s="182">
        <v>64.375</v>
      </c>
      <c r="BI201" s="158"/>
      <c r="BJ201" s="182">
        <v>0</v>
      </c>
      <c r="BK201" s="158"/>
      <c r="BL201" s="182">
        <v>64.375</v>
      </c>
      <c r="BM201" s="158"/>
      <c r="BN201" s="182">
        <v>64.375</v>
      </c>
      <c r="BO201" s="158"/>
      <c r="BP201" s="182">
        <v>64.375</v>
      </c>
      <c r="BQ201" s="158">
        <v>68.632509999999996</v>
      </c>
      <c r="BR201" s="182"/>
      <c r="BS201" s="158"/>
      <c r="BT201" s="182"/>
      <c r="BU201" s="158"/>
      <c r="BV201" s="182"/>
      <c r="BW201" s="234">
        <v>6.8791399999999996</v>
      </c>
      <c r="BX201" s="237">
        <v>6.8791399999999996</v>
      </c>
      <c r="BY201" s="81">
        <f t="shared" si="99"/>
        <v>0</v>
      </c>
      <c r="BZ201" s="241"/>
      <c r="CA201" s="241"/>
      <c r="CB201" s="241"/>
      <c r="CC201" s="241"/>
      <c r="CD201" s="241"/>
      <c r="CE201" s="241"/>
      <c r="CF201" s="241"/>
      <c r="CG201" s="241"/>
      <c r="CH201" s="241"/>
      <c r="CI201" s="241"/>
      <c r="CJ201" s="241"/>
      <c r="CK201" s="241"/>
      <c r="CL201" s="195">
        <f t="shared" si="89"/>
        <v>0</v>
      </c>
      <c r="CM201" s="196"/>
      <c r="CN201" s="196"/>
      <c r="CO201" s="196"/>
      <c r="CP201" s="196"/>
      <c r="CQ201" s="196"/>
      <c r="CR201" s="196"/>
      <c r="CS201" s="196"/>
      <c r="CT201" s="196"/>
      <c r="CU201" s="196"/>
      <c r="CV201" s="196"/>
      <c r="CW201" s="196"/>
      <c r="CX201" s="196"/>
      <c r="CY201" s="200">
        <f t="shared" si="86"/>
        <v>-6.8791399999999996</v>
      </c>
      <c r="CZ201" s="172">
        <f t="shared" si="100"/>
        <v>0</v>
      </c>
      <c r="DA201" s="201">
        <f t="shared" si="87"/>
        <v>68.632509999999996</v>
      </c>
      <c r="DB201" s="201">
        <f t="shared" si="88"/>
        <v>6.8791399999999996</v>
      </c>
      <c r="DC201" s="201">
        <f t="shared" si="90"/>
        <v>75.511650000000003</v>
      </c>
      <c r="DD201" s="239">
        <v>68.632509999999996</v>
      </c>
      <c r="DE201" s="201">
        <f t="shared" si="91"/>
        <v>6.8791400000000067</v>
      </c>
      <c r="DF201" s="172" t="e">
        <f>SUM(DN201:DO201)-SUM(#REF!,BV201)+BU201</f>
        <v>#REF!</v>
      </c>
      <c r="DG201" s="207" t="s">
        <v>1049</v>
      </c>
      <c r="DH201" s="225">
        <f t="shared" si="92"/>
        <v>0</v>
      </c>
      <c r="DI201" s="225">
        <f t="shared" si="93"/>
        <v>0</v>
      </c>
      <c r="DJ201" s="225">
        <f t="shared" si="94"/>
        <v>68.632509999999996</v>
      </c>
      <c r="DK201" s="225" t="e">
        <f>SUM(BS201,#REF!,BV201)</f>
        <v>#REF!</v>
      </c>
      <c r="DL201" s="145">
        <v>158.28787</v>
      </c>
      <c r="DM201" s="145">
        <v>152.26026999999999</v>
      </c>
      <c r="DN201" s="145">
        <v>0</v>
      </c>
      <c r="DO201" s="145">
        <v>0</v>
      </c>
      <c r="DP201" s="145">
        <v>152.26026999999999</v>
      </c>
      <c r="DQ201" s="145">
        <v>6.0276000000000005</v>
      </c>
      <c r="DR201" s="21">
        <f>VLOOKUP(C201,[6]Database!$B$143:$AD$521,29,FALSE)</f>
        <v>0</v>
      </c>
      <c r="DS201" s="219">
        <f t="shared" si="95"/>
        <v>0</v>
      </c>
    </row>
    <row r="202" spans="1:123" s="21" customFormat="1" ht="24" customHeight="1">
      <c r="A202" s="16"/>
      <c r="B202" s="2">
        <v>164</v>
      </c>
      <c r="C202" s="79" t="s">
        <v>452</v>
      </c>
      <c r="D202" s="79"/>
      <c r="E202" s="78"/>
      <c r="F202" s="39">
        <v>2020</v>
      </c>
      <c r="G202" s="40">
        <v>43831</v>
      </c>
      <c r="H202" s="178">
        <v>43979</v>
      </c>
      <c r="I202" s="40">
        <v>44526</v>
      </c>
      <c r="J202" s="13">
        <f t="shared" ca="1" si="84"/>
        <v>547</v>
      </c>
      <c r="K202" s="165">
        <f t="shared" si="96"/>
        <v>44526</v>
      </c>
      <c r="L202" s="165">
        <f t="shared" si="97"/>
        <v>44709</v>
      </c>
      <c r="M202" s="165"/>
      <c r="N202" s="170" t="s">
        <v>597</v>
      </c>
      <c r="O202" s="258" t="s">
        <v>597</v>
      </c>
      <c r="P202" s="259" t="s">
        <v>1267</v>
      </c>
      <c r="Q202" s="165"/>
      <c r="R202" s="39" t="s">
        <v>175</v>
      </c>
      <c r="S202" s="11" t="s">
        <v>4</v>
      </c>
      <c r="T202" s="39" t="s">
        <v>905</v>
      </c>
      <c r="U202" s="5" t="s">
        <v>8</v>
      </c>
      <c r="V202" s="251">
        <v>2897680</v>
      </c>
      <c r="W202" s="5" t="s">
        <v>602</v>
      </c>
      <c r="X202" s="5" t="s">
        <v>472</v>
      </c>
      <c r="Y202" s="5" t="s">
        <v>376</v>
      </c>
      <c r="Z202" s="78" t="s">
        <v>315</v>
      </c>
      <c r="AA202" s="6" t="s">
        <v>217</v>
      </c>
      <c r="AB202" s="142" t="s">
        <v>196</v>
      </c>
      <c r="AC202" s="165" t="s">
        <v>5</v>
      </c>
      <c r="AD202" s="165">
        <v>44530</v>
      </c>
      <c r="AE202" s="165">
        <f>IFERROR(EOMONTH(L202,-2),"")</f>
        <v>44651</v>
      </c>
      <c r="AF202" s="5"/>
      <c r="AG202" s="41"/>
      <c r="AH202" s="212"/>
      <c r="AI202" s="76"/>
      <c r="AJ202" s="76"/>
      <c r="AK202" s="221" t="e">
        <f>SUM(#REF!,BT202,BV202)</f>
        <v>#REF!</v>
      </c>
      <c r="AL202" s="153"/>
      <c r="AM202" s="153"/>
      <c r="AN202" s="153"/>
      <c r="AO202" s="153"/>
      <c r="AP202" s="153"/>
      <c r="AQ202" s="153"/>
      <c r="AR202" s="51">
        <v>0</v>
      </c>
      <c r="AS202" s="51">
        <v>150</v>
      </c>
      <c r="AT202" s="51">
        <v>67.971789999999999</v>
      </c>
      <c r="AU202" s="51">
        <v>170.14825000000002</v>
      </c>
      <c r="AV202" s="44">
        <v>245</v>
      </c>
      <c r="AW202" s="44"/>
      <c r="AX202" s="90">
        <f t="shared" si="85"/>
        <v>245</v>
      </c>
      <c r="AY202" s="157">
        <f t="shared" si="98"/>
        <v>63.437830000000005</v>
      </c>
      <c r="AZ202" s="182">
        <v>0</v>
      </c>
      <c r="BA202" s="158">
        <v>17.348250000000004</v>
      </c>
      <c r="BB202" s="182">
        <v>0</v>
      </c>
      <c r="BC202" s="158"/>
      <c r="BD202" s="182">
        <v>12.8</v>
      </c>
      <c r="BE202" s="158">
        <v>16.589830000000003</v>
      </c>
      <c r="BF202" s="182">
        <v>0</v>
      </c>
      <c r="BG202" s="158">
        <v>1.4281600000000001</v>
      </c>
      <c r="BH202" s="182">
        <v>5.9</v>
      </c>
      <c r="BI202" s="158">
        <v>6.4662999999999995</v>
      </c>
      <c r="BJ202" s="182">
        <v>10</v>
      </c>
      <c r="BK202" s="158"/>
      <c r="BL202" s="182">
        <v>10</v>
      </c>
      <c r="BM202" s="158"/>
      <c r="BN202" s="182">
        <v>10</v>
      </c>
      <c r="BO202" s="158"/>
      <c r="BP202" s="182"/>
      <c r="BQ202" s="158">
        <v>10.63931</v>
      </c>
      <c r="BR202" s="182"/>
      <c r="BS202" s="158"/>
      <c r="BT202" s="182"/>
      <c r="BU202" s="158">
        <v>9.8568299999999986</v>
      </c>
      <c r="BV202" s="182"/>
      <c r="BW202" s="234">
        <v>1.1091500000000001</v>
      </c>
      <c r="BX202" s="237">
        <v>1.1091500000000001</v>
      </c>
      <c r="BY202" s="81">
        <f t="shared" si="99"/>
        <v>0</v>
      </c>
      <c r="BZ202" s="241"/>
      <c r="CA202" s="241"/>
      <c r="CB202" s="241"/>
      <c r="CC202" s="241"/>
      <c r="CD202" s="241"/>
      <c r="CE202" s="241"/>
      <c r="CF202" s="241"/>
      <c r="CG202" s="241"/>
      <c r="CH202" s="241"/>
      <c r="CI202" s="241"/>
      <c r="CJ202" s="241"/>
      <c r="CK202" s="241"/>
      <c r="CL202" s="195">
        <f t="shared" si="89"/>
        <v>0</v>
      </c>
      <c r="CM202" s="196"/>
      <c r="CN202" s="196"/>
      <c r="CO202" s="196"/>
      <c r="CP202" s="196"/>
      <c r="CQ202" s="196"/>
      <c r="CR202" s="196"/>
      <c r="CS202" s="196"/>
      <c r="CT202" s="196"/>
      <c r="CU202" s="196"/>
      <c r="CV202" s="196"/>
      <c r="CW202" s="196"/>
      <c r="CX202" s="196"/>
      <c r="CY202" s="200">
        <f t="shared" si="86"/>
        <v>-1.1091500000000001</v>
      </c>
      <c r="CZ202" s="172">
        <f t="shared" si="100"/>
        <v>0</v>
      </c>
      <c r="DA202" s="201">
        <f t="shared" si="87"/>
        <v>62.328680000000006</v>
      </c>
      <c r="DB202" s="201">
        <f t="shared" si="88"/>
        <v>1.1091500000000001</v>
      </c>
      <c r="DC202" s="201">
        <f t="shared" si="90"/>
        <v>63.437830000000005</v>
      </c>
      <c r="DD202" s="239">
        <v>52.471850000000003</v>
      </c>
      <c r="DE202" s="201">
        <f t="shared" si="91"/>
        <v>10.965980000000002</v>
      </c>
      <c r="DF202" s="172" t="e">
        <f>SUM(DN202:DO202)-SUM(#REF!,BV202)+BU202</f>
        <v>#REF!</v>
      </c>
      <c r="DG202" s="207"/>
      <c r="DH202" s="225">
        <f t="shared" si="92"/>
        <v>33.938080000000006</v>
      </c>
      <c r="DI202" s="225">
        <f t="shared" si="93"/>
        <v>7.8944599999999996</v>
      </c>
      <c r="DJ202" s="225">
        <f t="shared" si="94"/>
        <v>10.63931</v>
      </c>
      <c r="DK202" s="225" t="e">
        <f>SUM(BS202,#REF!,BV202)</f>
        <v>#REF!</v>
      </c>
      <c r="DL202" s="145">
        <v>245</v>
      </c>
      <c r="DM202" s="145">
        <v>131.40961999999999</v>
      </c>
      <c r="DN202" s="145">
        <v>0</v>
      </c>
      <c r="DO202" s="145">
        <v>0</v>
      </c>
      <c r="DP202" s="145">
        <v>131.40961999999999</v>
      </c>
      <c r="DQ202" s="145">
        <v>113.59038000000001</v>
      </c>
      <c r="DR202" s="21">
        <f>VLOOKUP(C202,[6]Database!$B$143:$AD$521,29,FALSE)</f>
        <v>0</v>
      </c>
      <c r="DS202" s="219">
        <f t="shared" si="95"/>
        <v>0</v>
      </c>
    </row>
    <row r="203" spans="1:123" s="21" customFormat="1" ht="24" customHeight="1">
      <c r="A203" s="16"/>
      <c r="B203" s="2">
        <v>165</v>
      </c>
      <c r="C203" s="79" t="s">
        <v>528</v>
      </c>
      <c r="D203" s="78"/>
      <c r="E203" s="78"/>
      <c r="F203" s="39">
        <v>2020</v>
      </c>
      <c r="G203" s="40">
        <v>44041</v>
      </c>
      <c r="H203" s="178">
        <v>44075</v>
      </c>
      <c r="I203" s="40">
        <v>44193</v>
      </c>
      <c r="J203" s="13">
        <f t="shared" ca="1" si="84"/>
        <v>118</v>
      </c>
      <c r="K203" s="165">
        <f t="shared" si="96"/>
        <v>44622</v>
      </c>
      <c r="L203" s="165">
        <f t="shared" si="97"/>
        <v>44805</v>
      </c>
      <c r="M203" s="165"/>
      <c r="N203" s="170"/>
      <c r="O203" s="170"/>
      <c r="P203" s="170"/>
      <c r="Q203" s="170"/>
      <c r="R203" s="39" t="s">
        <v>175</v>
      </c>
      <c r="S203" s="11" t="s">
        <v>221</v>
      </c>
      <c r="T203" s="39" t="s">
        <v>909</v>
      </c>
      <c r="U203" s="5" t="s">
        <v>8</v>
      </c>
      <c r="V203" s="251">
        <v>3078383</v>
      </c>
      <c r="W203" s="5" t="s">
        <v>602</v>
      </c>
      <c r="X203" s="5" t="s">
        <v>472</v>
      </c>
      <c r="Y203" s="5" t="s">
        <v>534</v>
      </c>
      <c r="Z203" s="3" t="s">
        <v>180</v>
      </c>
      <c r="AA203" s="6" t="s">
        <v>217</v>
      </c>
      <c r="AB203" s="142" t="s">
        <v>196</v>
      </c>
      <c r="AC203" s="165" t="s">
        <v>5</v>
      </c>
      <c r="AD203" s="165">
        <v>44227</v>
      </c>
      <c r="AE203" s="165" t="s">
        <v>5</v>
      </c>
      <c r="AF203" s="5"/>
      <c r="AG203" s="41"/>
      <c r="AH203" s="212"/>
      <c r="AI203" s="76" t="s">
        <v>669</v>
      </c>
      <c r="AJ203" s="76"/>
      <c r="AK203" s="221" t="e">
        <f>SUM(#REF!,BT203,BV203)</f>
        <v>#REF!</v>
      </c>
      <c r="AL203" s="153"/>
      <c r="AM203" s="153"/>
      <c r="AN203" s="153"/>
      <c r="AO203" s="153"/>
      <c r="AP203" s="153"/>
      <c r="AQ203" s="153"/>
      <c r="AR203" s="51"/>
      <c r="AS203" s="51">
        <v>0</v>
      </c>
      <c r="AT203" s="51">
        <v>90.932100000000005</v>
      </c>
      <c r="AU203" s="51">
        <v>1.0629599999999999</v>
      </c>
      <c r="AV203" s="44">
        <v>99.994</v>
      </c>
      <c r="AW203" s="44"/>
      <c r="AX203" s="90">
        <f t="shared" si="85"/>
        <v>99.994</v>
      </c>
      <c r="AY203" s="157">
        <f t="shared" si="98"/>
        <v>1.0724</v>
      </c>
      <c r="AZ203" s="182">
        <v>0</v>
      </c>
      <c r="BA203" s="158">
        <v>1.0629599999999999</v>
      </c>
      <c r="BB203" s="182">
        <v>0</v>
      </c>
      <c r="BC203" s="158">
        <v>-9.4800000000000006E-3</v>
      </c>
      <c r="BD203" s="182">
        <v>0</v>
      </c>
      <c r="BE203" s="158">
        <v>1.8920000000000003E-2</v>
      </c>
      <c r="BF203" s="182">
        <v>0</v>
      </c>
      <c r="BG203" s="158"/>
      <c r="BH203" s="182">
        <v>0</v>
      </c>
      <c r="BI203" s="158"/>
      <c r="BJ203" s="182">
        <v>0</v>
      </c>
      <c r="BK203" s="158"/>
      <c r="BL203" s="182"/>
      <c r="BM203" s="158"/>
      <c r="BN203" s="182"/>
      <c r="BO203" s="158"/>
      <c r="BP203" s="182"/>
      <c r="BQ203" s="158"/>
      <c r="BR203" s="182"/>
      <c r="BS203" s="158"/>
      <c r="BT203" s="182"/>
      <c r="BU203" s="158"/>
      <c r="BV203" s="182"/>
      <c r="BW203" s="234"/>
      <c r="BX203" s="237"/>
      <c r="BY203" s="81">
        <f t="shared" si="99"/>
        <v>0</v>
      </c>
      <c r="BZ203" s="241"/>
      <c r="CA203" s="241"/>
      <c r="CB203" s="241"/>
      <c r="CC203" s="241"/>
      <c r="CD203" s="241"/>
      <c r="CE203" s="241"/>
      <c r="CF203" s="241"/>
      <c r="CG203" s="241"/>
      <c r="CH203" s="241"/>
      <c r="CI203" s="241"/>
      <c r="CJ203" s="241"/>
      <c r="CK203" s="241"/>
      <c r="CL203" s="195">
        <f t="shared" si="89"/>
        <v>0</v>
      </c>
      <c r="CM203" s="196"/>
      <c r="CN203" s="196"/>
      <c r="CO203" s="196"/>
      <c r="CP203" s="196"/>
      <c r="CQ203" s="196"/>
      <c r="CR203" s="196"/>
      <c r="CS203" s="196"/>
      <c r="CT203" s="196"/>
      <c r="CU203" s="196"/>
      <c r="CV203" s="196"/>
      <c r="CW203" s="196"/>
      <c r="CX203" s="196"/>
      <c r="CY203" s="200">
        <f t="shared" si="86"/>
        <v>0</v>
      </c>
      <c r="CZ203" s="172">
        <f t="shared" si="100"/>
        <v>0</v>
      </c>
      <c r="DA203" s="201">
        <f t="shared" si="87"/>
        <v>1.0724</v>
      </c>
      <c r="DB203" s="201">
        <f t="shared" si="88"/>
        <v>0</v>
      </c>
      <c r="DC203" s="201">
        <f t="shared" si="90"/>
        <v>1.0724</v>
      </c>
      <c r="DD203" s="239">
        <v>1.0724</v>
      </c>
      <c r="DE203" s="201">
        <f t="shared" si="91"/>
        <v>0</v>
      </c>
      <c r="DF203" s="172" t="e">
        <f>SUM(DN203:DO203)-SUM(#REF!,BV203)+BU203</f>
        <v>#REF!</v>
      </c>
      <c r="DG203" s="207"/>
      <c r="DH203" s="225">
        <f t="shared" si="92"/>
        <v>1.0724</v>
      </c>
      <c r="DI203" s="225">
        <f t="shared" si="93"/>
        <v>0</v>
      </c>
      <c r="DJ203" s="225">
        <f t="shared" si="94"/>
        <v>0</v>
      </c>
      <c r="DK203" s="225" t="e">
        <f>SUM(BS203,#REF!,BV203)</f>
        <v>#REF!</v>
      </c>
      <c r="DL203" s="145">
        <v>99.994</v>
      </c>
      <c r="DM203" s="145">
        <v>92.004499999999993</v>
      </c>
      <c r="DN203" s="145">
        <v>0</v>
      </c>
      <c r="DO203" s="145">
        <v>0</v>
      </c>
      <c r="DP203" s="145">
        <v>92.004499999999993</v>
      </c>
      <c r="DQ203" s="145">
        <v>7.9894999999999996</v>
      </c>
      <c r="DR203" s="21">
        <f>VLOOKUP(C203,[6]Database!$B$143:$AD$521,29,FALSE)</f>
        <v>0</v>
      </c>
      <c r="DS203" s="219">
        <f t="shared" si="95"/>
        <v>0</v>
      </c>
    </row>
    <row r="204" spans="1:123" s="21" customFormat="1" ht="24" customHeight="1">
      <c r="A204" s="16"/>
      <c r="B204" s="2">
        <v>166</v>
      </c>
      <c r="C204" s="79" t="s">
        <v>530</v>
      </c>
      <c r="D204" s="79"/>
      <c r="E204" s="78" t="s">
        <v>820</v>
      </c>
      <c r="F204" s="39">
        <v>2020</v>
      </c>
      <c r="G204" s="40">
        <v>44041</v>
      </c>
      <c r="H204" s="178">
        <v>44106</v>
      </c>
      <c r="I204" s="40">
        <v>44557</v>
      </c>
      <c r="J204" s="13">
        <f t="shared" ca="1" si="84"/>
        <v>451</v>
      </c>
      <c r="K204" s="165">
        <f t="shared" si="96"/>
        <v>44653</v>
      </c>
      <c r="L204" s="165">
        <f t="shared" si="97"/>
        <v>44836</v>
      </c>
      <c r="M204" s="165"/>
      <c r="N204" s="170"/>
      <c r="O204" s="170"/>
      <c r="P204" s="170"/>
      <c r="Q204" s="170"/>
      <c r="R204" s="39" t="s">
        <v>176</v>
      </c>
      <c r="S204" s="11" t="s">
        <v>222</v>
      </c>
      <c r="T204" s="39"/>
      <c r="U204" s="5" t="s">
        <v>8</v>
      </c>
      <c r="V204" s="251">
        <v>3078126</v>
      </c>
      <c r="W204" s="5" t="s">
        <v>602</v>
      </c>
      <c r="X204" s="5" t="s">
        <v>473</v>
      </c>
      <c r="Y204" s="5" t="s">
        <v>535</v>
      </c>
      <c r="Z204" s="3" t="s">
        <v>180</v>
      </c>
      <c r="AA204" s="6" t="s">
        <v>217</v>
      </c>
      <c r="AB204" s="142" t="s">
        <v>196</v>
      </c>
      <c r="AC204" s="165" t="s">
        <v>5</v>
      </c>
      <c r="AD204" s="165">
        <v>44530</v>
      </c>
      <c r="AE204" s="165">
        <f>IFERROR(EOMONTH(L204,-2),"")</f>
        <v>44804</v>
      </c>
      <c r="AF204" s="5"/>
      <c r="AG204" s="41"/>
      <c r="AH204" s="212"/>
      <c r="AI204" s="76"/>
      <c r="AJ204" s="76"/>
      <c r="AK204" s="221" t="e">
        <f>SUM(#REF!,BT204,BV204)</f>
        <v>#REF!</v>
      </c>
      <c r="AL204" s="153"/>
      <c r="AM204" s="153"/>
      <c r="AN204" s="153"/>
      <c r="AO204" s="153"/>
      <c r="AP204" s="153"/>
      <c r="AQ204" s="153"/>
      <c r="AR204" s="51"/>
      <c r="AS204" s="51">
        <v>0</v>
      </c>
      <c r="AT204" s="51">
        <v>9.2556100000000008</v>
      </c>
      <c r="AU204" s="51">
        <v>473.62520999999998</v>
      </c>
      <c r="AV204" s="44">
        <v>492.202</v>
      </c>
      <c r="AW204" s="44"/>
      <c r="AX204" s="90">
        <f t="shared" si="85"/>
        <v>492.202</v>
      </c>
      <c r="AY204" s="157">
        <f t="shared" si="98"/>
        <v>414.81134000000003</v>
      </c>
      <c r="AZ204" s="182">
        <v>0</v>
      </c>
      <c r="BA204" s="158">
        <v>-0.87479000000000129</v>
      </c>
      <c r="BB204" s="182">
        <v>0</v>
      </c>
      <c r="BC204" s="158"/>
      <c r="BD204" s="182">
        <v>99.5</v>
      </c>
      <c r="BE204" s="158">
        <v>45.903510000000004</v>
      </c>
      <c r="BF204" s="182">
        <v>150</v>
      </c>
      <c r="BG204" s="158">
        <v>212.20408999999998</v>
      </c>
      <c r="BH204" s="182">
        <v>30</v>
      </c>
      <c r="BI204" s="158">
        <v>32.319159999999997</v>
      </c>
      <c r="BJ204" s="182">
        <v>40</v>
      </c>
      <c r="BK204" s="158">
        <v>40.636499999999998</v>
      </c>
      <c r="BL204" s="182">
        <f>40-7</f>
        <v>33</v>
      </c>
      <c r="BM204" s="158">
        <v>37.475020000000001</v>
      </c>
      <c r="BN204" s="182">
        <v>17.2</v>
      </c>
      <c r="BO204" s="158">
        <v>16.424769999999999</v>
      </c>
      <c r="BP204" s="182">
        <v>5</v>
      </c>
      <c r="BQ204" s="158">
        <v>5.1536999999999997</v>
      </c>
      <c r="BR204" s="182">
        <v>20</v>
      </c>
      <c r="BS204" s="158">
        <v>11.718029999999999</v>
      </c>
      <c r="BT204" s="182">
        <f>8+8.8-0.5</f>
        <v>16.3</v>
      </c>
      <c r="BU204" s="158">
        <v>12.904389999999999</v>
      </c>
      <c r="BV204" s="182"/>
      <c r="BW204" s="234">
        <v>0.94696000000000002</v>
      </c>
      <c r="BX204" s="237">
        <v>0.94696000000000002</v>
      </c>
      <c r="BY204" s="81">
        <f t="shared" si="99"/>
        <v>0</v>
      </c>
      <c r="BZ204" s="241"/>
      <c r="CA204" s="241"/>
      <c r="CB204" s="241"/>
      <c r="CC204" s="241"/>
      <c r="CD204" s="241"/>
      <c r="CE204" s="241"/>
      <c r="CF204" s="241"/>
      <c r="CG204" s="241"/>
      <c r="CH204" s="241"/>
      <c r="CI204" s="241"/>
      <c r="CJ204" s="241"/>
      <c r="CK204" s="241"/>
      <c r="CL204" s="195">
        <f t="shared" si="89"/>
        <v>0</v>
      </c>
      <c r="CM204" s="196"/>
      <c r="CN204" s="196"/>
      <c r="CO204" s="196"/>
      <c r="CP204" s="196"/>
      <c r="CQ204" s="196"/>
      <c r="CR204" s="196"/>
      <c r="CS204" s="196"/>
      <c r="CT204" s="196"/>
      <c r="CU204" s="196"/>
      <c r="CV204" s="196"/>
      <c r="CW204" s="196"/>
      <c r="CX204" s="196"/>
      <c r="CY204" s="200">
        <f t="shared" si="86"/>
        <v>-0.94696000000000002</v>
      </c>
      <c r="CZ204" s="172">
        <f t="shared" si="100"/>
        <v>0</v>
      </c>
      <c r="DA204" s="201">
        <f t="shared" si="87"/>
        <v>413.86438000000004</v>
      </c>
      <c r="DB204" s="201">
        <f t="shared" si="88"/>
        <v>0.94696000000000002</v>
      </c>
      <c r="DC204" s="201">
        <f t="shared" si="90"/>
        <v>414.81134000000003</v>
      </c>
      <c r="DD204" s="239">
        <v>417.25999000000007</v>
      </c>
      <c r="DE204" s="201">
        <f t="shared" si="91"/>
        <v>-2.4486500000000433</v>
      </c>
      <c r="DF204" s="172" t="e">
        <f>SUM(DN204:DO204)-SUM(#REF!,BV204)+BU204</f>
        <v>#REF!</v>
      </c>
      <c r="DG204" s="207"/>
      <c r="DH204" s="225">
        <f t="shared" si="92"/>
        <v>45.02872</v>
      </c>
      <c r="DI204" s="225">
        <f t="shared" si="93"/>
        <v>285.15974999999997</v>
      </c>
      <c r="DJ204" s="225">
        <f t="shared" si="94"/>
        <v>59.053489999999996</v>
      </c>
      <c r="DK204" s="225" t="e">
        <f>SUM(BS204,#REF!,BV204)</f>
        <v>#REF!</v>
      </c>
      <c r="DL204" s="145">
        <v>492.22</v>
      </c>
      <c r="DM204" s="145">
        <v>424.06695000000002</v>
      </c>
      <c r="DN204" s="145">
        <v>0</v>
      </c>
      <c r="DO204" s="145">
        <v>0</v>
      </c>
      <c r="DP204" s="145">
        <v>424.06695000000002</v>
      </c>
      <c r="DQ204" s="145">
        <v>68.153050000000007</v>
      </c>
      <c r="DR204" s="21">
        <f>VLOOKUP(C204,[6]Database!$B$143:$AD$521,29,FALSE)</f>
        <v>0</v>
      </c>
      <c r="DS204" s="219">
        <f t="shared" si="95"/>
        <v>0</v>
      </c>
    </row>
    <row r="205" spans="1:123" s="21" customFormat="1" ht="24" customHeight="1">
      <c r="A205" s="16"/>
      <c r="B205" s="2">
        <v>167</v>
      </c>
      <c r="C205" s="79" t="s">
        <v>533</v>
      </c>
      <c r="D205" s="79"/>
      <c r="E205" s="78"/>
      <c r="F205" s="39">
        <v>2020</v>
      </c>
      <c r="G205" s="40">
        <v>44013</v>
      </c>
      <c r="H205" s="178">
        <v>44075</v>
      </c>
      <c r="I205" s="40">
        <v>44547</v>
      </c>
      <c r="J205" s="13">
        <f t="shared" ca="1" si="84"/>
        <v>472</v>
      </c>
      <c r="K205" s="165">
        <f t="shared" si="96"/>
        <v>44622</v>
      </c>
      <c r="L205" s="165">
        <f t="shared" si="97"/>
        <v>44805</v>
      </c>
      <c r="M205" s="165"/>
      <c r="N205" s="170" t="s">
        <v>597</v>
      </c>
      <c r="O205" s="170"/>
      <c r="P205" s="170"/>
      <c r="Q205" s="170"/>
      <c r="R205" s="39" t="s">
        <v>175</v>
      </c>
      <c r="S205" s="11" t="s">
        <v>221</v>
      </c>
      <c r="T205" s="39" t="s">
        <v>909</v>
      </c>
      <c r="U205" s="5" t="s">
        <v>8</v>
      </c>
      <c r="V205" s="251">
        <v>3079739</v>
      </c>
      <c r="W205" s="5" t="s">
        <v>602</v>
      </c>
      <c r="X205" s="5" t="s">
        <v>472</v>
      </c>
      <c r="Y205" s="5" t="s">
        <v>542</v>
      </c>
      <c r="Z205" s="3" t="s">
        <v>180</v>
      </c>
      <c r="AA205" s="6" t="s">
        <v>217</v>
      </c>
      <c r="AB205" s="141" t="s">
        <v>196</v>
      </c>
      <c r="AC205" s="165" t="s">
        <v>5</v>
      </c>
      <c r="AD205" s="165">
        <v>44500</v>
      </c>
      <c r="AE205" s="165" t="s">
        <v>5</v>
      </c>
      <c r="AF205" s="5" t="s">
        <v>1037</v>
      </c>
      <c r="AG205" s="41" t="s">
        <v>1270</v>
      </c>
      <c r="AH205" s="212"/>
      <c r="AI205" s="76" t="s">
        <v>670</v>
      </c>
      <c r="AJ205" s="76" t="s">
        <v>221</v>
      </c>
      <c r="AK205" s="221" t="e">
        <f>SUM(#REF!,BT205,BV205)</f>
        <v>#REF!</v>
      </c>
      <c r="AL205" s="167"/>
      <c r="AM205" s="167"/>
      <c r="AN205" s="167"/>
      <c r="AO205" s="167"/>
      <c r="AP205" s="167"/>
      <c r="AQ205" s="167"/>
      <c r="AR205" s="51"/>
      <c r="AS205" s="51">
        <v>0</v>
      </c>
      <c r="AT205" s="51">
        <v>0</v>
      </c>
      <c r="AU205" s="51">
        <v>109.91786</v>
      </c>
      <c r="AV205" s="44">
        <v>109.91786</v>
      </c>
      <c r="AW205" s="44"/>
      <c r="AX205" s="90">
        <f t="shared" si="85"/>
        <v>109.91786</v>
      </c>
      <c r="AY205" s="157">
        <f t="shared" si="98"/>
        <v>109.67407</v>
      </c>
      <c r="AZ205" s="182">
        <v>0</v>
      </c>
      <c r="BA205" s="158">
        <v>0</v>
      </c>
      <c r="BB205" s="182">
        <v>0</v>
      </c>
      <c r="BC205" s="158"/>
      <c r="BD205" s="182">
        <v>0</v>
      </c>
      <c r="BE205" s="158">
        <v>0</v>
      </c>
      <c r="BF205" s="182">
        <v>0</v>
      </c>
      <c r="BG205" s="158"/>
      <c r="BH205" s="182">
        <v>0</v>
      </c>
      <c r="BI205" s="158"/>
      <c r="BJ205" s="182">
        <v>0</v>
      </c>
      <c r="BK205" s="158">
        <v>0.25570999999999999</v>
      </c>
      <c r="BL205" s="182"/>
      <c r="BM205" s="158">
        <v>0.57755999999999996</v>
      </c>
      <c r="BN205" s="182">
        <v>76</v>
      </c>
      <c r="BO205" s="158">
        <v>0.42019000000000001</v>
      </c>
      <c r="BP205" s="182">
        <v>106</v>
      </c>
      <c r="BQ205" s="158">
        <v>105.82956</v>
      </c>
      <c r="BR205" s="182">
        <v>2.6</v>
      </c>
      <c r="BS205" s="158"/>
      <c r="BT205" s="182">
        <v>2.5</v>
      </c>
      <c r="BU205" s="158"/>
      <c r="BV205" s="182"/>
      <c r="BW205" s="234">
        <v>2.5910500000000001</v>
      </c>
      <c r="BX205" s="237">
        <v>2.5910500000000001</v>
      </c>
      <c r="BY205" s="81">
        <f t="shared" si="99"/>
        <v>0</v>
      </c>
      <c r="BZ205" s="241"/>
      <c r="CA205" s="241"/>
      <c r="CB205" s="241"/>
      <c r="CC205" s="241"/>
      <c r="CD205" s="241"/>
      <c r="CE205" s="241"/>
      <c r="CF205" s="241"/>
      <c r="CG205" s="241"/>
      <c r="CH205" s="241"/>
      <c r="CI205" s="241"/>
      <c r="CJ205" s="241"/>
      <c r="CK205" s="241"/>
      <c r="CL205" s="195">
        <f t="shared" si="89"/>
        <v>0</v>
      </c>
      <c r="CM205" s="196"/>
      <c r="CN205" s="196"/>
      <c r="CO205" s="196"/>
      <c r="CP205" s="196"/>
      <c r="CQ205" s="196"/>
      <c r="CR205" s="196"/>
      <c r="CS205" s="196"/>
      <c r="CT205" s="196"/>
      <c r="CU205" s="196"/>
      <c r="CV205" s="196"/>
      <c r="CW205" s="196"/>
      <c r="CX205" s="196"/>
      <c r="CY205" s="200">
        <f t="shared" si="86"/>
        <v>-2.5910500000000001</v>
      </c>
      <c r="CZ205" s="172">
        <f t="shared" si="100"/>
        <v>0</v>
      </c>
      <c r="DA205" s="201">
        <f t="shared" si="87"/>
        <v>107.08302</v>
      </c>
      <c r="DB205" s="201">
        <f t="shared" si="88"/>
        <v>2.5910500000000001</v>
      </c>
      <c r="DC205" s="201">
        <f t="shared" si="90"/>
        <v>109.67407</v>
      </c>
      <c r="DD205" s="239">
        <v>109.58302</v>
      </c>
      <c r="DE205" s="201">
        <f t="shared" si="91"/>
        <v>9.1049999999995634E-2</v>
      </c>
      <c r="DF205" s="172" t="e">
        <f>SUM(DN205:DO205)-SUM(#REF!,BV205)+BU205</f>
        <v>#REF!</v>
      </c>
      <c r="DG205" s="207"/>
      <c r="DH205" s="225">
        <f t="shared" si="92"/>
        <v>0</v>
      </c>
      <c r="DI205" s="225">
        <f t="shared" si="93"/>
        <v>0.25570999999999999</v>
      </c>
      <c r="DJ205" s="225">
        <f t="shared" si="94"/>
        <v>106.82731</v>
      </c>
      <c r="DK205" s="225" t="e">
        <f>SUM(BS205,#REF!,BV205)</f>
        <v>#REF!</v>
      </c>
      <c r="DL205" s="145">
        <v>109.91786</v>
      </c>
      <c r="DM205" s="145">
        <v>109.67407</v>
      </c>
      <c r="DN205" s="145">
        <v>0</v>
      </c>
      <c r="DO205" s="145">
        <v>0</v>
      </c>
      <c r="DP205" s="145">
        <v>109.67407</v>
      </c>
      <c r="DQ205" s="145">
        <v>0.24378999999999998</v>
      </c>
      <c r="DR205" s="21">
        <f>VLOOKUP(C205,[6]Database!$B$143:$AD$521,29,FALSE)</f>
        <v>0</v>
      </c>
      <c r="DS205" s="219">
        <f t="shared" si="95"/>
        <v>0</v>
      </c>
    </row>
    <row r="206" spans="1:123" s="21" customFormat="1" ht="24" customHeight="1">
      <c r="A206" s="16"/>
      <c r="B206" s="2">
        <v>169</v>
      </c>
      <c r="C206" s="79" t="s">
        <v>539</v>
      </c>
      <c r="D206" s="79"/>
      <c r="E206" s="78"/>
      <c r="F206" s="39">
        <v>2020</v>
      </c>
      <c r="G206" s="40">
        <v>44013</v>
      </c>
      <c r="H206" s="40">
        <v>44075</v>
      </c>
      <c r="I206" s="40">
        <v>44159</v>
      </c>
      <c r="J206" s="13">
        <f t="shared" ca="1" si="84"/>
        <v>84</v>
      </c>
      <c r="K206" s="165">
        <f t="shared" si="96"/>
        <v>44622</v>
      </c>
      <c r="L206" s="165">
        <f t="shared" si="97"/>
        <v>44805</v>
      </c>
      <c r="M206" s="165"/>
      <c r="N206" s="170"/>
      <c r="O206" s="170"/>
      <c r="P206" s="170"/>
      <c r="Q206" s="170"/>
      <c r="R206" s="79" t="s">
        <v>178</v>
      </c>
      <c r="S206" s="11"/>
      <c r="T206" s="79"/>
      <c r="U206" s="5" t="s">
        <v>8</v>
      </c>
      <c r="V206" s="251">
        <v>3084730</v>
      </c>
      <c r="W206" s="5" t="s">
        <v>602</v>
      </c>
      <c r="X206" s="5" t="s">
        <v>480</v>
      </c>
      <c r="Y206" s="5" t="s">
        <v>464</v>
      </c>
      <c r="Z206" s="3" t="s">
        <v>187</v>
      </c>
      <c r="AA206" s="6" t="s">
        <v>217</v>
      </c>
      <c r="AB206" s="142" t="s">
        <v>196</v>
      </c>
      <c r="AC206" s="165" t="s">
        <v>5</v>
      </c>
      <c r="AD206" s="165" t="s">
        <v>5</v>
      </c>
      <c r="AE206" s="165" t="s">
        <v>5</v>
      </c>
      <c r="AF206" s="5"/>
      <c r="AG206" s="41"/>
      <c r="AH206" s="212"/>
      <c r="AI206" s="76"/>
      <c r="AJ206" s="76"/>
      <c r="AK206" s="221" t="e">
        <f>SUM(#REF!,BT206,BV206)</f>
        <v>#REF!</v>
      </c>
      <c r="AL206" s="167"/>
      <c r="AM206" s="167"/>
      <c r="AN206" s="167"/>
      <c r="AO206" s="167"/>
      <c r="AP206" s="167"/>
      <c r="AQ206" s="167"/>
      <c r="AR206" s="51">
        <v>0</v>
      </c>
      <c r="AS206" s="51">
        <v>0</v>
      </c>
      <c r="AT206" s="51">
        <v>14.204100000000002</v>
      </c>
      <c r="AU206" s="51"/>
      <c r="AV206" s="44">
        <v>18.2</v>
      </c>
      <c r="AW206" s="44"/>
      <c r="AX206" s="90">
        <f t="shared" si="85"/>
        <v>18.2</v>
      </c>
      <c r="AY206" s="157">
        <f t="shared" si="98"/>
        <v>0</v>
      </c>
      <c r="AZ206" s="182">
        <v>0</v>
      </c>
      <c r="BA206" s="158">
        <v>0</v>
      </c>
      <c r="BB206" s="182">
        <v>0</v>
      </c>
      <c r="BC206" s="158"/>
      <c r="BD206" s="182">
        <v>0</v>
      </c>
      <c r="BE206" s="158">
        <v>0</v>
      </c>
      <c r="BF206" s="182">
        <v>0</v>
      </c>
      <c r="BG206" s="158"/>
      <c r="BH206" s="182">
        <v>0</v>
      </c>
      <c r="BI206" s="158"/>
      <c r="BJ206" s="182">
        <v>0</v>
      </c>
      <c r="BK206" s="158"/>
      <c r="BL206" s="182"/>
      <c r="BM206" s="158"/>
      <c r="BN206" s="182"/>
      <c r="BO206" s="158"/>
      <c r="BP206" s="182"/>
      <c r="BQ206" s="158"/>
      <c r="BR206" s="182"/>
      <c r="BS206" s="158"/>
      <c r="BT206" s="182"/>
      <c r="BU206" s="158"/>
      <c r="BV206" s="182"/>
      <c r="BW206" s="234"/>
      <c r="BX206" s="237"/>
      <c r="BY206" s="81">
        <f t="shared" si="99"/>
        <v>0</v>
      </c>
      <c r="BZ206" s="198"/>
      <c r="CA206" s="198"/>
      <c r="CB206" s="198"/>
      <c r="CC206" s="198"/>
      <c r="CD206" s="198"/>
      <c r="CE206" s="198"/>
      <c r="CF206" s="198"/>
      <c r="CG206" s="198"/>
      <c r="CH206" s="198"/>
      <c r="CI206" s="198"/>
      <c r="CJ206" s="198"/>
      <c r="CK206" s="198"/>
      <c r="CL206" s="195">
        <f t="shared" si="89"/>
        <v>0</v>
      </c>
      <c r="CM206" s="196"/>
      <c r="CN206" s="196"/>
      <c r="CO206" s="196"/>
      <c r="CP206" s="196"/>
      <c r="CQ206" s="196"/>
      <c r="CR206" s="196"/>
      <c r="CS206" s="196"/>
      <c r="CT206" s="196"/>
      <c r="CU206" s="196"/>
      <c r="CV206" s="196"/>
      <c r="CW206" s="196"/>
      <c r="CX206" s="196"/>
      <c r="CY206" s="200">
        <f t="shared" si="86"/>
        <v>0</v>
      </c>
      <c r="CZ206" s="172">
        <f t="shared" si="100"/>
        <v>0</v>
      </c>
      <c r="DA206" s="201">
        <f t="shared" si="87"/>
        <v>0</v>
      </c>
      <c r="DB206" s="201">
        <f t="shared" si="88"/>
        <v>0</v>
      </c>
      <c r="DC206" s="201">
        <f t="shared" si="90"/>
        <v>0</v>
      </c>
      <c r="DD206" s="239">
        <v>0</v>
      </c>
      <c r="DE206" s="201">
        <f t="shared" si="91"/>
        <v>0</v>
      </c>
      <c r="DF206" s="172" t="e">
        <f>SUM(DN206:DO206)-SUM(#REF!,BV206)+BU206</f>
        <v>#REF!</v>
      </c>
      <c r="DG206" s="207"/>
      <c r="DH206" s="225">
        <f t="shared" si="92"/>
        <v>0</v>
      </c>
      <c r="DI206" s="225">
        <f t="shared" si="93"/>
        <v>0</v>
      </c>
      <c r="DJ206" s="225">
        <f t="shared" si="94"/>
        <v>0</v>
      </c>
      <c r="DK206" s="225" t="e">
        <f>SUM(BS206,#REF!,BV206)</f>
        <v>#REF!</v>
      </c>
      <c r="DL206" s="145">
        <v>18.2</v>
      </c>
      <c r="DM206" s="145">
        <v>14.2041</v>
      </c>
      <c r="DN206" s="145">
        <v>0</v>
      </c>
      <c r="DO206" s="145">
        <v>0</v>
      </c>
      <c r="DP206" s="145">
        <v>14.2041</v>
      </c>
      <c r="DQ206" s="145">
        <v>3.9959000000000002</v>
      </c>
      <c r="DS206" s="219">
        <f t="shared" si="95"/>
        <v>0</v>
      </c>
    </row>
    <row r="207" spans="1:123" s="21" customFormat="1" ht="24" customHeight="1">
      <c r="A207" s="16"/>
      <c r="B207" s="2">
        <v>170</v>
      </c>
      <c r="C207" s="79" t="s">
        <v>538</v>
      </c>
      <c r="D207" s="79"/>
      <c r="E207" s="78"/>
      <c r="F207" s="39">
        <v>2020</v>
      </c>
      <c r="G207" s="40">
        <v>44041</v>
      </c>
      <c r="H207" s="178">
        <v>44088</v>
      </c>
      <c r="I207" s="40">
        <v>44237</v>
      </c>
      <c r="J207" s="13">
        <f t="shared" ca="1" si="84"/>
        <v>149</v>
      </c>
      <c r="K207" s="165">
        <f t="shared" si="96"/>
        <v>44635</v>
      </c>
      <c r="L207" s="165">
        <f t="shared" si="97"/>
        <v>44818</v>
      </c>
      <c r="M207" s="165"/>
      <c r="N207" s="170"/>
      <c r="O207" s="170"/>
      <c r="P207" s="170"/>
      <c r="Q207" s="170"/>
      <c r="R207" s="39" t="s">
        <v>175</v>
      </c>
      <c r="S207" s="11" t="s">
        <v>221</v>
      </c>
      <c r="T207" s="39" t="s">
        <v>909</v>
      </c>
      <c r="U207" s="5" t="s">
        <v>8</v>
      </c>
      <c r="V207" s="251">
        <v>3106839</v>
      </c>
      <c r="W207" s="5" t="s">
        <v>602</v>
      </c>
      <c r="X207" s="5" t="s">
        <v>472</v>
      </c>
      <c r="Y207" s="5" t="s">
        <v>537</v>
      </c>
      <c r="Z207" s="3" t="s">
        <v>186</v>
      </c>
      <c r="AA207" s="6" t="s">
        <v>217</v>
      </c>
      <c r="AB207" s="142" t="s">
        <v>196</v>
      </c>
      <c r="AC207" s="165" t="s">
        <v>5</v>
      </c>
      <c r="AD207" s="165">
        <v>44255</v>
      </c>
      <c r="AE207" s="165" t="s">
        <v>5</v>
      </c>
      <c r="AF207" s="5"/>
      <c r="AG207" s="41"/>
      <c r="AH207" s="212"/>
      <c r="AI207" s="76"/>
      <c r="AJ207" s="76"/>
      <c r="AK207" s="221" t="e">
        <f>SUM(#REF!,BT207,BV207)</f>
        <v>#REF!</v>
      </c>
      <c r="AL207" s="167"/>
      <c r="AM207" s="167"/>
      <c r="AN207" s="167"/>
      <c r="AO207" s="167"/>
      <c r="AP207" s="167"/>
      <c r="AQ207" s="167"/>
      <c r="AR207" s="51"/>
      <c r="AS207" s="51">
        <v>0</v>
      </c>
      <c r="AT207" s="51">
        <v>32.009619999999998</v>
      </c>
      <c r="AU207" s="51">
        <v>0.42429999999999995</v>
      </c>
      <c r="AV207" s="44">
        <v>98.66037</v>
      </c>
      <c r="AW207" s="44"/>
      <c r="AX207" s="90">
        <f t="shared" si="85"/>
        <v>98.66037</v>
      </c>
      <c r="AY207" s="157">
        <f t="shared" si="98"/>
        <v>0.42429999999999995</v>
      </c>
      <c r="AZ207" s="182">
        <v>0</v>
      </c>
      <c r="BA207" s="158">
        <v>0.42429999999999995</v>
      </c>
      <c r="BB207" s="182">
        <v>0</v>
      </c>
      <c r="BC207" s="158"/>
      <c r="BD207" s="182">
        <v>0</v>
      </c>
      <c r="BE207" s="158">
        <v>0</v>
      </c>
      <c r="BF207" s="182">
        <v>0</v>
      </c>
      <c r="BG207" s="158"/>
      <c r="BH207" s="182">
        <v>0</v>
      </c>
      <c r="BI207" s="158"/>
      <c r="BJ207" s="182">
        <v>0</v>
      </c>
      <c r="BK207" s="158"/>
      <c r="BL207" s="182"/>
      <c r="BM207" s="158"/>
      <c r="BN207" s="182"/>
      <c r="BO207" s="158"/>
      <c r="BP207" s="182"/>
      <c r="BQ207" s="158"/>
      <c r="BR207" s="182"/>
      <c r="BS207" s="158"/>
      <c r="BT207" s="182"/>
      <c r="BU207" s="158"/>
      <c r="BV207" s="182"/>
      <c r="BW207" s="234"/>
      <c r="BX207" s="237"/>
      <c r="BY207" s="81">
        <f t="shared" si="99"/>
        <v>0</v>
      </c>
      <c r="BZ207" s="241"/>
      <c r="CA207" s="241"/>
      <c r="CB207" s="241"/>
      <c r="CC207" s="241"/>
      <c r="CD207" s="241"/>
      <c r="CE207" s="241"/>
      <c r="CF207" s="241"/>
      <c r="CG207" s="241"/>
      <c r="CH207" s="241"/>
      <c r="CI207" s="241"/>
      <c r="CJ207" s="241"/>
      <c r="CK207" s="241"/>
      <c r="CL207" s="195">
        <f t="shared" si="89"/>
        <v>0</v>
      </c>
      <c r="CM207" s="196"/>
      <c r="CN207" s="196"/>
      <c r="CO207" s="196"/>
      <c r="CP207" s="196"/>
      <c r="CQ207" s="196"/>
      <c r="CR207" s="196"/>
      <c r="CS207" s="196"/>
      <c r="CT207" s="196"/>
      <c r="CU207" s="196"/>
      <c r="CV207" s="196"/>
      <c r="CW207" s="196"/>
      <c r="CX207" s="196"/>
      <c r="CY207" s="200">
        <f t="shared" si="86"/>
        <v>0</v>
      </c>
      <c r="CZ207" s="172">
        <f t="shared" si="100"/>
        <v>0</v>
      </c>
      <c r="DA207" s="201">
        <f t="shared" si="87"/>
        <v>0.42429999999999995</v>
      </c>
      <c r="DB207" s="201">
        <f t="shared" si="88"/>
        <v>0</v>
      </c>
      <c r="DC207" s="201">
        <f t="shared" si="90"/>
        <v>0.42429999999999995</v>
      </c>
      <c r="DD207" s="239">
        <v>0.42429999999999995</v>
      </c>
      <c r="DE207" s="201">
        <f t="shared" si="91"/>
        <v>0</v>
      </c>
      <c r="DF207" s="172" t="e">
        <f>SUM(DN207:DO207)-SUM(#REF!,BV207)+BU207</f>
        <v>#REF!</v>
      </c>
      <c r="DG207" s="207"/>
      <c r="DH207" s="225">
        <f t="shared" si="92"/>
        <v>0.42429999999999995</v>
      </c>
      <c r="DI207" s="225">
        <f t="shared" si="93"/>
        <v>0</v>
      </c>
      <c r="DJ207" s="225">
        <f t="shared" si="94"/>
        <v>0</v>
      </c>
      <c r="DK207" s="225" t="e">
        <f>SUM(BS207,#REF!,BV207)</f>
        <v>#REF!</v>
      </c>
      <c r="DL207" s="145">
        <v>98.66037</v>
      </c>
      <c r="DM207" s="145">
        <v>32.433920000000001</v>
      </c>
      <c r="DN207" s="145">
        <v>0</v>
      </c>
      <c r="DO207" s="145">
        <v>0</v>
      </c>
      <c r="DP207" s="145">
        <v>32.433920000000001</v>
      </c>
      <c r="DQ207" s="145">
        <v>66.22645</v>
      </c>
      <c r="DR207" s="21">
        <f>VLOOKUP(C207,[6]Database!$B$143:$AD$521,29,FALSE)</f>
        <v>0</v>
      </c>
      <c r="DS207" s="219">
        <f t="shared" si="95"/>
        <v>0</v>
      </c>
    </row>
    <row r="208" spans="1:123" s="21" customFormat="1" ht="24" customHeight="1">
      <c r="A208" s="16"/>
      <c r="B208" s="2">
        <v>171</v>
      </c>
      <c r="C208" s="79" t="s">
        <v>552</v>
      </c>
      <c r="D208" s="79"/>
      <c r="E208" s="78" t="s">
        <v>848</v>
      </c>
      <c r="F208" s="39">
        <v>2020</v>
      </c>
      <c r="G208" s="40">
        <v>44044</v>
      </c>
      <c r="H208" s="178">
        <v>44105</v>
      </c>
      <c r="I208" s="40">
        <v>44342</v>
      </c>
      <c r="J208" s="13">
        <f t="shared" ca="1" si="84"/>
        <v>237</v>
      </c>
      <c r="K208" s="165">
        <f t="shared" si="96"/>
        <v>44652</v>
      </c>
      <c r="L208" s="165">
        <f t="shared" si="97"/>
        <v>44835</v>
      </c>
      <c r="M208" s="165"/>
      <c r="N208" s="170"/>
      <c r="O208" s="170"/>
      <c r="P208" s="170"/>
      <c r="Q208" s="170"/>
      <c r="R208" s="39" t="s">
        <v>175</v>
      </c>
      <c r="S208" s="11" t="s">
        <v>4</v>
      </c>
      <c r="T208" s="39" t="s">
        <v>904</v>
      </c>
      <c r="U208" s="5" t="s">
        <v>8</v>
      </c>
      <c r="V208" s="251">
        <v>3101044</v>
      </c>
      <c r="W208" s="5" t="s">
        <v>602</v>
      </c>
      <c r="X208" s="5" t="s">
        <v>477</v>
      </c>
      <c r="Y208" s="5" t="s">
        <v>544</v>
      </c>
      <c r="Z208" s="78" t="s">
        <v>185</v>
      </c>
      <c r="AA208" s="6" t="s">
        <v>217</v>
      </c>
      <c r="AB208" s="142" t="s">
        <v>196</v>
      </c>
      <c r="AC208" s="165" t="s">
        <v>5</v>
      </c>
      <c r="AD208" s="165" t="s">
        <v>5</v>
      </c>
      <c r="AE208" s="165" t="s">
        <v>5</v>
      </c>
      <c r="AF208" s="5"/>
      <c r="AG208" s="41"/>
      <c r="AH208" s="212"/>
      <c r="AI208" s="76"/>
      <c r="AJ208" s="76"/>
      <c r="AK208" s="221" t="e">
        <f>SUM(#REF!,BT208,BV208)</f>
        <v>#REF!</v>
      </c>
      <c r="AL208" s="153"/>
      <c r="AM208" s="153"/>
      <c r="AN208" s="153"/>
      <c r="AO208" s="153"/>
      <c r="AP208" s="153"/>
      <c r="AQ208" s="153"/>
      <c r="AR208" s="51"/>
      <c r="AS208" s="51">
        <v>0</v>
      </c>
      <c r="AT208" s="51">
        <v>49.867959999999997</v>
      </c>
      <c r="AU208" s="51">
        <v>7.8740199999999998</v>
      </c>
      <c r="AV208" s="44">
        <v>63.145000000000003</v>
      </c>
      <c r="AW208" s="44"/>
      <c r="AX208" s="90">
        <f t="shared" si="85"/>
        <v>63.145000000000003</v>
      </c>
      <c r="AY208" s="157">
        <f t="shared" si="98"/>
        <v>9.2854599999999987</v>
      </c>
      <c r="AZ208" s="182">
        <v>1.7</v>
      </c>
      <c r="BA208" s="158">
        <v>0.87401999999999991</v>
      </c>
      <c r="BB208" s="182">
        <v>7</v>
      </c>
      <c r="BC208" s="158">
        <v>6.2153799999999997</v>
      </c>
      <c r="BD208" s="182">
        <v>0.7</v>
      </c>
      <c r="BE208" s="158">
        <v>1.46773</v>
      </c>
      <c r="BF208" s="182">
        <v>0</v>
      </c>
      <c r="BG208" s="158"/>
      <c r="BH208" s="182">
        <v>0.7</v>
      </c>
      <c r="BI208" s="158">
        <v>0.72833000000000003</v>
      </c>
      <c r="BJ208" s="182">
        <v>0</v>
      </c>
      <c r="BK208" s="158"/>
      <c r="BL208" s="182"/>
      <c r="BM208" s="158"/>
      <c r="BN208" s="182"/>
      <c r="BO208" s="158"/>
      <c r="BP208" s="182"/>
      <c r="BQ208" s="158"/>
      <c r="BR208" s="182"/>
      <c r="BS208" s="158"/>
      <c r="BT208" s="182"/>
      <c r="BU208" s="158"/>
      <c r="BV208" s="182"/>
      <c r="BW208" s="234"/>
      <c r="BX208" s="237"/>
      <c r="BY208" s="81">
        <f t="shared" si="99"/>
        <v>0</v>
      </c>
      <c r="BZ208" s="241"/>
      <c r="CA208" s="241"/>
      <c r="CB208" s="241"/>
      <c r="CC208" s="241"/>
      <c r="CD208" s="241"/>
      <c r="CE208" s="241"/>
      <c r="CF208" s="241"/>
      <c r="CG208" s="241"/>
      <c r="CH208" s="241"/>
      <c r="CI208" s="241"/>
      <c r="CJ208" s="241"/>
      <c r="CK208" s="241"/>
      <c r="CL208" s="195">
        <f t="shared" si="89"/>
        <v>0</v>
      </c>
      <c r="CM208" s="196"/>
      <c r="CN208" s="196"/>
      <c r="CO208" s="196"/>
      <c r="CP208" s="196"/>
      <c r="CQ208" s="196"/>
      <c r="CR208" s="196"/>
      <c r="CS208" s="196"/>
      <c r="CT208" s="196"/>
      <c r="CU208" s="196"/>
      <c r="CV208" s="196"/>
      <c r="CW208" s="196"/>
      <c r="CX208" s="196"/>
      <c r="CY208" s="200">
        <f t="shared" si="86"/>
        <v>0</v>
      </c>
      <c r="CZ208" s="172">
        <f t="shared" si="100"/>
        <v>0</v>
      </c>
      <c r="DA208" s="201">
        <f t="shared" si="87"/>
        <v>9.2854599999999987</v>
      </c>
      <c r="DB208" s="201">
        <f t="shared" si="88"/>
        <v>0</v>
      </c>
      <c r="DC208" s="201">
        <f t="shared" si="90"/>
        <v>9.2854599999999987</v>
      </c>
      <c r="DD208" s="239">
        <v>9.2854599999999987</v>
      </c>
      <c r="DE208" s="201">
        <f t="shared" si="91"/>
        <v>0</v>
      </c>
      <c r="DF208" s="172" t="e">
        <f>SUM(DN208:DO208)-SUM(#REF!,BV208)+BU208</f>
        <v>#REF!</v>
      </c>
      <c r="DG208" s="207"/>
      <c r="DH208" s="225">
        <f t="shared" si="92"/>
        <v>8.557129999999999</v>
      </c>
      <c r="DI208" s="225">
        <f t="shared" si="93"/>
        <v>0.72833000000000003</v>
      </c>
      <c r="DJ208" s="225">
        <f t="shared" si="94"/>
        <v>0</v>
      </c>
      <c r="DK208" s="225" t="e">
        <f>SUM(BS208,#REF!,BV208)</f>
        <v>#REF!</v>
      </c>
      <c r="DL208" s="145">
        <v>63.145000000000003</v>
      </c>
      <c r="DM208" s="145">
        <v>59.153419999999997</v>
      </c>
      <c r="DN208" s="145">
        <v>0</v>
      </c>
      <c r="DO208" s="145">
        <v>0</v>
      </c>
      <c r="DP208" s="145">
        <v>59.153419999999997</v>
      </c>
      <c r="DQ208" s="145">
        <v>3.9915799999999999</v>
      </c>
      <c r="DR208" s="21">
        <f>VLOOKUP(C208,[6]Database!$B$143:$AD$521,29,FALSE)</f>
        <v>0</v>
      </c>
      <c r="DS208" s="219">
        <f t="shared" si="95"/>
        <v>0</v>
      </c>
    </row>
    <row r="209" spans="1:123" s="21" customFormat="1" ht="24" customHeight="1">
      <c r="A209" s="16"/>
      <c r="B209" s="2">
        <v>172</v>
      </c>
      <c r="C209" s="79" t="s">
        <v>551</v>
      </c>
      <c r="D209" s="79"/>
      <c r="E209" s="78"/>
      <c r="F209" s="39">
        <v>2020</v>
      </c>
      <c r="G209" s="40">
        <v>44044</v>
      </c>
      <c r="H209" s="178">
        <v>44075</v>
      </c>
      <c r="I209" s="40">
        <v>44405</v>
      </c>
      <c r="J209" s="13">
        <f t="shared" ca="1" si="84"/>
        <v>330</v>
      </c>
      <c r="K209" s="165">
        <f t="shared" si="96"/>
        <v>44622</v>
      </c>
      <c r="L209" s="165">
        <f t="shared" si="97"/>
        <v>44805</v>
      </c>
      <c r="M209" s="165"/>
      <c r="N209" s="170"/>
      <c r="O209" s="170"/>
      <c r="P209" s="170"/>
      <c r="Q209" s="170"/>
      <c r="R209" s="39" t="s">
        <v>178</v>
      </c>
      <c r="S209" s="11"/>
      <c r="T209" s="39"/>
      <c r="U209" s="5" t="s">
        <v>8</v>
      </c>
      <c r="V209" s="251">
        <v>3114884</v>
      </c>
      <c r="W209" s="5" t="s">
        <v>602</v>
      </c>
      <c r="X209" s="5" t="s">
        <v>478</v>
      </c>
      <c r="Y209" s="5" t="s">
        <v>561</v>
      </c>
      <c r="Z209" s="3" t="s">
        <v>187</v>
      </c>
      <c r="AA209" s="6" t="s">
        <v>217</v>
      </c>
      <c r="AB209" s="142" t="s">
        <v>196</v>
      </c>
      <c r="AC209" s="165" t="s">
        <v>5</v>
      </c>
      <c r="AD209" s="165" t="s">
        <v>5</v>
      </c>
      <c r="AE209" s="165" t="s">
        <v>5</v>
      </c>
      <c r="AF209" s="5"/>
      <c r="AG209" s="41"/>
      <c r="AH209" s="212"/>
      <c r="AI209" s="76"/>
      <c r="AJ209" s="76"/>
      <c r="AK209" s="221" t="e">
        <f>SUM(#REF!,BT209,BV209)</f>
        <v>#REF!</v>
      </c>
      <c r="AL209" s="167"/>
      <c r="AM209" s="167"/>
      <c r="AN209" s="167"/>
      <c r="AO209" s="167"/>
      <c r="AP209" s="167"/>
      <c r="AQ209" s="167"/>
      <c r="AR209" s="51"/>
      <c r="AS209" s="51">
        <v>0</v>
      </c>
      <c r="AT209" s="51">
        <v>83.551780000000008</v>
      </c>
      <c r="AU209" s="51">
        <v>89.973389999999995</v>
      </c>
      <c r="AV209" s="44">
        <v>234.983</v>
      </c>
      <c r="AW209" s="44"/>
      <c r="AX209" s="90">
        <f t="shared" si="85"/>
        <v>234.983</v>
      </c>
      <c r="AY209" s="157">
        <f t="shared" si="98"/>
        <v>155.51114999999999</v>
      </c>
      <c r="AZ209" s="182">
        <v>0</v>
      </c>
      <c r="BA209" s="158">
        <v>-18.946060000000003</v>
      </c>
      <c r="BB209" s="182">
        <v>9.1999999999999993</v>
      </c>
      <c r="BC209" s="158">
        <v>16.27946</v>
      </c>
      <c r="BD209" s="182">
        <v>0</v>
      </c>
      <c r="BE209" s="158">
        <v>0</v>
      </c>
      <c r="BF209" s="182">
        <v>0</v>
      </c>
      <c r="BG209" s="158"/>
      <c r="BH209" s="182">
        <v>79.113990000000001</v>
      </c>
      <c r="BI209" s="158">
        <v>115.32286999999999</v>
      </c>
      <c r="BJ209" s="182">
        <v>35</v>
      </c>
      <c r="BK209" s="158">
        <v>41.879849999999998</v>
      </c>
      <c r="BL209" s="182"/>
      <c r="BM209" s="158">
        <v>0.69567999999999997</v>
      </c>
      <c r="BN209" s="182"/>
      <c r="BO209" s="158">
        <v>0.27935000000000004</v>
      </c>
      <c r="BP209" s="182"/>
      <c r="BQ209" s="158"/>
      <c r="BR209" s="182"/>
      <c r="BS209" s="158"/>
      <c r="BT209" s="182"/>
      <c r="BU209" s="158"/>
      <c r="BV209" s="182"/>
      <c r="BW209" s="234"/>
      <c r="BX209" s="237"/>
      <c r="BY209" s="81">
        <f t="shared" si="99"/>
        <v>0</v>
      </c>
      <c r="BZ209" s="198"/>
      <c r="CA209" s="198"/>
      <c r="CB209" s="198"/>
      <c r="CC209" s="198"/>
      <c r="CD209" s="198"/>
      <c r="CE209" s="198"/>
      <c r="CF209" s="198"/>
      <c r="CG209" s="198"/>
      <c r="CH209" s="198"/>
      <c r="CI209" s="198"/>
      <c r="CJ209" s="198"/>
      <c r="CK209" s="198"/>
      <c r="CL209" s="195">
        <f t="shared" si="89"/>
        <v>0</v>
      </c>
      <c r="CM209" s="196"/>
      <c r="CN209" s="196"/>
      <c r="CO209" s="196"/>
      <c r="CP209" s="196"/>
      <c r="CQ209" s="196"/>
      <c r="CR209" s="196"/>
      <c r="CS209" s="196"/>
      <c r="CT209" s="196"/>
      <c r="CU209" s="196"/>
      <c r="CV209" s="196"/>
      <c r="CW209" s="196"/>
      <c r="CX209" s="196"/>
      <c r="CY209" s="200">
        <f t="shared" si="86"/>
        <v>0</v>
      </c>
      <c r="CZ209" s="172">
        <f t="shared" si="100"/>
        <v>0</v>
      </c>
      <c r="DA209" s="201">
        <f t="shared" si="87"/>
        <v>155.51114999999999</v>
      </c>
      <c r="DB209" s="201">
        <f t="shared" si="88"/>
        <v>0</v>
      </c>
      <c r="DC209" s="201">
        <f t="shared" si="90"/>
        <v>155.51114999999999</v>
      </c>
      <c r="DD209" s="239">
        <v>155.51114999999999</v>
      </c>
      <c r="DE209" s="201">
        <f t="shared" si="91"/>
        <v>0</v>
      </c>
      <c r="DF209" s="172" t="e">
        <f>SUM(DN209:DO209)-SUM(#REF!,BV209)+BU209</f>
        <v>#REF!</v>
      </c>
      <c r="DG209" s="207"/>
      <c r="DH209" s="225">
        <f t="shared" si="92"/>
        <v>-2.6666000000000025</v>
      </c>
      <c r="DI209" s="225">
        <f t="shared" si="93"/>
        <v>157.20272</v>
      </c>
      <c r="DJ209" s="225">
        <f t="shared" si="94"/>
        <v>0.97503000000000006</v>
      </c>
      <c r="DK209" s="225" t="e">
        <f>SUM(BS209,#REF!,BV209)</f>
        <v>#REF!</v>
      </c>
      <c r="DL209" s="145">
        <v>239.983</v>
      </c>
      <c r="DM209" s="145">
        <v>239.06292999999999</v>
      </c>
      <c r="DN209" s="145">
        <v>0</v>
      </c>
      <c r="DO209" s="145">
        <v>0</v>
      </c>
      <c r="DP209" s="145">
        <v>239.06292999999999</v>
      </c>
      <c r="DQ209" s="145">
        <v>0.92007000000000005</v>
      </c>
      <c r="DR209" s="21">
        <f>VLOOKUP(C209,[6]Database!$B$143:$AD$521,29,FALSE)</f>
        <v>0</v>
      </c>
      <c r="DS209" s="219">
        <f t="shared" si="95"/>
        <v>0</v>
      </c>
    </row>
    <row r="210" spans="1:123" s="21" customFormat="1" ht="24" customHeight="1">
      <c r="A210" s="16"/>
      <c r="B210" s="2">
        <v>173</v>
      </c>
      <c r="C210" s="79" t="s">
        <v>550</v>
      </c>
      <c r="D210" s="78"/>
      <c r="E210" s="78"/>
      <c r="F210" s="39">
        <v>2020</v>
      </c>
      <c r="G210" s="40">
        <v>44044</v>
      </c>
      <c r="H210" s="178">
        <v>44076</v>
      </c>
      <c r="I210" s="40">
        <v>44407</v>
      </c>
      <c r="J210" s="13">
        <f t="shared" ca="1" si="84"/>
        <v>331</v>
      </c>
      <c r="K210" s="165">
        <f t="shared" si="96"/>
        <v>44623</v>
      </c>
      <c r="L210" s="165">
        <f t="shared" si="97"/>
        <v>44806</v>
      </c>
      <c r="M210" s="165"/>
      <c r="N210" s="170"/>
      <c r="O210" s="170"/>
      <c r="P210" s="170"/>
      <c r="Q210" s="170"/>
      <c r="R210" s="39" t="s">
        <v>178</v>
      </c>
      <c r="S210" s="11"/>
      <c r="T210" s="39"/>
      <c r="U210" s="5" t="s">
        <v>8</v>
      </c>
      <c r="V210" s="251">
        <v>3106596</v>
      </c>
      <c r="W210" s="5" t="s">
        <v>602</v>
      </c>
      <c r="X210" s="5" t="s">
        <v>478</v>
      </c>
      <c r="Y210" s="5" t="s">
        <v>560</v>
      </c>
      <c r="Z210" s="3" t="s">
        <v>187</v>
      </c>
      <c r="AA210" s="43" t="s">
        <v>194</v>
      </c>
      <c r="AB210" s="240" t="s">
        <v>1019</v>
      </c>
      <c r="AC210" s="165" t="s">
        <v>5</v>
      </c>
      <c r="AD210" s="165">
        <v>44377</v>
      </c>
      <c r="AE210" s="165" t="s">
        <v>5</v>
      </c>
      <c r="AF210" s="5"/>
      <c r="AG210" s="41"/>
      <c r="AH210" s="212"/>
      <c r="AI210" s="115"/>
      <c r="AJ210" s="115"/>
      <c r="AK210" s="221" t="e">
        <f>SUM(#REF!,BT210,BV210)</f>
        <v>#REF!</v>
      </c>
      <c r="AL210" s="167" t="s">
        <v>1087</v>
      </c>
      <c r="AM210" s="153" t="s">
        <v>1079</v>
      </c>
      <c r="AN210" s="153" t="s">
        <v>5</v>
      </c>
      <c r="AO210" s="153" t="s">
        <v>592</v>
      </c>
      <c r="AP210" s="153" t="s">
        <v>592</v>
      </c>
      <c r="AQ210" s="153" t="s">
        <v>592</v>
      </c>
      <c r="AR210" s="52"/>
      <c r="AS210" s="51">
        <v>0</v>
      </c>
      <c r="AT210" s="51">
        <v>57.345440000000004</v>
      </c>
      <c r="AU210" s="51">
        <v>160</v>
      </c>
      <c r="AV210" s="44">
        <v>361.22300000000001</v>
      </c>
      <c r="AW210" s="44"/>
      <c r="AX210" s="90">
        <f t="shared" si="85"/>
        <v>361.22300000000001</v>
      </c>
      <c r="AY210" s="157">
        <f t="shared" si="98"/>
        <v>290.58576999999997</v>
      </c>
      <c r="AZ210" s="182">
        <v>0</v>
      </c>
      <c r="BA210" s="158">
        <v>0</v>
      </c>
      <c r="BB210" s="182">
        <v>0</v>
      </c>
      <c r="BC210" s="158"/>
      <c r="BD210" s="182">
        <v>0</v>
      </c>
      <c r="BE210" s="158">
        <v>0</v>
      </c>
      <c r="BF210" s="182">
        <v>0</v>
      </c>
      <c r="BG210" s="158"/>
      <c r="BH210" s="182">
        <v>160</v>
      </c>
      <c r="BI210" s="158">
        <v>210.14293000000001</v>
      </c>
      <c r="BJ210" s="182">
        <v>70</v>
      </c>
      <c r="BK210" s="158">
        <v>76.72453999999999</v>
      </c>
      <c r="BL210" s="183"/>
      <c r="BM210" s="158">
        <v>-0.10787999999999999</v>
      </c>
      <c r="BN210" s="183">
        <v>7.5</v>
      </c>
      <c r="BO210" s="158">
        <v>1.08212</v>
      </c>
      <c r="BP210" s="182">
        <v>7.5</v>
      </c>
      <c r="BQ210" s="158">
        <v>2.7440600000000002</v>
      </c>
      <c r="BR210" s="182">
        <f>4.9-0.2</f>
        <v>4.7</v>
      </c>
      <c r="BS210" s="158"/>
      <c r="BT210" s="182"/>
      <c r="BU210" s="158"/>
      <c r="BV210" s="182"/>
      <c r="BW210" s="234"/>
      <c r="BX210" s="237"/>
      <c r="BY210" s="81">
        <f t="shared" si="99"/>
        <v>0</v>
      </c>
      <c r="BZ210" s="242"/>
      <c r="CA210" s="242"/>
      <c r="CB210" s="242"/>
      <c r="CC210" s="242"/>
      <c r="CD210" s="242"/>
      <c r="CE210" s="242"/>
      <c r="CF210" s="242"/>
      <c r="CG210" s="242"/>
      <c r="CH210" s="242"/>
      <c r="CI210" s="242"/>
      <c r="CJ210" s="242"/>
      <c r="CK210" s="242"/>
      <c r="CL210" s="195">
        <f t="shared" si="89"/>
        <v>0</v>
      </c>
      <c r="CM210" s="197"/>
      <c r="CN210" s="197"/>
      <c r="CO210" s="197"/>
      <c r="CP210" s="197"/>
      <c r="CQ210" s="197"/>
      <c r="CR210" s="197"/>
      <c r="CS210" s="197"/>
      <c r="CT210" s="197"/>
      <c r="CU210" s="197"/>
      <c r="CV210" s="197"/>
      <c r="CW210" s="197"/>
      <c r="CX210" s="197"/>
      <c r="CY210" s="200">
        <f t="shared" si="86"/>
        <v>0</v>
      </c>
      <c r="CZ210" s="172">
        <f t="shared" si="100"/>
        <v>0</v>
      </c>
      <c r="DA210" s="201">
        <f t="shared" si="87"/>
        <v>290.58576999999997</v>
      </c>
      <c r="DB210" s="201">
        <f t="shared" si="88"/>
        <v>0</v>
      </c>
      <c r="DC210" s="201">
        <f t="shared" si="90"/>
        <v>290.58576999999997</v>
      </c>
      <c r="DD210" s="239">
        <v>290.58576999999997</v>
      </c>
      <c r="DE210" s="201">
        <f t="shared" si="91"/>
        <v>0</v>
      </c>
      <c r="DF210" s="172" t="e">
        <f>SUM(DN210:DO210)-SUM(#REF!,BV210)+BU210</f>
        <v>#REF!</v>
      </c>
      <c r="DG210" s="207"/>
      <c r="DH210" s="225">
        <f t="shared" si="92"/>
        <v>0</v>
      </c>
      <c r="DI210" s="225">
        <f t="shared" si="93"/>
        <v>286.86747000000003</v>
      </c>
      <c r="DJ210" s="225">
        <f t="shared" si="94"/>
        <v>3.7183000000000002</v>
      </c>
      <c r="DK210" s="225" t="e">
        <f>SUM(BS210,#REF!,BV210)</f>
        <v>#REF!</v>
      </c>
      <c r="DL210" s="145">
        <v>361.22300000000001</v>
      </c>
      <c r="DM210" s="145">
        <v>347.93121000000002</v>
      </c>
      <c r="DN210" s="145">
        <v>8.0744399999999992</v>
      </c>
      <c r="DO210" s="145">
        <v>0</v>
      </c>
      <c r="DP210" s="145">
        <v>356.00565</v>
      </c>
      <c r="DQ210" s="145">
        <v>5.2173500000000006</v>
      </c>
      <c r="DR210" s="21">
        <f>VLOOKUP(C210,[6]Database!$B$143:$AD$521,29,FALSE)</f>
        <v>0</v>
      </c>
      <c r="DS210" s="219">
        <f t="shared" si="95"/>
        <v>0</v>
      </c>
    </row>
    <row r="211" spans="1:123" s="21" customFormat="1" ht="24" customHeight="1">
      <c r="A211" s="16"/>
      <c r="B211" s="2">
        <v>174</v>
      </c>
      <c r="C211" s="79" t="s">
        <v>549</v>
      </c>
      <c r="D211" s="79"/>
      <c r="E211" s="78" t="s">
        <v>829</v>
      </c>
      <c r="F211" s="39">
        <v>2020</v>
      </c>
      <c r="G211" s="40">
        <v>44044</v>
      </c>
      <c r="H211" s="178">
        <v>44075</v>
      </c>
      <c r="I211" s="40"/>
      <c r="J211" s="13">
        <f t="shared" ca="1" si="84"/>
        <v>-1228.3359971064783</v>
      </c>
      <c r="K211" s="165">
        <f t="shared" si="96"/>
        <v>44622</v>
      </c>
      <c r="L211" s="165">
        <f t="shared" si="97"/>
        <v>44805</v>
      </c>
      <c r="M211" s="165"/>
      <c r="N211" s="170"/>
      <c r="O211" s="170"/>
      <c r="P211" s="170"/>
      <c r="Q211" s="170"/>
      <c r="R211" s="39" t="s">
        <v>175</v>
      </c>
      <c r="S211" s="11" t="s">
        <v>4</v>
      </c>
      <c r="T211" s="39" t="s">
        <v>905</v>
      </c>
      <c r="U211" s="5" t="s">
        <v>8</v>
      </c>
      <c r="V211" s="251">
        <v>3101444</v>
      </c>
      <c r="W211" s="5" t="s">
        <v>602</v>
      </c>
      <c r="X211" s="5" t="s">
        <v>477</v>
      </c>
      <c r="Y211" s="5" t="s">
        <v>548</v>
      </c>
      <c r="Z211" s="78" t="s">
        <v>185</v>
      </c>
      <c r="AA211" s="43" t="s">
        <v>194</v>
      </c>
      <c r="AB211" s="142" t="s">
        <v>1123</v>
      </c>
      <c r="AC211" s="165" t="s">
        <v>5</v>
      </c>
      <c r="AD211" s="165">
        <v>44561</v>
      </c>
      <c r="AE211" s="165">
        <f>IFERROR(EOMONTH(L211,-2),"")</f>
        <v>44773</v>
      </c>
      <c r="AF211" s="5"/>
      <c r="AG211" s="41"/>
      <c r="AH211" s="212"/>
      <c r="AI211" s="115"/>
      <c r="AJ211" s="115"/>
      <c r="AK211" s="221" t="e">
        <f>SUM(#REF!,BT211,BV211)</f>
        <v>#REF!</v>
      </c>
      <c r="AL211" s="153"/>
      <c r="AM211" s="153"/>
      <c r="AN211" s="153"/>
      <c r="AO211" s="153"/>
      <c r="AP211" s="153"/>
      <c r="AQ211" s="153"/>
      <c r="AR211" s="52"/>
      <c r="AS211" s="51">
        <v>0</v>
      </c>
      <c r="AT211" s="51">
        <v>44.515609999999995</v>
      </c>
      <c r="AU211" s="51">
        <v>2.2372400000000003</v>
      </c>
      <c r="AV211" s="44">
        <v>53.661000000000001</v>
      </c>
      <c r="AW211" s="44"/>
      <c r="AX211" s="90">
        <f t="shared" si="85"/>
        <v>53.661000000000001</v>
      </c>
      <c r="AY211" s="157">
        <f t="shared" si="98"/>
        <v>5.492700000000001</v>
      </c>
      <c r="AZ211" s="182">
        <v>0</v>
      </c>
      <c r="BA211" s="158">
        <v>2.2372400000000003</v>
      </c>
      <c r="BB211" s="182">
        <v>0</v>
      </c>
      <c r="BC211" s="158"/>
      <c r="BD211" s="182">
        <v>4</v>
      </c>
      <c r="BE211" s="158">
        <v>3.2554600000000002</v>
      </c>
      <c r="BF211" s="182">
        <v>0</v>
      </c>
      <c r="BG211" s="158"/>
      <c r="BH211" s="182">
        <v>0</v>
      </c>
      <c r="BI211" s="158"/>
      <c r="BJ211" s="182">
        <v>0</v>
      </c>
      <c r="BK211" s="158"/>
      <c r="BL211" s="183"/>
      <c r="BM211" s="158"/>
      <c r="BN211" s="183"/>
      <c r="BO211" s="158"/>
      <c r="BP211" s="182"/>
      <c r="BQ211" s="158"/>
      <c r="BR211" s="182"/>
      <c r="BS211" s="158"/>
      <c r="BT211" s="182"/>
      <c r="BU211" s="158"/>
      <c r="BV211" s="182"/>
      <c r="BW211" s="234"/>
      <c r="BX211" s="237"/>
      <c r="BY211" s="81">
        <f t="shared" si="99"/>
        <v>0</v>
      </c>
      <c r="BZ211" s="242"/>
      <c r="CA211" s="242"/>
      <c r="CB211" s="242"/>
      <c r="CC211" s="242"/>
      <c r="CD211" s="242"/>
      <c r="CE211" s="242"/>
      <c r="CF211" s="242"/>
      <c r="CG211" s="242"/>
      <c r="CH211" s="242"/>
      <c r="CI211" s="242"/>
      <c r="CJ211" s="242"/>
      <c r="CK211" s="242"/>
      <c r="CL211" s="195">
        <f t="shared" si="89"/>
        <v>0</v>
      </c>
      <c r="CM211" s="197"/>
      <c r="CN211" s="197"/>
      <c r="CO211" s="197"/>
      <c r="CP211" s="197"/>
      <c r="CQ211" s="197"/>
      <c r="CR211" s="197"/>
      <c r="CS211" s="197"/>
      <c r="CT211" s="197"/>
      <c r="CU211" s="197"/>
      <c r="CV211" s="197"/>
      <c r="CW211" s="197"/>
      <c r="CX211" s="197"/>
      <c r="CY211" s="200">
        <f t="shared" si="86"/>
        <v>0</v>
      </c>
      <c r="CZ211" s="172">
        <f t="shared" si="100"/>
        <v>0</v>
      </c>
      <c r="DA211" s="201">
        <f t="shared" si="87"/>
        <v>5.492700000000001</v>
      </c>
      <c r="DB211" s="201">
        <f t="shared" si="88"/>
        <v>0</v>
      </c>
      <c r="DC211" s="201">
        <f t="shared" si="90"/>
        <v>5.492700000000001</v>
      </c>
      <c r="DD211" s="239">
        <v>5.492700000000001</v>
      </c>
      <c r="DE211" s="201">
        <f t="shared" si="91"/>
        <v>0</v>
      </c>
      <c r="DF211" s="172" t="e">
        <f>SUM(DN211:DO211)-SUM(#REF!,BV211)+BU211</f>
        <v>#REF!</v>
      </c>
      <c r="DG211" s="207"/>
      <c r="DH211" s="225">
        <f t="shared" si="92"/>
        <v>5.492700000000001</v>
      </c>
      <c r="DI211" s="225">
        <f t="shared" si="93"/>
        <v>0</v>
      </c>
      <c r="DJ211" s="225">
        <f t="shared" si="94"/>
        <v>0</v>
      </c>
      <c r="DK211" s="225" t="e">
        <f>SUM(BS211,#REF!,BV211)</f>
        <v>#REF!</v>
      </c>
      <c r="DL211" s="145">
        <v>53.960999999999999</v>
      </c>
      <c r="DM211" s="145">
        <v>50.008309999999994</v>
      </c>
      <c r="DN211" s="145">
        <v>0</v>
      </c>
      <c r="DO211" s="145">
        <v>0</v>
      </c>
      <c r="DP211" s="145">
        <v>50.008309999999994</v>
      </c>
      <c r="DQ211" s="145">
        <v>3.95269</v>
      </c>
      <c r="DR211" s="21">
        <f>VLOOKUP(C211,[6]Database!$B$143:$AD$521,29,FALSE)</f>
        <v>0</v>
      </c>
      <c r="DS211" s="219">
        <f t="shared" si="95"/>
        <v>0</v>
      </c>
    </row>
    <row r="212" spans="1:123" s="21" customFormat="1" ht="24" customHeight="1">
      <c r="A212" s="16"/>
      <c r="B212" s="2">
        <v>176</v>
      </c>
      <c r="C212" s="79" t="s">
        <v>546</v>
      </c>
      <c r="D212" s="79"/>
      <c r="E212" s="78"/>
      <c r="F212" s="39">
        <v>2020</v>
      </c>
      <c r="G212" s="40">
        <v>44044</v>
      </c>
      <c r="H212" s="178">
        <v>44076</v>
      </c>
      <c r="I212" s="40"/>
      <c r="J212" s="13">
        <f t="shared" ca="1" si="84"/>
        <v>-1227.3359971064783</v>
      </c>
      <c r="K212" s="165">
        <f t="shared" si="96"/>
        <v>44623</v>
      </c>
      <c r="L212" s="165">
        <f t="shared" si="97"/>
        <v>44806</v>
      </c>
      <c r="M212" s="165"/>
      <c r="N212" s="170" t="s">
        <v>597</v>
      </c>
      <c r="O212" s="170"/>
      <c r="P212" s="259" t="s">
        <v>1266</v>
      </c>
      <c r="Q212" s="170"/>
      <c r="R212" s="39" t="s">
        <v>175</v>
      </c>
      <c r="S212" s="11" t="s">
        <v>221</v>
      </c>
      <c r="T212" s="39" t="s">
        <v>916</v>
      </c>
      <c r="U212" s="5" t="s">
        <v>8</v>
      </c>
      <c r="V212" s="251">
        <v>3102230</v>
      </c>
      <c r="W212" s="5" t="s">
        <v>602</v>
      </c>
      <c r="X212" s="5" t="s">
        <v>472</v>
      </c>
      <c r="Y212" s="5" t="s">
        <v>545</v>
      </c>
      <c r="Z212" s="3" t="s">
        <v>186</v>
      </c>
      <c r="AA212" s="43" t="s">
        <v>461</v>
      </c>
      <c r="AB212" s="142" t="s">
        <v>1336</v>
      </c>
      <c r="AC212" s="165">
        <v>44620</v>
      </c>
      <c r="AD212" s="165">
        <v>44651</v>
      </c>
      <c r="AE212" s="165">
        <f>IFERROR(EOMONTH(L212,-2),"")</f>
        <v>44773</v>
      </c>
      <c r="AF212" s="5"/>
      <c r="AG212" s="41"/>
      <c r="AH212" s="212"/>
      <c r="AI212" s="115"/>
      <c r="AJ212" s="76"/>
      <c r="AK212" s="221" t="e">
        <f>SUM(#REF!,BT212,BV212)</f>
        <v>#REF!</v>
      </c>
      <c r="AL212" s="153"/>
      <c r="AM212" s="153"/>
      <c r="AN212" s="153"/>
      <c r="AO212" s="153"/>
      <c r="AP212" s="153"/>
      <c r="AQ212" s="153"/>
      <c r="AR212" s="52"/>
      <c r="AS212" s="51">
        <v>0</v>
      </c>
      <c r="AT212" s="51">
        <v>149.07972999999998</v>
      </c>
      <c r="AU212" s="51">
        <v>274.27812</v>
      </c>
      <c r="AV212" s="44">
        <v>420.88981999999999</v>
      </c>
      <c r="AW212" s="44">
        <v>15</v>
      </c>
      <c r="AX212" s="90">
        <f t="shared" si="85"/>
        <v>435.88981999999999</v>
      </c>
      <c r="AY212" s="157">
        <f t="shared" si="98"/>
        <v>135.59897999999998</v>
      </c>
      <c r="AZ212" s="182">
        <v>0</v>
      </c>
      <c r="BA212" s="158">
        <v>0.27811999999999987</v>
      </c>
      <c r="BB212" s="182">
        <v>0</v>
      </c>
      <c r="BC212" s="158">
        <v>4.3416300000000003</v>
      </c>
      <c r="BD212" s="182">
        <v>5.5</v>
      </c>
      <c r="BE212" s="158">
        <v>83.190189999999987</v>
      </c>
      <c r="BF212" s="182">
        <v>0</v>
      </c>
      <c r="BG212" s="158">
        <v>1.9690600000000003</v>
      </c>
      <c r="BH212" s="182">
        <v>4</v>
      </c>
      <c r="BI212" s="158">
        <v>5.22525</v>
      </c>
      <c r="BJ212" s="182">
        <v>0</v>
      </c>
      <c r="BK212" s="158">
        <v>0.40783999999999998</v>
      </c>
      <c r="BL212" s="183"/>
      <c r="BM212" s="158">
        <v>3.9673800000000004</v>
      </c>
      <c r="BN212" s="183"/>
      <c r="BO212" s="158">
        <v>1.42066</v>
      </c>
      <c r="BP212" s="182"/>
      <c r="BQ212" s="158">
        <v>2.96333</v>
      </c>
      <c r="BR212" s="182"/>
      <c r="BS212" s="158"/>
      <c r="BT212" s="182"/>
      <c r="BU212" s="158"/>
      <c r="BV212" s="182">
        <v>34.5</v>
      </c>
      <c r="BW212" s="234">
        <v>31.835519999999999</v>
      </c>
      <c r="BX212" s="237">
        <v>31.835519999999999</v>
      </c>
      <c r="BY212" s="81">
        <f t="shared" si="99"/>
        <v>1.83551</v>
      </c>
      <c r="BZ212" s="242">
        <v>1.83551</v>
      </c>
      <c r="CA212" s="242"/>
      <c r="CB212" s="242"/>
      <c r="CC212" s="242"/>
      <c r="CD212" s="242"/>
      <c r="CE212" s="242"/>
      <c r="CF212" s="242"/>
      <c r="CG212" s="242"/>
      <c r="CH212" s="242"/>
      <c r="CI212" s="242"/>
      <c r="CJ212" s="242"/>
      <c r="CK212" s="242"/>
      <c r="CL212" s="195">
        <f t="shared" si="89"/>
        <v>0</v>
      </c>
      <c r="CM212" s="197"/>
      <c r="CN212" s="197"/>
      <c r="CO212" s="197"/>
      <c r="CP212" s="197"/>
      <c r="CQ212" s="197"/>
      <c r="CR212" s="197"/>
      <c r="CS212" s="197"/>
      <c r="CT212" s="197"/>
      <c r="CU212" s="197"/>
      <c r="CV212" s="197"/>
      <c r="CW212" s="197"/>
      <c r="CX212" s="197"/>
      <c r="CY212" s="200">
        <f t="shared" si="86"/>
        <v>2.6644800000000011</v>
      </c>
      <c r="CZ212" s="172">
        <f t="shared" si="100"/>
        <v>0</v>
      </c>
      <c r="DA212" s="201">
        <f t="shared" si="87"/>
        <v>103.76345999999998</v>
      </c>
      <c r="DB212" s="201">
        <f t="shared" si="88"/>
        <v>31.835519999999999</v>
      </c>
      <c r="DC212" s="201">
        <f t="shared" si="90"/>
        <v>137.43448999999998</v>
      </c>
      <c r="DD212" s="239">
        <v>171.76345999999998</v>
      </c>
      <c r="DE212" s="201">
        <f t="shared" si="91"/>
        <v>-34.328969999999998</v>
      </c>
      <c r="DF212" s="172" t="e">
        <f>SUM(DN212:DO212)-SUM(#REF!,BV212)+BU212</f>
        <v>#REF!</v>
      </c>
      <c r="DG212" s="207"/>
      <c r="DH212" s="225">
        <f t="shared" si="92"/>
        <v>87.809939999999983</v>
      </c>
      <c r="DI212" s="225">
        <f t="shared" si="93"/>
        <v>7.60215</v>
      </c>
      <c r="DJ212" s="225">
        <f t="shared" si="94"/>
        <v>8.3513699999999993</v>
      </c>
      <c r="DK212" s="225" t="e">
        <f>SUM(BS212,#REF!,BV212)</f>
        <v>#REF!</v>
      </c>
      <c r="DL212" s="145">
        <v>420.88981999999999</v>
      </c>
      <c r="DM212" s="145">
        <v>284.67871000000002</v>
      </c>
      <c r="DN212" s="145">
        <v>1.83551</v>
      </c>
      <c r="DO212" s="145">
        <v>0</v>
      </c>
      <c r="DP212" s="145">
        <v>286.51421999999997</v>
      </c>
      <c r="DQ212" s="145">
        <v>134.37560000000002</v>
      </c>
      <c r="DR212" s="21">
        <f>VLOOKUP(C212,[6]Database!$B$143:$AD$521,29,FALSE)</f>
        <v>0</v>
      </c>
      <c r="DS212" s="219">
        <f t="shared" si="95"/>
        <v>1.83551</v>
      </c>
    </row>
    <row r="213" spans="1:123" s="21" customFormat="1" ht="24" customHeight="1">
      <c r="A213" s="16"/>
      <c r="B213" s="2">
        <v>177</v>
      </c>
      <c r="C213" s="79" t="s">
        <v>556</v>
      </c>
      <c r="D213" s="79"/>
      <c r="E213" s="78"/>
      <c r="F213" s="39">
        <v>2020</v>
      </c>
      <c r="G213" s="40">
        <v>44044</v>
      </c>
      <c r="H213" s="178">
        <v>44075</v>
      </c>
      <c r="I213" s="40">
        <v>44348</v>
      </c>
      <c r="J213" s="13">
        <f t="shared" ca="1" si="84"/>
        <v>273</v>
      </c>
      <c r="K213" s="165">
        <f t="shared" si="96"/>
        <v>44622</v>
      </c>
      <c r="L213" s="165">
        <f t="shared" si="97"/>
        <v>44805</v>
      </c>
      <c r="M213" s="165"/>
      <c r="N213" s="170"/>
      <c r="O213" s="170"/>
      <c r="P213" s="165"/>
      <c r="Q213" s="170"/>
      <c r="R213" s="39" t="s">
        <v>175</v>
      </c>
      <c r="S213" s="11" t="s">
        <v>919</v>
      </c>
      <c r="T213" s="39" t="s">
        <v>906</v>
      </c>
      <c r="U213" s="5" t="s">
        <v>8</v>
      </c>
      <c r="V213" s="251">
        <v>3113964</v>
      </c>
      <c r="W213" s="5" t="s">
        <v>602</v>
      </c>
      <c r="X213" s="5" t="s">
        <v>476</v>
      </c>
      <c r="Y213" s="5" t="s">
        <v>555</v>
      </c>
      <c r="Z213" s="3" t="s">
        <v>180</v>
      </c>
      <c r="AA213" s="43" t="s">
        <v>217</v>
      </c>
      <c r="AB213" s="142" t="s">
        <v>196</v>
      </c>
      <c r="AC213" s="165" t="s">
        <v>5</v>
      </c>
      <c r="AD213" s="165" t="s">
        <v>5</v>
      </c>
      <c r="AE213" s="165" t="s">
        <v>5</v>
      </c>
      <c r="AF213" s="5" t="s">
        <v>1038</v>
      </c>
      <c r="AG213" s="41"/>
      <c r="AH213" s="212">
        <v>9.8900000000000002E-2</v>
      </c>
      <c r="AI213" s="115"/>
      <c r="AJ213" s="115"/>
      <c r="AK213" s="221" t="e">
        <f>SUM(#REF!,BT213,BV213)</f>
        <v>#REF!</v>
      </c>
      <c r="AL213" s="153"/>
      <c r="AM213" s="153"/>
      <c r="AN213" s="153"/>
      <c r="AO213" s="153"/>
      <c r="AP213" s="153"/>
      <c r="AQ213" s="153"/>
      <c r="AR213" s="52"/>
      <c r="AS213" s="51">
        <v>0</v>
      </c>
      <c r="AT213" s="51">
        <v>54.152609999999996</v>
      </c>
      <c r="AU213" s="51">
        <v>10.9</v>
      </c>
      <c r="AV213" s="44">
        <v>65.72</v>
      </c>
      <c r="AW213" s="44"/>
      <c r="AX213" s="90">
        <f t="shared" si="85"/>
        <v>65.72</v>
      </c>
      <c r="AY213" s="157">
        <f t="shared" si="98"/>
        <v>10.406239999999999</v>
      </c>
      <c r="AZ213" s="182">
        <v>3</v>
      </c>
      <c r="BA213" s="158">
        <v>0</v>
      </c>
      <c r="BB213" s="182">
        <v>4.9000000000000004</v>
      </c>
      <c r="BC213" s="158">
        <v>3.56569</v>
      </c>
      <c r="BD213" s="182">
        <v>6</v>
      </c>
      <c r="BE213" s="158">
        <v>7.3191800000000002</v>
      </c>
      <c r="BF213" s="182">
        <v>0</v>
      </c>
      <c r="BG213" s="158">
        <v>-2.5725000000000002</v>
      </c>
      <c r="BH213" s="182">
        <v>2</v>
      </c>
      <c r="BI213" s="158">
        <v>2.1075599999999999</v>
      </c>
      <c r="BJ213" s="182">
        <v>0</v>
      </c>
      <c r="BK213" s="158">
        <v>-1.3689999999999999E-2</v>
      </c>
      <c r="BL213" s="183"/>
      <c r="BM213" s="158"/>
      <c r="BN213" s="183"/>
      <c r="BO213" s="158"/>
      <c r="BP213" s="182"/>
      <c r="BQ213" s="158"/>
      <c r="BR213" s="182"/>
      <c r="BS213" s="158"/>
      <c r="BT213" s="182"/>
      <c r="BU213" s="158"/>
      <c r="BV213" s="182"/>
      <c r="BW213" s="234"/>
      <c r="BX213" s="237"/>
      <c r="BY213" s="81">
        <f t="shared" si="99"/>
        <v>0</v>
      </c>
      <c r="BZ213" s="242"/>
      <c r="CA213" s="242"/>
      <c r="CB213" s="242"/>
      <c r="CC213" s="242"/>
      <c r="CD213" s="242"/>
      <c r="CE213" s="242"/>
      <c r="CF213" s="242"/>
      <c r="CG213" s="242"/>
      <c r="CH213" s="242"/>
      <c r="CI213" s="242"/>
      <c r="CJ213" s="242"/>
      <c r="CK213" s="242"/>
      <c r="CL213" s="195">
        <f t="shared" si="89"/>
        <v>0</v>
      </c>
      <c r="CM213" s="197"/>
      <c r="CN213" s="197"/>
      <c r="CO213" s="197"/>
      <c r="CP213" s="197"/>
      <c r="CQ213" s="197"/>
      <c r="CR213" s="197"/>
      <c r="CS213" s="197"/>
      <c r="CT213" s="197"/>
      <c r="CU213" s="197"/>
      <c r="CV213" s="197"/>
      <c r="CW213" s="197"/>
      <c r="CX213" s="197"/>
      <c r="CY213" s="200">
        <f t="shared" si="86"/>
        <v>0</v>
      </c>
      <c r="CZ213" s="172">
        <f t="shared" si="100"/>
        <v>0</v>
      </c>
      <c r="DA213" s="201">
        <f t="shared" si="87"/>
        <v>10.406239999999999</v>
      </c>
      <c r="DB213" s="201">
        <f t="shared" si="88"/>
        <v>0</v>
      </c>
      <c r="DC213" s="201">
        <f t="shared" si="90"/>
        <v>10.406239999999999</v>
      </c>
      <c r="DD213" s="239">
        <v>10.406239999999999</v>
      </c>
      <c r="DE213" s="201">
        <f t="shared" si="91"/>
        <v>0</v>
      </c>
      <c r="DF213" s="172" t="e">
        <f>SUM(DN213:DO213)-SUM(#REF!,BV213)+BU213</f>
        <v>#REF!</v>
      </c>
      <c r="DG213" s="207"/>
      <c r="DH213" s="225">
        <f t="shared" si="92"/>
        <v>10.884869999999999</v>
      </c>
      <c r="DI213" s="225">
        <f t="shared" si="93"/>
        <v>-0.47863000000000033</v>
      </c>
      <c r="DJ213" s="225">
        <f t="shared" si="94"/>
        <v>0</v>
      </c>
      <c r="DK213" s="225" t="e">
        <f>SUM(BS213,#REF!,BV213)</f>
        <v>#REF!</v>
      </c>
      <c r="DL213" s="145">
        <v>65.72</v>
      </c>
      <c r="DM213" s="145">
        <v>64.558849999999993</v>
      </c>
      <c r="DN213" s="145">
        <v>0</v>
      </c>
      <c r="DO213" s="145">
        <v>0</v>
      </c>
      <c r="DP213" s="145">
        <v>64.558849999999993</v>
      </c>
      <c r="DQ213" s="145">
        <v>1.1611500000000001</v>
      </c>
      <c r="DR213" s="21">
        <f>VLOOKUP(C213,[6]Database!$B$143:$AD$521,29,FALSE)</f>
        <v>0</v>
      </c>
      <c r="DS213" s="219">
        <f t="shared" si="95"/>
        <v>0</v>
      </c>
    </row>
    <row r="214" spans="1:123" s="21" customFormat="1" ht="24" customHeight="1">
      <c r="A214" s="16"/>
      <c r="B214" s="2">
        <v>178</v>
      </c>
      <c r="C214" s="79" t="s">
        <v>554</v>
      </c>
      <c r="D214" s="79"/>
      <c r="E214" s="78"/>
      <c r="F214" s="39">
        <v>2020</v>
      </c>
      <c r="G214" s="40">
        <v>44044</v>
      </c>
      <c r="H214" s="178">
        <v>44105</v>
      </c>
      <c r="I214" s="40">
        <v>44407</v>
      </c>
      <c r="J214" s="13">
        <f t="shared" ca="1" si="84"/>
        <v>302</v>
      </c>
      <c r="K214" s="165">
        <f t="shared" si="96"/>
        <v>44652</v>
      </c>
      <c r="L214" s="165">
        <f t="shared" si="97"/>
        <v>44835</v>
      </c>
      <c r="M214" s="165"/>
      <c r="N214" s="170"/>
      <c r="O214" s="170"/>
      <c r="P214" s="170"/>
      <c r="Q214" s="170"/>
      <c r="R214" s="39" t="s">
        <v>178</v>
      </c>
      <c r="S214" s="11"/>
      <c r="T214" s="39"/>
      <c r="U214" s="5" t="s">
        <v>8</v>
      </c>
      <c r="V214" s="251">
        <v>3114682</v>
      </c>
      <c r="W214" s="5" t="s">
        <v>602</v>
      </c>
      <c r="X214" s="5" t="s">
        <v>478</v>
      </c>
      <c r="Y214" s="5" t="s">
        <v>559</v>
      </c>
      <c r="Z214" s="3" t="s">
        <v>187</v>
      </c>
      <c r="AA214" s="43" t="s">
        <v>194</v>
      </c>
      <c r="AB214" s="240" t="s">
        <v>1019</v>
      </c>
      <c r="AC214" s="165" t="s">
        <v>5</v>
      </c>
      <c r="AD214" s="165">
        <v>44347</v>
      </c>
      <c r="AE214" s="165" t="s">
        <v>5</v>
      </c>
      <c r="AF214" s="5"/>
      <c r="AG214" s="41"/>
      <c r="AH214" s="212"/>
      <c r="AI214" s="115"/>
      <c r="AJ214" s="115"/>
      <c r="AK214" s="221" t="e">
        <f>SUM(#REF!,BT214,BV214)</f>
        <v>#REF!</v>
      </c>
      <c r="AL214" s="167"/>
      <c r="AM214" s="167"/>
      <c r="AN214" s="167"/>
      <c r="AO214" s="167"/>
      <c r="AP214" s="167"/>
      <c r="AQ214" s="167"/>
      <c r="AR214" s="52"/>
      <c r="AS214" s="51">
        <v>0</v>
      </c>
      <c r="AT214" s="51">
        <v>36.605919999999998</v>
      </c>
      <c r="AU214" s="51">
        <v>1.0839000000000001</v>
      </c>
      <c r="AV214" s="44">
        <v>44.95</v>
      </c>
      <c r="AW214" s="44"/>
      <c r="AX214" s="90">
        <f t="shared" si="85"/>
        <v>44.95</v>
      </c>
      <c r="AY214" s="157">
        <f t="shared" si="98"/>
        <v>1.9303299999999999</v>
      </c>
      <c r="AZ214" s="182">
        <v>0</v>
      </c>
      <c r="BA214" s="158">
        <v>-0.91609999999999991</v>
      </c>
      <c r="BB214" s="182">
        <v>0</v>
      </c>
      <c r="BC214" s="158">
        <v>1.3600399999999999</v>
      </c>
      <c r="BD214" s="182">
        <v>0.2</v>
      </c>
      <c r="BE214" s="158">
        <v>9.4959999999999989E-2</v>
      </c>
      <c r="BF214" s="182">
        <v>1</v>
      </c>
      <c r="BG214" s="158">
        <v>0.84175</v>
      </c>
      <c r="BH214" s="182">
        <v>0.5</v>
      </c>
      <c r="BI214" s="158">
        <v>0.36593999999999999</v>
      </c>
      <c r="BJ214" s="182">
        <v>0</v>
      </c>
      <c r="BK214" s="158">
        <v>0.18374000000000001</v>
      </c>
      <c r="BL214" s="183"/>
      <c r="BM214" s="158">
        <v>-5.6049999999999996E-2</v>
      </c>
      <c r="BN214" s="183"/>
      <c r="BO214" s="158">
        <v>5.6049999999999996E-2</v>
      </c>
      <c r="BP214" s="182"/>
      <c r="BQ214" s="158"/>
      <c r="BR214" s="182"/>
      <c r="BS214" s="158"/>
      <c r="BT214" s="182"/>
      <c r="BU214" s="158"/>
      <c r="BV214" s="182"/>
      <c r="BW214" s="234"/>
      <c r="BX214" s="237"/>
      <c r="BY214" s="81">
        <f t="shared" si="99"/>
        <v>0</v>
      </c>
      <c r="BZ214" s="242"/>
      <c r="CA214" s="242"/>
      <c r="CB214" s="242"/>
      <c r="CC214" s="242"/>
      <c r="CD214" s="242"/>
      <c r="CE214" s="242"/>
      <c r="CF214" s="242"/>
      <c r="CG214" s="242"/>
      <c r="CH214" s="242"/>
      <c r="CI214" s="242"/>
      <c r="CJ214" s="242"/>
      <c r="CK214" s="242"/>
      <c r="CL214" s="195">
        <f t="shared" si="89"/>
        <v>0</v>
      </c>
      <c r="CM214" s="197"/>
      <c r="CN214" s="197"/>
      <c r="CO214" s="197"/>
      <c r="CP214" s="197"/>
      <c r="CQ214" s="197"/>
      <c r="CR214" s="197"/>
      <c r="CS214" s="197"/>
      <c r="CT214" s="197"/>
      <c r="CU214" s="197"/>
      <c r="CV214" s="197"/>
      <c r="CW214" s="197"/>
      <c r="CX214" s="197"/>
      <c r="CY214" s="200">
        <f t="shared" si="86"/>
        <v>0</v>
      </c>
      <c r="CZ214" s="172">
        <f t="shared" si="100"/>
        <v>0</v>
      </c>
      <c r="DA214" s="201">
        <f t="shared" si="87"/>
        <v>1.9303299999999999</v>
      </c>
      <c r="DB214" s="201">
        <f t="shared" si="88"/>
        <v>0</v>
      </c>
      <c r="DC214" s="201">
        <f t="shared" si="90"/>
        <v>1.9303299999999999</v>
      </c>
      <c r="DD214" s="239">
        <v>1.9303299999999999</v>
      </c>
      <c r="DE214" s="201">
        <f t="shared" si="91"/>
        <v>0</v>
      </c>
      <c r="DF214" s="172" t="e">
        <f>SUM(DN214:DO214)-SUM(#REF!,BV214)+BU214</f>
        <v>#REF!</v>
      </c>
      <c r="DG214" s="207"/>
      <c r="DH214" s="225">
        <f t="shared" si="92"/>
        <v>0.53889999999999993</v>
      </c>
      <c r="DI214" s="225">
        <f t="shared" si="93"/>
        <v>1.3914299999999999</v>
      </c>
      <c r="DJ214" s="225">
        <f t="shared" si="94"/>
        <v>0</v>
      </c>
      <c r="DK214" s="225" t="e">
        <f>SUM(BS214,#REF!,BV214)</f>
        <v>#REF!</v>
      </c>
      <c r="DL214" s="145">
        <v>44.95</v>
      </c>
      <c r="DM214" s="145">
        <v>38.536250000000003</v>
      </c>
      <c r="DN214" s="145">
        <v>2.3510000000000003E-2</v>
      </c>
      <c r="DO214" s="145">
        <v>0</v>
      </c>
      <c r="DP214" s="145">
        <v>38.559760000000004</v>
      </c>
      <c r="DQ214" s="145">
        <v>6.3902399999999995</v>
      </c>
      <c r="DR214" s="21">
        <f>VLOOKUP(C214,[6]Database!$B$143:$AD$521,29,FALSE)</f>
        <v>0</v>
      </c>
      <c r="DS214" s="219">
        <f t="shared" si="95"/>
        <v>0</v>
      </c>
    </row>
    <row r="215" spans="1:123" s="21" customFormat="1" ht="24" customHeight="1">
      <c r="A215" s="16"/>
      <c r="B215" s="2">
        <v>179</v>
      </c>
      <c r="C215" s="79" t="s">
        <v>558</v>
      </c>
      <c r="D215" s="79"/>
      <c r="E215" s="78" t="s">
        <v>844</v>
      </c>
      <c r="F215" s="39">
        <v>2020</v>
      </c>
      <c r="G215" s="40">
        <v>44044</v>
      </c>
      <c r="H215" s="178">
        <v>44082</v>
      </c>
      <c r="I215" s="40">
        <v>44342</v>
      </c>
      <c r="J215" s="13">
        <f t="shared" ca="1" si="84"/>
        <v>260</v>
      </c>
      <c r="K215" s="165">
        <f t="shared" si="96"/>
        <v>44629</v>
      </c>
      <c r="L215" s="165">
        <f t="shared" si="97"/>
        <v>44812</v>
      </c>
      <c r="M215" s="165"/>
      <c r="N215" s="170"/>
      <c r="O215" s="165"/>
      <c r="P215" s="170"/>
      <c r="Q215" s="170"/>
      <c r="R215" s="39" t="s">
        <v>175</v>
      </c>
      <c r="S215" s="11" t="s">
        <v>4</v>
      </c>
      <c r="T215" s="39" t="s">
        <v>905</v>
      </c>
      <c r="U215" s="5" t="s">
        <v>8</v>
      </c>
      <c r="V215" s="251">
        <v>3145065</v>
      </c>
      <c r="W215" s="5" t="s">
        <v>602</v>
      </c>
      <c r="X215" s="5" t="s">
        <v>477</v>
      </c>
      <c r="Y215" s="5" t="s">
        <v>557</v>
      </c>
      <c r="Z215" s="3" t="s">
        <v>186</v>
      </c>
      <c r="AA215" s="43" t="s">
        <v>217</v>
      </c>
      <c r="AB215" s="142" t="s">
        <v>196</v>
      </c>
      <c r="AC215" s="165" t="s">
        <v>5</v>
      </c>
      <c r="AD215" s="165" t="s">
        <v>5</v>
      </c>
      <c r="AE215" s="165" t="s">
        <v>5</v>
      </c>
      <c r="AF215" s="5"/>
      <c r="AG215" s="41"/>
      <c r="AH215" s="212"/>
      <c r="AI215" s="115"/>
      <c r="AJ215" s="115"/>
      <c r="AK215" s="221" t="e">
        <f>SUM(#REF!,BT215,BV215)</f>
        <v>#REF!</v>
      </c>
      <c r="AL215" s="167"/>
      <c r="AM215" s="167"/>
      <c r="AN215" s="167"/>
      <c r="AO215" s="167"/>
      <c r="AP215" s="167"/>
      <c r="AQ215" s="167"/>
      <c r="AR215" s="52"/>
      <c r="AS215" s="51">
        <v>0</v>
      </c>
      <c r="AT215" s="51">
        <v>43.249250000000004</v>
      </c>
      <c r="AU215" s="51">
        <v>20.26003</v>
      </c>
      <c r="AV215" s="44">
        <v>71.727000000000004</v>
      </c>
      <c r="AW215" s="44"/>
      <c r="AX215" s="90">
        <f t="shared" si="85"/>
        <v>71.727000000000004</v>
      </c>
      <c r="AY215" s="157">
        <f t="shared" si="98"/>
        <v>27.988940000000003</v>
      </c>
      <c r="AZ215" s="182">
        <v>0</v>
      </c>
      <c r="BA215" s="158">
        <v>8.2600300000000004</v>
      </c>
      <c r="BB215" s="182">
        <v>12</v>
      </c>
      <c r="BC215" s="158">
        <v>9.5317800000000013</v>
      </c>
      <c r="BD215" s="182">
        <v>3</v>
      </c>
      <c r="BE215" s="158">
        <v>7.5096600000000002</v>
      </c>
      <c r="BF215" s="182">
        <v>0</v>
      </c>
      <c r="BG215" s="158">
        <v>1.2751300000000001</v>
      </c>
      <c r="BH215" s="182">
        <v>1</v>
      </c>
      <c r="BI215" s="158">
        <v>1.4123399999999999</v>
      </c>
      <c r="BJ215" s="182">
        <v>0</v>
      </c>
      <c r="BK215" s="158"/>
      <c r="BL215" s="183"/>
      <c r="BM215" s="158"/>
      <c r="BN215" s="183"/>
      <c r="BO215" s="158"/>
      <c r="BP215" s="182"/>
      <c r="BQ215" s="158"/>
      <c r="BR215" s="182"/>
      <c r="BS215" s="158"/>
      <c r="BT215" s="182"/>
      <c r="BU215" s="158"/>
      <c r="BV215" s="182"/>
      <c r="BW215" s="234"/>
      <c r="BX215" s="237"/>
      <c r="BY215" s="81">
        <f t="shared" si="99"/>
        <v>0</v>
      </c>
      <c r="BZ215" s="242"/>
      <c r="CA215" s="242"/>
      <c r="CB215" s="242"/>
      <c r="CC215" s="242"/>
      <c r="CD215" s="242"/>
      <c r="CE215" s="242"/>
      <c r="CF215" s="242"/>
      <c r="CG215" s="242"/>
      <c r="CH215" s="242"/>
      <c r="CI215" s="242"/>
      <c r="CJ215" s="242"/>
      <c r="CK215" s="242"/>
      <c r="CL215" s="195">
        <f t="shared" si="89"/>
        <v>0</v>
      </c>
      <c r="CM215" s="197"/>
      <c r="CN215" s="197"/>
      <c r="CO215" s="197"/>
      <c r="CP215" s="197"/>
      <c r="CQ215" s="197"/>
      <c r="CR215" s="197"/>
      <c r="CS215" s="197"/>
      <c r="CT215" s="197"/>
      <c r="CU215" s="197"/>
      <c r="CV215" s="197"/>
      <c r="CW215" s="197"/>
      <c r="CX215" s="197"/>
      <c r="CY215" s="200">
        <f t="shared" si="86"/>
        <v>0</v>
      </c>
      <c r="CZ215" s="172">
        <f t="shared" si="100"/>
        <v>0</v>
      </c>
      <c r="DA215" s="201">
        <f t="shared" si="87"/>
        <v>27.988940000000003</v>
      </c>
      <c r="DB215" s="201">
        <f t="shared" si="88"/>
        <v>0</v>
      </c>
      <c r="DC215" s="201">
        <f t="shared" si="90"/>
        <v>27.988940000000003</v>
      </c>
      <c r="DD215" s="239">
        <v>27.988940000000003</v>
      </c>
      <c r="DE215" s="201">
        <f t="shared" si="91"/>
        <v>0</v>
      </c>
      <c r="DF215" s="172" t="e">
        <f>SUM(DN215:DO215)-SUM(#REF!,BV215)+BU215</f>
        <v>#REF!</v>
      </c>
      <c r="DG215" s="207"/>
      <c r="DH215" s="225">
        <f t="shared" si="92"/>
        <v>25.301470000000002</v>
      </c>
      <c r="DI215" s="225">
        <f t="shared" si="93"/>
        <v>2.6874700000000002</v>
      </c>
      <c r="DJ215" s="225">
        <f t="shared" si="94"/>
        <v>0</v>
      </c>
      <c r="DK215" s="225" t="e">
        <f>SUM(BS215,#REF!,BV215)</f>
        <v>#REF!</v>
      </c>
      <c r="DL215" s="145">
        <v>71.727000000000004</v>
      </c>
      <c r="DM215" s="145">
        <v>71.238190000000003</v>
      </c>
      <c r="DN215" s="145">
        <v>0</v>
      </c>
      <c r="DO215" s="145">
        <v>0</v>
      </c>
      <c r="DP215" s="145">
        <v>71.238190000000003</v>
      </c>
      <c r="DQ215" s="145">
        <v>0.48881000000000002</v>
      </c>
      <c r="DR215" s="21">
        <f>VLOOKUP(C215,[6]Database!$B$143:$AD$521,29,FALSE)</f>
        <v>0</v>
      </c>
      <c r="DS215" s="219">
        <f t="shared" si="95"/>
        <v>0</v>
      </c>
    </row>
    <row r="216" spans="1:123" s="21" customFormat="1" ht="24" customHeight="1">
      <c r="A216" s="16"/>
      <c r="B216" s="2">
        <v>180</v>
      </c>
      <c r="C216" s="79" t="s">
        <v>582</v>
      </c>
      <c r="D216" s="79"/>
      <c r="E216" s="78" t="s">
        <v>830</v>
      </c>
      <c r="F216" s="39">
        <v>2020</v>
      </c>
      <c r="G216" s="40">
        <v>44075</v>
      </c>
      <c r="H216" s="178">
        <v>44112</v>
      </c>
      <c r="I216" s="40"/>
      <c r="J216" s="13">
        <f t="shared" ca="1" si="84"/>
        <v>-1190.3359971064783</v>
      </c>
      <c r="K216" s="165">
        <f t="shared" si="96"/>
        <v>44659</v>
      </c>
      <c r="L216" s="165">
        <f t="shared" si="97"/>
        <v>44842</v>
      </c>
      <c r="M216" s="165"/>
      <c r="N216" s="170"/>
      <c r="O216" s="165"/>
      <c r="P216" s="170"/>
      <c r="Q216" s="170"/>
      <c r="R216" s="39" t="s">
        <v>175</v>
      </c>
      <c r="S216" s="11" t="s">
        <v>921</v>
      </c>
      <c r="T216" s="39" t="s">
        <v>185</v>
      </c>
      <c r="U216" s="5" t="s">
        <v>8</v>
      </c>
      <c r="V216" s="251">
        <v>3178494</v>
      </c>
      <c r="W216" s="5" t="s">
        <v>602</v>
      </c>
      <c r="X216" s="5" t="s">
        <v>471</v>
      </c>
      <c r="Y216" s="5" t="s">
        <v>630</v>
      </c>
      <c r="Z216" s="78" t="s">
        <v>185</v>
      </c>
      <c r="AA216" s="43" t="s">
        <v>461</v>
      </c>
      <c r="AB216" s="151" t="s">
        <v>1228</v>
      </c>
      <c r="AC216" s="165">
        <v>44681</v>
      </c>
      <c r="AD216" s="165">
        <v>44681</v>
      </c>
      <c r="AE216" s="165">
        <f>IFERROR(EOMONTH(L216,-2),"")</f>
        <v>44804</v>
      </c>
      <c r="AF216" s="5" t="s">
        <v>1038</v>
      </c>
      <c r="AG216" s="5" t="s">
        <v>1068</v>
      </c>
      <c r="AH216" s="212">
        <v>9.9000000000000005E-2</v>
      </c>
      <c r="AI216" s="115"/>
      <c r="AJ216" s="115" t="s">
        <v>1196</v>
      </c>
      <c r="AK216" s="221" t="e">
        <f>SUM(#REF!,BT216,BV216)</f>
        <v>#REF!</v>
      </c>
      <c r="AL216" s="153" t="s">
        <v>1079</v>
      </c>
      <c r="AM216" s="153" t="s">
        <v>1079</v>
      </c>
      <c r="AN216" s="153" t="s">
        <v>1079</v>
      </c>
      <c r="AO216" s="153" t="s">
        <v>592</v>
      </c>
      <c r="AP216" s="153" t="s">
        <v>592</v>
      </c>
      <c r="AQ216" s="153" t="s">
        <v>592</v>
      </c>
      <c r="AR216" s="52">
        <v>0</v>
      </c>
      <c r="AS216" s="51">
        <v>0</v>
      </c>
      <c r="AT216" s="51">
        <v>255.36016999999998</v>
      </c>
      <c r="AU216" s="51">
        <v>96.782550000000001</v>
      </c>
      <c r="AV216" s="44">
        <v>391.93966999999998</v>
      </c>
      <c r="AW216" s="44"/>
      <c r="AX216" s="90">
        <f t="shared" si="85"/>
        <v>391.93966999999998</v>
      </c>
      <c r="AY216" s="157">
        <f t="shared" si="98"/>
        <v>125.74561</v>
      </c>
      <c r="AZ216" s="182">
        <v>5</v>
      </c>
      <c r="BA216" s="158">
        <v>27.782550000000001</v>
      </c>
      <c r="BB216" s="182">
        <v>4</v>
      </c>
      <c r="BC216" s="158">
        <v>2.1976200000000001</v>
      </c>
      <c r="BD216" s="182">
        <v>5</v>
      </c>
      <c r="BE216" s="158">
        <v>13.97437</v>
      </c>
      <c r="BF216" s="182">
        <v>2</v>
      </c>
      <c r="BG216" s="158">
        <v>14.56892</v>
      </c>
      <c r="BH216" s="182">
        <v>2</v>
      </c>
      <c r="BI216" s="158">
        <v>4.3026400000000002</v>
      </c>
      <c r="BJ216" s="182">
        <v>1</v>
      </c>
      <c r="BK216" s="158">
        <v>7.9261699999999999</v>
      </c>
      <c r="BL216" s="183">
        <v>5</v>
      </c>
      <c r="BM216" s="158">
        <v>6.2677700000000005</v>
      </c>
      <c r="BN216" s="183">
        <v>9</v>
      </c>
      <c r="BO216" s="158">
        <v>2.2142600000000003</v>
      </c>
      <c r="BP216" s="182">
        <v>12.6</v>
      </c>
      <c r="BQ216" s="158">
        <v>1.7562800000000001</v>
      </c>
      <c r="BR216" s="182">
        <v>10.7</v>
      </c>
      <c r="BS216" s="158"/>
      <c r="BT216" s="182">
        <v>10.7</v>
      </c>
      <c r="BU216" s="158">
        <v>25.137389999999996</v>
      </c>
      <c r="BV216" s="182">
        <v>15</v>
      </c>
      <c r="BW216" s="234">
        <v>19.617640000000002</v>
      </c>
      <c r="BX216" s="237">
        <v>19.617640000000002</v>
      </c>
      <c r="BY216" s="81">
        <f t="shared" si="99"/>
        <v>5.5000000000000009</v>
      </c>
      <c r="BZ216" s="242"/>
      <c r="CA216" s="242"/>
      <c r="CB216" s="242">
        <f>10-1.6-5</f>
        <v>3.4000000000000004</v>
      </c>
      <c r="CC216" s="242">
        <f>6.7-4.6</f>
        <v>2.1000000000000005</v>
      </c>
      <c r="CD216" s="242"/>
      <c r="CE216" s="242"/>
      <c r="CF216" s="242"/>
      <c r="CG216" s="242"/>
      <c r="CH216" s="242"/>
      <c r="CI216" s="242"/>
      <c r="CJ216" s="242"/>
      <c r="CK216" s="242"/>
      <c r="CL216" s="195">
        <f t="shared" si="89"/>
        <v>0</v>
      </c>
      <c r="CM216" s="197"/>
      <c r="CN216" s="197"/>
      <c r="CO216" s="197"/>
      <c r="CP216" s="197"/>
      <c r="CQ216" s="197"/>
      <c r="CR216" s="197"/>
      <c r="CS216" s="197"/>
      <c r="CT216" s="197"/>
      <c r="CU216" s="197"/>
      <c r="CV216" s="197"/>
      <c r="CW216" s="197"/>
      <c r="CX216" s="197"/>
      <c r="CY216" s="200">
        <f t="shared" si="86"/>
        <v>-4.6176400000000015</v>
      </c>
      <c r="CZ216" s="172">
        <f t="shared" si="100"/>
        <v>0</v>
      </c>
      <c r="DA216" s="201">
        <f t="shared" si="87"/>
        <v>106.12796999999999</v>
      </c>
      <c r="DB216" s="201">
        <f t="shared" si="88"/>
        <v>19.617640000000002</v>
      </c>
      <c r="DC216" s="201">
        <f t="shared" si="90"/>
        <v>131.24561</v>
      </c>
      <c r="DD216" s="239">
        <v>128.39058</v>
      </c>
      <c r="DE216" s="201">
        <f t="shared" si="91"/>
        <v>2.8550299999999993</v>
      </c>
      <c r="DF216" s="172" t="e">
        <f>SUM(DN216:DO216)-SUM(#REF!,BV216)+BU216</f>
        <v>#REF!</v>
      </c>
      <c r="DG216" s="207"/>
      <c r="DH216" s="225">
        <f t="shared" si="92"/>
        <v>43.954540000000001</v>
      </c>
      <c r="DI216" s="225">
        <f t="shared" si="93"/>
        <v>26.797730000000001</v>
      </c>
      <c r="DJ216" s="225">
        <f t="shared" si="94"/>
        <v>10.238310000000002</v>
      </c>
      <c r="DK216" s="225" t="e">
        <f>SUM(BS216,#REF!,BV216)</f>
        <v>#REF!</v>
      </c>
      <c r="DL216" s="145">
        <v>391.93966999999998</v>
      </c>
      <c r="DM216" s="145">
        <v>381.10578000000004</v>
      </c>
      <c r="DN216" s="145">
        <v>2.2543000000000002</v>
      </c>
      <c r="DO216" s="145">
        <v>0</v>
      </c>
      <c r="DP216" s="145">
        <v>383.36008000000004</v>
      </c>
      <c r="DQ216" s="145">
        <v>8.5795899999999996</v>
      </c>
      <c r="DR216" s="21">
        <f>VLOOKUP(C216,[6]Database!$B$143:$AD$521,29,FALSE)</f>
        <v>0</v>
      </c>
      <c r="DS216" s="219">
        <f t="shared" si="95"/>
        <v>5.5000000000000009</v>
      </c>
    </row>
    <row r="217" spans="1:123" s="21" customFormat="1" ht="24" customHeight="1">
      <c r="A217" s="16"/>
      <c r="B217" s="2">
        <v>181</v>
      </c>
      <c r="C217" s="79" t="s">
        <v>686</v>
      </c>
      <c r="D217" s="226" t="s">
        <v>592</v>
      </c>
      <c r="E217" s="78"/>
      <c r="F217" s="39">
        <v>2021</v>
      </c>
      <c r="G217" s="40">
        <v>44095</v>
      </c>
      <c r="H217" s="178">
        <v>44214</v>
      </c>
      <c r="I217" s="40">
        <v>44407</v>
      </c>
      <c r="J217" s="13">
        <f t="shared" ca="1" si="84"/>
        <v>193</v>
      </c>
      <c r="K217" s="165">
        <f t="shared" si="96"/>
        <v>44761</v>
      </c>
      <c r="L217" s="165">
        <f t="shared" si="97"/>
        <v>44944</v>
      </c>
      <c r="M217" s="165"/>
      <c r="N217" s="170"/>
      <c r="O217" s="170"/>
      <c r="P217" s="170"/>
      <c r="Q217" s="170"/>
      <c r="R217" s="79" t="s">
        <v>177</v>
      </c>
      <c r="S217" s="11" t="s">
        <v>222</v>
      </c>
      <c r="T217" s="39"/>
      <c r="U217" s="5" t="s">
        <v>8</v>
      </c>
      <c r="V217" s="251">
        <v>3344507</v>
      </c>
      <c r="W217" s="5" t="s">
        <v>602</v>
      </c>
      <c r="X217" s="5" t="s">
        <v>478</v>
      </c>
      <c r="Y217" s="5" t="s">
        <v>685</v>
      </c>
      <c r="Z217" s="3" t="s">
        <v>180</v>
      </c>
      <c r="AA217" s="43" t="s">
        <v>217</v>
      </c>
      <c r="AB217" s="142" t="s">
        <v>196</v>
      </c>
      <c r="AC217" s="165" t="s">
        <v>5</v>
      </c>
      <c r="AD217" s="165" t="s">
        <v>5</v>
      </c>
      <c r="AE217" s="165" t="s">
        <v>5</v>
      </c>
      <c r="AF217" s="5" t="s">
        <v>1038</v>
      </c>
      <c r="AG217" s="41"/>
      <c r="AH217" s="212">
        <v>7.6399999999999996E-2</v>
      </c>
      <c r="AI217" s="115"/>
      <c r="AJ217" s="76"/>
      <c r="AK217" s="221" t="e">
        <f>SUM(#REF!,BT217,BV217)</f>
        <v>#REF!</v>
      </c>
      <c r="AL217" s="153"/>
      <c r="AM217" s="153"/>
      <c r="AN217" s="153"/>
      <c r="AO217" s="153"/>
      <c r="AP217" s="153"/>
      <c r="AQ217" s="153"/>
      <c r="AR217" s="52"/>
      <c r="AS217" s="51"/>
      <c r="AT217" s="51"/>
      <c r="AU217" s="51">
        <v>94.835999999999999</v>
      </c>
      <c r="AV217" s="44">
        <v>94.835999999999999</v>
      </c>
      <c r="AW217" s="44">
        <v>15.111000000000001</v>
      </c>
      <c r="AX217" s="90">
        <f t="shared" si="85"/>
        <v>109.947</v>
      </c>
      <c r="AY217" s="157">
        <f t="shared" si="98"/>
        <v>97.741419999999991</v>
      </c>
      <c r="AZ217" s="182">
        <v>0</v>
      </c>
      <c r="BA217" s="158">
        <v>0</v>
      </c>
      <c r="BB217" s="182">
        <v>0</v>
      </c>
      <c r="BC217" s="158">
        <v>6.3461300000000005</v>
      </c>
      <c r="BD217" s="182">
        <v>0</v>
      </c>
      <c r="BE217" s="158">
        <v>5.2211000000000007</v>
      </c>
      <c r="BF217" s="182">
        <v>0</v>
      </c>
      <c r="BG217" s="158">
        <v>4.9851900000000002</v>
      </c>
      <c r="BH217" s="182">
        <v>80</v>
      </c>
      <c r="BI217" s="158">
        <v>81.188999999999993</v>
      </c>
      <c r="BJ217" s="182">
        <v>0</v>
      </c>
      <c r="BK217" s="158"/>
      <c r="BL217" s="183"/>
      <c r="BM217" s="158"/>
      <c r="BN217" s="183"/>
      <c r="BO217" s="158"/>
      <c r="BP217" s="182"/>
      <c r="BQ217" s="158"/>
      <c r="BR217" s="182"/>
      <c r="BS217" s="158"/>
      <c r="BT217" s="182"/>
      <c r="BU217" s="158"/>
      <c r="BV217" s="182"/>
      <c r="BW217" s="234"/>
      <c r="BX217" s="237"/>
      <c r="BY217" s="81">
        <f t="shared" si="99"/>
        <v>0</v>
      </c>
      <c r="BZ217" s="199"/>
      <c r="CA217" s="199"/>
      <c r="CB217" s="199"/>
      <c r="CC217" s="199"/>
      <c r="CD217" s="199"/>
      <c r="CE217" s="199"/>
      <c r="CF217" s="199"/>
      <c r="CG217" s="199"/>
      <c r="CH217" s="199"/>
      <c r="CI217" s="199"/>
      <c r="CJ217" s="199"/>
      <c r="CK217" s="199"/>
      <c r="CL217" s="195">
        <f t="shared" si="89"/>
        <v>0</v>
      </c>
      <c r="CM217" s="197"/>
      <c r="CN217" s="197"/>
      <c r="CO217" s="197"/>
      <c r="CP217" s="197"/>
      <c r="CQ217" s="197"/>
      <c r="CR217" s="197"/>
      <c r="CS217" s="197"/>
      <c r="CT217" s="197"/>
      <c r="CU217" s="197"/>
      <c r="CV217" s="197"/>
      <c r="CW217" s="197"/>
      <c r="CX217" s="197"/>
      <c r="CY217" s="200">
        <f t="shared" si="86"/>
        <v>0</v>
      </c>
      <c r="CZ217" s="172">
        <f t="shared" si="100"/>
        <v>0</v>
      </c>
      <c r="DA217" s="201">
        <f t="shared" si="87"/>
        <v>97.741419999999991</v>
      </c>
      <c r="DB217" s="201">
        <f t="shared" si="88"/>
        <v>0</v>
      </c>
      <c r="DC217" s="201">
        <f t="shared" si="90"/>
        <v>97.741419999999991</v>
      </c>
      <c r="DD217" s="239">
        <v>97.741419999999991</v>
      </c>
      <c r="DE217" s="201">
        <f t="shared" si="91"/>
        <v>0</v>
      </c>
      <c r="DF217" s="172" t="e">
        <f>SUM(DN217:DO217)-SUM(#REF!,BV217)+BU217</f>
        <v>#REF!</v>
      </c>
      <c r="DG217" s="207"/>
      <c r="DH217" s="225">
        <f t="shared" si="92"/>
        <v>11.567230000000002</v>
      </c>
      <c r="DI217" s="225">
        <f t="shared" si="93"/>
        <v>86.174189999999996</v>
      </c>
      <c r="DJ217" s="225">
        <f t="shared" si="94"/>
        <v>0</v>
      </c>
      <c r="DK217" s="225" t="e">
        <f>SUM(BS217,#REF!,BV217)</f>
        <v>#REF!</v>
      </c>
      <c r="DL217" s="145">
        <v>103.236</v>
      </c>
      <c r="DM217" s="145">
        <v>97.741420000000005</v>
      </c>
      <c r="DN217" s="145">
        <v>0</v>
      </c>
      <c r="DO217" s="145">
        <v>0</v>
      </c>
      <c r="DP217" s="145">
        <v>97.741420000000005</v>
      </c>
      <c r="DQ217" s="145">
        <v>5.49458</v>
      </c>
      <c r="DR217" s="21">
        <f>VLOOKUP(C217,[6]Database!$B$143:$AD$521,29,FALSE)</f>
        <v>0</v>
      </c>
      <c r="DS217" s="219">
        <f t="shared" si="95"/>
        <v>0</v>
      </c>
    </row>
    <row r="218" spans="1:123" s="21" customFormat="1" ht="24" customHeight="1">
      <c r="A218" s="16"/>
      <c r="B218" s="2">
        <v>182</v>
      </c>
      <c r="C218" s="79" t="s">
        <v>637</v>
      </c>
      <c r="D218" s="79"/>
      <c r="E218" s="78" t="s">
        <v>824</v>
      </c>
      <c r="F218" s="39">
        <v>2020</v>
      </c>
      <c r="G218" s="40">
        <v>44112</v>
      </c>
      <c r="H218" s="178">
        <v>44159</v>
      </c>
      <c r="I218" s="40"/>
      <c r="J218" s="13">
        <f t="shared" ca="1" si="84"/>
        <v>-1144.3359971064783</v>
      </c>
      <c r="K218" s="165">
        <f t="shared" si="96"/>
        <v>44706</v>
      </c>
      <c r="L218" s="165">
        <f t="shared" si="97"/>
        <v>44889</v>
      </c>
      <c r="M218" s="165"/>
      <c r="N218" s="170"/>
      <c r="O218" s="165"/>
      <c r="P218" s="170"/>
      <c r="Q218" s="170"/>
      <c r="R218" s="39" t="s">
        <v>175</v>
      </c>
      <c r="S218" s="11" t="s">
        <v>222</v>
      </c>
      <c r="T218" s="39" t="s">
        <v>185</v>
      </c>
      <c r="U218" s="5" t="s">
        <v>8</v>
      </c>
      <c r="V218" s="251">
        <v>3293510</v>
      </c>
      <c r="W218" s="5" t="s">
        <v>602</v>
      </c>
      <c r="X218" s="5" t="s">
        <v>675</v>
      </c>
      <c r="Y218" s="5" t="s">
        <v>676</v>
      </c>
      <c r="Z218" s="78" t="s">
        <v>185</v>
      </c>
      <c r="AA218" s="43" t="s">
        <v>461</v>
      </c>
      <c r="AB218" s="151" t="s">
        <v>1352</v>
      </c>
      <c r="AC218" s="165">
        <v>44651</v>
      </c>
      <c r="AD218" s="165">
        <v>44255</v>
      </c>
      <c r="AE218" s="165">
        <f>IFERROR(EOMONTH(L218,-2),"")</f>
        <v>44834</v>
      </c>
      <c r="AF218" s="5" t="s">
        <v>1038</v>
      </c>
      <c r="AG218" s="41"/>
      <c r="AH218" s="212">
        <v>9.9000000000000005E-2</v>
      </c>
      <c r="AI218" s="115"/>
      <c r="AJ218" s="115"/>
      <c r="AK218" s="221" t="e">
        <f>SUM(#REF!,BT218,BV218)</f>
        <v>#REF!</v>
      </c>
      <c r="AL218" s="153"/>
      <c r="AM218" s="153"/>
      <c r="AN218" s="153"/>
      <c r="AO218" s="153"/>
      <c r="AP218" s="153"/>
      <c r="AQ218" s="153"/>
      <c r="AR218" s="52"/>
      <c r="AS218" s="51"/>
      <c r="AT218" s="51">
        <v>0</v>
      </c>
      <c r="AU218" s="51">
        <v>172.2</v>
      </c>
      <c r="AV218" s="44">
        <v>172.2</v>
      </c>
      <c r="AW218" s="44">
        <v>23.6</v>
      </c>
      <c r="AX218" s="90">
        <f t="shared" si="85"/>
        <v>195.79999999999998</v>
      </c>
      <c r="AY218" s="157">
        <f t="shared" si="98"/>
        <v>144.34421000000003</v>
      </c>
      <c r="AZ218" s="182">
        <v>0</v>
      </c>
      <c r="BA218" s="158">
        <v>0</v>
      </c>
      <c r="BB218" s="182">
        <v>0</v>
      </c>
      <c r="BC218" s="158"/>
      <c r="BD218" s="182">
        <v>0</v>
      </c>
      <c r="BE218" s="158">
        <v>0</v>
      </c>
      <c r="BF218" s="182">
        <v>6</v>
      </c>
      <c r="BG218" s="158">
        <v>6.0273900000000005</v>
      </c>
      <c r="BH218" s="182">
        <v>0</v>
      </c>
      <c r="BI218" s="158"/>
      <c r="BJ218" s="182">
        <v>0</v>
      </c>
      <c r="BK218" s="158">
        <v>1.38992</v>
      </c>
      <c r="BL218" s="183"/>
      <c r="BM218" s="158"/>
      <c r="BN218" s="183">
        <v>30</v>
      </c>
      <c r="BO218" s="158">
        <v>38.398300000000006</v>
      </c>
      <c r="BP218" s="182">
        <v>31.7</v>
      </c>
      <c r="BQ218" s="158">
        <v>21.133479999999999</v>
      </c>
      <c r="BR218" s="182">
        <v>7.9</v>
      </c>
      <c r="BS218" s="158">
        <v>26.756540000000001</v>
      </c>
      <c r="BT218" s="182">
        <f>2+5.7-3.3</f>
        <v>4.4000000000000004</v>
      </c>
      <c r="BU218" s="158">
        <v>28.718350000000001</v>
      </c>
      <c r="BV218" s="218">
        <f>46.2+2.8-9</f>
        <v>40</v>
      </c>
      <c r="BW218" s="234">
        <v>21.920230000000004</v>
      </c>
      <c r="BX218" s="237">
        <v>21.920230000000004</v>
      </c>
      <c r="BY218" s="81">
        <f t="shared" si="99"/>
        <v>45.1</v>
      </c>
      <c r="BZ218" s="242">
        <f>10-1.9</f>
        <v>8.1</v>
      </c>
      <c r="CA218" s="242">
        <v>10</v>
      </c>
      <c r="CB218" s="242">
        <v>10</v>
      </c>
      <c r="CC218" s="242">
        <v>17</v>
      </c>
      <c r="CD218" s="242"/>
      <c r="CE218" s="242"/>
      <c r="CF218" s="242"/>
      <c r="CG218" s="242"/>
      <c r="CH218" s="242"/>
      <c r="CI218" s="242"/>
      <c r="CJ218" s="242"/>
      <c r="CK218" s="242"/>
      <c r="CL218" s="195">
        <f t="shared" si="89"/>
        <v>0</v>
      </c>
      <c r="CM218" s="197"/>
      <c r="CN218" s="197"/>
      <c r="CO218" s="197"/>
      <c r="CP218" s="197"/>
      <c r="CQ218" s="197"/>
      <c r="CR218" s="197"/>
      <c r="CS218" s="197"/>
      <c r="CT218" s="197"/>
      <c r="CU218" s="197"/>
      <c r="CV218" s="197"/>
      <c r="CW218" s="197"/>
      <c r="CX218" s="197"/>
      <c r="CY218" s="200">
        <f t="shared" si="86"/>
        <v>18.079769999999996</v>
      </c>
      <c r="CZ218" s="172">
        <f t="shared" si="100"/>
        <v>0</v>
      </c>
      <c r="DA218" s="201">
        <f t="shared" si="87"/>
        <v>122.42398000000001</v>
      </c>
      <c r="DB218" s="201">
        <f t="shared" si="88"/>
        <v>21.920230000000004</v>
      </c>
      <c r="DC218" s="201">
        <f t="shared" si="90"/>
        <v>189.44421000000003</v>
      </c>
      <c r="DD218" s="239">
        <v>171.60563000000002</v>
      </c>
      <c r="DE218" s="201">
        <f t="shared" si="91"/>
        <v>17.838580000000007</v>
      </c>
      <c r="DF218" s="172" t="e">
        <f>SUM(DN218:DO218)-SUM(#REF!,BV218)+BU218</f>
        <v>#REF!</v>
      </c>
      <c r="DG218" s="207"/>
      <c r="DH218" s="225">
        <f t="shared" si="92"/>
        <v>0</v>
      </c>
      <c r="DI218" s="225">
        <f t="shared" si="93"/>
        <v>7.4173100000000005</v>
      </c>
      <c r="DJ218" s="225">
        <f t="shared" si="94"/>
        <v>59.531780000000005</v>
      </c>
      <c r="DK218" s="225" t="e">
        <f>SUM(BS218,#REF!,BV218)</f>
        <v>#REF!</v>
      </c>
      <c r="DL218" s="145">
        <v>189.24779999999998</v>
      </c>
      <c r="DM218" s="145">
        <v>144.34421</v>
      </c>
      <c r="DN218" s="145">
        <v>35.567540000000001</v>
      </c>
      <c r="DO218" s="145">
        <v>0</v>
      </c>
      <c r="DP218" s="145">
        <v>179.91175000000001</v>
      </c>
      <c r="DQ218" s="145">
        <v>9.3360499999999984</v>
      </c>
      <c r="DR218" s="21">
        <f>VLOOKUP(C218,[6]Database!$B$143:$AD$521,29,FALSE)</f>
        <v>0</v>
      </c>
      <c r="DS218" s="219">
        <f t="shared" si="95"/>
        <v>45.1</v>
      </c>
    </row>
    <row r="219" spans="1:123" s="21" customFormat="1" ht="24" customHeight="1">
      <c r="A219" s="16"/>
      <c r="B219" s="2">
        <v>183</v>
      </c>
      <c r="C219" s="79" t="s">
        <v>641</v>
      </c>
      <c r="D219" s="79"/>
      <c r="E219" s="78" t="s">
        <v>822</v>
      </c>
      <c r="F219" s="39">
        <v>2020</v>
      </c>
      <c r="G219" s="40">
        <v>44013</v>
      </c>
      <c r="H219" s="178">
        <v>44155</v>
      </c>
      <c r="I219" s="40"/>
      <c r="J219" s="13">
        <f t="shared" ca="1" si="84"/>
        <v>-1148.3359971064783</v>
      </c>
      <c r="K219" s="165">
        <f t="shared" si="96"/>
        <v>44702</v>
      </c>
      <c r="L219" s="165">
        <f t="shared" si="97"/>
        <v>44885</v>
      </c>
      <c r="M219" s="165"/>
      <c r="N219" s="170"/>
      <c r="O219" s="165"/>
      <c r="P219" s="170"/>
      <c r="Q219" s="170"/>
      <c r="R219" s="39" t="s">
        <v>175</v>
      </c>
      <c r="S219" s="11" t="s">
        <v>4</v>
      </c>
      <c r="T219" s="39" t="s">
        <v>904</v>
      </c>
      <c r="U219" s="5" t="s">
        <v>8</v>
      </c>
      <c r="V219" s="251">
        <v>3293366</v>
      </c>
      <c r="W219" s="5" t="s">
        <v>602</v>
      </c>
      <c r="X219" s="5" t="s">
        <v>475</v>
      </c>
      <c r="Y219" s="5" t="s">
        <v>483</v>
      </c>
      <c r="Z219" s="3" t="s">
        <v>180</v>
      </c>
      <c r="AA219" s="43" t="s">
        <v>461</v>
      </c>
      <c r="AB219" s="142" t="s">
        <v>1362</v>
      </c>
      <c r="AC219" s="165">
        <v>44681</v>
      </c>
      <c r="AD219" s="165">
        <v>44655</v>
      </c>
      <c r="AE219" s="165">
        <f>IFERROR(EOMONTH(L219,-2),"")</f>
        <v>44834</v>
      </c>
      <c r="AF219" s="5"/>
      <c r="AG219" s="41"/>
      <c r="AH219" s="212"/>
      <c r="AI219" s="115" t="s">
        <v>806</v>
      </c>
      <c r="AJ219" s="115"/>
      <c r="AK219" s="221" t="e">
        <f>SUM(#REF!,BT219,BV219)</f>
        <v>#REF!</v>
      </c>
      <c r="AL219" s="153" t="s">
        <v>1124</v>
      </c>
      <c r="AM219" s="153">
        <v>8240513854</v>
      </c>
      <c r="AN219" s="153" t="s">
        <v>1125</v>
      </c>
      <c r="AO219" s="153" t="s">
        <v>592</v>
      </c>
      <c r="AP219" s="153" t="s">
        <v>592</v>
      </c>
      <c r="AQ219" s="153" t="s">
        <v>592</v>
      </c>
      <c r="AR219" s="52"/>
      <c r="AS219" s="51"/>
      <c r="AT219" s="51">
        <v>0</v>
      </c>
      <c r="AU219" s="51">
        <v>300</v>
      </c>
      <c r="AV219" s="44">
        <v>300.18400000000003</v>
      </c>
      <c r="AW219" s="44">
        <v>12.388999999999999</v>
      </c>
      <c r="AX219" s="90">
        <f t="shared" si="85"/>
        <v>312.57300000000004</v>
      </c>
      <c r="AY219" s="157">
        <f t="shared" si="98"/>
        <v>149.45334</v>
      </c>
      <c r="AZ219" s="182">
        <v>0</v>
      </c>
      <c r="BA219" s="158">
        <v>0</v>
      </c>
      <c r="BB219" s="182">
        <v>2</v>
      </c>
      <c r="BC219" s="158"/>
      <c r="BD219" s="182">
        <v>0</v>
      </c>
      <c r="BE219" s="158">
        <v>0.64380999999999999</v>
      </c>
      <c r="BF219" s="182">
        <v>1</v>
      </c>
      <c r="BG219" s="158"/>
      <c r="BH219" s="182">
        <v>2</v>
      </c>
      <c r="BI219" s="158"/>
      <c r="BJ219" s="182">
        <v>2</v>
      </c>
      <c r="BK219" s="158">
        <v>20.459240000000001</v>
      </c>
      <c r="BL219" s="183">
        <v>4.5999999999999996</v>
      </c>
      <c r="BM219" s="158">
        <v>9.743000000000035E-2</v>
      </c>
      <c r="BN219" s="183">
        <v>7</v>
      </c>
      <c r="BO219" s="158">
        <v>33.515140000000002</v>
      </c>
      <c r="BP219" s="182">
        <v>7.6999999999999993</v>
      </c>
      <c r="BQ219" s="158">
        <v>6.1470900000000004</v>
      </c>
      <c r="BR219" s="182">
        <f>5-0.1</f>
        <v>4.9000000000000004</v>
      </c>
      <c r="BS219" s="158">
        <v>8.6909299999999998</v>
      </c>
      <c r="BT219" s="182">
        <f>5+111.6-6-0.4-13.6</f>
        <v>96.6</v>
      </c>
      <c r="BU219" s="158">
        <v>15.46293</v>
      </c>
      <c r="BV219" s="182">
        <f>32.71+43-8</f>
        <v>67.710000000000008</v>
      </c>
      <c r="BW219" s="234">
        <v>64.436769999999996</v>
      </c>
      <c r="BX219" s="237">
        <v>64.436769999999996</v>
      </c>
      <c r="BY219" s="81">
        <f t="shared" si="99"/>
        <v>119.7</v>
      </c>
      <c r="BZ219" s="242">
        <f>40-3.3</f>
        <v>36.700000000000003</v>
      </c>
      <c r="CA219" s="242">
        <v>25</v>
      </c>
      <c r="CB219" s="242">
        <v>25</v>
      </c>
      <c r="CC219" s="242">
        <f>25+8</f>
        <v>33</v>
      </c>
      <c r="CD219" s="242"/>
      <c r="CE219" s="242"/>
      <c r="CF219" s="242"/>
      <c r="CG219" s="242"/>
      <c r="CH219" s="242"/>
      <c r="CI219" s="242"/>
      <c r="CJ219" s="242"/>
      <c r="CK219" s="242"/>
      <c r="CL219" s="195">
        <f t="shared" si="89"/>
        <v>0</v>
      </c>
      <c r="CM219" s="197"/>
      <c r="CN219" s="197"/>
      <c r="CO219" s="197"/>
      <c r="CP219" s="197"/>
      <c r="CQ219" s="197"/>
      <c r="CR219" s="197"/>
      <c r="CS219" s="197"/>
      <c r="CT219" s="197"/>
      <c r="CU219" s="197"/>
      <c r="CV219" s="197"/>
      <c r="CW219" s="197"/>
      <c r="CX219" s="197"/>
      <c r="CY219" s="200">
        <f t="shared" si="86"/>
        <v>3.2732300000000123</v>
      </c>
      <c r="CZ219" s="172">
        <f t="shared" si="100"/>
        <v>0</v>
      </c>
      <c r="DA219" s="201">
        <f t="shared" si="87"/>
        <v>85.016570000000002</v>
      </c>
      <c r="DB219" s="201">
        <f t="shared" si="88"/>
        <v>64.436769999999996</v>
      </c>
      <c r="DC219" s="201">
        <f t="shared" si="90"/>
        <v>269.15334000000001</v>
      </c>
      <c r="DD219" s="239">
        <v>291.65364</v>
      </c>
      <c r="DE219" s="201">
        <f t="shared" si="91"/>
        <v>-22.500299999999982</v>
      </c>
      <c r="DF219" s="172" t="e">
        <f>SUM(DN219:DO219)-SUM(#REF!,BV219)+BU219</f>
        <v>#REF!</v>
      </c>
      <c r="DG219" s="207" t="s">
        <v>1176</v>
      </c>
      <c r="DH219" s="225">
        <f t="shared" si="92"/>
        <v>0.64380999999999999</v>
      </c>
      <c r="DI219" s="225">
        <f t="shared" si="93"/>
        <v>20.459240000000001</v>
      </c>
      <c r="DJ219" s="225">
        <f t="shared" si="94"/>
        <v>39.759660000000004</v>
      </c>
      <c r="DK219" s="225" t="e">
        <f>SUM(BS219,#REF!,BV219)</f>
        <v>#REF!</v>
      </c>
      <c r="DL219" s="145">
        <v>300.18459999999999</v>
      </c>
      <c r="DM219" s="145">
        <v>149.45334</v>
      </c>
      <c r="DN219" s="145">
        <v>102.86313</v>
      </c>
      <c r="DO219" s="145">
        <v>7.6221000000000005</v>
      </c>
      <c r="DP219" s="145">
        <v>259.93857000000003</v>
      </c>
      <c r="DQ219" s="145">
        <v>40.246029999999998</v>
      </c>
      <c r="DR219" s="21">
        <f>VLOOKUP(C219,[6]Database!$B$143:$AD$521,29,FALSE)</f>
        <v>0</v>
      </c>
      <c r="DS219" s="219">
        <f t="shared" si="95"/>
        <v>119.7</v>
      </c>
    </row>
    <row r="220" spans="1:123" s="21" customFormat="1" ht="24" customHeight="1">
      <c r="A220" s="16"/>
      <c r="B220" s="2">
        <v>184</v>
      </c>
      <c r="C220" s="79" t="s">
        <v>677</v>
      </c>
      <c r="D220" s="79"/>
      <c r="E220" s="78"/>
      <c r="F220" s="39">
        <v>2020</v>
      </c>
      <c r="G220" s="40">
        <v>44123</v>
      </c>
      <c r="H220" s="178">
        <v>44168</v>
      </c>
      <c r="I220" s="40">
        <v>44419</v>
      </c>
      <c r="J220" s="13">
        <f t="shared" ca="1" si="84"/>
        <v>251</v>
      </c>
      <c r="K220" s="165">
        <f t="shared" si="96"/>
        <v>44715</v>
      </c>
      <c r="L220" s="165">
        <f t="shared" si="97"/>
        <v>44898</v>
      </c>
      <c r="M220" s="165"/>
      <c r="N220" s="170"/>
      <c r="O220" s="170"/>
      <c r="P220" s="170"/>
      <c r="Q220" s="170"/>
      <c r="R220" s="39" t="s">
        <v>177</v>
      </c>
      <c r="S220" s="11" t="s">
        <v>222</v>
      </c>
      <c r="T220" s="39"/>
      <c r="U220" s="5" t="s">
        <v>8</v>
      </c>
      <c r="V220" s="251">
        <v>3325174</v>
      </c>
      <c r="W220" s="5" t="s">
        <v>602</v>
      </c>
      <c r="X220" s="5" t="s">
        <v>478</v>
      </c>
      <c r="Y220" s="5" t="s">
        <v>678</v>
      </c>
      <c r="Z220" s="3" t="s">
        <v>180</v>
      </c>
      <c r="AA220" s="43" t="s">
        <v>194</v>
      </c>
      <c r="AB220" s="216" t="s">
        <v>1394</v>
      </c>
      <c r="AC220" s="165" t="s">
        <v>5</v>
      </c>
      <c r="AD220" s="165">
        <v>44439</v>
      </c>
      <c r="AE220" s="165" t="s">
        <v>5</v>
      </c>
      <c r="AF220" s="5" t="s">
        <v>1037</v>
      </c>
      <c r="AG220" s="41" t="s">
        <v>1043</v>
      </c>
      <c r="AH220" s="212"/>
      <c r="AI220" s="115"/>
      <c r="AJ220" s="115"/>
      <c r="AK220" s="221" t="e">
        <f>SUM(#REF!,BT220,BV220)</f>
        <v>#REF!</v>
      </c>
      <c r="AL220" s="153"/>
      <c r="AM220" s="153"/>
      <c r="AN220" s="153"/>
      <c r="AO220" s="153"/>
      <c r="AP220" s="153"/>
      <c r="AQ220" s="153"/>
      <c r="AR220" s="52"/>
      <c r="AS220" s="51"/>
      <c r="AT220" s="51">
        <v>0</v>
      </c>
      <c r="AU220" s="51">
        <v>266.52999999999997</v>
      </c>
      <c r="AV220" s="44">
        <v>573.53</v>
      </c>
      <c r="AW220" s="44"/>
      <c r="AX220" s="90">
        <f t="shared" si="85"/>
        <v>573.53</v>
      </c>
      <c r="AY220" s="157">
        <f t="shared" si="98"/>
        <v>571.69055000000003</v>
      </c>
      <c r="AZ220" s="182">
        <v>0</v>
      </c>
      <c r="BA220" s="158">
        <v>0</v>
      </c>
      <c r="BB220" s="182">
        <v>0</v>
      </c>
      <c r="BC220" s="158"/>
      <c r="BD220" s="182">
        <v>0</v>
      </c>
      <c r="BE220" s="158">
        <v>0</v>
      </c>
      <c r="BF220" s="182">
        <v>0</v>
      </c>
      <c r="BG220" s="158"/>
      <c r="BH220" s="182">
        <v>0</v>
      </c>
      <c r="BI220" s="158"/>
      <c r="BJ220" s="182">
        <v>80</v>
      </c>
      <c r="BK220" s="158">
        <v>185.78166000000002</v>
      </c>
      <c r="BL220" s="280">
        <v>100</v>
      </c>
      <c r="BM220" s="158">
        <v>385.90889000000004</v>
      </c>
      <c r="BN220" s="183"/>
      <c r="BO220" s="158"/>
      <c r="BP220" s="182"/>
      <c r="BQ220" s="158"/>
      <c r="BR220" s="182"/>
      <c r="BS220" s="158"/>
      <c r="BT220" s="182"/>
      <c r="BU220" s="158"/>
      <c r="BV220" s="182"/>
      <c r="BW220" s="234"/>
      <c r="BX220" s="237"/>
      <c r="BY220" s="81">
        <f t="shared" si="99"/>
        <v>0</v>
      </c>
      <c r="BZ220" s="242"/>
      <c r="CA220" s="242"/>
      <c r="CB220" s="242"/>
      <c r="CC220" s="242"/>
      <c r="CD220" s="242"/>
      <c r="CE220" s="242"/>
      <c r="CF220" s="242"/>
      <c r="CG220" s="242"/>
      <c r="CH220" s="242"/>
      <c r="CI220" s="242"/>
      <c r="CJ220" s="242"/>
      <c r="CK220" s="242"/>
      <c r="CL220" s="195">
        <f t="shared" si="89"/>
        <v>0</v>
      </c>
      <c r="CM220" s="197"/>
      <c r="CN220" s="197"/>
      <c r="CO220" s="197"/>
      <c r="CP220" s="197"/>
      <c r="CQ220" s="197"/>
      <c r="CR220" s="197"/>
      <c r="CS220" s="197"/>
      <c r="CT220" s="197"/>
      <c r="CU220" s="197"/>
      <c r="CV220" s="197"/>
      <c r="CW220" s="197"/>
      <c r="CX220" s="197"/>
      <c r="CY220" s="200">
        <f t="shared" si="86"/>
        <v>0</v>
      </c>
      <c r="CZ220" s="172">
        <f t="shared" si="100"/>
        <v>0</v>
      </c>
      <c r="DA220" s="201">
        <f t="shared" si="87"/>
        <v>571.69055000000003</v>
      </c>
      <c r="DB220" s="201">
        <f t="shared" si="88"/>
        <v>0</v>
      </c>
      <c r="DC220" s="201">
        <f t="shared" si="90"/>
        <v>571.69055000000003</v>
      </c>
      <c r="DD220" s="239">
        <v>571.69055000000003</v>
      </c>
      <c r="DE220" s="201">
        <f t="shared" si="91"/>
        <v>0</v>
      </c>
      <c r="DF220" s="172" t="e">
        <f>SUM(DN220:DO220)-SUM(#REF!,BV220)+BU220</f>
        <v>#REF!</v>
      </c>
      <c r="DG220" s="207"/>
      <c r="DH220" s="225">
        <f t="shared" si="92"/>
        <v>0</v>
      </c>
      <c r="DI220" s="225">
        <f t="shared" si="93"/>
        <v>185.78166000000002</v>
      </c>
      <c r="DJ220" s="225">
        <f t="shared" si="94"/>
        <v>385.90889000000004</v>
      </c>
      <c r="DK220" s="225" t="e">
        <f>SUM(BS220,#REF!,BV220)</f>
        <v>#REF!</v>
      </c>
      <c r="DL220" s="145">
        <v>573.53</v>
      </c>
      <c r="DM220" s="145">
        <v>571.69055000000003</v>
      </c>
      <c r="DN220" s="145">
        <v>0</v>
      </c>
      <c r="DO220" s="145">
        <v>0</v>
      </c>
      <c r="DP220" s="145">
        <v>571.69055000000003</v>
      </c>
      <c r="DQ220" s="145">
        <v>1.83945</v>
      </c>
      <c r="DR220" s="21">
        <f>VLOOKUP(C220,[6]Database!$B$143:$AD$521,29,FALSE)</f>
        <v>0</v>
      </c>
      <c r="DS220" s="219">
        <f t="shared" si="95"/>
        <v>0</v>
      </c>
    </row>
    <row r="221" spans="1:123" s="21" customFormat="1" ht="24" customHeight="1">
      <c r="A221" s="16"/>
      <c r="B221" s="2">
        <v>185</v>
      </c>
      <c r="C221" s="79" t="s">
        <v>642</v>
      </c>
      <c r="D221" s="78"/>
      <c r="E221" s="78"/>
      <c r="F221" s="39">
        <v>2020</v>
      </c>
      <c r="G221" s="40">
        <v>44126</v>
      </c>
      <c r="H221" s="178">
        <v>44134</v>
      </c>
      <c r="I221" s="40">
        <v>44404</v>
      </c>
      <c r="J221" s="13">
        <f t="shared" ca="1" si="84"/>
        <v>270</v>
      </c>
      <c r="K221" s="165">
        <f t="shared" si="96"/>
        <v>44681</v>
      </c>
      <c r="L221" s="165">
        <f t="shared" si="97"/>
        <v>44864</v>
      </c>
      <c r="M221" s="165"/>
      <c r="N221" s="170"/>
      <c r="O221" s="165"/>
      <c r="P221" s="170"/>
      <c r="Q221" s="170"/>
      <c r="R221" s="39" t="s">
        <v>178</v>
      </c>
      <c r="S221" s="11"/>
      <c r="T221" s="39"/>
      <c r="U221" s="5" t="s">
        <v>8</v>
      </c>
      <c r="V221" s="251">
        <v>3294503</v>
      </c>
      <c r="W221" s="5" t="s">
        <v>602</v>
      </c>
      <c r="X221" s="5" t="s">
        <v>478</v>
      </c>
      <c r="Y221" s="5" t="s">
        <v>643</v>
      </c>
      <c r="Z221" s="3" t="s">
        <v>187</v>
      </c>
      <c r="AA221" s="43" t="s">
        <v>194</v>
      </c>
      <c r="AB221" s="275" t="s">
        <v>1394</v>
      </c>
      <c r="AC221" s="165" t="s">
        <v>5</v>
      </c>
      <c r="AD221" s="165">
        <v>44346</v>
      </c>
      <c r="AE221" s="165">
        <f t="shared" ref="AE221:AE229" si="101">IFERROR(EOMONTH(L221,-2),"")</f>
        <v>44804</v>
      </c>
      <c r="AF221" s="5"/>
      <c r="AG221" s="41"/>
      <c r="AH221" s="212"/>
      <c r="AI221" s="115"/>
      <c r="AJ221" s="115"/>
      <c r="AK221" s="221" t="e">
        <f>SUM(#REF!,BT221,BV221)</f>
        <v>#REF!</v>
      </c>
      <c r="AL221" s="153"/>
      <c r="AM221" s="153"/>
      <c r="AN221" s="153"/>
      <c r="AO221" s="153"/>
      <c r="AP221" s="153"/>
      <c r="AQ221" s="153"/>
      <c r="AR221" s="52"/>
      <c r="AS221" s="51">
        <v>0</v>
      </c>
      <c r="AT221" s="51">
        <v>0</v>
      </c>
      <c r="AU221" s="51">
        <v>70</v>
      </c>
      <c r="AV221" s="44">
        <v>107.81399999999999</v>
      </c>
      <c r="AW221" s="44">
        <v>5</v>
      </c>
      <c r="AX221" s="90">
        <f t="shared" si="85"/>
        <v>112.81399999999999</v>
      </c>
      <c r="AY221" s="157">
        <f t="shared" si="98"/>
        <v>49.774949999999997</v>
      </c>
      <c r="AZ221" s="182">
        <v>0</v>
      </c>
      <c r="BA221" s="158">
        <v>0</v>
      </c>
      <c r="BB221" s="182">
        <v>0</v>
      </c>
      <c r="BC221" s="158"/>
      <c r="BD221" s="182">
        <v>0</v>
      </c>
      <c r="BE221" s="158">
        <v>0</v>
      </c>
      <c r="BF221" s="182">
        <v>0</v>
      </c>
      <c r="BG221" s="158">
        <v>49.774949999999997</v>
      </c>
      <c r="BH221" s="182">
        <v>0</v>
      </c>
      <c r="BI221" s="158"/>
      <c r="BJ221" s="182">
        <v>0</v>
      </c>
      <c r="BK221" s="158"/>
      <c r="BL221" s="183"/>
      <c r="BM221" s="158"/>
      <c r="BN221" s="183"/>
      <c r="BO221" s="158"/>
      <c r="BP221" s="182"/>
      <c r="BQ221" s="158"/>
      <c r="BR221" s="182"/>
      <c r="BS221" s="158"/>
      <c r="BT221" s="182"/>
      <c r="BU221" s="158"/>
      <c r="BV221" s="182"/>
      <c r="BW221" s="234"/>
      <c r="BX221" s="237"/>
      <c r="BY221" s="81">
        <f t="shared" si="99"/>
        <v>0</v>
      </c>
      <c r="BZ221" s="242"/>
      <c r="CA221" s="242"/>
      <c r="CB221" s="242"/>
      <c r="CC221" s="242"/>
      <c r="CD221" s="242"/>
      <c r="CE221" s="242"/>
      <c r="CF221" s="242"/>
      <c r="CG221" s="242"/>
      <c r="CH221" s="242"/>
      <c r="CI221" s="242"/>
      <c r="CJ221" s="242"/>
      <c r="CK221" s="242"/>
      <c r="CL221" s="195">
        <f t="shared" ref="CL221:CL252" si="102">SUM(CM221:CX221)</f>
        <v>0</v>
      </c>
      <c r="CM221" s="197"/>
      <c r="CN221" s="197"/>
      <c r="CO221" s="197"/>
      <c r="CP221" s="197"/>
      <c r="CQ221" s="197"/>
      <c r="CR221" s="197"/>
      <c r="CS221" s="197"/>
      <c r="CT221" s="197"/>
      <c r="CU221" s="197"/>
      <c r="CV221" s="197"/>
      <c r="CW221" s="197"/>
      <c r="CX221" s="197"/>
      <c r="CY221" s="200">
        <f t="shared" si="86"/>
        <v>0</v>
      </c>
      <c r="CZ221" s="172">
        <f t="shared" si="100"/>
        <v>0</v>
      </c>
      <c r="DA221" s="201">
        <f t="shared" si="87"/>
        <v>49.774949999999997</v>
      </c>
      <c r="DB221" s="201">
        <f t="shared" si="88"/>
        <v>0</v>
      </c>
      <c r="DC221" s="201">
        <f t="shared" ref="DC221:DC253" si="103">SUM(AY221,BY221)</f>
        <v>49.774949999999997</v>
      </c>
      <c r="DD221" s="239">
        <v>49.774949999999997</v>
      </c>
      <c r="DE221" s="201">
        <f t="shared" ref="DE221:DE252" si="104">DC221-DD221</f>
        <v>0</v>
      </c>
      <c r="DF221" s="172" t="e">
        <f>SUM(DN221:DO221)-SUM(#REF!,BV221)+BU221</f>
        <v>#REF!</v>
      </c>
      <c r="DG221" s="207"/>
      <c r="DH221" s="225">
        <f t="shared" ref="DH221:DH253" si="105">SUM(BA221,BC221,BE221)</f>
        <v>0</v>
      </c>
      <c r="DI221" s="225">
        <f t="shared" ref="DI221:DI253" si="106">SUM(BG221,BI221,BK221)</f>
        <v>49.774949999999997</v>
      </c>
      <c r="DJ221" s="225">
        <f t="shared" ref="DJ221:DJ253" si="107">SUM(BM221,BO221,BQ221)</f>
        <v>0</v>
      </c>
      <c r="DK221" s="225" t="e">
        <f>SUM(BS221,#REF!,BV221)</f>
        <v>#REF!</v>
      </c>
      <c r="DL221" s="145">
        <v>107.81399999999999</v>
      </c>
      <c r="DM221" s="145">
        <v>49.774949999999997</v>
      </c>
      <c r="DN221" s="145">
        <v>0</v>
      </c>
      <c r="DO221" s="145">
        <v>0</v>
      </c>
      <c r="DP221" s="145">
        <v>49.774949999999997</v>
      </c>
      <c r="DQ221" s="145">
        <v>58.039050000000003</v>
      </c>
      <c r="DR221" s="21">
        <f>VLOOKUP(C221,[6]Database!$B$143:$AD$521,29,FALSE)</f>
        <v>0</v>
      </c>
      <c r="DS221" s="219">
        <f t="shared" ref="DS221:DS252" si="108">BY221-DR221</f>
        <v>0</v>
      </c>
    </row>
    <row r="222" spans="1:123" s="21" customFormat="1" ht="24" customHeight="1">
      <c r="A222" s="16"/>
      <c r="B222" s="2">
        <v>186</v>
      </c>
      <c r="C222" s="79" t="s">
        <v>673</v>
      </c>
      <c r="D222" s="78"/>
      <c r="E222" s="78"/>
      <c r="F222" s="39">
        <v>2020</v>
      </c>
      <c r="G222" s="40">
        <v>44165</v>
      </c>
      <c r="H222" s="178">
        <v>44179</v>
      </c>
      <c r="I222" s="40"/>
      <c r="J222" s="13">
        <f t="shared" ca="1" si="84"/>
        <v>-1123.3359971064783</v>
      </c>
      <c r="K222" s="165">
        <f t="shared" si="96"/>
        <v>44726</v>
      </c>
      <c r="L222" s="165">
        <f t="shared" si="97"/>
        <v>44909</v>
      </c>
      <c r="M222" s="165"/>
      <c r="N222" s="170"/>
      <c r="O222" s="170"/>
      <c r="P222" s="170"/>
      <c r="Q222" s="262" t="s">
        <v>1243</v>
      </c>
      <c r="R222" s="39" t="s">
        <v>175</v>
      </c>
      <c r="S222" s="11" t="s">
        <v>223</v>
      </c>
      <c r="T222" s="39" t="s">
        <v>908</v>
      </c>
      <c r="U222" s="5" t="s">
        <v>8</v>
      </c>
      <c r="V222" s="251">
        <v>3458408</v>
      </c>
      <c r="W222" s="5" t="s">
        <v>602</v>
      </c>
      <c r="X222" s="5" t="s">
        <v>472</v>
      </c>
      <c r="Y222" s="5" t="s">
        <v>1314</v>
      </c>
      <c r="Z222" s="3" t="s">
        <v>182</v>
      </c>
      <c r="AA222" s="43" t="s">
        <v>461</v>
      </c>
      <c r="AB222" s="149" t="s">
        <v>1369</v>
      </c>
      <c r="AC222" s="165">
        <v>44695</v>
      </c>
      <c r="AD222" s="165">
        <v>44712</v>
      </c>
      <c r="AE222" s="165">
        <f t="shared" si="101"/>
        <v>44865</v>
      </c>
      <c r="AF222" s="5" t="s">
        <v>1037</v>
      </c>
      <c r="AG222" s="41" t="s">
        <v>1273</v>
      </c>
      <c r="AH222" s="212"/>
      <c r="AI222" s="115" t="s">
        <v>679</v>
      </c>
      <c r="AJ222" s="115"/>
      <c r="AK222" s="221" t="e">
        <f>SUM(#REF!,BT222,BV222)</f>
        <v>#REF!</v>
      </c>
      <c r="AL222" s="167"/>
      <c r="AM222" s="167"/>
      <c r="AN222" s="167"/>
      <c r="AO222" s="167"/>
      <c r="AP222" s="167"/>
      <c r="AQ222" s="167"/>
      <c r="AR222" s="52"/>
      <c r="AS222" s="51">
        <v>900</v>
      </c>
      <c r="AT222" s="51">
        <v>0</v>
      </c>
      <c r="AU222" s="51">
        <v>4816</v>
      </c>
      <c r="AV222" s="44">
        <v>26690</v>
      </c>
      <c r="AW222" s="44">
        <v>3223</v>
      </c>
      <c r="AX222" s="90">
        <f t="shared" si="85"/>
        <v>29913</v>
      </c>
      <c r="AY222" s="157">
        <f t="shared" si="98"/>
        <v>855.32746999999995</v>
      </c>
      <c r="AZ222" s="182">
        <v>0</v>
      </c>
      <c r="BA222" s="158">
        <v>0</v>
      </c>
      <c r="BB222" s="182">
        <v>0</v>
      </c>
      <c r="BC222" s="158"/>
      <c r="BD222" s="182">
        <v>0</v>
      </c>
      <c r="BE222" s="158">
        <v>0</v>
      </c>
      <c r="BF222" s="182">
        <v>0</v>
      </c>
      <c r="BG222" s="158"/>
      <c r="BH222" s="182">
        <v>0</v>
      </c>
      <c r="BI222" s="158"/>
      <c r="BJ222" s="182">
        <v>0</v>
      </c>
      <c r="BK222" s="158">
        <v>1.5407200000000001</v>
      </c>
      <c r="BL222" s="183"/>
      <c r="BM222" s="158">
        <v>0.67116999999999993</v>
      </c>
      <c r="BN222" s="183"/>
      <c r="BO222" s="158">
        <v>23.448989999999998</v>
      </c>
      <c r="BP222" s="182">
        <v>12.194000000000001</v>
      </c>
      <c r="BQ222" s="158">
        <v>4.9561099999999998</v>
      </c>
      <c r="BR222" s="182">
        <f>2.703+9.9-2.7</f>
        <v>9.9029999999999987</v>
      </c>
      <c r="BS222" s="158">
        <v>26.45797</v>
      </c>
      <c r="BT222" s="182">
        <f>45.22-15.4-1.1</f>
        <v>28.72</v>
      </c>
      <c r="BU222" s="158">
        <v>294.80466999999999</v>
      </c>
      <c r="BV222" s="182">
        <f>481.1-130.1-64+17+3+2</f>
        <v>309</v>
      </c>
      <c r="BW222" s="234">
        <v>503.44783999999999</v>
      </c>
      <c r="BX222" s="237">
        <v>503.44783999999999</v>
      </c>
      <c r="BY222" s="81">
        <f t="shared" si="99"/>
        <v>20005.599999999999</v>
      </c>
      <c r="BZ222" s="242">
        <f>200-22.4-15.9-21.1-135</f>
        <v>5.5999999999999943</v>
      </c>
      <c r="CA222" s="242">
        <v>100</v>
      </c>
      <c r="CB222" s="242">
        <v>300</v>
      </c>
      <c r="CC222" s="242">
        <v>200</v>
      </c>
      <c r="CD222" s="242">
        <v>300</v>
      </c>
      <c r="CE222" s="242">
        <v>7000</v>
      </c>
      <c r="CF222" s="242">
        <v>300</v>
      </c>
      <c r="CG222" s="242">
        <v>400</v>
      </c>
      <c r="CH222" s="242">
        <v>1200</v>
      </c>
      <c r="CI222" s="242">
        <v>200</v>
      </c>
      <c r="CJ222" s="242">
        <v>500</v>
      </c>
      <c r="CK222" s="242">
        <f>13000-3500</f>
        <v>9500</v>
      </c>
      <c r="CL222" s="195">
        <f t="shared" si="102"/>
        <v>400</v>
      </c>
      <c r="CM222" s="197"/>
      <c r="CN222" s="197">
        <v>400</v>
      </c>
      <c r="CO222" s="197"/>
      <c r="CP222" s="197"/>
      <c r="CQ222" s="197"/>
      <c r="CR222" s="197"/>
      <c r="CS222" s="197"/>
      <c r="CT222" s="197"/>
      <c r="CU222" s="197"/>
      <c r="CV222" s="197"/>
      <c r="CW222" s="197"/>
      <c r="CX222" s="197"/>
      <c r="CY222" s="200">
        <f t="shared" si="86"/>
        <v>-194.44783999999999</v>
      </c>
      <c r="CZ222" s="172">
        <f t="shared" si="100"/>
        <v>0</v>
      </c>
      <c r="DA222" s="201">
        <f t="shared" si="87"/>
        <v>351.87962999999996</v>
      </c>
      <c r="DB222" s="201">
        <f t="shared" si="88"/>
        <v>503.44783999999999</v>
      </c>
      <c r="DC222" s="201">
        <f t="shared" si="103"/>
        <v>20860.927469999999</v>
      </c>
      <c r="DD222" s="239">
        <v>11150.89496</v>
      </c>
      <c r="DE222" s="201">
        <f t="shared" si="104"/>
        <v>9710.0325099999991</v>
      </c>
      <c r="DF222" s="172" t="e">
        <f>SUM(DN222:DO222)-SUM(#REF!,BV222)+BU222</f>
        <v>#REF!</v>
      </c>
      <c r="DG222" s="207"/>
      <c r="DH222" s="225">
        <f t="shared" si="105"/>
        <v>0</v>
      </c>
      <c r="DI222" s="225">
        <f t="shared" si="106"/>
        <v>1.5407200000000001</v>
      </c>
      <c r="DJ222" s="225">
        <f t="shared" si="107"/>
        <v>29.076269999999997</v>
      </c>
      <c r="DK222" s="225" t="e">
        <f>SUM(BS222,#REF!,BV222)</f>
        <v>#REF!</v>
      </c>
      <c r="DL222" s="145">
        <v>26690</v>
      </c>
      <c r="DM222" s="145">
        <v>855.32746999999995</v>
      </c>
      <c r="DN222" s="145">
        <v>10012.84359</v>
      </c>
      <c r="DO222" s="145">
        <v>1290.7982</v>
      </c>
      <c r="DP222" s="145">
        <v>12158.96926</v>
      </c>
      <c r="DQ222" s="145">
        <v>14531.03074</v>
      </c>
      <c r="DR222" s="21">
        <f>VLOOKUP(C222,[6]Database!$B$143:$AD$521,29,FALSE)</f>
        <v>10000</v>
      </c>
      <c r="DS222" s="219">
        <f t="shared" si="108"/>
        <v>10005.599999999999</v>
      </c>
    </row>
    <row r="223" spans="1:123" s="21" customFormat="1" ht="24" customHeight="1">
      <c r="A223" s="16"/>
      <c r="B223" s="2">
        <v>189</v>
      </c>
      <c r="C223" s="79" t="s">
        <v>705</v>
      </c>
      <c r="D223" s="79">
        <v>3247</v>
      </c>
      <c r="E223" s="78" t="s">
        <v>838</v>
      </c>
      <c r="F223" s="39">
        <v>2021</v>
      </c>
      <c r="G223" s="40">
        <v>44187</v>
      </c>
      <c r="H223" s="178">
        <v>44242</v>
      </c>
      <c r="I223" s="40"/>
      <c r="J223" s="13">
        <f t="shared" ca="1" si="84"/>
        <v>-1061.3359971064783</v>
      </c>
      <c r="K223" s="165">
        <f t="shared" ref="K223:K229" si="109">IF(H223="","",H223+547)</f>
        <v>44789</v>
      </c>
      <c r="L223" s="165">
        <f t="shared" ref="L223:L229" si="110">IF(H223="","",H223+730)</f>
        <v>44972</v>
      </c>
      <c r="M223" s="165"/>
      <c r="N223" s="170"/>
      <c r="O223" s="170"/>
      <c r="P223" s="170"/>
      <c r="Q223" s="170"/>
      <c r="R223" s="39" t="s">
        <v>175</v>
      </c>
      <c r="S223" s="11" t="s">
        <v>4</v>
      </c>
      <c r="T223" s="39" t="s">
        <v>904</v>
      </c>
      <c r="U223" s="5" t="s">
        <v>7</v>
      </c>
      <c r="V223" s="251">
        <v>3722056</v>
      </c>
      <c r="W223" s="5" t="s">
        <v>602</v>
      </c>
      <c r="X223" s="5" t="s">
        <v>477</v>
      </c>
      <c r="Y223" s="5" t="s">
        <v>695</v>
      </c>
      <c r="Z223" s="3" t="s">
        <v>180</v>
      </c>
      <c r="AA223" s="43" t="s">
        <v>461</v>
      </c>
      <c r="AB223" s="142" t="s">
        <v>1347</v>
      </c>
      <c r="AC223" s="165">
        <v>44742</v>
      </c>
      <c r="AD223" s="165">
        <v>44681</v>
      </c>
      <c r="AE223" s="165">
        <f t="shared" si="101"/>
        <v>44926</v>
      </c>
      <c r="AF223" s="5"/>
      <c r="AG223" s="41"/>
      <c r="AH223" s="212"/>
      <c r="AI223" s="115"/>
      <c r="AJ223" s="115"/>
      <c r="AK223" s="221" t="e">
        <f>SUM(#REF!,BT223,BV223)</f>
        <v>#REF!</v>
      </c>
      <c r="AL223" s="153" t="s">
        <v>1095</v>
      </c>
      <c r="AM223" s="153" t="s">
        <v>1096</v>
      </c>
      <c r="AN223" s="153" t="s">
        <v>1094</v>
      </c>
      <c r="AO223" s="153" t="s">
        <v>592</v>
      </c>
      <c r="AP223" s="153" t="s">
        <v>592</v>
      </c>
      <c r="AQ223" s="153" t="s">
        <v>592</v>
      </c>
      <c r="AR223" s="52"/>
      <c r="AS223" s="51"/>
      <c r="AT223" s="51"/>
      <c r="AU223" s="205">
        <v>46.988000000000099</v>
      </c>
      <c r="AV223" s="44">
        <v>156.626</v>
      </c>
      <c r="AW223" s="44"/>
      <c r="AX223" s="90">
        <f t="shared" si="85"/>
        <v>156.626</v>
      </c>
      <c r="AY223" s="157">
        <f t="shared" si="98"/>
        <v>94.944580000000002</v>
      </c>
      <c r="AZ223" s="182"/>
      <c r="BA223" s="158"/>
      <c r="BB223" s="182">
        <v>0</v>
      </c>
      <c r="BC223" s="158"/>
      <c r="BD223" s="182">
        <v>0</v>
      </c>
      <c r="BE223" s="158">
        <v>0</v>
      </c>
      <c r="BF223" s="182">
        <v>0</v>
      </c>
      <c r="BG223" s="158"/>
      <c r="BH223" s="182">
        <v>0</v>
      </c>
      <c r="BI223" s="158"/>
      <c r="BJ223" s="182">
        <v>0</v>
      </c>
      <c r="BK223" s="158"/>
      <c r="BL223" s="183"/>
      <c r="BM223" s="158"/>
      <c r="BN223" s="183"/>
      <c r="BO223" s="158">
        <v>2.2459699999999998</v>
      </c>
      <c r="BP223" s="182"/>
      <c r="BQ223" s="158">
        <v>2.0996100000000002</v>
      </c>
      <c r="BR223" s="182"/>
      <c r="BS223" s="158">
        <v>1.69316</v>
      </c>
      <c r="BT223" s="182"/>
      <c r="BU223" s="158">
        <v>1.10703</v>
      </c>
      <c r="BV223" s="182">
        <v>97.094350000000006</v>
      </c>
      <c r="BW223" s="234">
        <v>87.798810000000003</v>
      </c>
      <c r="BX223" s="237">
        <v>87.798810000000003</v>
      </c>
      <c r="BY223" s="81">
        <f t="shared" si="99"/>
        <v>56.638200000000005</v>
      </c>
      <c r="BZ223" s="242"/>
      <c r="CA223" s="242"/>
      <c r="CB223" s="242"/>
      <c r="CC223" s="242">
        <v>56.638200000000005</v>
      </c>
      <c r="CD223" s="242"/>
      <c r="CE223" s="242"/>
      <c r="CF223" s="242"/>
      <c r="CG223" s="242"/>
      <c r="CH223" s="242"/>
      <c r="CI223" s="242"/>
      <c r="CJ223" s="242"/>
      <c r="CK223" s="242"/>
      <c r="CL223" s="195">
        <f t="shared" si="102"/>
        <v>0</v>
      </c>
      <c r="CM223" s="197"/>
      <c r="CN223" s="197"/>
      <c r="CO223" s="197"/>
      <c r="CP223" s="197"/>
      <c r="CQ223" s="197"/>
      <c r="CR223" s="197"/>
      <c r="CS223" s="197"/>
      <c r="CT223" s="197"/>
      <c r="CU223" s="197"/>
      <c r="CV223" s="197"/>
      <c r="CW223" s="197"/>
      <c r="CX223" s="197"/>
      <c r="CY223" s="200">
        <f t="shared" si="86"/>
        <v>9.2955400000000026</v>
      </c>
      <c r="CZ223" s="172">
        <f t="shared" si="100"/>
        <v>0</v>
      </c>
      <c r="DA223" s="201">
        <f t="shared" si="87"/>
        <v>7.1457699999999997</v>
      </c>
      <c r="DB223" s="201">
        <f t="shared" si="88"/>
        <v>87.798810000000003</v>
      </c>
      <c r="DC223" s="201">
        <f t="shared" si="103"/>
        <v>151.58278000000001</v>
      </c>
      <c r="DD223" s="239">
        <v>160.87694000000002</v>
      </c>
      <c r="DE223" s="201">
        <f t="shared" si="104"/>
        <v>-9.2941600000000051</v>
      </c>
      <c r="DF223" s="172" t="e">
        <f>SUM(DN223:DO223)-SUM(#REF!,BV223)+BU223</f>
        <v>#REF!</v>
      </c>
      <c r="DG223" s="207"/>
      <c r="DH223" s="225">
        <f t="shared" si="105"/>
        <v>0</v>
      </c>
      <c r="DI223" s="225">
        <f t="shared" si="106"/>
        <v>0</v>
      </c>
      <c r="DJ223" s="225">
        <f t="shared" si="107"/>
        <v>4.34558</v>
      </c>
      <c r="DK223" s="225" t="e">
        <f>SUM(BS223,#REF!,BV223)</f>
        <v>#REF!</v>
      </c>
      <c r="DL223" s="145">
        <v>156.626</v>
      </c>
      <c r="DM223" s="145">
        <v>94.944580000000002</v>
      </c>
      <c r="DN223" s="145">
        <v>5.21591</v>
      </c>
      <c r="DO223" s="145">
        <v>0</v>
      </c>
      <c r="DP223" s="145">
        <v>100.16049000000001</v>
      </c>
      <c r="DQ223" s="145">
        <v>56.465510000000002</v>
      </c>
      <c r="DR223" s="21">
        <f>VLOOKUP(C223,[6]Database!$B$143:$AD$521,29,FALSE)</f>
        <v>56.638200000000005</v>
      </c>
      <c r="DS223" s="219">
        <f t="shared" si="108"/>
        <v>0</v>
      </c>
    </row>
    <row r="224" spans="1:123" s="21" customFormat="1" ht="24" customHeight="1">
      <c r="A224" s="16"/>
      <c r="B224" s="2">
        <v>190</v>
      </c>
      <c r="C224" s="79" t="s">
        <v>704</v>
      </c>
      <c r="D224" s="79">
        <v>997</v>
      </c>
      <c r="E224" s="78" t="s">
        <v>827</v>
      </c>
      <c r="F224" s="39">
        <v>2021</v>
      </c>
      <c r="G224" s="40">
        <v>44187</v>
      </c>
      <c r="H224" s="178">
        <v>44242</v>
      </c>
      <c r="I224" s="40"/>
      <c r="J224" s="13">
        <f t="shared" ca="1" si="84"/>
        <v>-1061.3359971064783</v>
      </c>
      <c r="K224" s="165">
        <f t="shared" si="109"/>
        <v>44789</v>
      </c>
      <c r="L224" s="165">
        <f t="shared" si="110"/>
        <v>44972</v>
      </c>
      <c r="M224" s="165"/>
      <c r="N224" s="170"/>
      <c r="O224" s="170"/>
      <c r="P224" s="170"/>
      <c r="Q224" s="170"/>
      <c r="R224" s="39" t="s">
        <v>175</v>
      </c>
      <c r="S224" s="11" t="s">
        <v>919</v>
      </c>
      <c r="T224" s="39" t="s">
        <v>920</v>
      </c>
      <c r="U224" s="5" t="s">
        <v>7</v>
      </c>
      <c r="V224" s="251">
        <v>3722461</v>
      </c>
      <c r="W224" s="5" t="s">
        <v>602</v>
      </c>
      <c r="X224" s="5" t="s">
        <v>471</v>
      </c>
      <c r="Y224" s="5" t="s">
        <v>701</v>
      </c>
      <c r="Z224" s="78" t="s">
        <v>185</v>
      </c>
      <c r="AA224" s="43" t="s">
        <v>461</v>
      </c>
      <c r="AB224" s="149" t="s">
        <v>1200</v>
      </c>
      <c r="AC224" s="165">
        <v>44620</v>
      </c>
      <c r="AD224" s="165">
        <v>44620</v>
      </c>
      <c r="AE224" s="165">
        <f t="shared" si="101"/>
        <v>44926</v>
      </c>
      <c r="AF224" s="5" t="s">
        <v>1038</v>
      </c>
      <c r="AG224" s="41" t="s">
        <v>1069</v>
      </c>
      <c r="AH224" s="212">
        <v>9.8000000000000004E-2</v>
      </c>
      <c r="AI224" s="115"/>
      <c r="AJ224" s="76" t="s">
        <v>1196</v>
      </c>
      <c r="AK224" s="221" t="e">
        <f>SUM(#REF!,BT224,BV224)</f>
        <v>#REF!</v>
      </c>
      <c r="AL224" s="153" t="s">
        <v>1079</v>
      </c>
      <c r="AM224" s="153" t="s">
        <v>1079</v>
      </c>
      <c r="AN224" s="153" t="s">
        <v>1079</v>
      </c>
      <c r="AO224" s="153" t="s">
        <v>592</v>
      </c>
      <c r="AP224" s="153" t="s">
        <v>592</v>
      </c>
      <c r="AQ224" s="153" t="s">
        <v>592</v>
      </c>
      <c r="AR224" s="52"/>
      <c r="AS224" s="51"/>
      <c r="AT224" s="51"/>
      <c r="AU224" s="51">
        <v>130.1</v>
      </c>
      <c r="AV224" s="44">
        <v>142.84979999999999</v>
      </c>
      <c r="AW224" s="44"/>
      <c r="AX224" s="90">
        <f t="shared" si="85"/>
        <v>142.84979999999999</v>
      </c>
      <c r="AY224" s="157">
        <f t="shared" si="98"/>
        <v>132.13695999999999</v>
      </c>
      <c r="AZ224" s="182"/>
      <c r="BA224" s="158"/>
      <c r="BB224" s="182">
        <v>0</v>
      </c>
      <c r="BC224" s="158"/>
      <c r="BD224" s="182">
        <v>0</v>
      </c>
      <c r="BE224" s="158">
        <v>0</v>
      </c>
      <c r="BF224" s="182">
        <v>0</v>
      </c>
      <c r="BG224" s="158"/>
      <c r="BH224" s="182">
        <v>0</v>
      </c>
      <c r="BI224" s="158">
        <v>6.4592000000000001</v>
      </c>
      <c r="BJ224" s="182">
        <v>5</v>
      </c>
      <c r="BK224" s="158">
        <v>21.832789999999999</v>
      </c>
      <c r="BL224" s="183">
        <v>5</v>
      </c>
      <c r="BM224" s="158">
        <v>35.893419999999999</v>
      </c>
      <c r="BN224" s="183">
        <v>5</v>
      </c>
      <c r="BO224" s="158">
        <v>20.90887</v>
      </c>
      <c r="BP224" s="182">
        <v>4.2911599999999996</v>
      </c>
      <c r="BQ224" s="158">
        <v>20.572240000000001</v>
      </c>
      <c r="BR224" s="182">
        <f>7.5-0.6</f>
        <v>6.9</v>
      </c>
      <c r="BS224" s="158">
        <v>9.7476200000000013</v>
      </c>
      <c r="BT224" s="182">
        <f>23-4.8-10-3.4+0.5</f>
        <v>5.2999999999999989</v>
      </c>
      <c r="BU224" s="158">
        <v>7.9989499999999998</v>
      </c>
      <c r="BV224" s="182">
        <v>10.3</v>
      </c>
      <c r="BW224" s="234">
        <v>8.7238699999999998</v>
      </c>
      <c r="BX224" s="237">
        <v>8.7238699999999998</v>
      </c>
      <c r="BY224" s="81">
        <f t="shared" si="99"/>
        <v>1.6</v>
      </c>
      <c r="BZ224" s="242"/>
      <c r="CA224" s="242"/>
      <c r="CB224" s="242">
        <v>1.6</v>
      </c>
      <c r="CC224" s="242"/>
      <c r="CD224" s="242"/>
      <c r="CE224" s="242"/>
      <c r="CF224" s="242"/>
      <c r="CG224" s="242"/>
      <c r="CH224" s="242"/>
      <c r="CI224" s="242"/>
      <c r="CJ224" s="242"/>
      <c r="CK224" s="242"/>
      <c r="CL224" s="195">
        <f t="shared" si="102"/>
        <v>0</v>
      </c>
      <c r="CM224" s="197"/>
      <c r="CN224" s="197"/>
      <c r="CO224" s="197"/>
      <c r="CP224" s="197"/>
      <c r="CQ224" s="197"/>
      <c r="CR224" s="197"/>
      <c r="CS224" s="197"/>
      <c r="CT224" s="197"/>
      <c r="CU224" s="197"/>
      <c r="CV224" s="197"/>
      <c r="CW224" s="197"/>
      <c r="CX224" s="197"/>
      <c r="CY224" s="200">
        <f t="shared" si="86"/>
        <v>1.5761300000000009</v>
      </c>
      <c r="CZ224" s="172">
        <f t="shared" si="100"/>
        <v>0</v>
      </c>
      <c r="DA224" s="201">
        <f t="shared" si="87"/>
        <v>123.41308999999998</v>
      </c>
      <c r="DB224" s="201">
        <f t="shared" si="88"/>
        <v>8.7238699999999998</v>
      </c>
      <c r="DC224" s="201">
        <f t="shared" si="103"/>
        <v>133.73695999999998</v>
      </c>
      <c r="DD224" s="239">
        <v>129.11413999999999</v>
      </c>
      <c r="DE224" s="201">
        <f t="shared" si="104"/>
        <v>4.6228199999999902</v>
      </c>
      <c r="DF224" s="172" t="e">
        <f>SUM(DN224:DO224)-SUM(#REF!,BV224)+BU224</f>
        <v>#REF!</v>
      </c>
      <c r="DG224" s="207"/>
      <c r="DH224" s="225">
        <f t="shared" si="105"/>
        <v>0</v>
      </c>
      <c r="DI224" s="225">
        <f t="shared" si="106"/>
        <v>28.291989999999998</v>
      </c>
      <c r="DJ224" s="225">
        <f t="shared" si="107"/>
        <v>77.374529999999993</v>
      </c>
      <c r="DK224" s="225" t="e">
        <f>SUM(BS224,#REF!,BV224)</f>
        <v>#REF!</v>
      </c>
      <c r="DL224" s="145">
        <v>142.84979999999999</v>
      </c>
      <c r="DM224" s="145">
        <v>132.13695999999999</v>
      </c>
      <c r="DN224" s="145">
        <v>0</v>
      </c>
      <c r="DO224" s="145">
        <v>4.9621599999999999</v>
      </c>
      <c r="DP224" s="145">
        <v>137.09912</v>
      </c>
      <c r="DQ224" s="145">
        <v>5.75068</v>
      </c>
      <c r="DR224" s="21">
        <f>VLOOKUP(C224,[6]Database!$B$143:$AD$521,29,FALSE)</f>
        <v>0</v>
      </c>
      <c r="DS224" s="219">
        <f t="shared" si="108"/>
        <v>1.6</v>
      </c>
    </row>
    <row r="225" spans="1:123" s="21" customFormat="1" ht="24" customHeight="1">
      <c r="A225" s="16"/>
      <c r="B225" s="2">
        <v>191</v>
      </c>
      <c r="C225" s="79" t="s">
        <v>712</v>
      </c>
      <c r="D225" s="79">
        <v>3032</v>
      </c>
      <c r="E225" s="78" t="s">
        <v>829</v>
      </c>
      <c r="F225" s="39">
        <v>2021</v>
      </c>
      <c r="G225" s="40">
        <v>44188</v>
      </c>
      <c r="H225" s="178">
        <v>44265</v>
      </c>
      <c r="I225" s="40"/>
      <c r="J225" s="13">
        <f t="shared" ca="1" si="84"/>
        <v>-1035.3359971064783</v>
      </c>
      <c r="K225" s="165">
        <f t="shared" si="109"/>
        <v>44812</v>
      </c>
      <c r="L225" s="165">
        <f t="shared" si="110"/>
        <v>44995</v>
      </c>
      <c r="M225" s="165"/>
      <c r="N225" s="170"/>
      <c r="O225" s="170"/>
      <c r="P225" s="170"/>
      <c r="Q225" s="170"/>
      <c r="R225" s="39" t="s">
        <v>175</v>
      </c>
      <c r="S225" s="11" t="s">
        <v>4</v>
      </c>
      <c r="T225" s="39" t="s">
        <v>905</v>
      </c>
      <c r="U225" s="77" t="s">
        <v>7</v>
      </c>
      <c r="V225" s="251">
        <v>3711102</v>
      </c>
      <c r="W225" s="5" t="s">
        <v>602</v>
      </c>
      <c r="X225" s="5" t="s">
        <v>477</v>
      </c>
      <c r="Y225" s="5" t="s">
        <v>696</v>
      </c>
      <c r="Z225" s="3" t="s">
        <v>180</v>
      </c>
      <c r="AA225" s="43" t="s">
        <v>461</v>
      </c>
      <c r="AB225" s="142" t="s">
        <v>1343</v>
      </c>
      <c r="AC225" s="165">
        <v>44620</v>
      </c>
      <c r="AD225" s="165">
        <v>44681</v>
      </c>
      <c r="AE225" s="165">
        <f t="shared" si="101"/>
        <v>44957</v>
      </c>
      <c r="AF225" s="5"/>
      <c r="AG225" s="41"/>
      <c r="AH225" s="212"/>
      <c r="AI225" s="115"/>
      <c r="AJ225" s="115"/>
      <c r="AK225" s="221" t="e">
        <f>SUM(#REF!,BT225,BV225)</f>
        <v>#REF!</v>
      </c>
      <c r="AL225" s="153" t="s">
        <v>1094</v>
      </c>
      <c r="AM225" s="153" t="s">
        <v>1094</v>
      </c>
      <c r="AN225" s="153" t="s">
        <v>1094</v>
      </c>
      <c r="AO225" s="153" t="s">
        <v>592</v>
      </c>
      <c r="AP225" s="153" t="s">
        <v>592</v>
      </c>
      <c r="AQ225" s="153" t="s">
        <v>592</v>
      </c>
      <c r="AR225" s="52"/>
      <c r="AS225" s="51"/>
      <c r="AT225" s="51"/>
      <c r="AU225" s="51">
        <v>102.81099999999998</v>
      </c>
      <c r="AV225" s="44">
        <v>102.81100000000001</v>
      </c>
      <c r="AW225" s="44"/>
      <c r="AX225" s="90">
        <f t="shared" si="85"/>
        <v>102.81100000000001</v>
      </c>
      <c r="AY225" s="157">
        <f t="shared" si="98"/>
        <v>81.889580000000009</v>
      </c>
      <c r="AZ225" s="182"/>
      <c r="BA225" s="158"/>
      <c r="BB225" s="182">
        <v>0</v>
      </c>
      <c r="BC225" s="158"/>
      <c r="BD225" s="182">
        <v>0</v>
      </c>
      <c r="BE225" s="158">
        <v>0</v>
      </c>
      <c r="BF225" s="182">
        <v>0</v>
      </c>
      <c r="BG225" s="158"/>
      <c r="BH225" s="182">
        <v>0</v>
      </c>
      <c r="BI225" s="158"/>
      <c r="BJ225" s="182">
        <v>0</v>
      </c>
      <c r="BK225" s="158"/>
      <c r="BL225" s="183">
        <v>39</v>
      </c>
      <c r="BM225" s="158">
        <v>7.216569999999999</v>
      </c>
      <c r="BN225" s="183">
        <v>52.9</v>
      </c>
      <c r="BO225" s="158">
        <v>4.2919200000000002</v>
      </c>
      <c r="BP225" s="182">
        <v>50.8</v>
      </c>
      <c r="BQ225" s="158">
        <v>42.055040000000005</v>
      </c>
      <c r="BR225" s="182">
        <f>2-1.3</f>
        <v>0.7</v>
      </c>
      <c r="BS225" s="158">
        <v>0.43431999999999998</v>
      </c>
      <c r="BT225" s="182">
        <v>40</v>
      </c>
      <c r="BU225" s="158">
        <v>21.746609999999997</v>
      </c>
      <c r="BV225" s="182">
        <f>1+1.5+0.6</f>
        <v>3.1</v>
      </c>
      <c r="BW225" s="234">
        <v>6.1451200000000004</v>
      </c>
      <c r="BX225" s="237">
        <v>6.1451200000000004</v>
      </c>
      <c r="BY225" s="81">
        <f t="shared" si="99"/>
        <v>12</v>
      </c>
      <c r="BZ225" s="242">
        <v>1</v>
      </c>
      <c r="CA225" s="242">
        <f>12.9+1.2-3.3+0.2</f>
        <v>11</v>
      </c>
      <c r="CB225" s="242"/>
      <c r="CC225" s="242"/>
      <c r="CD225" s="242"/>
      <c r="CE225" s="242"/>
      <c r="CF225" s="242"/>
      <c r="CG225" s="242"/>
      <c r="CH225" s="242"/>
      <c r="CI225" s="242"/>
      <c r="CJ225" s="242"/>
      <c r="CK225" s="242"/>
      <c r="CL225" s="195">
        <f t="shared" si="102"/>
        <v>0</v>
      </c>
      <c r="CM225" s="197"/>
      <c r="CN225" s="197"/>
      <c r="CO225" s="197"/>
      <c r="CP225" s="197"/>
      <c r="CQ225" s="197"/>
      <c r="CR225" s="197"/>
      <c r="CS225" s="197"/>
      <c r="CT225" s="197"/>
      <c r="CU225" s="197"/>
      <c r="CV225" s="197"/>
      <c r="CW225" s="197"/>
      <c r="CX225" s="197"/>
      <c r="CY225" s="200">
        <f t="shared" si="86"/>
        <v>-3.0451200000000003</v>
      </c>
      <c r="CZ225" s="172">
        <f t="shared" si="100"/>
        <v>0</v>
      </c>
      <c r="DA225" s="201">
        <f t="shared" si="87"/>
        <v>75.744460000000004</v>
      </c>
      <c r="DB225" s="201">
        <f t="shared" si="88"/>
        <v>6.1451200000000004</v>
      </c>
      <c r="DC225" s="201">
        <f t="shared" si="103"/>
        <v>93.889580000000009</v>
      </c>
      <c r="DD225" s="239">
        <v>93.99785</v>
      </c>
      <c r="DE225" s="201">
        <f t="shared" si="104"/>
        <v>-0.10826999999999032</v>
      </c>
      <c r="DF225" s="172" t="e">
        <f>SUM(DN225:DO225)-SUM(#REF!,BV225)+BU225</f>
        <v>#REF!</v>
      </c>
      <c r="DG225" s="207"/>
      <c r="DH225" s="225">
        <f t="shared" si="105"/>
        <v>0</v>
      </c>
      <c r="DI225" s="225">
        <f t="shared" si="106"/>
        <v>0</v>
      </c>
      <c r="DJ225" s="225">
        <f t="shared" si="107"/>
        <v>53.56353</v>
      </c>
      <c r="DK225" s="225" t="e">
        <f>SUM(BS225,#REF!,BV225)</f>
        <v>#REF!</v>
      </c>
      <c r="DL225" s="145">
        <v>102.81100000000001</v>
      </c>
      <c r="DM225" s="145">
        <v>81.889579999999995</v>
      </c>
      <c r="DN225" s="145">
        <v>10.584540000000001</v>
      </c>
      <c r="DO225" s="145">
        <v>0</v>
      </c>
      <c r="DP225" s="145">
        <v>92.474119999999999</v>
      </c>
      <c r="DQ225" s="145">
        <v>10.336879999999999</v>
      </c>
      <c r="DR225" s="21">
        <f>VLOOKUP(C225,[6]Database!$B$143:$AD$521,29,FALSE)</f>
        <v>0</v>
      </c>
      <c r="DS225" s="219">
        <f t="shared" si="108"/>
        <v>12</v>
      </c>
    </row>
    <row r="226" spans="1:123" s="21" customFormat="1" ht="24" customHeight="1">
      <c r="A226" s="16"/>
      <c r="B226" s="2">
        <v>192</v>
      </c>
      <c r="C226" s="79" t="s">
        <v>714</v>
      </c>
      <c r="D226" s="79">
        <v>1540</v>
      </c>
      <c r="E226" s="78"/>
      <c r="F226" s="39">
        <v>2021</v>
      </c>
      <c r="G226" s="40">
        <v>44191</v>
      </c>
      <c r="H226" s="40">
        <v>44295</v>
      </c>
      <c r="I226" s="40">
        <v>44557</v>
      </c>
      <c r="J226" s="13">
        <f t="shared" ca="1" si="84"/>
        <v>262</v>
      </c>
      <c r="K226" s="165">
        <f t="shared" si="109"/>
        <v>44842</v>
      </c>
      <c r="L226" s="165">
        <f t="shared" si="110"/>
        <v>45025</v>
      </c>
      <c r="M226" s="165"/>
      <c r="N226" s="170"/>
      <c r="O226" s="170"/>
      <c r="P226" s="170"/>
      <c r="Q226" s="170"/>
      <c r="R226" s="39" t="s">
        <v>175</v>
      </c>
      <c r="S226" s="11" t="s">
        <v>223</v>
      </c>
      <c r="T226" s="39" t="s">
        <v>907</v>
      </c>
      <c r="U226" s="5" t="s">
        <v>7</v>
      </c>
      <c r="V226" s="251">
        <v>3753624</v>
      </c>
      <c r="W226" s="5" t="s">
        <v>602</v>
      </c>
      <c r="X226" s="5" t="s">
        <v>478</v>
      </c>
      <c r="Y226" s="5" t="s">
        <v>698</v>
      </c>
      <c r="Z226" s="78" t="s">
        <v>315</v>
      </c>
      <c r="AA226" s="43" t="s">
        <v>194</v>
      </c>
      <c r="AB226" s="142" t="s">
        <v>1382</v>
      </c>
      <c r="AC226" s="165" t="s">
        <v>5</v>
      </c>
      <c r="AD226" s="165">
        <v>44530</v>
      </c>
      <c r="AE226" s="165">
        <f t="shared" si="101"/>
        <v>44985</v>
      </c>
      <c r="AF226" s="5"/>
      <c r="AG226" s="41"/>
      <c r="AH226" s="212"/>
      <c r="AI226" s="115"/>
      <c r="AJ226" s="76"/>
      <c r="AK226" s="221" t="e">
        <f>SUM(#REF!,BT226,BV226)</f>
        <v>#REF!</v>
      </c>
      <c r="AL226" s="153" t="s">
        <v>1083</v>
      </c>
      <c r="AM226" s="153" t="s">
        <v>1079</v>
      </c>
      <c r="AN226" s="153" t="s">
        <v>5</v>
      </c>
      <c r="AO226" s="153" t="s">
        <v>592</v>
      </c>
      <c r="AP226" s="153" t="s">
        <v>592</v>
      </c>
      <c r="AQ226" s="153" t="s">
        <v>592</v>
      </c>
      <c r="AR226" s="52"/>
      <c r="AS226" s="51"/>
      <c r="AT226" s="51"/>
      <c r="AU226" s="51">
        <v>0</v>
      </c>
      <c r="AV226" s="44">
        <v>75.397319999999993</v>
      </c>
      <c r="AW226" s="44"/>
      <c r="AX226" s="90">
        <f t="shared" si="85"/>
        <v>75.397319999999993</v>
      </c>
      <c r="AY226" s="157">
        <f t="shared" si="98"/>
        <v>65.23384999999999</v>
      </c>
      <c r="AZ226" s="182"/>
      <c r="BA226" s="158"/>
      <c r="BB226" s="182">
        <v>0</v>
      </c>
      <c r="BC226" s="158"/>
      <c r="BD226" s="182">
        <v>0</v>
      </c>
      <c r="BE226" s="158">
        <v>0</v>
      </c>
      <c r="BF226" s="182">
        <v>0</v>
      </c>
      <c r="BG226" s="158"/>
      <c r="BH226" s="182">
        <v>0</v>
      </c>
      <c r="BI226" s="158"/>
      <c r="BJ226" s="182">
        <v>0</v>
      </c>
      <c r="BK226" s="158"/>
      <c r="BL226" s="183">
        <v>30</v>
      </c>
      <c r="BM226" s="158">
        <v>5.2233400000000003</v>
      </c>
      <c r="BN226" s="183">
        <v>38</v>
      </c>
      <c r="BO226" s="158">
        <v>9.0752699999999997</v>
      </c>
      <c r="BP226" s="182">
        <v>45.2</v>
      </c>
      <c r="BQ226" s="158">
        <v>35.910849999999996</v>
      </c>
      <c r="BR226" s="182">
        <f>9.9-0.6</f>
        <v>9.3000000000000007</v>
      </c>
      <c r="BS226" s="158">
        <v>13.27599</v>
      </c>
      <c r="BT226" s="182">
        <v>1.8</v>
      </c>
      <c r="BU226" s="158"/>
      <c r="BV226" s="182">
        <v>1.8</v>
      </c>
      <c r="BW226" s="234">
        <v>1.7484000000000002</v>
      </c>
      <c r="BX226" s="237">
        <v>1.7484000000000002</v>
      </c>
      <c r="BY226" s="81">
        <f t="shared" si="99"/>
        <v>0</v>
      </c>
      <c r="BZ226" s="242"/>
      <c r="CA226" s="242"/>
      <c r="CB226" s="242"/>
      <c r="CC226" s="242"/>
      <c r="CD226" s="242"/>
      <c r="CE226" s="242"/>
      <c r="CF226" s="242"/>
      <c r="CG226" s="242"/>
      <c r="CH226" s="242"/>
      <c r="CI226" s="242"/>
      <c r="CJ226" s="242"/>
      <c r="CK226" s="242"/>
      <c r="CL226" s="195">
        <f t="shared" si="102"/>
        <v>0</v>
      </c>
      <c r="CM226" s="197"/>
      <c r="CN226" s="197"/>
      <c r="CO226" s="197"/>
      <c r="CP226" s="197"/>
      <c r="CQ226" s="197"/>
      <c r="CR226" s="197"/>
      <c r="CS226" s="197"/>
      <c r="CT226" s="197"/>
      <c r="CU226" s="197"/>
      <c r="CV226" s="197"/>
      <c r="CW226" s="197"/>
      <c r="CX226" s="197"/>
      <c r="CY226" s="200">
        <f t="shared" si="86"/>
        <v>5.1599999999999868E-2</v>
      </c>
      <c r="CZ226" s="172">
        <f t="shared" si="100"/>
        <v>0</v>
      </c>
      <c r="DA226" s="201">
        <f t="shared" si="87"/>
        <v>63.485449999999993</v>
      </c>
      <c r="DB226" s="201">
        <f t="shared" si="88"/>
        <v>1.7484000000000002</v>
      </c>
      <c r="DC226" s="201">
        <f t="shared" si="103"/>
        <v>65.23384999999999</v>
      </c>
      <c r="DD226" s="239">
        <v>65.285449999999997</v>
      </c>
      <c r="DE226" s="201">
        <f t="shared" si="104"/>
        <v>-5.160000000000764E-2</v>
      </c>
      <c r="DF226" s="172" t="e">
        <f>SUM(DN226:DO226)-SUM(#REF!,BV226)+BU226</f>
        <v>#REF!</v>
      </c>
      <c r="DG226" s="207"/>
      <c r="DH226" s="225">
        <f t="shared" si="105"/>
        <v>0</v>
      </c>
      <c r="DI226" s="225">
        <f t="shared" si="106"/>
        <v>0</v>
      </c>
      <c r="DJ226" s="225">
        <f t="shared" si="107"/>
        <v>50.209459999999993</v>
      </c>
      <c r="DK226" s="225" t="e">
        <f>SUM(BS226,#REF!,BV226)</f>
        <v>#REF!</v>
      </c>
      <c r="DL226" s="145">
        <v>75.397320000000008</v>
      </c>
      <c r="DM226" s="145">
        <v>65.233850000000004</v>
      </c>
      <c r="DN226" s="145">
        <v>0</v>
      </c>
      <c r="DO226" s="145">
        <v>0</v>
      </c>
      <c r="DP226" s="145">
        <v>65.233850000000004</v>
      </c>
      <c r="DQ226" s="145">
        <v>10.16347</v>
      </c>
      <c r="DR226" s="21">
        <f>VLOOKUP(C226,[6]Database!$B$143:$AD$521,29,FALSE)</f>
        <v>0</v>
      </c>
      <c r="DS226" s="219">
        <f t="shared" si="108"/>
        <v>0</v>
      </c>
    </row>
    <row r="227" spans="1:123" s="21" customFormat="1" ht="24" customHeight="1">
      <c r="A227" s="16"/>
      <c r="B227" s="2"/>
      <c r="C227" s="79" t="s">
        <v>1009</v>
      </c>
      <c r="D227" s="79"/>
      <c r="E227" s="78"/>
      <c r="F227" s="39">
        <v>2021</v>
      </c>
      <c r="G227" s="40"/>
      <c r="H227" s="40"/>
      <c r="I227" s="40"/>
      <c r="J227" s="13" t="str">
        <f t="shared" ca="1" si="84"/>
        <v/>
      </c>
      <c r="K227" s="165" t="str">
        <f t="shared" si="109"/>
        <v/>
      </c>
      <c r="L227" s="165" t="str">
        <f t="shared" si="110"/>
        <v/>
      </c>
      <c r="M227" s="165"/>
      <c r="N227" s="170"/>
      <c r="O227" s="170"/>
      <c r="P227" s="170"/>
      <c r="Q227" s="170"/>
      <c r="R227" s="39" t="s">
        <v>175</v>
      </c>
      <c r="S227" s="11" t="s">
        <v>919</v>
      </c>
      <c r="T227" s="41" t="s">
        <v>915</v>
      </c>
      <c r="U227" s="5" t="s">
        <v>693</v>
      </c>
      <c r="V227" s="251"/>
      <c r="W227" s="5" t="s">
        <v>602</v>
      </c>
      <c r="X227" s="5" t="s">
        <v>471</v>
      </c>
      <c r="Y227" s="5" t="s">
        <v>1318</v>
      </c>
      <c r="Z227" s="3" t="s">
        <v>184</v>
      </c>
      <c r="AA227" s="43" t="s">
        <v>699</v>
      </c>
      <c r="AB227" s="142" t="s">
        <v>1008</v>
      </c>
      <c r="AC227" s="165"/>
      <c r="AD227" s="165"/>
      <c r="AE227" s="165" t="str">
        <f t="shared" si="101"/>
        <v/>
      </c>
      <c r="AF227" s="5"/>
      <c r="AG227" s="41"/>
      <c r="AH227" s="212"/>
      <c r="AI227" s="115"/>
      <c r="AJ227" s="115"/>
      <c r="AK227" s="221" t="e">
        <f>SUM(#REF!,BT227,BV227)</f>
        <v>#REF!</v>
      </c>
      <c r="AL227" s="153"/>
      <c r="AM227" s="153"/>
      <c r="AN227" s="153"/>
      <c r="AO227" s="153"/>
      <c r="AP227" s="153"/>
      <c r="AQ227" s="153"/>
      <c r="AR227" s="52"/>
      <c r="AS227" s="51"/>
      <c r="AT227" s="51"/>
      <c r="AU227" s="205">
        <v>30</v>
      </c>
      <c r="AV227" s="44"/>
      <c r="AW227" s="44"/>
      <c r="AX227" s="90">
        <f t="shared" si="85"/>
        <v>0</v>
      </c>
      <c r="AY227" s="157">
        <f t="shared" si="98"/>
        <v>0</v>
      </c>
      <c r="AZ227" s="182"/>
      <c r="BA227" s="158"/>
      <c r="BB227" s="182"/>
      <c r="BC227" s="158"/>
      <c r="BD227" s="182"/>
      <c r="BE227" s="158"/>
      <c r="BF227" s="182"/>
      <c r="BG227" s="158"/>
      <c r="BH227" s="182"/>
      <c r="BI227" s="158"/>
      <c r="BJ227" s="182"/>
      <c r="BK227" s="158"/>
      <c r="BL227" s="183"/>
      <c r="BM227" s="158"/>
      <c r="BN227" s="183"/>
      <c r="BO227" s="158"/>
      <c r="BP227" s="182"/>
      <c r="BQ227" s="158"/>
      <c r="BR227" s="182"/>
      <c r="BS227" s="158"/>
      <c r="BT227" s="182"/>
      <c r="BU227" s="158"/>
      <c r="BV227" s="182"/>
      <c r="BW227" s="234"/>
      <c r="BX227" s="237"/>
      <c r="BY227" s="81">
        <f t="shared" si="99"/>
        <v>0</v>
      </c>
      <c r="BZ227" s="242"/>
      <c r="CA227" s="242"/>
      <c r="CB227" s="242"/>
      <c r="CC227" s="242"/>
      <c r="CD227" s="242"/>
      <c r="CE227" s="242"/>
      <c r="CF227" s="242"/>
      <c r="CG227" s="242"/>
      <c r="CH227" s="242"/>
      <c r="CI227" s="242"/>
      <c r="CJ227" s="242"/>
      <c r="CK227" s="242"/>
      <c r="CL227" s="195">
        <f t="shared" si="102"/>
        <v>0</v>
      </c>
      <c r="CM227" s="197"/>
      <c r="CN227" s="197"/>
      <c r="CO227" s="197"/>
      <c r="CP227" s="197"/>
      <c r="CQ227" s="197"/>
      <c r="CR227" s="197"/>
      <c r="CS227" s="197"/>
      <c r="CT227" s="197"/>
      <c r="CU227" s="197"/>
      <c r="CV227" s="197"/>
      <c r="CW227" s="197"/>
      <c r="CX227" s="197"/>
      <c r="CY227" s="200">
        <f t="shared" si="86"/>
        <v>0</v>
      </c>
      <c r="CZ227" s="172">
        <f t="shared" si="100"/>
        <v>0</v>
      </c>
      <c r="DA227" s="201">
        <f t="shared" si="87"/>
        <v>0</v>
      </c>
      <c r="DB227" s="201">
        <f t="shared" si="88"/>
        <v>0</v>
      </c>
      <c r="DC227" s="201">
        <f t="shared" si="103"/>
        <v>0</v>
      </c>
      <c r="DD227" s="239">
        <v>0</v>
      </c>
      <c r="DE227" s="201">
        <f t="shared" si="104"/>
        <v>0</v>
      </c>
      <c r="DF227" s="172" t="e">
        <f>SUM(DN227:DO227)-SUM(#REF!,BV227)+BU227</f>
        <v>#REF!</v>
      </c>
      <c r="DG227" s="207"/>
      <c r="DH227" s="225">
        <f t="shared" si="105"/>
        <v>0</v>
      </c>
      <c r="DI227" s="225">
        <f t="shared" si="106"/>
        <v>0</v>
      </c>
      <c r="DJ227" s="225">
        <f t="shared" si="107"/>
        <v>0</v>
      </c>
      <c r="DK227" s="225" t="e">
        <f>SUM(BS227,#REF!,BV227)</f>
        <v>#REF!</v>
      </c>
      <c r="DL227" s="145">
        <v>0</v>
      </c>
      <c r="DM227" s="145">
        <v>0</v>
      </c>
      <c r="DN227" s="145">
        <v>0</v>
      </c>
      <c r="DO227" s="145">
        <v>0</v>
      </c>
      <c r="DP227" s="145">
        <v>0</v>
      </c>
      <c r="DQ227" s="145">
        <v>0</v>
      </c>
      <c r="DS227" s="219">
        <f t="shared" si="108"/>
        <v>0</v>
      </c>
    </row>
    <row r="228" spans="1:123" s="21" customFormat="1" ht="24" customHeight="1">
      <c r="A228" s="16"/>
      <c r="B228" s="2">
        <v>195</v>
      </c>
      <c r="C228" s="79" t="s">
        <v>687</v>
      </c>
      <c r="D228" s="226" t="s">
        <v>592</v>
      </c>
      <c r="E228" s="78"/>
      <c r="F228" s="39">
        <v>2021</v>
      </c>
      <c r="G228" s="40">
        <v>44209</v>
      </c>
      <c r="H228" s="178">
        <v>44227</v>
      </c>
      <c r="I228" s="40"/>
      <c r="J228" s="13">
        <f t="shared" ca="1" si="84"/>
        <v>-1076.3359971064783</v>
      </c>
      <c r="K228" s="165">
        <f t="shared" si="109"/>
        <v>44774</v>
      </c>
      <c r="L228" s="165">
        <f t="shared" si="110"/>
        <v>44957</v>
      </c>
      <c r="M228" s="165"/>
      <c r="N228" s="170"/>
      <c r="O228" s="170"/>
      <c r="P228" s="170"/>
      <c r="Q228" s="170"/>
      <c r="R228" s="39" t="s">
        <v>177</v>
      </c>
      <c r="S228" s="11" t="s">
        <v>222</v>
      </c>
      <c r="T228" s="39"/>
      <c r="U228" s="5" t="s">
        <v>7</v>
      </c>
      <c r="V228" s="251">
        <v>3631637</v>
      </c>
      <c r="W228" s="5" t="s">
        <v>602</v>
      </c>
      <c r="X228" s="5" t="s">
        <v>478</v>
      </c>
      <c r="Y228" s="5" t="s">
        <v>689</v>
      </c>
      <c r="Z228" s="3" t="s">
        <v>187</v>
      </c>
      <c r="AA228" s="43" t="s">
        <v>461</v>
      </c>
      <c r="AB228" s="142" t="s">
        <v>1166</v>
      </c>
      <c r="AC228" s="165">
        <v>44742</v>
      </c>
      <c r="AD228" s="165">
        <v>44560</v>
      </c>
      <c r="AE228" s="165">
        <f t="shared" si="101"/>
        <v>44895</v>
      </c>
      <c r="AF228" s="5"/>
      <c r="AG228" s="41"/>
      <c r="AH228" s="212"/>
      <c r="AI228" s="115"/>
      <c r="AJ228" s="115"/>
      <c r="AK228" s="221" t="e">
        <f>SUM(#REF!,BT228,BV228)</f>
        <v>#REF!</v>
      </c>
      <c r="AL228" s="153" t="s">
        <v>1086</v>
      </c>
      <c r="AM228" s="153" t="s">
        <v>1079</v>
      </c>
      <c r="AN228" s="153" t="s">
        <v>5</v>
      </c>
      <c r="AO228" s="153" t="s">
        <v>592</v>
      </c>
      <c r="AP228" s="153" t="s">
        <v>592</v>
      </c>
      <c r="AQ228" s="153" t="s">
        <v>592</v>
      </c>
      <c r="AR228" s="52"/>
      <c r="AS228" s="51"/>
      <c r="AT228" s="51"/>
      <c r="AU228" s="51">
        <v>772.5</v>
      </c>
      <c r="AV228" s="44">
        <v>772.53399999999999</v>
      </c>
      <c r="AW228" s="44">
        <v>551.63499999999999</v>
      </c>
      <c r="AX228" s="90">
        <f t="shared" si="85"/>
        <v>1324.1689999999999</v>
      </c>
      <c r="AY228" s="157">
        <f t="shared" si="98"/>
        <v>588.60167000000001</v>
      </c>
      <c r="AZ228" s="182">
        <v>0</v>
      </c>
      <c r="BA228" s="158">
        <v>0</v>
      </c>
      <c r="BB228" s="182">
        <v>0</v>
      </c>
      <c r="BC228" s="158"/>
      <c r="BD228" s="182">
        <v>0</v>
      </c>
      <c r="BE228" s="158">
        <v>0</v>
      </c>
      <c r="BF228" s="182">
        <v>0</v>
      </c>
      <c r="BG228" s="158"/>
      <c r="BH228" s="182">
        <v>0</v>
      </c>
      <c r="BI228" s="158"/>
      <c r="BJ228" s="182">
        <v>150</v>
      </c>
      <c r="BK228" s="158">
        <v>292.84548000000001</v>
      </c>
      <c r="BL228" s="183">
        <v>145</v>
      </c>
      <c r="BM228" s="158">
        <v>88.072580000000002</v>
      </c>
      <c r="BN228" s="183">
        <v>155</v>
      </c>
      <c r="BO228" s="158">
        <v>169.75513999999998</v>
      </c>
      <c r="BP228" s="182">
        <v>26</v>
      </c>
      <c r="BQ228" s="158">
        <v>12.649700000000001</v>
      </c>
      <c r="BR228" s="182">
        <f>9.4-0.3</f>
        <v>9.1</v>
      </c>
      <c r="BS228" s="158">
        <v>7.9863999999999997</v>
      </c>
      <c r="BT228" s="182"/>
      <c r="BU228" s="158">
        <v>3.4172200000000004</v>
      </c>
      <c r="BV228" s="182">
        <f>45-1.7+0.3</f>
        <v>43.599999999999994</v>
      </c>
      <c r="BW228" s="234">
        <v>13.875149999999998</v>
      </c>
      <c r="BX228" s="237">
        <v>13.875149999999998</v>
      </c>
      <c r="BY228" s="81">
        <f t="shared" si="99"/>
        <v>29.749279999999999</v>
      </c>
      <c r="BZ228" s="242"/>
      <c r="CA228" s="242">
        <f>29.54928+0.2</f>
        <v>29.749279999999999</v>
      </c>
      <c r="CB228" s="242"/>
      <c r="CC228" s="242"/>
      <c r="CD228" s="242"/>
      <c r="CE228" s="242"/>
      <c r="CF228" s="242"/>
      <c r="CG228" s="242"/>
      <c r="CH228" s="242"/>
      <c r="CI228" s="242"/>
      <c r="CJ228" s="242"/>
      <c r="CK228" s="242"/>
      <c r="CL228" s="195">
        <f t="shared" si="102"/>
        <v>0</v>
      </c>
      <c r="CM228" s="197"/>
      <c r="CN228" s="197"/>
      <c r="CO228" s="197"/>
      <c r="CP228" s="197"/>
      <c r="CQ228" s="197"/>
      <c r="CR228" s="197"/>
      <c r="CS228" s="197"/>
      <c r="CT228" s="197"/>
      <c r="CU228" s="197"/>
      <c r="CV228" s="197"/>
      <c r="CW228" s="197"/>
      <c r="CX228" s="197"/>
      <c r="CY228" s="200">
        <f t="shared" si="86"/>
        <v>29.724849999999996</v>
      </c>
      <c r="CZ228" s="172">
        <f t="shared" si="100"/>
        <v>0</v>
      </c>
      <c r="DA228" s="201">
        <f t="shared" si="87"/>
        <v>574.72652000000005</v>
      </c>
      <c r="DB228" s="201">
        <f t="shared" si="88"/>
        <v>13.875149999999998</v>
      </c>
      <c r="DC228" s="201">
        <f t="shared" si="103"/>
        <v>618.35095000000001</v>
      </c>
      <c r="DD228" s="239">
        <v>620.20929999999998</v>
      </c>
      <c r="DE228" s="201">
        <f t="shared" si="104"/>
        <v>-1.8583499999999731</v>
      </c>
      <c r="DF228" s="172" t="e">
        <f>SUM(DN228:DO228)-SUM(#REF!,BV228)+BU228</f>
        <v>#REF!</v>
      </c>
      <c r="DG228" s="207"/>
      <c r="DH228" s="225">
        <f t="shared" si="105"/>
        <v>0</v>
      </c>
      <c r="DI228" s="225">
        <f t="shared" si="106"/>
        <v>292.84548000000001</v>
      </c>
      <c r="DJ228" s="225">
        <f t="shared" si="107"/>
        <v>270.47742</v>
      </c>
      <c r="DK228" s="225" t="e">
        <f>SUM(BS228,#REF!,BV228)</f>
        <v>#REF!</v>
      </c>
      <c r="DL228" s="145">
        <v>772.53399999999999</v>
      </c>
      <c r="DM228" s="145">
        <v>588.60167000000001</v>
      </c>
      <c r="DN228" s="145">
        <v>36.782620000000001</v>
      </c>
      <c r="DO228" s="145">
        <v>0</v>
      </c>
      <c r="DP228" s="145">
        <v>625.38429000000008</v>
      </c>
      <c r="DQ228" s="145">
        <v>147.14971</v>
      </c>
      <c r="DR228" s="21">
        <f>VLOOKUP(C228,[6]Database!$B$143:$AD$521,29,FALSE)</f>
        <v>0</v>
      </c>
      <c r="DS228" s="219">
        <f t="shared" si="108"/>
        <v>29.749279999999999</v>
      </c>
    </row>
    <row r="229" spans="1:123" s="21" customFormat="1" ht="24" customHeight="1">
      <c r="A229" s="16"/>
      <c r="B229" s="2">
        <v>196</v>
      </c>
      <c r="C229" s="79" t="s">
        <v>713</v>
      </c>
      <c r="D229" s="79">
        <v>973</v>
      </c>
      <c r="E229" s="78"/>
      <c r="F229" s="39">
        <v>2021</v>
      </c>
      <c r="G229" s="40">
        <v>44209</v>
      </c>
      <c r="H229" s="178">
        <v>44266</v>
      </c>
      <c r="I229" s="40"/>
      <c r="J229" s="13">
        <f t="shared" ca="1" si="84"/>
        <v>-1034.3359971064783</v>
      </c>
      <c r="K229" s="165">
        <f t="shared" si="109"/>
        <v>44813</v>
      </c>
      <c r="L229" s="165">
        <f t="shared" si="110"/>
        <v>44996</v>
      </c>
      <c r="M229" s="165"/>
      <c r="N229" s="170"/>
      <c r="O229" s="170"/>
      <c r="P229" s="170"/>
      <c r="Q229" s="170"/>
      <c r="R229" s="39" t="s">
        <v>175</v>
      </c>
      <c r="S229" s="11" t="s">
        <v>223</v>
      </c>
      <c r="T229" s="39" t="s">
        <v>912</v>
      </c>
      <c r="U229" s="77" t="s">
        <v>7</v>
      </c>
      <c r="V229" s="251">
        <v>3675973</v>
      </c>
      <c r="W229" s="5" t="s">
        <v>602</v>
      </c>
      <c r="X229" s="5" t="s">
        <v>901</v>
      </c>
      <c r="Y229" s="5" t="s">
        <v>697</v>
      </c>
      <c r="Z229" s="3" t="s">
        <v>180</v>
      </c>
      <c r="AA229" s="43" t="s">
        <v>461</v>
      </c>
      <c r="AB229" s="142" t="s">
        <v>1353</v>
      </c>
      <c r="AC229" s="165">
        <v>44620</v>
      </c>
      <c r="AD229" s="165">
        <v>44561</v>
      </c>
      <c r="AE229" s="165">
        <f t="shared" si="101"/>
        <v>44957</v>
      </c>
      <c r="AF229" s="5"/>
      <c r="AG229" s="41"/>
      <c r="AH229" s="212"/>
      <c r="AI229" s="115" t="s">
        <v>772</v>
      </c>
      <c r="AJ229" s="115"/>
      <c r="AK229" s="221" t="e">
        <f>SUM(#REF!,BT229,BV229)</f>
        <v>#REF!</v>
      </c>
      <c r="AL229" s="153" t="s">
        <v>1100</v>
      </c>
      <c r="AM229" s="153" t="s">
        <v>1101</v>
      </c>
      <c r="AN229" s="153" t="s">
        <v>1102</v>
      </c>
      <c r="AO229" s="153" t="s">
        <v>1103</v>
      </c>
      <c r="AP229" s="261">
        <v>44470</v>
      </c>
      <c r="AQ229" s="153" t="s">
        <v>1104</v>
      </c>
      <c r="AR229" s="52"/>
      <c r="AS229" s="51"/>
      <c r="AT229" s="51"/>
      <c r="AU229" s="205">
        <v>221.2</v>
      </c>
      <c r="AV229" s="44">
        <v>241.2</v>
      </c>
      <c r="AW229" s="44">
        <v>8.5</v>
      </c>
      <c r="AX229" s="90">
        <f t="shared" si="85"/>
        <v>249.7</v>
      </c>
      <c r="AY229" s="157">
        <f t="shared" si="98"/>
        <v>202.93444000000002</v>
      </c>
      <c r="AZ229" s="182"/>
      <c r="BA229" s="158"/>
      <c r="BB229" s="182">
        <v>0</v>
      </c>
      <c r="BC229" s="158"/>
      <c r="BD229" s="182">
        <v>0</v>
      </c>
      <c r="BE229" s="158">
        <v>0</v>
      </c>
      <c r="BF229" s="182">
        <v>0</v>
      </c>
      <c r="BG229" s="158"/>
      <c r="BH229" s="182">
        <v>0</v>
      </c>
      <c r="BI229" s="158"/>
      <c r="BJ229" s="182">
        <v>0</v>
      </c>
      <c r="BK229" s="158"/>
      <c r="BL229" s="183"/>
      <c r="BM229" s="158">
        <v>1.45123</v>
      </c>
      <c r="BN229" s="183"/>
      <c r="BO229" s="158"/>
      <c r="BP229" s="182">
        <v>169.4</v>
      </c>
      <c r="BQ229" s="158">
        <v>172.56645</v>
      </c>
      <c r="BR229" s="182">
        <v>17.433549999999997</v>
      </c>
      <c r="BS229" s="158">
        <v>3.83195</v>
      </c>
      <c r="BT229" s="182">
        <f>24.7+14.8-1.2</f>
        <v>38.299999999999997</v>
      </c>
      <c r="BU229" s="158">
        <v>21.317699999999999</v>
      </c>
      <c r="BV229" s="182">
        <v>2.7</v>
      </c>
      <c r="BW229" s="234">
        <v>3.7671100000000006</v>
      </c>
      <c r="BX229" s="237">
        <v>3.7671100000000006</v>
      </c>
      <c r="BY229" s="81">
        <f t="shared" si="99"/>
        <v>0</v>
      </c>
      <c r="BZ229" s="242"/>
      <c r="CA229" s="242"/>
      <c r="CB229" s="242"/>
      <c r="CC229" s="242"/>
      <c r="CD229" s="242"/>
      <c r="CE229" s="242"/>
      <c r="CF229" s="242"/>
      <c r="CG229" s="242"/>
      <c r="CH229" s="242"/>
      <c r="CI229" s="242"/>
      <c r="CJ229" s="242"/>
      <c r="CK229" s="242"/>
      <c r="CL229" s="195">
        <f t="shared" si="102"/>
        <v>0</v>
      </c>
      <c r="CM229" s="197"/>
      <c r="CN229" s="197"/>
      <c r="CO229" s="197"/>
      <c r="CP229" s="197"/>
      <c r="CQ229" s="197"/>
      <c r="CR229" s="197"/>
      <c r="CS229" s="197"/>
      <c r="CT229" s="197"/>
      <c r="CU229" s="197"/>
      <c r="CV229" s="197"/>
      <c r="CW229" s="197"/>
      <c r="CX229" s="197"/>
      <c r="CY229" s="200">
        <f t="shared" si="86"/>
        <v>-1.0671100000000004</v>
      </c>
      <c r="CZ229" s="172">
        <f t="shared" si="100"/>
        <v>0</v>
      </c>
      <c r="DA229" s="201">
        <f t="shared" si="87"/>
        <v>199.16733000000002</v>
      </c>
      <c r="DB229" s="201">
        <f t="shared" si="88"/>
        <v>3.7671100000000006</v>
      </c>
      <c r="DC229" s="201">
        <f t="shared" si="103"/>
        <v>202.93444000000002</v>
      </c>
      <c r="DD229" s="239">
        <v>240.84962999999999</v>
      </c>
      <c r="DE229" s="201">
        <f t="shared" si="104"/>
        <v>-37.915189999999967</v>
      </c>
      <c r="DF229" s="172" t="e">
        <f>SUM(DN229:DO229)-SUM(#REF!,BV229)+BU229</f>
        <v>#REF!</v>
      </c>
      <c r="DG229" s="231" t="s">
        <v>1177</v>
      </c>
      <c r="DH229" s="225">
        <f t="shared" si="105"/>
        <v>0</v>
      </c>
      <c r="DI229" s="225">
        <f t="shared" si="106"/>
        <v>0</v>
      </c>
      <c r="DJ229" s="225">
        <f t="shared" si="107"/>
        <v>174.01768000000001</v>
      </c>
      <c r="DK229" s="225" t="e">
        <f>SUM(BS229,#REF!,BV229)</f>
        <v>#REF!</v>
      </c>
      <c r="DL229" s="145">
        <v>241.2</v>
      </c>
      <c r="DM229" s="145">
        <v>202.93444</v>
      </c>
      <c r="DN229" s="145">
        <v>5.8590000000000003E-2</v>
      </c>
      <c r="DO229" s="145">
        <v>27</v>
      </c>
      <c r="DP229" s="145">
        <v>229.99303</v>
      </c>
      <c r="DQ229" s="145">
        <v>11.20697</v>
      </c>
      <c r="DR229" s="21">
        <f>VLOOKUP(C229,[6]Database!$B$143:$AD$521,29,FALSE)</f>
        <v>0</v>
      </c>
      <c r="DS229" s="219">
        <f t="shared" si="108"/>
        <v>0</v>
      </c>
    </row>
    <row r="230" spans="1:123" s="21" customFormat="1" ht="24" customHeight="1">
      <c r="A230" s="16"/>
      <c r="B230" s="2">
        <v>198</v>
      </c>
      <c r="C230" s="79" t="s">
        <v>715</v>
      </c>
      <c r="D230" s="226" t="s">
        <v>592</v>
      </c>
      <c r="E230" s="78"/>
      <c r="F230" s="39">
        <v>2021</v>
      </c>
      <c r="G230" s="40">
        <v>44251</v>
      </c>
      <c r="H230" s="178">
        <v>44273</v>
      </c>
      <c r="I230" s="40">
        <v>44553</v>
      </c>
      <c r="J230" s="13">
        <f t="shared" ca="1" si="84"/>
        <v>280</v>
      </c>
      <c r="K230" s="165">
        <v>44561</v>
      </c>
      <c r="L230" s="165">
        <v>44651</v>
      </c>
      <c r="M230" s="165"/>
      <c r="N230" s="170" t="s">
        <v>597</v>
      </c>
      <c r="O230" s="170"/>
      <c r="P230" s="259" t="s">
        <v>1267</v>
      </c>
      <c r="Q230" s="170"/>
      <c r="R230" s="39" t="s">
        <v>176</v>
      </c>
      <c r="S230" s="11"/>
      <c r="T230" s="39"/>
      <c r="U230" s="5" t="s">
        <v>7</v>
      </c>
      <c r="V230" s="251">
        <v>3753725</v>
      </c>
      <c r="W230" s="5" t="s">
        <v>602</v>
      </c>
      <c r="X230" s="5" t="s">
        <v>473</v>
      </c>
      <c r="Y230" s="5" t="s">
        <v>707</v>
      </c>
      <c r="Z230" s="3" t="s">
        <v>180</v>
      </c>
      <c r="AA230" s="43" t="s">
        <v>217</v>
      </c>
      <c r="AB230" s="142" t="s">
        <v>196</v>
      </c>
      <c r="AC230" s="165" t="s">
        <v>5</v>
      </c>
      <c r="AD230" s="165">
        <v>44561</v>
      </c>
      <c r="AE230" s="165" t="s">
        <v>5</v>
      </c>
      <c r="AF230" s="5"/>
      <c r="AG230" s="41"/>
      <c r="AH230" s="212"/>
      <c r="AI230" s="115"/>
      <c r="AJ230" s="115"/>
      <c r="AK230" s="221" t="e">
        <f>SUM(#REF!,BT230,BV230)</f>
        <v>#REF!</v>
      </c>
      <c r="AL230" s="153"/>
      <c r="AM230" s="153"/>
      <c r="AN230" s="153"/>
      <c r="AO230" s="153"/>
      <c r="AP230" s="153"/>
      <c r="AQ230" s="153"/>
      <c r="AR230" s="52"/>
      <c r="AS230" s="51"/>
      <c r="AT230" s="51"/>
      <c r="AU230" s="205">
        <v>70</v>
      </c>
      <c r="AV230" s="44"/>
      <c r="AW230" s="44"/>
      <c r="AX230" s="90">
        <f t="shared" si="85"/>
        <v>0</v>
      </c>
      <c r="AY230" s="157">
        <f t="shared" si="98"/>
        <v>68.495260000000002</v>
      </c>
      <c r="AZ230" s="182"/>
      <c r="BA230" s="158"/>
      <c r="BB230" s="182">
        <v>0</v>
      </c>
      <c r="BC230" s="158"/>
      <c r="BD230" s="182">
        <v>0</v>
      </c>
      <c r="BE230" s="158">
        <v>0</v>
      </c>
      <c r="BF230" s="182">
        <v>0</v>
      </c>
      <c r="BG230" s="158"/>
      <c r="BH230" s="182">
        <v>0</v>
      </c>
      <c r="BI230" s="158"/>
      <c r="BJ230" s="182">
        <v>0</v>
      </c>
      <c r="BK230" s="158"/>
      <c r="BL230" s="183">
        <v>14.5</v>
      </c>
      <c r="BM230" s="158">
        <v>13.399559999999999</v>
      </c>
      <c r="BN230" s="183"/>
      <c r="BO230" s="158"/>
      <c r="BP230" s="182"/>
      <c r="BQ230" s="158"/>
      <c r="BR230" s="182">
        <v>55.5</v>
      </c>
      <c r="BS230" s="158">
        <v>49.491959999999999</v>
      </c>
      <c r="BT230" s="182">
        <f>10+4.5+1.5</f>
        <v>16</v>
      </c>
      <c r="BU230" s="158"/>
      <c r="BV230" s="182"/>
      <c r="BW230" s="234">
        <v>5.6037400000000002</v>
      </c>
      <c r="BX230" s="237">
        <v>5.6037400000000002</v>
      </c>
      <c r="BY230" s="81">
        <f t="shared" si="99"/>
        <v>0</v>
      </c>
      <c r="BZ230" s="242"/>
      <c r="CA230" s="242"/>
      <c r="CB230" s="242"/>
      <c r="CC230" s="242"/>
      <c r="CD230" s="242"/>
      <c r="CE230" s="242"/>
      <c r="CF230" s="242"/>
      <c r="CG230" s="242"/>
      <c r="CH230" s="242"/>
      <c r="CI230" s="242"/>
      <c r="CJ230" s="242"/>
      <c r="CK230" s="242"/>
      <c r="CL230" s="195">
        <f t="shared" si="102"/>
        <v>0</v>
      </c>
      <c r="CM230" s="197"/>
      <c r="CN230" s="197"/>
      <c r="CO230" s="197"/>
      <c r="CP230" s="197"/>
      <c r="CQ230" s="197"/>
      <c r="CR230" s="197"/>
      <c r="CS230" s="197"/>
      <c r="CT230" s="197"/>
      <c r="CU230" s="197"/>
      <c r="CV230" s="197"/>
      <c r="CW230" s="197"/>
      <c r="CX230" s="197"/>
      <c r="CY230" s="200">
        <f t="shared" si="86"/>
        <v>-5.6037400000000002</v>
      </c>
      <c r="CZ230" s="172">
        <f t="shared" si="100"/>
        <v>0</v>
      </c>
      <c r="DA230" s="201">
        <f t="shared" si="87"/>
        <v>62.89152</v>
      </c>
      <c r="DB230" s="201">
        <f t="shared" si="88"/>
        <v>5.6037400000000002</v>
      </c>
      <c r="DC230" s="201">
        <f t="shared" si="103"/>
        <v>68.495260000000002</v>
      </c>
      <c r="DD230" s="239">
        <v>90.89152</v>
      </c>
      <c r="DE230" s="201">
        <f t="shared" si="104"/>
        <v>-22.396259999999998</v>
      </c>
      <c r="DF230" s="172" t="e">
        <f>SUM(DN230:DO230)-SUM(#REF!,BV230)+BU230</f>
        <v>#REF!</v>
      </c>
      <c r="DG230" s="207"/>
      <c r="DH230" s="225">
        <f t="shared" si="105"/>
        <v>0</v>
      </c>
      <c r="DI230" s="225">
        <f t="shared" si="106"/>
        <v>0</v>
      </c>
      <c r="DJ230" s="225">
        <f t="shared" si="107"/>
        <v>13.399559999999999</v>
      </c>
      <c r="DK230" s="225" t="e">
        <f>SUM(BS230,#REF!,BV230)</f>
        <v>#REF!</v>
      </c>
      <c r="DL230" s="145">
        <v>92</v>
      </c>
      <c r="DM230" s="145">
        <v>68.495260000000002</v>
      </c>
      <c r="DN230" s="145">
        <v>0</v>
      </c>
      <c r="DO230" s="145">
        <v>0</v>
      </c>
      <c r="DP230" s="145">
        <v>68.495260000000002</v>
      </c>
      <c r="DQ230" s="145">
        <v>23.504740000000002</v>
      </c>
      <c r="DR230" s="21">
        <f>VLOOKUP(C230,[6]Database!$B$143:$AD$521,29,FALSE)</f>
        <v>0</v>
      </c>
      <c r="DS230" s="219">
        <f t="shared" si="108"/>
        <v>0</v>
      </c>
    </row>
    <row r="231" spans="1:123" s="21" customFormat="1" ht="24" customHeight="1">
      <c r="A231" s="16"/>
      <c r="B231" s="2">
        <v>199</v>
      </c>
      <c r="C231" s="79" t="s">
        <v>717</v>
      </c>
      <c r="D231" s="79">
        <v>1099</v>
      </c>
      <c r="E231" s="78"/>
      <c r="F231" s="39">
        <v>2021</v>
      </c>
      <c r="G231" s="40">
        <v>44246</v>
      </c>
      <c r="H231" s="40">
        <v>44363</v>
      </c>
      <c r="I231" s="40"/>
      <c r="J231" s="13">
        <f t="shared" ca="1" si="84"/>
        <v>-938.33599710647832</v>
      </c>
      <c r="K231" s="165">
        <f t="shared" ref="K231:K263" si="111">IF(H231="","",H231+547)</f>
        <v>44910</v>
      </c>
      <c r="L231" s="165">
        <f t="shared" ref="L231:L263" si="112">IF(H231="","",H231+730)</f>
        <v>45093</v>
      </c>
      <c r="M231" s="165"/>
      <c r="N231" s="170"/>
      <c r="O231" s="170"/>
      <c r="P231" s="165"/>
      <c r="Q231" s="170"/>
      <c r="R231" s="39" t="s">
        <v>175</v>
      </c>
      <c r="S231" s="11" t="s">
        <v>4</v>
      </c>
      <c r="T231" s="39" t="s">
        <v>905</v>
      </c>
      <c r="U231" s="5" t="s">
        <v>7</v>
      </c>
      <c r="V231" s="251">
        <v>4098373</v>
      </c>
      <c r="W231" s="5" t="s">
        <v>602</v>
      </c>
      <c r="X231" s="5" t="s">
        <v>901</v>
      </c>
      <c r="Y231" s="5" t="s">
        <v>709</v>
      </c>
      <c r="Z231" s="3" t="s">
        <v>186</v>
      </c>
      <c r="AA231" s="43" t="s">
        <v>461</v>
      </c>
      <c r="AB231" s="142" t="s">
        <v>1222</v>
      </c>
      <c r="AC231" s="165">
        <v>44865</v>
      </c>
      <c r="AD231" s="165">
        <v>44895</v>
      </c>
      <c r="AE231" s="165">
        <f>IFERROR(EOMONTH(L231,-2),"")</f>
        <v>45046</v>
      </c>
      <c r="AF231" s="5" t="s">
        <v>1038</v>
      </c>
      <c r="AG231" s="41"/>
      <c r="AH231" s="212">
        <v>0.3357</v>
      </c>
      <c r="AI231" s="115"/>
      <c r="AJ231" s="76"/>
      <c r="AK231" s="221" t="e">
        <f>SUM(#REF!,BT231,BV231)</f>
        <v>#REF!</v>
      </c>
      <c r="AL231" s="153" t="s">
        <v>1184</v>
      </c>
      <c r="AM231" s="153" t="s">
        <v>1121</v>
      </c>
      <c r="AN231" s="153" t="s">
        <v>1079</v>
      </c>
      <c r="AO231" s="153" t="s">
        <v>1122</v>
      </c>
      <c r="AP231" s="153" t="s">
        <v>1183</v>
      </c>
      <c r="AQ231" s="153" t="s">
        <v>1114</v>
      </c>
      <c r="AR231" s="52"/>
      <c r="AS231" s="51"/>
      <c r="AT231" s="51"/>
      <c r="AU231" s="51">
        <v>0</v>
      </c>
      <c r="AV231" s="44">
        <v>185</v>
      </c>
      <c r="AW231" s="44">
        <v>105.77</v>
      </c>
      <c r="AX231" s="90">
        <f t="shared" si="85"/>
        <v>290.77</v>
      </c>
      <c r="AY231" s="157">
        <f t="shared" si="98"/>
        <v>27.09057</v>
      </c>
      <c r="AZ231" s="182"/>
      <c r="BA231" s="158"/>
      <c r="BB231" s="182">
        <v>0</v>
      </c>
      <c r="BC231" s="158"/>
      <c r="BD231" s="182">
        <v>0</v>
      </c>
      <c r="BE231" s="158">
        <v>0</v>
      </c>
      <c r="BF231" s="182">
        <v>0</v>
      </c>
      <c r="BG231" s="158"/>
      <c r="BH231" s="182">
        <v>0</v>
      </c>
      <c r="BI231" s="158"/>
      <c r="BJ231" s="182">
        <v>0</v>
      </c>
      <c r="BK231" s="158"/>
      <c r="BL231" s="183"/>
      <c r="BM231" s="158"/>
      <c r="BN231" s="183"/>
      <c r="BO231" s="158"/>
      <c r="BP231" s="182"/>
      <c r="BQ231" s="158"/>
      <c r="BR231" s="182"/>
      <c r="BS231" s="158">
        <v>9.4019999999999992E-2</v>
      </c>
      <c r="BT231" s="182"/>
      <c r="BU231" s="158">
        <v>12.57358</v>
      </c>
      <c r="BV231" s="182">
        <f>83.4-70</f>
        <v>13.400000000000006</v>
      </c>
      <c r="BW231" s="234">
        <v>14.422969999999999</v>
      </c>
      <c r="BX231" s="237">
        <v>14.422969999999999</v>
      </c>
      <c r="BY231" s="81">
        <f t="shared" si="99"/>
        <v>158</v>
      </c>
      <c r="BZ231" s="242"/>
      <c r="CA231" s="242"/>
      <c r="CB231" s="242">
        <f>10-1</f>
        <v>9</v>
      </c>
      <c r="CC231" s="242">
        <v>20</v>
      </c>
      <c r="CD231" s="242">
        <v>20</v>
      </c>
      <c r="CE231" s="242">
        <v>10</v>
      </c>
      <c r="CF231" s="242">
        <v>10</v>
      </c>
      <c r="CG231" s="242">
        <v>10</v>
      </c>
      <c r="CH231" s="242">
        <v>9</v>
      </c>
      <c r="CI231" s="242">
        <v>70</v>
      </c>
      <c r="CJ231" s="242"/>
      <c r="CK231" s="242"/>
      <c r="CL231" s="195">
        <f t="shared" si="102"/>
        <v>0</v>
      </c>
      <c r="CM231" s="197"/>
      <c r="CN231" s="197"/>
      <c r="CO231" s="197"/>
      <c r="CP231" s="197"/>
      <c r="CQ231" s="197"/>
      <c r="CR231" s="197"/>
      <c r="CS231" s="197"/>
      <c r="CT231" s="197"/>
      <c r="CU231" s="197"/>
      <c r="CV231" s="197"/>
      <c r="CW231" s="197"/>
      <c r="CX231" s="197"/>
      <c r="CY231" s="200">
        <f t="shared" si="86"/>
        <v>-1.0229699999999937</v>
      </c>
      <c r="CZ231" s="172">
        <f t="shared" si="100"/>
        <v>0</v>
      </c>
      <c r="DA231" s="201">
        <f t="shared" si="87"/>
        <v>12.6676</v>
      </c>
      <c r="DB231" s="201">
        <f t="shared" si="88"/>
        <v>14.422969999999999</v>
      </c>
      <c r="DC231" s="201">
        <f t="shared" si="103"/>
        <v>185.09057000000001</v>
      </c>
      <c r="DD231" s="239">
        <v>185.09402</v>
      </c>
      <c r="DE231" s="201">
        <f t="shared" si="104"/>
        <v>-3.4499999999866304E-3</v>
      </c>
      <c r="DF231" s="172" t="e">
        <f>SUM(DN231:DO231)-SUM(#REF!,BV231)+BU231</f>
        <v>#REF!</v>
      </c>
      <c r="DG231" s="207" t="s">
        <v>1187</v>
      </c>
      <c r="DH231" s="225">
        <f t="shared" si="105"/>
        <v>0</v>
      </c>
      <c r="DI231" s="225">
        <f t="shared" si="106"/>
        <v>0</v>
      </c>
      <c r="DJ231" s="225">
        <f t="shared" si="107"/>
        <v>0</v>
      </c>
      <c r="DK231" s="225" t="e">
        <f>SUM(BS231,#REF!,BV231)</f>
        <v>#REF!</v>
      </c>
      <c r="DL231" s="145">
        <v>185</v>
      </c>
      <c r="DM231" s="145">
        <v>27.09057</v>
      </c>
      <c r="DN231" s="145">
        <v>11.290569999999999</v>
      </c>
      <c r="DO231" s="145">
        <v>54.413530000000002</v>
      </c>
      <c r="DP231" s="145">
        <v>92.794669999999996</v>
      </c>
      <c r="DQ231" s="145">
        <v>92.205330000000004</v>
      </c>
      <c r="DR231" s="21">
        <f>VLOOKUP(C231,[6]Database!$B$143:$AD$521,29,FALSE)</f>
        <v>89</v>
      </c>
      <c r="DS231" s="219">
        <f t="shared" si="108"/>
        <v>69</v>
      </c>
    </row>
    <row r="232" spans="1:123" s="21" customFormat="1" ht="24" customHeight="1">
      <c r="A232" s="16"/>
      <c r="B232" s="2">
        <v>201</v>
      </c>
      <c r="C232" s="79" t="s">
        <v>742</v>
      </c>
      <c r="D232" s="144" t="s">
        <v>1155</v>
      </c>
      <c r="E232" s="78"/>
      <c r="F232" s="39">
        <v>2021</v>
      </c>
      <c r="G232" s="40">
        <v>44264</v>
      </c>
      <c r="H232" s="40">
        <v>44305</v>
      </c>
      <c r="I232" s="40"/>
      <c r="J232" s="13">
        <f t="shared" ca="1" si="84"/>
        <v>-996.33599710647832</v>
      </c>
      <c r="K232" s="165">
        <f t="shared" si="111"/>
        <v>44852</v>
      </c>
      <c r="L232" s="165">
        <f t="shared" si="112"/>
        <v>45035</v>
      </c>
      <c r="M232" s="165"/>
      <c r="N232" s="170"/>
      <c r="O232" s="170"/>
      <c r="P232" s="170"/>
      <c r="Q232" s="170"/>
      <c r="R232" s="39" t="s">
        <v>175</v>
      </c>
      <c r="S232" s="11" t="s">
        <v>223</v>
      </c>
      <c r="T232" s="39" t="s">
        <v>908</v>
      </c>
      <c r="U232" s="5" t="s">
        <v>7</v>
      </c>
      <c r="V232" s="251">
        <v>3872158</v>
      </c>
      <c r="W232" s="5" t="s">
        <v>602</v>
      </c>
      <c r="X232" s="5" t="s">
        <v>901</v>
      </c>
      <c r="Y232" s="5" t="s">
        <v>991</v>
      </c>
      <c r="Z232" s="78" t="s">
        <v>185</v>
      </c>
      <c r="AA232" s="6" t="s">
        <v>461</v>
      </c>
      <c r="AB232" s="142" t="s">
        <v>1170</v>
      </c>
      <c r="AC232" s="165">
        <v>44834</v>
      </c>
      <c r="AD232" s="165">
        <v>44620</v>
      </c>
      <c r="AE232" s="165">
        <f>IFERROR(EOMONTH(L232,-2),"")</f>
        <v>44985</v>
      </c>
      <c r="AF232" s="5"/>
      <c r="AG232" s="41"/>
      <c r="AH232" s="212"/>
      <c r="AI232" s="115"/>
      <c r="AJ232" s="115"/>
      <c r="AK232" s="221" t="e">
        <f>SUM(#REF!,BT232,BV232)</f>
        <v>#REF!</v>
      </c>
      <c r="AL232" s="153" t="s">
        <v>1115</v>
      </c>
      <c r="AM232" s="153" t="s">
        <v>1101</v>
      </c>
      <c r="AN232" s="153" t="s">
        <v>1079</v>
      </c>
      <c r="AO232" s="153" t="s">
        <v>592</v>
      </c>
      <c r="AP232" s="153" t="s">
        <v>592</v>
      </c>
      <c r="AQ232" s="153" t="s">
        <v>592</v>
      </c>
      <c r="AR232" s="52"/>
      <c r="AS232" s="51"/>
      <c r="AT232" s="51"/>
      <c r="AU232" s="51">
        <v>100</v>
      </c>
      <c r="AV232" s="44">
        <v>100</v>
      </c>
      <c r="AW232" s="44">
        <v>9.85</v>
      </c>
      <c r="AX232" s="90">
        <f t="shared" si="85"/>
        <v>109.85</v>
      </c>
      <c r="AY232" s="157">
        <f t="shared" si="98"/>
        <v>87.715530000000001</v>
      </c>
      <c r="AZ232" s="182"/>
      <c r="BA232" s="158"/>
      <c r="BB232" s="182"/>
      <c r="BC232" s="158"/>
      <c r="BD232" s="182">
        <v>0</v>
      </c>
      <c r="BE232" s="158">
        <v>0</v>
      </c>
      <c r="BF232" s="182">
        <v>0</v>
      </c>
      <c r="BG232" s="158"/>
      <c r="BH232" s="182">
        <v>0</v>
      </c>
      <c r="BI232" s="158"/>
      <c r="BJ232" s="182">
        <v>0</v>
      </c>
      <c r="BK232" s="158"/>
      <c r="BL232" s="183"/>
      <c r="BM232" s="158">
        <v>9.1700200000000009</v>
      </c>
      <c r="BN232" s="183">
        <v>13</v>
      </c>
      <c r="BO232" s="158">
        <v>15.319780000000002</v>
      </c>
      <c r="BP232" s="182">
        <v>21.700000000000003</v>
      </c>
      <c r="BQ232" s="158">
        <v>6.7464600000000008</v>
      </c>
      <c r="BR232" s="182">
        <f>25-0.2</f>
        <v>24.8</v>
      </c>
      <c r="BS232" s="158">
        <v>16.960509999999999</v>
      </c>
      <c r="BT232" s="182">
        <f>15+7.9+6.3+8.6-0.7</f>
        <v>37.099999999999994</v>
      </c>
      <c r="BU232" s="158">
        <v>28.918970000000002</v>
      </c>
      <c r="BV232" s="182">
        <v>18.8</v>
      </c>
      <c r="BW232" s="234">
        <v>10.599789999999999</v>
      </c>
      <c r="BX232" s="237">
        <v>10.599789999999999</v>
      </c>
      <c r="BY232" s="81">
        <f t="shared" si="99"/>
        <v>8.1999999999999993</v>
      </c>
      <c r="BZ232" s="242">
        <v>8.1999999999999993</v>
      </c>
      <c r="CA232" s="242"/>
      <c r="CB232" s="242"/>
      <c r="CC232" s="242"/>
      <c r="CD232" s="242"/>
      <c r="CE232" s="242"/>
      <c r="CF232" s="242"/>
      <c r="CG232" s="242"/>
      <c r="CH232" s="242"/>
      <c r="CI232" s="242"/>
      <c r="CJ232" s="242"/>
      <c r="CK232" s="242"/>
      <c r="CL232" s="195">
        <f t="shared" si="102"/>
        <v>0</v>
      </c>
      <c r="CM232" s="197"/>
      <c r="CN232" s="197"/>
      <c r="CO232" s="197"/>
      <c r="CP232" s="197"/>
      <c r="CQ232" s="197"/>
      <c r="CR232" s="197"/>
      <c r="CS232" s="197"/>
      <c r="CT232" s="197"/>
      <c r="CU232" s="197"/>
      <c r="CV232" s="197"/>
      <c r="CW232" s="197"/>
      <c r="CX232" s="197"/>
      <c r="CY232" s="200">
        <f t="shared" si="86"/>
        <v>8.200210000000002</v>
      </c>
      <c r="CZ232" s="172">
        <f t="shared" si="100"/>
        <v>0</v>
      </c>
      <c r="DA232" s="201">
        <f t="shared" si="87"/>
        <v>77.115740000000002</v>
      </c>
      <c r="DB232" s="201">
        <f t="shared" si="88"/>
        <v>10.599789999999999</v>
      </c>
      <c r="DC232" s="201">
        <f t="shared" si="103"/>
        <v>95.915530000000004</v>
      </c>
      <c r="DD232" s="239">
        <v>96.296769999999995</v>
      </c>
      <c r="DE232" s="201">
        <f t="shared" si="104"/>
        <v>-0.38123999999999114</v>
      </c>
      <c r="DF232" s="172" t="e">
        <f>SUM(DN232:DO232)-SUM(#REF!,BV232)+BU232</f>
        <v>#REF!</v>
      </c>
      <c r="DG232" s="207" t="s">
        <v>1156</v>
      </c>
      <c r="DH232" s="225">
        <f t="shared" si="105"/>
        <v>0</v>
      </c>
      <c r="DI232" s="225">
        <f t="shared" si="106"/>
        <v>0</v>
      </c>
      <c r="DJ232" s="225">
        <f t="shared" si="107"/>
        <v>31.236260000000001</v>
      </c>
      <c r="DK232" s="225" t="e">
        <f>SUM(BS232,#REF!,BV232)</f>
        <v>#REF!</v>
      </c>
      <c r="DL232" s="145">
        <v>100</v>
      </c>
      <c r="DM232" s="145">
        <v>87.715530000000001</v>
      </c>
      <c r="DN232" s="145">
        <v>10.681520000000001</v>
      </c>
      <c r="DO232" s="145">
        <v>0</v>
      </c>
      <c r="DP232" s="145">
        <v>98.397050000000007</v>
      </c>
      <c r="DQ232" s="145">
        <v>1.6029500000000001</v>
      </c>
      <c r="DR232" s="21">
        <f>VLOOKUP(C232,[6]Database!$B$143:$AD$521,29,FALSE)</f>
        <v>0</v>
      </c>
      <c r="DS232" s="219">
        <f t="shared" si="108"/>
        <v>8.1999999999999993</v>
      </c>
    </row>
    <row r="233" spans="1:123" s="21" customFormat="1" ht="24" customHeight="1">
      <c r="A233" s="16"/>
      <c r="B233" s="2">
        <v>202</v>
      </c>
      <c r="C233" s="79" t="s">
        <v>766</v>
      </c>
      <c r="D233" s="226" t="s">
        <v>592</v>
      </c>
      <c r="E233" s="78"/>
      <c r="F233" s="39">
        <v>2021</v>
      </c>
      <c r="G233" s="40">
        <v>44291</v>
      </c>
      <c r="H233" s="40">
        <v>44305</v>
      </c>
      <c r="I233" s="40">
        <v>44547</v>
      </c>
      <c r="J233" s="13">
        <f t="shared" ca="1" si="84"/>
        <v>242</v>
      </c>
      <c r="K233" s="165">
        <f t="shared" si="111"/>
        <v>44852</v>
      </c>
      <c r="L233" s="165">
        <f t="shared" si="112"/>
        <v>45035</v>
      </c>
      <c r="M233" s="165"/>
      <c r="N233" s="170"/>
      <c r="O233" s="170"/>
      <c r="P233" s="170"/>
      <c r="Q233" s="170"/>
      <c r="R233" s="39" t="s">
        <v>176</v>
      </c>
      <c r="S233" s="11"/>
      <c r="T233" s="39"/>
      <c r="U233" s="5" t="s">
        <v>7</v>
      </c>
      <c r="V233" s="251">
        <v>3963949</v>
      </c>
      <c r="W233" s="5" t="s">
        <v>602</v>
      </c>
      <c r="X233" s="5" t="s">
        <v>473</v>
      </c>
      <c r="Y233" s="5" t="s">
        <v>767</v>
      </c>
      <c r="Z233" s="78" t="s">
        <v>185</v>
      </c>
      <c r="AA233" s="43" t="s">
        <v>217</v>
      </c>
      <c r="AB233" s="142" t="s">
        <v>196</v>
      </c>
      <c r="AC233" s="165" t="s">
        <v>5</v>
      </c>
      <c r="AD233" s="165">
        <v>44499</v>
      </c>
      <c r="AE233" s="165" t="s">
        <v>5</v>
      </c>
      <c r="AF233" s="5"/>
      <c r="AG233" s="41"/>
      <c r="AH233" s="212"/>
      <c r="AI233" s="115"/>
      <c r="AJ233" s="115"/>
      <c r="AK233" s="221" t="e">
        <f>SUM(#REF!,BT233,BV233)</f>
        <v>#REF!</v>
      </c>
      <c r="AL233" s="153"/>
      <c r="AM233" s="153"/>
      <c r="AN233" s="153"/>
      <c r="AO233" s="153"/>
      <c r="AP233" s="153"/>
      <c r="AQ233" s="153"/>
      <c r="AR233" s="52"/>
      <c r="AS233" s="51"/>
      <c r="AT233" s="51"/>
      <c r="AU233" s="51"/>
      <c r="AV233" s="44">
        <v>126.86</v>
      </c>
      <c r="AW233" s="44"/>
      <c r="AX233" s="90">
        <f t="shared" si="85"/>
        <v>126.86</v>
      </c>
      <c r="AY233" s="157">
        <f t="shared" si="98"/>
        <v>46.03199</v>
      </c>
      <c r="AZ233" s="182"/>
      <c r="BA233" s="158"/>
      <c r="BB233" s="182"/>
      <c r="BC233" s="158"/>
      <c r="BD233" s="182">
        <v>0</v>
      </c>
      <c r="BE233" s="158">
        <v>0</v>
      </c>
      <c r="BF233" s="182">
        <v>0</v>
      </c>
      <c r="BG233" s="158"/>
      <c r="BH233" s="182">
        <v>0</v>
      </c>
      <c r="BI233" s="158"/>
      <c r="BJ233" s="182">
        <v>0</v>
      </c>
      <c r="BK233" s="158"/>
      <c r="BL233" s="183">
        <v>0</v>
      </c>
      <c r="BM233" s="158"/>
      <c r="BN233" s="183">
        <v>0</v>
      </c>
      <c r="BO233" s="158"/>
      <c r="BP233" s="182"/>
      <c r="BQ233" s="158">
        <v>35.030670000000001</v>
      </c>
      <c r="BR233" s="182">
        <v>12</v>
      </c>
      <c r="BS233" s="158">
        <v>10.77427</v>
      </c>
      <c r="BT233" s="182">
        <v>0.2</v>
      </c>
      <c r="BU233" s="158">
        <v>0.22705</v>
      </c>
      <c r="BV233" s="182"/>
      <c r="BW233" s="234"/>
      <c r="BX233" s="237"/>
      <c r="BY233" s="81">
        <f t="shared" si="99"/>
        <v>0</v>
      </c>
      <c r="BZ233" s="242"/>
      <c r="CA233" s="242"/>
      <c r="CB233" s="242"/>
      <c r="CC233" s="242"/>
      <c r="CD233" s="242"/>
      <c r="CE233" s="242"/>
      <c r="CF233" s="242"/>
      <c r="CG233" s="242"/>
      <c r="CH233" s="242"/>
      <c r="CI233" s="242"/>
      <c r="CJ233" s="242"/>
      <c r="CK233" s="242"/>
      <c r="CL233" s="195">
        <f t="shared" si="102"/>
        <v>0</v>
      </c>
      <c r="CM233" s="197"/>
      <c r="CN233" s="197"/>
      <c r="CO233" s="197"/>
      <c r="CP233" s="197"/>
      <c r="CQ233" s="197"/>
      <c r="CR233" s="197"/>
      <c r="CS233" s="197"/>
      <c r="CT233" s="197"/>
      <c r="CU233" s="197"/>
      <c r="CV233" s="197"/>
      <c r="CW233" s="197"/>
      <c r="CX233" s="197"/>
      <c r="CY233" s="200">
        <f t="shared" si="86"/>
        <v>0</v>
      </c>
      <c r="CZ233" s="172">
        <f t="shared" si="100"/>
        <v>0</v>
      </c>
      <c r="DA233" s="201">
        <f t="shared" si="87"/>
        <v>46.03199</v>
      </c>
      <c r="DB233" s="201">
        <f t="shared" si="88"/>
        <v>0</v>
      </c>
      <c r="DC233" s="201">
        <f t="shared" si="103"/>
        <v>46.03199</v>
      </c>
      <c r="DD233" s="239">
        <v>46.004940000000005</v>
      </c>
      <c r="DE233" s="201">
        <f t="shared" si="104"/>
        <v>2.7049999999995578E-2</v>
      </c>
      <c r="DF233" s="172" t="e">
        <f>SUM(DN233:DO233)-SUM(#REF!,BV233)+BU233</f>
        <v>#REF!</v>
      </c>
      <c r="DG233" s="207"/>
      <c r="DH233" s="225">
        <f t="shared" si="105"/>
        <v>0</v>
      </c>
      <c r="DI233" s="225">
        <f t="shared" si="106"/>
        <v>0</v>
      </c>
      <c r="DJ233" s="225">
        <f t="shared" si="107"/>
        <v>35.030670000000001</v>
      </c>
      <c r="DK233" s="225" t="e">
        <f>SUM(BS233,#REF!,BV233)</f>
        <v>#REF!</v>
      </c>
      <c r="DL233" s="145">
        <v>126.86</v>
      </c>
      <c r="DM233" s="145">
        <v>46.03199</v>
      </c>
      <c r="DN233" s="145">
        <v>0</v>
      </c>
      <c r="DO233" s="145">
        <v>0</v>
      </c>
      <c r="DP233" s="145">
        <v>46.03199</v>
      </c>
      <c r="DQ233" s="145">
        <v>80.828009999999992</v>
      </c>
      <c r="DR233" s="21">
        <f>VLOOKUP(C233,[6]Database!$B$143:$AD$521,29,FALSE)</f>
        <v>0</v>
      </c>
      <c r="DS233" s="219">
        <f t="shared" si="108"/>
        <v>0</v>
      </c>
    </row>
    <row r="234" spans="1:123" s="21" customFormat="1" ht="24" customHeight="1">
      <c r="A234" s="16"/>
      <c r="B234" s="2">
        <v>205</v>
      </c>
      <c r="C234" s="79" t="s">
        <v>801</v>
      </c>
      <c r="D234" s="79">
        <v>11932</v>
      </c>
      <c r="E234" s="78"/>
      <c r="F234" s="39">
        <v>2021</v>
      </c>
      <c r="G234" s="40">
        <v>44305</v>
      </c>
      <c r="H234" s="40">
        <v>44354</v>
      </c>
      <c r="I234" s="40"/>
      <c r="J234" s="13">
        <f t="shared" ca="1" si="84"/>
        <v>-947.33599710647832</v>
      </c>
      <c r="K234" s="165">
        <f t="shared" si="111"/>
        <v>44901</v>
      </c>
      <c r="L234" s="165">
        <f t="shared" si="112"/>
        <v>45084</v>
      </c>
      <c r="M234" s="165"/>
      <c r="N234" s="170"/>
      <c r="O234" s="170"/>
      <c r="P234" s="170"/>
      <c r="Q234" s="170"/>
      <c r="R234" s="39" t="s">
        <v>175</v>
      </c>
      <c r="S234" s="11" t="s">
        <v>4</v>
      </c>
      <c r="T234" s="41" t="s">
        <v>917</v>
      </c>
      <c r="U234" s="5" t="s">
        <v>7</v>
      </c>
      <c r="V234" s="251">
        <v>4177784</v>
      </c>
      <c r="W234" s="5" t="s">
        <v>602</v>
      </c>
      <c r="X234" s="5" t="s">
        <v>477</v>
      </c>
      <c r="Y234" s="5" t="s">
        <v>800</v>
      </c>
      <c r="Z234" s="39" t="s">
        <v>180</v>
      </c>
      <c r="AA234" s="43" t="s">
        <v>461</v>
      </c>
      <c r="AB234" s="264" t="s">
        <v>1348</v>
      </c>
      <c r="AC234" s="165">
        <v>44895</v>
      </c>
      <c r="AD234" s="165">
        <v>44651</v>
      </c>
      <c r="AE234" s="165">
        <f t="shared" ref="AE234:AE243" si="113">IFERROR(EOMONTH(L234,-2),"")</f>
        <v>45046</v>
      </c>
      <c r="AF234" s="5"/>
      <c r="AG234" s="41"/>
      <c r="AH234" s="212"/>
      <c r="AI234" s="115"/>
      <c r="AJ234" s="115"/>
      <c r="AK234" s="221" t="e">
        <f>SUM(#REF!,BT234,BV234)</f>
        <v>#REF!</v>
      </c>
      <c r="AL234" s="153"/>
      <c r="AM234" s="153"/>
      <c r="AN234" s="48"/>
      <c r="AO234" s="153"/>
      <c r="AP234" s="48"/>
      <c r="AQ234" s="48"/>
      <c r="AR234" s="52"/>
      <c r="AS234" s="51"/>
      <c r="AT234" s="51"/>
      <c r="AU234" s="51">
        <v>0</v>
      </c>
      <c r="AV234" s="44">
        <v>347.09899999999999</v>
      </c>
      <c r="AW234" s="44"/>
      <c r="AX234" s="90">
        <f t="shared" si="85"/>
        <v>347.09899999999999</v>
      </c>
      <c r="AY234" s="157">
        <f t="shared" si="98"/>
        <v>312.16876000000002</v>
      </c>
      <c r="AZ234" s="182"/>
      <c r="BA234" s="158"/>
      <c r="BB234" s="182"/>
      <c r="BC234" s="158"/>
      <c r="BD234" s="182"/>
      <c r="BE234" s="158"/>
      <c r="BF234" s="182">
        <v>0</v>
      </c>
      <c r="BG234" s="158"/>
      <c r="BH234" s="182">
        <v>0</v>
      </c>
      <c r="BI234" s="158"/>
      <c r="BJ234" s="182">
        <v>0</v>
      </c>
      <c r="BK234" s="158"/>
      <c r="BL234" s="183"/>
      <c r="BM234" s="158">
        <v>20.861619999999998</v>
      </c>
      <c r="BN234" s="183"/>
      <c r="BO234" s="158">
        <v>189.81619000000001</v>
      </c>
      <c r="BP234" s="182"/>
      <c r="BQ234" s="158"/>
      <c r="BR234" s="182"/>
      <c r="BS234" s="158">
        <v>22.333929999999999</v>
      </c>
      <c r="BT234" s="182"/>
      <c r="BU234" s="158">
        <v>16.403739999999999</v>
      </c>
      <c r="BV234" s="182">
        <v>25.335730000000002</v>
      </c>
      <c r="BW234" s="234">
        <v>62.753280000000004</v>
      </c>
      <c r="BX234" s="237">
        <v>62.753280000000004</v>
      </c>
      <c r="BY234" s="81">
        <f t="shared" si="99"/>
        <v>33.9</v>
      </c>
      <c r="BZ234" s="242"/>
      <c r="CA234" s="242"/>
      <c r="CB234" s="242"/>
      <c r="CC234" s="242"/>
      <c r="CD234" s="242"/>
      <c r="CE234" s="242"/>
      <c r="CF234" s="242"/>
      <c r="CG234" s="242"/>
      <c r="CH234" s="242"/>
      <c r="CI234" s="242">
        <f>41.4-7.5</f>
        <v>33.9</v>
      </c>
      <c r="CJ234" s="242"/>
      <c r="CK234" s="242"/>
      <c r="CL234" s="195">
        <f t="shared" si="102"/>
        <v>0</v>
      </c>
      <c r="CM234" s="197"/>
      <c r="CN234" s="197"/>
      <c r="CO234" s="197"/>
      <c r="CP234" s="197"/>
      <c r="CQ234" s="197"/>
      <c r="CR234" s="197"/>
      <c r="CS234" s="197"/>
      <c r="CT234" s="197"/>
      <c r="CU234" s="197"/>
      <c r="CV234" s="197"/>
      <c r="CW234" s="197"/>
      <c r="CX234" s="197"/>
      <c r="CY234" s="200">
        <f t="shared" si="86"/>
        <v>-37.417550000000006</v>
      </c>
      <c r="CZ234" s="172">
        <f t="shared" si="100"/>
        <v>0</v>
      </c>
      <c r="DA234" s="201">
        <f t="shared" si="87"/>
        <v>249.41548</v>
      </c>
      <c r="DB234" s="201">
        <f t="shared" si="88"/>
        <v>62.753280000000004</v>
      </c>
      <c r="DC234" s="201">
        <f t="shared" si="103"/>
        <v>346.06876</v>
      </c>
      <c r="DD234" s="239">
        <v>346.31074000000001</v>
      </c>
      <c r="DE234" s="201">
        <f t="shared" si="104"/>
        <v>-0.2419800000000123</v>
      </c>
      <c r="DF234" s="172" t="e">
        <f>SUM(DN234:DO234)-SUM(#REF!,BV234)+BU234</f>
        <v>#REF!</v>
      </c>
      <c r="DG234" s="207"/>
      <c r="DH234" s="225">
        <f t="shared" si="105"/>
        <v>0</v>
      </c>
      <c r="DI234" s="225">
        <f t="shared" si="106"/>
        <v>0</v>
      </c>
      <c r="DJ234" s="225">
        <f t="shared" si="107"/>
        <v>210.67780999999999</v>
      </c>
      <c r="DK234" s="225" t="e">
        <f>SUM(BS234,#REF!,BV234)</f>
        <v>#REF!</v>
      </c>
      <c r="DL234" s="145">
        <v>381.11399999999998</v>
      </c>
      <c r="DM234" s="145">
        <v>312.16876000000002</v>
      </c>
      <c r="DN234" s="145">
        <v>63.318949999999994</v>
      </c>
      <c r="DO234" s="145">
        <v>3.6640000000000001</v>
      </c>
      <c r="DP234" s="145">
        <v>379.15171000000004</v>
      </c>
      <c r="DQ234" s="145">
        <v>1.9622899999999999</v>
      </c>
      <c r="DR234" s="21">
        <f>VLOOKUP(C234,[6]Database!$B$143:$AD$521,29,FALSE)</f>
        <v>135.59899999999999</v>
      </c>
      <c r="DS234" s="219">
        <f t="shared" si="108"/>
        <v>-101.69899999999998</v>
      </c>
    </row>
    <row r="235" spans="1:123" s="21" customFormat="1" ht="24" customHeight="1">
      <c r="A235" s="16"/>
      <c r="B235" s="2">
        <v>206</v>
      </c>
      <c r="C235" s="79" t="s">
        <v>803</v>
      </c>
      <c r="D235" s="79">
        <v>3103</v>
      </c>
      <c r="E235" s="78"/>
      <c r="F235" s="39">
        <v>2021</v>
      </c>
      <c r="G235" s="40">
        <v>44305</v>
      </c>
      <c r="H235" s="40">
        <v>44341</v>
      </c>
      <c r="I235" s="40"/>
      <c r="J235" s="13">
        <f t="shared" ca="1" si="84"/>
        <v>-959.33599710647832</v>
      </c>
      <c r="K235" s="165">
        <f t="shared" si="111"/>
        <v>44888</v>
      </c>
      <c r="L235" s="165">
        <f t="shared" si="112"/>
        <v>45071</v>
      </c>
      <c r="M235" s="165"/>
      <c r="N235" s="170"/>
      <c r="O235" s="170"/>
      <c r="P235" s="170"/>
      <c r="Q235" s="170"/>
      <c r="R235" s="39" t="s">
        <v>175</v>
      </c>
      <c r="S235" s="11" t="s">
        <v>4</v>
      </c>
      <c r="T235" s="41" t="s">
        <v>905</v>
      </c>
      <c r="U235" s="5" t="s">
        <v>7</v>
      </c>
      <c r="V235" s="251">
        <v>4144541</v>
      </c>
      <c r="W235" s="5" t="s">
        <v>602</v>
      </c>
      <c r="X235" s="5" t="s">
        <v>477</v>
      </c>
      <c r="Y235" s="5" t="s">
        <v>802</v>
      </c>
      <c r="Z235" s="39" t="s">
        <v>180</v>
      </c>
      <c r="AA235" s="43" t="s">
        <v>461</v>
      </c>
      <c r="AB235" s="142" t="s">
        <v>1372</v>
      </c>
      <c r="AC235" s="165">
        <v>44620</v>
      </c>
      <c r="AD235" s="165">
        <v>44561</v>
      </c>
      <c r="AE235" s="165">
        <f t="shared" si="113"/>
        <v>45016</v>
      </c>
      <c r="AF235" s="5"/>
      <c r="AG235" s="41"/>
      <c r="AH235" s="212"/>
      <c r="AI235" s="115"/>
      <c r="AJ235" s="115"/>
      <c r="AK235" s="221" t="e">
        <f>SUM(#REF!,BT235,BV235)</f>
        <v>#REF!</v>
      </c>
      <c r="AL235" s="153" t="s">
        <v>1092</v>
      </c>
      <c r="AM235" s="153" t="s">
        <v>1093</v>
      </c>
      <c r="AN235" s="153" t="s">
        <v>1094</v>
      </c>
      <c r="AO235" s="153" t="s">
        <v>592</v>
      </c>
      <c r="AP235" s="153" t="s">
        <v>592</v>
      </c>
      <c r="AQ235" s="153" t="s">
        <v>592</v>
      </c>
      <c r="AR235" s="52"/>
      <c r="AS235" s="51"/>
      <c r="AT235" s="51"/>
      <c r="AU235" s="51">
        <v>0</v>
      </c>
      <c r="AV235" s="44">
        <v>184.03299999999999</v>
      </c>
      <c r="AW235" s="44"/>
      <c r="AX235" s="90">
        <f t="shared" si="85"/>
        <v>184.03299999999999</v>
      </c>
      <c r="AY235" s="157">
        <f t="shared" si="98"/>
        <v>166.84223000000003</v>
      </c>
      <c r="AZ235" s="182"/>
      <c r="BA235" s="158"/>
      <c r="BB235" s="182"/>
      <c r="BC235" s="158"/>
      <c r="BD235" s="182"/>
      <c r="BE235" s="158"/>
      <c r="BF235" s="182">
        <v>0</v>
      </c>
      <c r="BG235" s="158"/>
      <c r="BH235" s="182">
        <v>0</v>
      </c>
      <c r="BI235" s="158"/>
      <c r="BJ235" s="182">
        <v>0</v>
      </c>
      <c r="BK235" s="158"/>
      <c r="BL235" s="183"/>
      <c r="BM235" s="158"/>
      <c r="BN235" s="183"/>
      <c r="BO235" s="158"/>
      <c r="BP235" s="182">
        <v>60</v>
      </c>
      <c r="BQ235" s="158">
        <v>45.803910000000002</v>
      </c>
      <c r="BR235" s="182"/>
      <c r="BS235" s="158">
        <v>8.6517999999999997</v>
      </c>
      <c r="BT235" s="182">
        <f>122-8.5-0.2</f>
        <v>113.3</v>
      </c>
      <c r="BU235" s="158">
        <v>12.11505</v>
      </c>
      <c r="BV235" s="182">
        <f>113.3-12</f>
        <v>101.3</v>
      </c>
      <c r="BW235" s="234">
        <v>100.27147000000001</v>
      </c>
      <c r="BX235" s="237">
        <v>100.27147000000001</v>
      </c>
      <c r="BY235" s="81">
        <f t="shared" si="99"/>
        <v>0</v>
      </c>
      <c r="BZ235" s="242"/>
      <c r="CA235" s="242"/>
      <c r="CB235" s="242"/>
      <c r="CC235" s="242"/>
      <c r="CD235" s="242"/>
      <c r="CE235" s="242"/>
      <c r="CF235" s="242"/>
      <c r="CG235" s="242"/>
      <c r="CH235" s="242"/>
      <c r="CI235" s="242"/>
      <c r="CJ235" s="242"/>
      <c r="CK235" s="242"/>
      <c r="CL235" s="195">
        <f t="shared" si="102"/>
        <v>0</v>
      </c>
      <c r="CM235" s="197"/>
      <c r="CN235" s="197"/>
      <c r="CO235" s="197"/>
      <c r="CP235" s="197"/>
      <c r="CQ235" s="197"/>
      <c r="CR235" s="197"/>
      <c r="CS235" s="197"/>
      <c r="CT235" s="197"/>
      <c r="CU235" s="197"/>
      <c r="CV235" s="197"/>
      <c r="CW235" s="197"/>
      <c r="CX235" s="197"/>
      <c r="CY235" s="200">
        <f t="shared" si="86"/>
        <v>1.0285299999999893</v>
      </c>
      <c r="CZ235" s="172">
        <f t="shared" si="100"/>
        <v>0</v>
      </c>
      <c r="DA235" s="201">
        <f t="shared" si="87"/>
        <v>66.570760000000007</v>
      </c>
      <c r="DB235" s="201">
        <f t="shared" si="88"/>
        <v>100.27147000000001</v>
      </c>
      <c r="DC235" s="201">
        <f t="shared" si="103"/>
        <v>166.84223000000003</v>
      </c>
      <c r="DD235" s="239">
        <v>167.75570999999999</v>
      </c>
      <c r="DE235" s="201">
        <f t="shared" si="104"/>
        <v>-0.91347999999996432</v>
      </c>
      <c r="DF235" s="172" t="e">
        <f>SUM(DN235:DO235)-SUM(#REF!,BV235)+BU235</f>
        <v>#REF!</v>
      </c>
      <c r="DG235" s="207" t="s">
        <v>1167</v>
      </c>
      <c r="DH235" s="225">
        <f t="shared" si="105"/>
        <v>0</v>
      </c>
      <c r="DI235" s="225">
        <f t="shared" si="106"/>
        <v>0</v>
      </c>
      <c r="DJ235" s="225">
        <f t="shared" si="107"/>
        <v>45.803910000000002</v>
      </c>
      <c r="DK235" s="225" t="e">
        <f>SUM(BS235,#REF!,BV235)</f>
        <v>#REF!</v>
      </c>
      <c r="DL235" s="145">
        <v>184.03299999999999</v>
      </c>
      <c r="DM235" s="145">
        <v>166.84223</v>
      </c>
      <c r="DN235" s="145">
        <v>0</v>
      </c>
      <c r="DO235" s="145">
        <v>0</v>
      </c>
      <c r="DP235" s="145">
        <v>166.84223</v>
      </c>
      <c r="DQ235" s="145">
        <v>17.190770000000001</v>
      </c>
      <c r="DR235" s="21">
        <f>VLOOKUP(C235,[6]Database!$B$143:$AD$521,29,FALSE)</f>
        <v>0</v>
      </c>
      <c r="DS235" s="219">
        <f t="shared" si="108"/>
        <v>0</v>
      </c>
    </row>
    <row r="236" spans="1:123" s="21" customFormat="1" ht="24" customHeight="1">
      <c r="A236" s="16"/>
      <c r="B236" s="2">
        <v>207</v>
      </c>
      <c r="C236" s="79" t="s">
        <v>804</v>
      </c>
      <c r="D236" s="79">
        <v>3833</v>
      </c>
      <c r="E236" s="78"/>
      <c r="F236" s="39">
        <v>2021</v>
      </c>
      <c r="G236" s="40">
        <v>44305</v>
      </c>
      <c r="H236" s="40">
        <v>44391</v>
      </c>
      <c r="I236" s="40"/>
      <c r="J236" s="13">
        <f t="shared" ca="1" si="84"/>
        <v>-909.33599710647832</v>
      </c>
      <c r="K236" s="165">
        <f t="shared" si="111"/>
        <v>44938</v>
      </c>
      <c r="L236" s="165">
        <f t="shared" si="112"/>
        <v>45121</v>
      </c>
      <c r="M236" s="165"/>
      <c r="N236" s="170"/>
      <c r="O236" s="170"/>
      <c r="P236" s="170"/>
      <c r="Q236" s="170"/>
      <c r="R236" s="39" t="s">
        <v>175</v>
      </c>
      <c r="S236" s="11" t="s">
        <v>221</v>
      </c>
      <c r="T236" s="39" t="s">
        <v>912</v>
      </c>
      <c r="U236" s="5" t="s">
        <v>7</v>
      </c>
      <c r="V236" s="251">
        <v>4129586</v>
      </c>
      <c r="W236" s="5" t="s">
        <v>602</v>
      </c>
      <c r="X236" s="5" t="s">
        <v>901</v>
      </c>
      <c r="Y236" s="5" t="s">
        <v>993</v>
      </c>
      <c r="Z236" s="78" t="s">
        <v>315</v>
      </c>
      <c r="AA236" s="43" t="s">
        <v>461</v>
      </c>
      <c r="AB236" s="141" t="s">
        <v>1221</v>
      </c>
      <c r="AC236" s="165">
        <v>44926</v>
      </c>
      <c r="AD236" s="165">
        <v>44926</v>
      </c>
      <c r="AE236" s="165">
        <f t="shared" si="113"/>
        <v>45077</v>
      </c>
      <c r="AF236" s="5"/>
      <c r="AG236" s="41"/>
      <c r="AH236" s="212"/>
      <c r="AI236" s="115"/>
      <c r="AJ236" s="115"/>
      <c r="AK236" s="221" t="e">
        <f>SUM(#REF!,BT236,BV236)</f>
        <v>#REF!</v>
      </c>
      <c r="AL236" s="153"/>
      <c r="AM236" s="153"/>
      <c r="AN236" s="153"/>
      <c r="AO236" s="153"/>
      <c r="AP236" s="153"/>
      <c r="AQ236" s="153"/>
      <c r="AR236" s="52"/>
      <c r="AS236" s="51"/>
      <c r="AT236" s="51"/>
      <c r="AU236" s="51">
        <v>0</v>
      </c>
      <c r="AV236" s="44">
        <v>2764</v>
      </c>
      <c r="AW236" s="44">
        <v>112.27800000000001</v>
      </c>
      <c r="AX236" s="90">
        <f t="shared" si="85"/>
        <v>2876.2779999999998</v>
      </c>
      <c r="AY236" s="157">
        <f t="shared" si="98"/>
        <v>4.17659</v>
      </c>
      <c r="AZ236" s="182"/>
      <c r="BA236" s="158"/>
      <c r="BB236" s="182"/>
      <c r="BC236" s="158"/>
      <c r="BD236" s="182"/>
      <c r="BE236" s="158"/>
      <c r="BF236" s="182">
        <v>0</v>
      </c>
      <c r="BG236" s="158"/>
      <c r="BH236" s="182">
        <v>0</v>
      </c>
      <c r="BI236" s="158"/>
      <c r="BJ236" s="182">
        <v>0</v>
      </c>
      <c r="BK236" s="158"/>
      <c r="BL236" s="183"/>
      <c r="BM236" s="158"/>
      <c r="BN236" s="183"/>
      <c r="BO236" s="158"/>
      <c r="BP236" s="182"/>
      <c r="BQ236" s="158"/>
      <c r="BR236" s="182"/>
      <c r="BS236" s="158"/>
      <c r="BT236" s="182"/>
      <c r="BU236" s="158">
        <v>4.17659</v>
      </c>
      <c r="BV236" s="182"/>
      <c r="BW236" s="234"/>
      <c r="BX236" s="237"/>
      <c r="BY236" s="81">
        <f t="shared" si="99"/>
        <v>2759.8</v>
      </c>
      <c r="BZ236" s="242"/>
      <c r="CA236" s="242"/>
      <c r="CB236" s="242"/>
      <c r="CC236" s="242">
        <f>15-3.8</f>
        <v>11.2</v>
      </c>
      <c r="CD236" s="242">
        <v>260</v>
      </c>
      <c r="CE236" s="242">
        <v>200</v>
      </c>
      <c r="CF236" s="242">
        <v>228</v>
      </c>
      <c r="CG236" s="242">
        <f>15+9.6</f>
        <v>24.6</v>
      </c>
      <c r="CH236" s="242">
        <v>30</v>
      </c>
      <c r="CI236" s="242">
        <f>1212+507+17+55</f>
        <v>1791</v>
      </c>
      <c r="CJ236" s="242">
        <f>65+55</f>
        <v>120</v>
      </c>
      <c r="CK236" s="242">
        <f>40+55</f>
        <v>95</v>
      </c>
      <c r="CL236" s="195">
        <f t="shared" si="102"/>
        <v>0</v>
      </c>
      <c r="CM236" s="197"/>
      <c r="CN236" s="197"/>
      <c r="CO236" s="197"/>
      <c r="CP236" s="197"/>
      <c r="CQ236" s="197"/>
      <c r="CR236" s="197"/>
      <c r="CS236" s="197"/>
      <c r="CT236" s="197"/>
      <c r="CU236" s="197"/>
      <c r="CV236" s="197"/>
      <c r="CW236" s="197"/>
      <c r="CX236" s="197"/>
      <c r="CY236" s="200">
        <f t="shared" si="86"/>
        <v>0</v>
      </c>
      <c r="CZ236" s="172">
        <f t="shared" si="100"/>
        <v>0</v>
      </c>
      <c r="DA236" s="201">
        <f t="shared" si="87"/>
        <v>4.17659</v>
      </c>
      <c r="DB236" s="201">
        <f t="shared" si="88"/>
        <v>0</v>
      </c>
      <c r="DC236" s="201">
        <f t="shared" si="103"/>
        <v>2763.9765900000002</v>
      </c>
      <c r="DD236" s="239">
        <v>2764</v>
      </c>
      <c r="DE236" s="201">
        <f t="shared" si="104"/>
        <v>-2.3409999999785214E-2</v>
      </c>
      <c r="DF236" s="172" t="e">
        <f>SUM(DN236:DO236)-SUM(#REF!,BV236)+BU236</f>
        <v>#REF!</v>
      </c>
      <c r="DG236" s="207"/>
      <c r="DH236" s="225">
        <f t="shared" si="105"/>
        <v>0</v>
      </c>
      <c r="DI236" s="225">
        <f t="shared" si="106"/>
        <v>0</v>
      </c>
      <c r="DJ236" s="225">
        <f t="shared" si="107"/>
        <v>0</v>
      </c>
      <c r="DK236" s="225" t="e">
        <f>SUM(BS236,#REF!,BV236)</f>
        <v>#REF!</v>
      </c>
      <c r="DL236" s="145">
        <v>2764</v>
      </c>
      <c r="DM236" s="145">
        <v>4.17659</v>
      </c>
      <c r="DN236" s="145">
        <v>1.4125999999999999</v>
      </c>
      <c r="DO236" s="145">
        <v>0</v>
      </c>
      <c r="DP236" s="145">
        <v>5.5891899999999994</v>
      </c>
      <c r="DQ236" s="145">
        <v>2758.4108099999999</v>
      </c>
      <c r="DR236" s="21">
        <f>VLOOKUP(C236,[6]Database!$B$143:$AD$521,29,FALSE)</f>
        <v>2764</v>
      </c>
      <c r="DS236" s="219">
        <f t="shared" si="108"/>
        <v>-4.1999999999998181</v>
      </c>
    </row>
    <row r="237" spans="1:123" s="21" customFormat="1" ht="24" customHeight="1">
      <c r="A237" s="16"/>
      <c r="B237" s="2">
        <v>208</v>
      </c>
      <c r="C237" s="79" t="s">
        <v>807</v>
      </c>
      <c r="D237" s="226" t="s">
        <v>592</v>
      </c>
      <c r="E237" s="78"/>
      <c r="F237" s="39">
        <v>2021</v>
      </c>
      <c r="G237" s="40">
        <v>44314</v>
      </c>
      <c r="H237" s="40">
        <v>44344</v>
      </c>
      <c r="I237" s="40">
        <v>44553</v>
      </c>
      <c r="J237" s="13">
        <f t="shared" ca="1" si="84"/>
        <v>209</v>
      </c>
      <c r="K237" s="165">
        <f t="shared" si="111"/>
        <v>44891</v>
      </c>
      <c r="L237" s="165">
        <f t="shared" si="112"/>
        <v>45074</v>
      </c>
      <c r="M237" s="165"/>
      <c r="N237" s="170"/>
      <c r="O237" s="170"/>
      <c r="P237" s="170"/>
      <c r="Q237" s="170"/>
      <c r="R237" s="39" t="s">
        <v>176</v>
      </c>
      <c r="S237" s="11"/>
      <c r="T237" s="39"/>
      <c r="U237" s="5" t="s">
        <v>7</v>
      </c>
      <c r="V237" s="251">
        <v>4149542</v>
      </c>
      <c r="W237" s="5" t="s">
        <v>602</v>
      </c>
      <c r="X237" s="5" t="s">
        <v>473</v>
      </c>
      <c r="Y237" s="5" t="s">
        <v>808</v>
      </c>
      <c r="Z237" s="3" t="s">
        <v>180</v>
      </c>
      <c r="AA237" s="43" t="s">
        <v>194</v>
      </c>
      <c r="AB237" s="142" t="s">
        <v>1379</v>
      </c>
      <c r="AC237" s="165" t="s">
        <v>5</v>
      </c>
      <c r="AD237" s="165">
        <v>44561</v>
      </c>
      <c r="AE237" s="165">
        <f t="shared" si="113"/>
        <v>45016</v>
      </c>
      <c r="AF237" s="5" t="s">
        <v>1038</v>
      </c>
      <c r="AG237" s="41"/>
      <c r="AH237" s="212">
        <v>6.9000000000000006E-2</v>
      </c>
      <c r="AI237" s="115"/>
      <c r="AJ237" s="115"/>
      <c r="AK237" s="221" t="e">
        <f>SUM(#REF!,BT237,BV237)</f>
        <v>#REF!</v>
      </c>
      <c r="AL237" s="153"/>
      <c r="AM237" s="153"/>
      <c r="AN237" s="153"/>
      <c r="AO237" s="153"/>
      <c r="AP237" s="153"/>
      <c r="AQ237" s="153"/>
      <c r="AR237" s="52"/>
      <c r="AS237" s="51"/>
      <c r="AT237" s="51"/>
      <c r="AU237" s="51">
        <v>50</v>
      </c>
      <c r="AV237" s="44">
        <v>106.779</v>
      </c>
      <c r="AW237" s="44"/>
      <c r="AX237" s="90">
        <f t="shared" si="85"/>
        <v>106.779</v>
      </c>
      <c r="AY237" s="157">
        <f t="shared" si="98"/>
        <v>86.203130000000002</v>
      </c>
      <c r="AZ237" s="182"/>
      <c r="BA237" s="158"/>
      <c r="BB237" s="182">
        <v>12.5</v>
      </c>
      <c r="BC237" s="158"/>
      <c r="BD237" s="182"/>
      <c r="BE237" s="158"/>
      <c r="BF237" s="182">
        <v>0</v>
      </c>
      <c r="BG237" s="158"/>
      <c r="BH237" s="182">
        <v>0</v>
      </c>
      <c r="BI237" s="158"/>
      <c r="BJ237" s="182">
        <v>0</v>
      </c>
      <c r="BK237" s="158"/>
      <c r="BL237" s="183"/>
      <c r="BM237" s="158"/>
      <c r="BN237" s="183"/>
      <c r="BO237" s="158">
        <v>29.99119</v>
      </c>
      <c r="BP237" s="182">
        <v>5</v>
      </c>
      <c r="BQ237" s="158">
        <v>7.6090200000000001</v>
      </c>
      <c r="BR237" s="182">
        <f>5-2.6</f>
        <v>2.4</v>
      </c>
      <c r="BS237" s="158">
        <v>41.066969999999998</v>
      </c>
      <c r="BT237" s="182">
        <f>31.9-24.3-1.8</f>
        <v>5.799999999999998</v>
      </c>
      <c r="BU237" s="158">
        <v>6.9740500000000001</v>
      </c>
      <c r="BV237" s="182">
        <v>0</v>
      </c>
      <c r="BW237" s="234">
        <v>0.56190000000000007</v>
      </c>
      <c r="BX237" s="237">
        <v>0.56190000000000007</v>
      </c>
      <c r="BY237" s="81">
        <f t="shared" si="99"/>
        <v>0</v>
      </c>
      <c r="BZ237" s="242"/>
      <c r="CA237" s="242"/>
      <c r="CB237" s="242"/>
      <c r="CC237" s="242"/>
      <c r="CD237" s="242"/>
      <c r="CE237" s="242"/>
      <c r="CF237" s="242"/>
      <c r="CG237" s="242"/>
      <c r="CH237" s="242"/>
      <c r="CI237" s="242"/>
      <c r="CJ237" s="242"/>
      <c r="CK237" s="242"/>
      <c r="CL237" s="195">
        <f t="shared" si="102"/>
        <v>0</v>
      </c>
      <c r="CM237" s="197"/>
      <c r="CN237" s="197"/>
      <c r="CO237" s="197"/>
      <c r="CP237" s="197"/>
      <c r="CQ237" s="197"/>
      <c r="CR237" s="197"/>
      <c r="CS237" s="197"/>
      <c r="CT237" s="197"/>
      <c r="CU237" s="197"/>
      <c r="CV237" s="197"/>
      <c r="CW237" s="197"/>
      <c r="CX237" s="197"/>
      <c r="CY237" s="200">
        <f t="shared" si="86"/>
        <v>-0.56190000000000007</v>
      </c>
      <c r="CZ237" s="172">
        <f t="shared" si="100"/>
        <v>0</v>
      </c>
      <c r="DA237" s="201">
        <f t="shared" si="87"/>
        <v>85.641230000000007</v>
      </c>
      <c r="DB237" s="201">
        <f t="shared" si="88"/>
        <v>0.56190000000000007</v>
      </c>
      <c r="DC237" s="201">
        <f t="shared" si="103"/>
        <v>86.203130000000002</v>
      </c>
      <c r="DD237" s="239">
        <v>84.467179999999999</v>
      </c>
      <c r="DE237" s="201">
        <f t="shared" si="104"/>
        <v>1.7359500000000025</v>
      </c>
      <c r="DF237" s="172" t="e">
        <f>SUM(DN237:DO237)-SUM(#REF!,BV237)+BU237</f>
        <v>#REF!</v>
      </c>
      <c r="DG237" s="207"/>
      <c r="DH237" s="225">
        <f t="shared" si="105"/>
        <v>0</v>
      </c>
      <c r="DI237" s="225">
        <f t="shared" si="106"/>
        <v>0</v>
      </c>
      <c r="DJ237" s="225">
        <f t="shared" si="107"/>
        <v>37.600209999999997</v>
      </c>
      <c r="DK237" s="225" t="e">
        <f>SUM(BS237,#REF!,BV237)</f>
        <v>#REF!</v>
      </c>
      <c r="DL237" s="145">
        <v>106.779</v>
      </c>
      <c r="DM237" s="145">
        <v>86.203130000000002</v>
      </c>
      <c r="DN237" s="145">
        <v>2.8265500000000001</v>
      </c>
      <c r="DO237" s="145">
        <v>0</v>
      </c>
      <c r="DP237" s="145">
        <v>89.029679999999999</v>
      </c>
      <c r="DQ237" s="145">
        <v>17.749320000000001</v>
      </c>
      <c r="DR237" s="21">
        <f>VLOOKUP(C237,[6]Database!$B$143:$AD$521,29,FALSE)</f>
        <v>0</v>
      </c>
      <c r="DS237" s="219">
        <f t="shared" si="108"/>
        <v>0</v>
      </c>
    </row>
    <row r="238" spans="1:123" s="21" customFormat="1" ht="24" customHeight="1">
      <c r="A238" s="16"/>
      <c r="B238" s="2">
        <v>209</v>
      </c>
      <c r="C238" s="79" t="s">
        <v>812</v>
      </c>
      <c r="D238" s="79">
        <v>7918</v>
      </c>
      <c r="E238" s="79"/>
      <c r="F238" s="39">
        <v>2021</v>
      </c>
      <c r="G238" s="40">
        <v>44326</v>
      </c>
      <c r="H238" s="40">
        <v>44377</v>
      </c>
      <c r="I238" s="40"/>
      <c r="J238" s="13">
        <f t="shared" ref="J238:J274" ca="1" si="114">IF(H238="","",IF(I238&lt;&gt;"",I238-H238,EDATE(H238,18)-NOW()))</f>
        <v>-924.33599710647832</v>
      </c>
      <c r="K238" s="165">
        <f t="shared" si="111"/>
        <v>44924</v>
      </c>
      <c r="L238" s="165">
        <f t="shared" si="112"/>
        <v>45107</v>
      </c>
      <c r="M238" s="165"/>
      <c r="N238" s="170"/>
      <c r="O238" s="170"/>
      <c r="P238" s="170"/>
      <c r="Q238" s="170"/>
      <c r="R238" s="39" t="s">
        <v>175</v>
      </c>
      <c r="S238" s="11" t="s">
        <v>4</v>
      </c>
      <c r="T238" s="41" t="s">
        <v>910</v>
      </c>
      <c r="U238" s="5" t="s">
        <v>7</v>
      </c>
      <c r="V238" s="251">
        <v>4247961</v>
      </c>
      <c r="W238" s="5" t="s">
        <v>602</v>
      </c>
      <c r="X238" s="5" t="s">
        <v>475</v>
      </c>
      <c r="Y238" s="5" t="s">
        <v>935</v>
      </c>
      <c r="Z238" s="3" t="s">
        <v>182</v>
      </c>
      <c r="AA238" s="43" t="s">
        <v>461</v>
      </c>
      <c r="AB238" s="141" t="s">
        <v>1225</v>
      </c>
      <c r="AC238" s="165">
        <v>44864</v>
      </c>
      <c r="AD238" s="165">
        <v>44864</v>
      </c>
      <c r="AE238" s="165">
        <f t="shared" si="113"/>
        <v>45046</v>
      </c>
      <c r="AF238" s="5"/>
      <c r="AG238" s="41"/>
      <c r="AH238" s="212"/>
      <c r="AI238" s="115" t="s">
        <v>1375</v>
      </c>
      <c r="AJ238" s="115"/>
      <c r="AK238" s="221" t="e">
        <f>SUM(#REF!,BT238,BV238)</f>
        <v>#REF!</v>
      </c>
      <c r="AL238" s="153" t="s">
        <v>1136</v>
      </c>
      <c r="AM238" s="153" t="s">
        <v>1137</v>
      </c>
      <c r="AN238" s="167" t="s">
        <v>1079</v>
      </c>
      <c r="AO238" s="153" t="s">
        <v>1139</v>
      </c>
      <c r="AP238" s="153">
        <v>2021</v>
      </c>
      <c r="AQ238" s="153" t="s">
        <v>1104</v>
      </c>
      <c r="AR238" s="52"/>
      <c r="AS238" s="51"/>
      <c r="AT238" s="51"/>
      <c r="AU238" s="51"/>
      <c r="AV238" s="44">
        <v>286.95499999999998</v>
      </c>
      <c r="AW238" s="44">
        <v>50</v>
      </c>
      <c r="AX238" s="90">
        <f t="shared" si="85"/>
        <v>336.95499999999998</v>
      </c>
      <c r="AY238" s="157">
        <f t="shared" si="98"/>
        <v>49.75168</v>
      </c>
      <c r="AZ238" s="182"/>
      <c r="BA238" s="158"/>
      <c r="BB238" s="182"/>
      <c r="BC238" s="158"/>
      <c r="BD238" s="182"/>
      <c r="BE238" s="158"/>
      <c r="BF238" s="182"/>
      <c r="BG238" s="158"/>
      <c r="BH238" s="182">
        <v>0</v>
      </c>
      <c r="BI238" s="158"/>
      <c r="BJ238" s="182">
        <v>0</v>
      </c>
      <c r="BK238" s="158"/>
      <c r="BL238" s="183"/>
      <c r="BM238" s="158"/>
      <c r="BN238" s="183"/>
      <c r="BO238" s="158"/>
      <c r="BP238" s="182"/>
      <c r="BQ238" s="158"/>
      <c r="BR238" s="182">
        <v>5</v>
      </c>
      <c r="BS238" s="158"/>
      <c r="BT238" s="182">
        <v>25</v>
      </c>
      <c r="BU238" s="158">
        <v>21.402670000000001</v>
      </c>
      <c r="BV238" s="182">
        <f>15.3+9.7+0.2+0.8</f>
        <v>26</v>
      </c>
      <c r="BW238" s="234">
        <v>28.34901</v>
      </c>
      <c r="BX238" s="237">
        <v>28.34901</v>
      </c>
      <c r="BY238" s="81">
        <f t="shared" si="99"/>
        <v>107.7</v>
      </c>
      <c r="BZ238" s="242">
        <f>10-1.8-0.5</f>
        <v>7.6999999999999993</v>
      </c>
      <c r="CA238" s="242">
        <v>10</v>
      </c>
      <c r="CB238" s="242">
        <v>10</v>
      </c>
      <c r="CC238" s="242">
        <v>30</v>
      </c>
      <c r="CD238" s="242">
        <v>30</v>
      </c>
      <c r="CE238" s="242">
        <v>5</v>
      </c>
      <c r="CF238" s="242">
        <v>5</v>
      </c>
      <c r="CG238" s="242">
        <v>5</v>
      </c>
      <c r="CH238" s="242">
        <v>5</v>
      </c>
      <c r="CI238" s="242"/>
      <c r="CJ238" s="242"/>
      <c r="CK238" s="242"/>
      <c r="CL238" s="195">
        <f t="shared" si="102"/>
        <v>0</v>
      </c>
      <c r="CM238" s="197"/>
      <c r="CN238" s="197"/>
      <c r="CO238" s="197"/>
      <c r="CP238" s="197"/>
      <c r="CQ238" s="197"/>
      <c r="CR238" s="197"/>
      <c r="CS238" s="197"/>
      <c r="CT238" s="197"/>
      <c r="CU238" s="197"/>
      <c r="CV238" s="197"/>
      <c r="CW238" s="197"/>
      <c r="CX238" s="197"/>
      <c r="CY238" s="200">
        <f t="shared" si="86"/>
        <v>-2.3490099999999998</v>
      </c>
      <c r="CZ238" s="172">
        <f t="shared" si="100"/>
        <v>0</v>
      </c>
      <c r="DA238" s="201">
        <f t="shared" si="87"/>
        <v>21.402670000000001</v>
      </c>
      <c r="DB238" s="201">
        <f t="shared" si="88"/>
        <v>28.34901</v>
      </c>
      <c r="DC238" s="201">
        <f t="shared" si="103"/>
        <v>157.45168000000001</v>
      </c>
      <c r="DD238" s="239">
        <v>287</v>
      </c>
      <c r="DE238" s="201">
        <f t="shared" si="104"/>
        <v>-129.54831999999999</v>
      </c>
      <c r="DF238" s="172" t="e">
        <f>SUM(DN238:DO238)-SUM(#REF!,BV238)+BU238</f>
        <v>#REF!</v>
      </c>
      <c r="DG238" s="207"/>
      <c r="DH238" s="225">
        <f t="shared" si="105"/>
        <v>0</v>
      </c>
      <c r="DI238" s="225">
        <f t="shared" si="106"/>
        <v>0</v>
      </c>
      <c r="DJ238" s="225">
        <f t="shared" si="107"/>
        <v>0</v>
      </c>
      <c r="DK238" s="225" t="e">
        <f>SUM(BS238,#REF!,BV238)</f>
        <v>#REF!</v>
      </c>
      <c r="DL238" s="145">
        <v>286.95499999999998</v>
      </c>
      <c r="DM238" s="145">
        <v>49.75168</v>
      </c>
      <c r="DN238" s="145">
        <v>39.32217</v>
      </c>
      <c r="DO238" s="145">
        <v>6.6960800000000003</v>
      </c>
      <c r="DP238" s="145">
        <v>95.769929999999988</v>
      </c>
      <c r="DQ238" s="145">
        <v>191.18507</v>
      </c>
      <c r="DR238" s="21">
        <f>VLOOKUP(C238,[6]Database!$B$143:$AD$521,29,FALSE)</f>
        <v>237</v>
      </c>
      <c r="DS238" s="219">
        <f t="shared" si="108"/>
        <v>-129.30000000000001</v>
      </c>
    </row>
    <row r="239" spans="1:123" s="21" customFormat="1" ht="24" customHeight="1">
      <c r="A239" s="16"/>
      <c r="B239" s="2">
        <v>210</v>
      </c>
      <c r="C239" s="79" t="s">
        <v>814</v>
      </c>
      <c r="D239" s="226" t="s">
        <v>592</v>
      </c>
      <c r="E239" s="78"/>
      <c r="F239" s="39">
        <v>2021</v>
      </c>
      <c r="G239" s="40">
        <v>44327</v>
      </c>
      <c r="H239" s="40">
        <v>44344</v>
      </c>
      <c r="I239" s="40"/>
      <c r="J239" s="13">
        <f t="shared" ca="1" si="114"/>
        <v>-956.33599710647832</v>
      </c>
      <c r="K239" s="165">
        <f t="shared" si="111"/>
        <v>44891</v>
      </c>
      <c r="L239" s="165">
        <f t="shared" si="112"/>
        <v>45074</v>
      </c>
      <c r="M239" s="165"/>
      <c r="N239" s="170"/>
      <c r="O239" s="170"/>
      <c r="P239" s="170"/>
      <c r="Q239" s="170"/>
      <c r="R239" s="39" t="s">
        <v>176</v>
      </c>
      <c r="S239" s="11"/>
      <c r="T239" s="39"/>
      <c r="U239" s="5" t="s">
        <v>7</v>
      </c>
      <c r="V239" s="251">
        <v>4154934</v>
      </c>
      <c r="W239" s="5" t="s">
        <v>602</v>
      </c>
      <c r="X239" s="5" t="s">
        <v>473</v>
      </c>
      <c r="Y239" s="5" t="s">
        <v>813</v>
      </c>
      <c r="Z239" s="3" t="s">
        <v>185</v>
      </c>
      <c r="AA239" s="43" t="s">
        <v>461</v>
      </c>
      <c r="AB239" s="142" t="s">
        <v>1384</v>
      </c>
      <c r="AC239" s="165">
        <v>44620</v>
      </c>
      <c r="AD239" s="165">
        <v>44591</v>
      </c>
      <c r="AE239" s="165">
        <f t="shared" si="113"/>
        <v>45016</v>
      </c>
      <c r="AF239" s="5"/>
      <c r="AG239" s="41"/>
      <c r="AH239" s="212"/>
      <c r="AI239" s="115"/>
      <c r="AJ239" s="115"/>
      <c r="AK239" s="221" t="e">
        <f>SUM(#REF!,BT239,BV239)</f>
        <v>#REF!</v>
      </c>
      <c r="AL239" s="153"/>
      <c r="AM239" s="153"/>
      <c r="AN239" s="153"/>
      <c r="AO239" s="153"/>
      <c r="AP239" s="153"/>
      <c r="AQ239" s="153"/>
      <c r="AR239" s="52"/>
      <c r="AS239" s="51"/>
      <c r="AT239" s="51"/>
      <c r="AU239" s="51">
        <v>30</v>
      </c>
      <c r="AV239" s="44">
        <v>60.6</v>
      </c>
      <c r="AW239" s="44"/>
      <c r="AX239" s="90">
        <f t="shared" ref="AX239:AX264" si="115">AW239+AV239</f>
        <v>60.6</v>
      </c>
      <c r="AY239" s="157">
        <f t="shared" si="98"/>
        <v>33.632639999999995</v>
      </c>
      <c r="AZ239" s="182"/>
      <c r="BA239" s="158"/>
      <c r="BB239" s="182"/>
      <c r="BC239" s="158"/>
      <c r="BD239" s="182"/>
      <c r="BE239" s="158"/>
      <c r="BF239" s="182"/>
      <c r="BG239" s="158"/>
      <c r="BH239" s="182">
        <v>0</v>
      </c>
      <c r="BI239" s="158"/>
      <c r="BJ239" s="182">
        <v>0</v>
      </c>
      <c r="BK239" s="158"/>
      <c r="BL239" s="183">
        <v>0</v>
      </c>
      <c r="BM239" s="158"/>
      <c r="BN239" s="183">
        <v>0</v>
      </c>
      <c r="BO239" s="158"/>
      <c r="BP239" s="182">
        <v>0</v>
      </c>
      <c r="BQ239" s="158"/>
      <c r="BR239" s="182">
        <v>22</v>
      </c>
      <c r="BS239" s="158">
        <v>24.330479999999998</v>
      </c>
      <c r="BT239" s="182">
        <f>22-4+2.8-1.1</f>
        <v>19.7</v>
      </c>
      <c r="BU239" s="158">
        <v>9.3021600000000007</v>
      </c>
      <c r="BV239" s="182"/>
      <c r="BW239" s="234"/>
      <c r="BX239" s="237"/>
      <c r="BY239" s="81">
        <f t="shared" si="99"/>
        <v>7</v>
      </c>
      <c r="BZ239" s="242"/>
      <c r="CA239" s="242">
        <v>7</v>
      </c>
      <c r="CB239" s="242"/>
      <c r="CC239" s="242"/>
      <c r="CD239" s="242"/>
      <c r="CE239" s="242"/>
      <c r="CF239" s="242"/>
      <c r="CG239" s="242"/>
      <c r="CH239" s="242"/>
      <c r="CI239" s="242"/>
      <c r="CJ239" s="242"/>
      <c r="CK239" s="242"/>
      <c r="CL239" s="195">
        <f t="shared" si="102"/>
        <v>0</v>
      </c>
      <c r="CM239" s="197"/>
      <c r="CN239" s="197"/>
      <c r="CO239" s="197"/>
      <c r="CP239" s="197"/>
      <c r="CQ239" s="197"/>
      <c r="CR239" s="197"/>
      <c r="CS239" s="197"/>
      <c r="CT239" s="197"/>
      <c r="CU239" s="197"/>
      <c r="CV239" s="197"/>
      <c r="CW239" s="197"/>
      <c r="CX239" s="197"/>
      <c r="CY239" s="200">
        <f t="shared" ref="CY239:CY264" si="116">BV239-BX239</f>
        <v>0</v>
      </c>
      <c r="CZ239" s="172">
        <f t="shared" si="100"/>
        <v>0</v>
      </c>
      <c r="DA239" s="201">
        <f t="shared" ref="DA239:DA264" si="117">SUM(BA239,BC239,BE239,BG239,BI239,BK239,BM239,BO239,BQ239,BS239,BU239)</f>
        <v>33.632639999999995</v>
      </c>
      <c r="DB239" s="201">
        <f t="shared" ref="DB239:DB264" si="118">SUM(BX239)</f>
        <v>0</v>
      </c>
      <c r="DC239" s="201">
        <f t="shared" si="103"/>
        <v>40.632639999999995</v>
      </c>
      <c r="DD239" s="239">
        <v>60.630479999999999</v>
      </c>
      <c r="DE239" s="201">
        <f t="shared" si="104"/>
        <v>-19.997840000000004</v>
      </c>
      <c r="DF239" s="172" t="e">
        <f>SUM(DN239:DO239)-SUM(#REF!,BV239)+BU239</f>
        <v>#REF!</v>
      </c>
      <c r="DG239" s="207"/>
      <c r="DH239" s="225">
        <f t="shared" si="105"/>
        <v>0</v>
      </c>
      <c r="DI239" s="225">
        <f t="shared" si="106"/>
        <v>0</v>
      </c>
      <c r="DJ239" s="225">
        <f t="shared" si="107"/>
        <v>0</v>
      </c>
      <c r="DK239" s="225" t="e">
        <f>SUM(BS239,#REF!,BV239)</f>
        <v>#REF!</v>
      </c>
      <c r="DL239" s="145">
        <v>60.6</v>
      </c>
      <c r="DM239" s="145">
        <v>33.632640000000002</v>
      </c>
      <c r="DN239" s="145">
        <v>7.1181899999999994</v>
      </c>
      <c r="DO239" s="145">
        <v>0</v>
      </c>
      <c r="DP239" s="145">
        <v>40.750830000000001</v>
      </c>
      <c r="DQ239" s="145">
        <v>19.849169999999997</v>
      </c>
      <c r="DR239" s="21">
        <f>VLOOKUP(C239,[6]Database!$B$143:$AD$521,29,FALSE)</f>
        <v>0</v>
      </c>
      <c r="DS239" s="219">
        <f t="shared" si="108"/>
        <v>7</v>
      </c>
    </row>
    <row r="240" spans="1:123" s="21" customFormat="1" ht="24" customHeight="1">
      <c r="A240" s="16"/>
      <c r="B240" s="2">
        <v>212</v>
      </c>
      <c r="C240" s="79" t="s">
        <v>899</v>
      </c>
      <c r="D240" s="226" t="s">
        <v>592</v>
      </c>
      <c r="E240" s="78"/>
      <c r="F240" s="39">
        <v>2021</v>
      </c>
      <c r="G240" s="40">
        <v>44330</v>
      </c>
      <c r="H240" s="40">
        <v>44369</v>
      </c>
      <c r="I240" s="40"/>
      <c r="J240" s="13">
        <f t="shared" ca="1" si="114"/>
        <v>-932.33599710647832</v>
      </c>
      <c r="K240" s="165">
        <f t="shared" si="111"/>
        <v>44916</v>
      </c>
      <c r="L240" s="165">
        <f t="shared" si="112"/>
        <v>45099</v>
      </c>
      <c r="M240" s="165"/>
      <c r="N240" s="170"/>
      <c r="O240" s="170"/>
      <c r="P240" s="170"/>
      <c r="Q240" s="170"/>
      <c r="R240" s="39" t="s">
        <v>176</v>
      </c>
      <c r="S240" s="11"/>
      <c r="T240" s="39"/>
      <c r="U240" s="5" t="s">
        <v>7</v>
      </c>
      <c r="V240" s="251">
        <v>4175146</v>
      </c>
      <c r="W240" s="5" t="s">
        <v>602</v>
      </c>
      <c r="X240" s="5" t="s">
        <v>473</v>
      </c>
      <c r="Y240" s="5" t="s">
        <v>898</v>
      </c>
      <c r="Z240" s="78" t="s">
        <v>185</v>
      </c>
      <c r="AA240" s="43" t="s">
        <v>461</v>
      </c>
      <c r="AB240" s="142" t="s">
        <v>1384</v>
      </c>
      <c r="AC240" s="165">
        <v>44620</v>
      </c>
      <c r="AD240" s="165">
        <v>44620</v>
      </c>
      <c r="AE240" s="165">
        <f t="shared" si="113"/>
        <v>45046</v>
      </c>
      <c r="AF240" s="5"/>
      <c r="AG240" s="41"/>
      <c r="AH240" s="212"/>
      <c r="AI240" s="115"/>
      <c r="AJ240" s="115"/>
      <c r="AK240" s="221" t="e">
        <f>SUM(#REF!,BT240,BV240)</f>
        <v>#REF!</v>
      </c>
      <c r="AL240" s="153"/>
      <c r="AM240" s="153"/>
      <c r="AN240" s="153"/>
      <c r="AO240" s="153"/>
      <c r="AP240" s="153"/>
      <c r="AQ240" s="153"/>
      <c r="AR240" s="52"/>
      <c r="AS240" s="51"/>
      <c r="AT240" s="51"/>
      <c r="AU240" s="51">
        <v>60</v>
      </c>
      <c r="AV240" s="44">
        <v>70.599999999999994</v>
      </c>
      <c r="AW240" s="44"/>
      <c r="AX240" s="90">
        <f t="shared" si="115"/>
        <v>70.599999999999994</v>
      </c>
      <c r="AY240" s="157">
        <f t="shared" si="98"/>
        <v>44.781129999999997</v>
      </c>
      <c r="AZ240" s="182"/>
      <c r="BA240" s="158"/>
      <c r="BB240" s="182"/>
      <c r="BC240" s="158"/>
      <c r="BD240" s="182"/>
      <c r="BE240" s="158"/>
      <c r="BF240" s="182"/>
      <c r="BG240" s="158"/>
      <c r="BH240" s="182">
        <v>0</v>
      </c>
      <c r="BI240" s="158"/>
      <c r="BJ240" s="182">
        <v>0</v>
      </c>
      <c r="BK240" s="158"/>
      <c r="BL240" s="183">
        <v>0</v>
      </c>
      <c r="BM240" s="158"/>
      <c r="BN240" s="183">
        <v>0</v>
      </c>
      <c r="BO240" s="158"/>
      <c r="BP240" s="182"/>
      <c r="BQ240" s="158"/>
      <c r="BR240" s="182"/>
      <c r="BS240" s="158"/>
      <c r="BT240" s="182">
        <v>35</v>
      </c>
      <c r="BU240" s="158">
        <v>34.246929999999999</v>
      </c>
      <c r="BV240" s="182">
        <f>35.6-2.7+3.2</f>
        <v>36.1</v>
      </c>
      <c r="BW240" s="234">
        <v>10.5342</v>
      </c>
      <c r="BX240" s="237">
        <v>10.5342</v>
      </c>
      <c r="BY240" s="81">
        <f t="shared" si="99"/>
        <v>19.100000000000001</v>
      </c>
      <c r="BZ240" s="242">
        <v>19.100000000000001</v>
      </c>
      <c r="CA240" s="242"/>
      <c r="CB240" s="242"/>
      <c r="CC240" s="242"/>
      <c r="CD240" s="242"/>
      <c r="CE240" s="242"/>
      <c r="CF240" s="242"/>
      <c r="CG240" s="242"/>
      <c r="CH240" s="242"/>
      <c r="CI240" s="242"/>
      <c r="CJ240" s="242"/>
      <c r="CK240" s="242"/>
      <c r="CL240" s="195">
        <f t="shared" si="102"/>
        <v>0</v>
      </c>
      <c r="CM240" s="197"/>
      <c r="CN240" s="197"/>
      <c r="CO240" s="197"/>
      <c r="CP240" s="197"/>
      <c r="CQ240" s="197"/>
      <c r="CR240" s="197"/>
      <c r="CS240" s="197"/>
      <c r="CT240" s="197"/>
      <c r="CU240" s="197"/>
      <c r="CV240" s="197"/>
      <c r="CW240" s="197"/>
      <c r="CX240" s="197"/>
      <c r="CY240" s="200">
        <f t="shared" si="116"/>
        <v>25.565800000000003</v>
      </c>
      <c r="CZ240" s="172">
        <f t="shared" si="100"/>
        <v>0</v>
      </c>
      <c r="DA240" s="201">
        <f t="shared" si="117"/>
        <v>34.246929999999999</v>
      </c>
      <c r="DB240" s="201">
        <f t="shared" si="118"/>
        <v>10.5342</v>
      </c>
      <c r="DC240" s="201">
        <f t="shared" si="103"/>
        <v>63.881129999999999</v>
      </c>
      <c r="DD240" s="239">
        <v>70.599999999999994</v>
      </c>
      <c r="DE240" s="201">
        <f t="shared" si="104"/>
        <v>-6.7188699999999955</v>
      </c>
      <c r="DF240" s="172" t="e">
        <f>SUM(DN240:DO240)-SUM(#REF!,BV240)+BU240</f>
        <v>#REF!</v>
      </c>
      <c r="DG240" s="207"/>
      <c r="DH240" s="225">
        <f t="shared" si="105"/>
        <v>0</v>
      </c>
      <c r="DI240" s="225">
        <f t="shared" si="106"/>
        <v>0</v>
      </c>
      <c r="DJ240" s="225">
        <f t="shared" si="107"/>
        <v>0</v>
      </c>
      <c r="DK240" s="225" t="e">
        <f>SUM(BS240,#REF!,BV240)</f>
        <v>#REF!</v>
      </c>
      <c r="DL240" s="145">
        <v>70.599999999999994</v>
      </c>
      <c r="DM240" s="145">
        <v>44.781129999999997</v>
      </c>
      <c r="DN240" s="145">
        <v>18.040849999999999</v>
      </c>
      <c r="DO240" s="145">
        <v>0</v>
      </c>
      <c r="DP240" s="145">
        <v>62.821980000000003</v>
      </c>
      <c r="DQ240" s="145">
        <v>7.7780200000000006</v>
      </c>
      <c r="DR240" s="21">
        <f>VLOOKUP(C240,[6]Database!$B$143:$AD$521,29,FALSE)</f>
        <v>0</v>
      </c>
      <c r="DS240" s="219">
        <f t="shared" si="108"/>
        <v>19.100000000000001</v>
      </c>
    </row>
    <row r="241" spans="1:123" s="21" customFormat="1" ht="24" customHeight="1">
      <c r="A241" s="16"/>
      <c r="B241" s="2">
        <v>213</v>
      </c>
      <c r="C241" s="79" t="s">
        <v>900</v>
      </c>
      <c r="D241" s="79">
        <v>12538</v>
      </c>
      <c r="E241" s="78"/>
      <c r="F241" s="39">
        <v>2021</v>
      </c>
      <c r="G241" s="40">
        <v>44330</v>
      </c>
      <c r="H241" s="40">
        <v>44434</v>
      </c>
      <c r="I241" s="40"/>
      <c r="J241" s="13">
        <f t="shared" ca="1" si="114"/>
        <v>-866.33599710647832</v>
      </c>
      <c r="K241" s="165">
        <f t="shared" si="111"/>
        <v>44981</v>
      </c>
      <c r="L241" s="165">
        <f t="shared" si="112"/>
        <v>45164</v>
      </c>
      <c r="M241" s="165"/>
      <c r="N241" s="170"/>
      <c r="O241" s="170"/>
      <c r="P241" s="170"/>
      <c r="Q241" s="170"/>
      <c r="R241" s="39" t="s">
        <v>175</v>
      </c>
      <c r="S241" s="11" t="s">
        <v>222</v>
      </c>
      <c r="T241" s="39" t="s">
        <v>185</v>
      </c>
      <c r="U241" s="5" t="s">
        <v>7</v>
      </c>
      <c r="V241" s="251">
        <v>4462054</v>
      </c>
      <c r="W241" s="5" t="s">
        <v>602</v>
      </c>
      <c r="X241" s="5" t="s">
        <v>471</v>
      </c>
      <c r="Y241" s="5" t="s">
        <v>998</v>
      </c>
      <c r="Z241" s="78" t="s">
        <v>185</v>
      </c>
      <c r="AA241" s="43" t="s">
        <v>461</v>
      </c>
      <c r="AB241" s="142" t="s">
        <v>1229</v>
      </c>
      <c r="AC241" s="165">
        <v>44804</v>
      </c>
      <c r="AD241" s="165">
        <v>44957</v>
      </c>
      <c r="AE241" s="165">
        <f t="shared" si="113"/>
        <v>45107</v>
      </c>
      <c r="AF241" s="5"/>
      <c r="AG241" s="41"/>
      <c r="AH241" s="212"/>
      <c r="AI241" s="115"/>
      <c r="AJ241" s="115" t="s">
        <v>1196</v>
      </c>
      <c r="AK241" s="221" t="e">
        <f>SUM(#REF!,BT241,BV241)</f>
        <v>#REF!</v>
      </c>
      <c r="AL241" s="153" t="s">
        <v>1149</v>
      </c>
      <c r="AM241" s="153" t="s">
        <v>1142</v>
      </c>
      <c r="AN241" s="153" t="s">
        <v>1149</v>
      </c>
      <c r="AO241" s="153" t="s">
        <v>592</v>
      </c>
      <c r="AP241" s="153" t="s">
        <v>592</v>
      </c>
      <c r="AQ241" s="153" t="s">
        <v>592</v>
      </c>
      <c r="AR241" s="52"/>
      <c r="AS241" s="51"/>
      <c r="AT241" s="51"/>
      <c r="AU241" s="51">
        <v>0</v>
      </c>
      <c r="AV241" s="44">
        <v>345.92682000000002</v>
      </c>
      <c r="AW241" s="44">
        <v>53.103230000000003</v>
      </c>
      <c r="AX241" s="90">
        <f t="shared" si="115"/>
        <v>399.03005000000002</v>
      </c>
      <c r="AY241" s="157">
        <f t="shared" si="98"/>
        <v>54.63344</v>
      </c>
      <c r="AZ241" s="182"/>
      <c r="BA241" s="158"/>
      <c r="BB241" s="182"/>
      <c r="BC241" s="158"/>
      <c r="BD241" s="182"/>
      <c r="BE241" s="158"/>
      <c r="BF241" s="182"/>
      <c r="BG241" s="158"/>
      <c r="BH241" s="182">
        <v>0</v>
      </c>
      <c r="BI241" s="158"/>
      <c r="BJ241" s="182">
        <v>0</v>
      </c>
      <c r="BK241" s="158"/>
      <c r="BL241" s="183"/>
      <c r="BM241" s="158"/>
      <c r="BN241" s="183"/>
      <c r="BO241" s="158"/>
      <c r="BP241" s="182"/>
      <c r="BQ241" s="158"/>
      <c r="BR241" s="182"/>
      <c r="BS241" s="158">
        <v>0.50517000000000001</v>
      </c>
      <c r="BT241" s="182">
        <v>0</v>
      </c>
      <c r="BU241" s="158">
        <v>1.6106099999999999</v>
      </c>
      <c r="BV241" s="182">
        <f>35-1.7+13</f>
        <v>46.3</v>
      </c>
      <c r="BW241" s="234">
        <v>52.517659999999999</v>
      </c>
      <c r="BX241" s="237">
        <v>52.517659999999999</v>
      </c>
      <c r="BY241" s="81">
        <f t="shared" si="99"/>
        <v>291.31999999999994</v>
      </c>
      <c r="BZ241" s="242"/>
      <c r="CA241" s="242"/>
      <c r="CB241" s="242"/>
      <c r="CC241" s="242">
        <v>10</v>
      </c>
      <c r="CD241" s="242">
        <f>310.4/10-13-6.2</f>
        <v>11.84</v>
      </c>
      <c r="CE241" s="242">
        <f t="shared" ref="CE241:CJ241" si="119">310.4/10</f>
        <v>31.04</v>
      </c>
      <c r="CF241" s="242">
        <f t="shared" si="119"/>
        <v>31.04</v>
      </c>
      <c r="CG241" s="242">
        <f t="shared" si="119"/>
        <v>31.04</v>
      </c>
      <c r="CH241" s="242">
        <f t="shared" si="119"/>
        <v>31.04</v>
      </c>
      <c r="CI241" s="242">
        <f t="shared" si="119"/>
        <v>31.04</v>
      </c>
      <c r="CJ241" s="242">
        <f t="shared" si="119"/>
        <v>31.04</v>
      </c>
      <c r="CK241" s="242">
        <f>310.4/10+52.2</f>
        <v>83.240000000000009</v>
      </c>
      <c r="CL241" s="195">
        <f t="shared" si="102"/>
        <v>0</v>
      </c>
      <c r="CM241" s="197"/>
      <c r="CN241" s="197"/>
      <c r="CO241" s="197"/>
      <c r="CP241" s="197"/>
      <c r="CQ241" s="197"/>
      <c r="CR241" s="197"/>
      <c r="CS241" s="197"/>
      <c r="CT241" s="197"/>
      <c r="CU241" s="197"/>
      <c r="CV241" s="197"/>
      <c r="CW241" s="197"/>
      <c r="CX241" s="197"/>
      <c r="CY241" s="200">
        <f t="shared" si="116"/>
        <v>-6.2176600000000022</v>
      </c>
      <c r="CZ241" s="172">
        <f t="shared" si="100"/>
        <v>0</v>
      </c>
      <c r="DA241" s="201">
        <f t="shared" si="117"/>
        <v>2.11578</v>
      </c>
      <c r="DB241" s="201">
        <f t="shared" si="118"/>
        <v>52.517659999999999</v>
      </c>
      <c r="DC241" s="201">
        <f t="shared" si="103"/>
        <v>345.95343999999994</v>
      </c>
      <c r="DD241" s="239">
        <v>345.93517000000008</v>
      </c>
      <c r="DE241" s="201">
        <f t="shared" si="104"/>
        <v>1.826999999985901E-2</v>
      </c>
      <c r="DF241" s="172" t="e">
        <f>SUM(DN241:DO241)-SUM(#REF!,BV241)+BU241</f>
        <v>#REF!</v>
      </c>
      <c r="DG241" s="207"/>
      <c r="DH241" s="225">
        <f t="shared" si="105"/>
        <v>0</v>
      </c>
      <c r="DI241" s="225">
        <f t="shared" si="106"/>
        <v>0</v>
      </c>
      <c r="DJ241" s="225">
        <f t="shared" si="107"/>
        <v>0</v>
      </c>
      <c r="DK241" s="225" t="e">
        <f>SUM(BS241,#REF!,BV241)</f>
        <v>#REF!</v>
      </c>
      <c r="DL241" s="145">
        <v>345.92682000000002</v>
      </c>
      <c r="DM241" s="145">
        <v>54.63344</v>
      </c>
      <c r="DN241" s="145">
        <v>218.82616000000002</v>
      </c>
      <c r="DO241" s="145">
        <v>0</v>
      </c>
      <c r="DP241" s="145">
        <v>273.45959999999997</v>
      </c>
      <c r="DQ241" s="145">
        <v>72.467219999999998</v>
      </c>
      <c r="DR241" s="21">
        <f>VLOOKUP(C241,[6]Database!$B$143:$AD$521,29,FALSE)</f>
        <v>270.93000000000006</v>
      </c>
      <c r="DS241" s="219">
        <f t="shared" si="108"/>
        <v>20.389999999999873</v>
      </c>
    </row>
    <row r="242" spans="1:123" s="21" customFormat="1" ht="24" customHeight="1">
      <c r="A242" s="16"/>
      <c r="B242" s="2">
        <v>214</v>
      </c>
      <c r="C242" s="79" t="s">
        <v>925</v>
      </c>
      <c r="D242" s="79">
        <v>13699</v>
      </c>
      <c r="E242" s="78"/>
      <c r="F242" s="39">
        <v>2021</v>
      </c>
      <c r="G242" s="40">
        <v>44333</v>
      </c>
      <c r="H242" s="40">
        <v>44354</v>
      </c>
      <c r="I242" s="40"/>
      <c r="J242" s="13">
        <f t="shared" ca="1" si="114"/>
        <v>-947.33599710647832</v>
      </c>
      <c r="K242" s="165">
        <f t="shared" si="111"/>
        <v>44901</v>
      </c>
      <c r="L242" s="165">
        <f t="shared" si="112"/>
        <v>45084</v>
      </c>
      <c r="M242" s="165"/>
      <c r="N242" s="170"/>
      <c r="O242" s="170"/>
      <c r="P242" s="170"/>
      <c r="Q242" s="170"/>
      <c r="R242" s="39" t="s">
        <v>175</v>
      </c>
      <c r="S242" s="11" t="s">
        <v>919</v>
      </c>
      <c r="T242" s="41" t="s">
        <v>906</v>
      </c>
      <c r="U242" s="5" t="s">
        <v>7</v>
      </c>
      <c r="V242" s="251">
        <v>4193543</v>
      </c>
      <c r="W242" s="5" t="s">
        <v>602</v>
      </c>
      <c r="X242" s="5" t="s">
        <v>471</v>
      </c>
      <c r="Y242" s="5" t="s">
        <v>902</v>
      </c>
      <c r="Z242" s="39" t="s">
        <v>180</v>
      </c>
      <c r="AA242" s="43" t="s">
        <v>461</v>
      </c>
      <c r="AB242" s="142" t="s">
        <v>1338</v>
      </c>
      <c r="AC242" s="165">
        <v>44592</v>
      </c>
      <c r="AD242" s="165">
        <v>44561</v>
      </c>
      <c r="AE242" s="165">
        <f t="shared" si="113"/>
        <v>45046</v>
      </c>
      <c r="AF242" s="5" t="s">
        <v>1038</v>
      </c>
      <c r="AG242" s="41"/>
      <c r="AH242" s="212">
        <v>1.7500000000000002E-2</v>
      </c>
      <c r="AI242" s="115"/>
      <c r="AJ242" s="115" t="s">
        <v>1196</v>
      </c>
      <c r="AK242" s="221" t="e">
        <f>SUM(#REF!,BT242,BV242)</f>
        <v>#REF!</v>
      </c>
      <c r="AL242" s="153" t="s">
        <v>1152</v>
      </c>
      <c r="AM242" s="153" t="s">
        <v>1142</v>
      </c>
      <c r="AN242" s="153" t="s">
        <v>1152</v>
      </c>
      <c r="AO242" s="153" t="s">
        <v>592</v>
      </c>
      <c r="AP242" s="153" t="s">
        <v>592</v>
      </c>
      <c r="AQ242" s="153" t="s">
        <v>592</v>
      </c>
      <c r="AR242" s="52"/>
      <c r="AS242" s="51"/>
      <c r="AT242" s="51"/>
      <c r="AU242" s="51">
        <v>0</v>
      </c>
      <c r="AV242" s="44">
        <v>100.1</v>
      </c>
      <c r="AW242" s="44">
        <v>33.6</v>
      </c>
      <c r="AX242" s="90">
        <f t="shared" si="115"/>
        <v>133.69999999999999</v>
      </c>
      <c r="AY242" s="157">
        <f t="shared" si="98"/>
        <v>96.115169999999992</v>
      </c>
      <c r="AZ242" s="182"/>
      <c r="BA242" s="158"/>
      <c r="BB242" s="182"/>
      <c r="BC242" s="158"/>
      <c r="BD242" s="182"/>
      <c r="BE242" s="158"/>
      <c r="BF242" s="182"/>
      <c r="BG242" s="158"/>
      <c r="BH242" s="182">
        <v>0</v>
      </c>
      <c r="BI242" s="158"/>
      <c r="BJ242" s="182">
        <v>0</v>
      </c>
      <c r="BK242" s="158"/>
      <c r="BL242" s="183"/>
      <c r="BM242" s="158"/>
      <c r="BN242" s="183">
        <v>10</v>
      </c>
      <c r="BO242" s="158"/>
      <c r="BP242" s="182">
        <v>70</v>
      </c>
      <c r="BQ242" s="158">
        <v>60.206979999999994</v>
      </c>
      <c r="BR242" s="182"/>
      <c r="BS242" s="158"/>
      <c r="BT242" s="182">
        <v>28.6</v>
      </c>
      <c r="BU242" s="158">
        <v>5.5104899999999999</v>
      </c>
      <c r="BV242" s="182">
        <f>22.5+0.6</f>
        <v>23.1</v>
      </c>
      <c r="BW242" s="234">
        <v>30.3977</v>
      </c>
      <c r="BX242" s="237">
        <v>30.3977</v>
      </c>
      <c r="BY242" s="81">
        <f t="shared" si="99"/>
        <v>0</v>
      </c>
      <c r="BZ242" s="242"/>
      <c r="CA242" s="242"/>
      <c r="CB242" s="242"/>
      <c r="CC242" s="242"/>
      <c r="CD242" s="242"/>
      <c r="CE242" s="242"/>
      <c r="CF242" s="242"/>
      <c r="CG242" s="242"/>
      <c r="CH242" s="242"/>
      <c r="CI242" s="242"/>
      <c r="CJ242" s="242"/>
      <c r="CK242" s="242"/>
      <c r="CL242" s="195">
        <f t="shared" si="102"/>
        <v>0</v>
      </c>
      <c r="CM242" s="197"/>
      <c r="CN242" s="197"/>
      <c r="CO242" s="197"/>
      <c r="CP242" s="197"/>
      <c r="CQ242" s="197"/>
      <c r="CR242" s="197"/>
      <c r="CS242" s="197"/>
      <c r="CT242" s="197"/>
      <c r="CU242" s="197"/>
      <c r="CV242" s="197"/>
      <c r="CW242" s="197"/>
      <c r="CX242" s="197"/>
      <c r="CY242" s="200">
        <f t="shared" si="116"/>
        <v>-7.297699999999999</v>
      </c>
      <c r="CZ242" s="172">
        <f t="shared" si="100"/>
        <v>0</v>
      </c>
      <c r="DA242" s="201">
        <f t="shared" si="117"/>
        <v>65.717469999999992</v>
      </c>
      <c r="DB242" s="201">
        <f t="shared" si="118"/>
        <v>30.3977</v>
      </c>
      <c r="DC242" s="201">
        <f t="shared" si="103"/>
        <v>96.115169999999992</v>
      </c>
      <c r="DD242" s="239">
        <v>88.806979999999996</v>
      </c>
      <c r="DE242" s="201">
        <f t="shared" si="104"/>
        <v>7.3081899999999962</v>
      </c>
      <c r="DF242" s="172" t="e">
        <f>SUM(DN242:DO242)-SUM(#REF!,BV242)+BU242</f>
        <v>#REF!</v>
      </c>
      <c r="DG242" s="207" t="s">
        <v>1159</v>
      </c>
      <c r="DH242" s="225">
        <f t="shared" si="105"/>
        <v>0</v>
      </c>
      <c r="DI242" s="225">
        <f t="shared" si="106"/>
        <v>0</v>
      </c>
      <c r="DJ242" s="225">
        <f t="shared" si="107"/>
        <v>60.206979999999994</v>
      </c>
      <c r="DK242" s="225" t="e">
        <f>SUM(BS242,#REF!,BV242)</f>
        <v>#REF!</v>
      </c>
      <c r="DL242" s="145">
        <v>100.1</v>
      </c>
      <c r="DM242" s="145">
        <v>96.115169999999992</v>
      </c>
      <c r="DN242" s="145">
        <v>2.0359500000000001</v>
      </c>
      <c r="DO242" s="145">
        <v>0</v>
      </c>
      <c r="DP242" s="145">
        <v>98.151119999999992</v>
      </c>
      <c r="DQ242" s="145">
        <v>1.9488800000000002</v>
      </c>
      <c r="DR242" s="21">
        <f>VLOOKUP(C242,[6]Database!$B$143:$AD$521,29,FALSE)</f>
        <v>0</v>
      </c>
      <c r="DS242" s="219">
        <f t="shared" si="108"/>
        <v>0</v>
      </c>
    </row>
    <row r="243" spans="1:123" s="21" customFormat="1" ht="24" customHeight="1">
      <c r="A243" s="16"/>
      <c r="B243" s="2">
        <v>215</v>
      </c>
      <c r="C243" s="79" t="s">
        <v>926</v>
      </c>
      <c r="D243" s="79">
        <v>9442</v>
      </c>
      <c r="E243" s="78"/>
      <c r="F243" s="39">
        <v>2021</v>
      </c>
      <c r="G243" s="40">
        <v>44333</v>
      </c>
      <c r="H243" s="40">
        <v>44351</v>
      </c>
      <c r="I243" s="40"/>
      <c r="J243" s="13">
        <f t="shared" ca="1" si="114"/>
        <v>-950.33599710647832</v>
      </c>
      <c r="K243" s="165">
        <f t="shared" si="111"/>
        <v>44898</v>
      </c>
      <c r="L243" s="165">
        <f t="shared" si="112"/>
        <v>45081</v>
      </c>
      <c r="M243" s="165"/>
      <c r="N243" s="170"/>
      <c r="O243" s="170"/>
      <c r="P243" s="170"/>
      <c r="Q243" s="170"/>
      <c r="R243" s="39" t="s">
        <v>175</v>
      </c>
      <c r="S243" s="11" t="s">
        <v>4</v>
      </c>
      <c r="T243" s="39" t="s">
        <v>904</v>
      </c>
      <c r="U243" s="5" t="s">
        <v>7</v>
      </c>
      <c r="V243" s="251">
        <v>4193801</v>
      </c>
      <c r="W243" s="5" t="s">
        <v>602</v>
      </c>
      <c r="X243" s="5" t="s">
        <v>477</v>
      </c>
      <c r="Y243" s="5" t="s">
        <v>720</v>
      </c>
      <c r="Z243" s="3" t="s">
        <v>180</v>
      </c>
      <c r="AA243" s="43" t="s">
        <v>461</v>
      </c>
      <c r="AB243" s="142" t="s">
        <v>1240</v>
      </c>
      <c r="AC243" s="165">
        <v>44864</v>
      </c>
      <c r="AD243" s="165">
        <v>44926</v>
      </c>
      <c r="AE243" s="165">
        <f t="shared" si="113"/>
        <v>45046</v>
      </c>
      <c r="AF243" s="5"/>
      <c r="AG243" s="41"/>
      <c r="AH243" s="212"/>
      <c r="AI243" s="115"/>
      <c r="AJ243" s="115" t="s">
        <v>1196</v>
      </c>
      <c r="AK243" s="221" t="e">
        <f>SUM(#REF!,BT243,BV243)</f>
        <v>#REF!</v>
      </c>
      <c r="AL243" s="153" t="s">
        <v>1094</v>
      </c>
      <c r="AM243" s="153" t="s">
        <v>1094</v>
      </c>
      <c r="AN243" s="153" t="s">
        <v>1094</v>
      </c>
      <c r="AO243" s="153" t="s">
        <v>592</v>
      </c>
      <c r="AP243" s="153" t="s">
        <v>592</v>
      </c>
      <c r="AQ243" s="153" t="s">
        <v>592</v>
      </c>
      <c r="AR243" s="52"/>
      <c r="AS243" s="51"/>
      <c r="AT243" s="51"/>
      <c r="AU243" s="205">
        <v>200</v>
      </c>
      <c r="AV243" s="44">
        <v>247.637</v>
      </c>
      <c r="AW243" s="44"/>
      <c r="AX243" s="90">
        <f t="shared" si="115"/>
        <v>247.637</v>
      </c>
      <c r="AY243" s="157">
        <f t="shared" si="98"/>
        <v>0</v>
      </c>
      <c r="AZ243" s="182"/>
      <c r="BA243" s="158"/>
      <c r="BB243" s="182"/>
      <c r="BC243" s="158"/>
      <c r="BD243" s="182"/>
      <c r="BE243" s="158"/>
      <c r="BF243" s="182"/>
      <c r="BG243" s="158"/>
      <c r="BH243" s="182">
        <v>0</v>
      </c>
      <c r="BI243" s="158"/>
      <c r="BJ243" s="182">
        <v>0</v>
      </c>
      <c r="BK243" s="158"/>
      <c r="BL243" s="183"/>
      <c r="BM243" s="158"/>
      <c r="BN243" s="183"/>
      <c r="BO243" s="158"/>
      <c r="BP243" s="182"/>
      <c r="BQ243" s="158"/>
      <c r="BR243" s="182"/>
      <c r="BS243" s="158"/>
      <c r="BT243" s="182">
        <v>30</v>
      </c>
      <c r="BU243" s="158"/>
      <c r="BV243" s="182"/>
      <c r="BW243" s="234"/>
      <c r="BX243" s="237"/>
      <c r="BY243" s="81">
        <f t="shared" si="99"/>
        <v>247.566</v>
      </c>
      <c r="BZ243" s="242"/>
      <c r="CA243" s="242">
        <v>26.2</v>
      </c>
      <c r="CB243" s="242">
        <f>30-26.2</f>
        <v>3.8000000000000007</v>
      </c>
      <c r="CC243" s="242">
        <v>20</v>
      </c>
      <c r="CD243" s="242">
        <v>20</v>
      </c>
      <c r="CE243" s="242">
        <v>50</v>
      </c>
      <c r="CF243" s="242">
        <v>37.6</v>
      </c>
      <c r="CG243" s="242">
        <v>37.665999999999997</v>
      </c>
      <c r="CH243" s="242">
        <v>50</v>
      </c>
      <c r="CI243" s="242">
        <v>2.2999999999999998</v>
      </c>
      <c r="CJ243" s="242"/>
      <c r="CK243" s="242"/>
      <c r="CL243" s="195">
        <f t="shared" si="102"/>
        <v>0</v>
      </c>
      <c r="CM243" s="197"/>
      <c r="CN243" s="197"/>
      <c r="CO243" s="197"/>
      <c r="CP243" s="197"/>
      <c r="CQ243" s="197"/>
      <c r="CR243" s="197"/>
      <c r="CS243" s="197"/>
      <c r="CT243" s="197"/>
      <c r="CU243" s="197"/>
      <c r="CV243" s="197"/>
      <c r="CW243" s="197"/>
      <c r="CX243" s="197"/>
      <c r="CY243" s="200">
        <f t="shared" si="116"/>
        <v>0</v>
      </c>
      <c r="CZ243" s="172">
        <f t="shared" si="100"/>
        <v>0</v>
      </c>
      <c r="DA243" s="201">
        <f t="shared" si="117"/>
        <v>0</v>
      </c>
      <c r="DB243" s="201">
        <f t="shared" si="118"/>
        <v>0</v>
      </c>
      <c r="DC243" s="201">
        <f t="shared" si="103"/>
        <v>247.566</v>
      </c>
      <c r="DD243" s="239">
        <v>247.60599999999997</v>
      </c>
      <c r="DE243" s="201">
        <f t="shared" si="104"/>
        <v>-3.999999999996362E-2</v>
      </c>
      <c r="DF243" s="172" t="e">
        <f>SUM(DN243:DO243)-SUM(#REF!,BV243)+BU243</f>
        <v>#REF!</v>
      </c>
      <c r="DG243" s="207"/>
      <c r="DH243" s="225">
        <f t="shared" si="105"/>
        <v>0</v>
      </c>
      <c r="DI243" s="225">
        <f t="shared" si="106"/>
        <v>0</v>
      </c>
      <c r="DJ243" s="225">
        <f t="shared" si="107"/>
        <v>0</v>
      </c>
      <c r="DK243" s="225" t="e">
        <f>SUM(BS243,#REF!,BV243)</f>
        <v>#REF!</v>
      </c>
      <c r="DL243" s="145">
        <v>247.637</v>
      </c>
      <c r="DM243" s="145">
        <v>0</v>
      </c>
      <c r="DN243" s="145">
        <v>99.023020000000002</v>
      </c>
      <c r="DO243" s="145">
        <v>0</v>
      </c>
      <c r="DP243" s="145">
        <v>99.023020000000002</v>
      </c>
      <c r="DQ243" s="145">
        <v>148.61398</v>
      </c>
      <c r="DR243" s="21">
        <f>VLOOKUP(C243,[6]Database!$B$143:$AD$521,29,FALSE)</f>
        <v>187.59999999999997</v>
      </c>
      <c r="DS243" s="219">
        <f t="shared" si="108"/>
        <v>59.966000000000037</v>
      </c>
    </row>
    <row r="244" spans="1:123" s="21" customFormat="1" ht="24" customHeight="1">
      <c r="A244" s="16"/>
      <c r="B244" s="2">
        <v>217</v>
      </c>
      <c r="C244" s="79" t="s">
        <v>924</v>
      </c>
      <c r="D244" s="79">
        <v>14371</v>
      </c>
      <c r="E244" s="79"/>
      <c r="F244" s="39">
        <v>2021</v>
      </c>
      <c r="G244" s="40">
        <v>44337</v>
      </c>
      <c r="H244" s="40">
        <v>44377</v>
      </c>
      <c r="I244" s="40">
        <v>44525</v>
      </c>
      <c r="J244" s="13">
        <f t="shared" ca="1" si="114"/>
        <v>148</v>
      </c>
      <c r="K244" s="165">
        <f t="shared" si="111"/>
        <v>44924</v>
      </c>
      <c r="L244" s="165">
        <f t="shared" si="112"/>
        <v>45107</v>
      </c>
      <c r="M244" s="165"/>
      <c r="N244" s="170"/>
      <c r="O244" s="170"/>
      <c r="P244" s="170"/>
      <c r="Q244" s="170"/>
      <c r="R244" s="39" t="s">
        <v>175</v>
      </c>
      <c r="S244" s="11" t="s">
        <v>221</v>
      </c>
      <c r="T244" s="11" t="s">
        <v>909</v>
      </c>
      <c r="U244" s="5" t="s">
        <v>7</v>
      </c>
      <c r="V244" s="251">
        <v>4256296</v>
      </c>
      <c r="W244" s="5" t="s">
        <v>602</v>
      </c>
      <c r="X244" s="5" t="s">
        <v>477</v>
      </c>
      <c r="Y244" s="5" t="s">
        <v>934</v>
      </c>
      <c r="Z244" s="3" t="s">
        <v>182</v>
      </c>
      <c r="AA244" s="43" t="s">
        <v>194</v>
      </c>
      <c r="AB244" s="216" t="s">
        <v>1394</v>
      </c>
      <c r="AC244" s="165" t="s">
        <v>5</v>
      </c>
      <c r="AD244" s="165">
        <v>44561</v>
      </c>
      <c r="AE244" s="165" t="s">
        <v>5</v>
      </c>
      <c r="AF244" s="5" t="s">
        <v>1038</v>
      </c>
      <c r="AG244" s="41" t="s">
        <v>1185</v>
      </c>
      <c r="AH244" s="212">
        <v>9.8900000000000002E-2</v>
      </c>
      <c r="AI244" s="76"/>
      <c r="AJ244" s="76"/>
      <c r="AK244" s="221" t="e">
        <f>SUM(#REF!,BT244,BV244)</f>
        <v>#REF!</v>
      </c>
      <c r="AL244" s="153" t="s">
        <v>1094</v>
      </c>
      <c r="AM244" s="153" t="s">
        <v>1094</v>
      </c>
      <c r="AN244" s="153" t="s">
        <v>1094</v>
      </c>
      <c r="AO244" s="153" t="s">
        <v>592</v>
      </c>
      <c r="AP244" s="153" t="s">
        <v>592</v>
      </c>
      <c r="AQ244" s="153" t="s">
        <v>592</v>
      </c>
      <c r="AR244" s="52"/>
      <c r="AS244" s="51"/>
      <c r="AT244" s="51"/>
      <c r="AU244" s="51">
        <v>0</v>
      </c>
      <c r="AV244" s="44">
        <v>231.434</v>
      </c>
      <c r="AW244" s="44"/>
      <c r="AX244" s="90">
        <f t="shared" si="115"/>
        <v>231.434</v>
      </c>
      <c r="AY244" s="157">
        <f t="shared" si="98"/>
        <v>238.61251999999999</v>
      </c>
      <c r="AZ244" s="182"/>
      <c r="BA244" s="158"/>
      <c r="BB244" s="182"/>
      <c r="BC244" s="158"/>
      <c r="BD244" s="182"/>
      <c r="BE244" s="158"/>
      <c r="BF244" s="182"/>
      <c r="BG244" s="158"/>
      <c r="BH244" s="182">
        <v>0</v>
      </c>
      <c r="BI244" s="158"/>
      <c r="BJ244" s="182">
        <v>0</v>
      </c>
      <c r="BK244" s="158"/>
      <c r="BL244" s="183"/>
      <c r="BM244" s="158"/>
      <c r="BN244" s="183">
        <v>85</v>
      </c>
      <c r="BO244" s="158">
        <v>10.95839</v>
      </c>
      <c r="BP244" s="182">
        <v>80</v>
      </c>
      <c r="BQ244" s="158">
        <v>108.64271000000001</v>
      </c>
      <c r="BR244" s="182">
        <f>43.8-5.5-10-11.1-2</f>
        <v>15.199999999999996</v>
      </c>
      <c r="BS244" s="158">
        <v>68.879279999999994</v>
      </c>
      <c r="BT244" s="182">
        <f>48.8+48.8-27.4-24.1+3.2-3.7-1.7</f>
        <v>43.899999999999984</v>
      </c>
      <c r="BU244" s="158">
        <v>50.117829999999998</v>
      </c>
      <c r="BV244" s="182"/>
      <c r="BW244" s="234">
        <v>1.431E-2</v>
      </c>
      <c r="BX244" s="237">
        <v>1.431E-2</v>
      </c>
      <c r="BY244" s="81">
        <f t="shared" si="99"/>
        <v>0</v>
      </c>
      <c r="BZ244" s="242"/>
      <c r="CA244" s="242"/>
      <c r="CB244" s="242"/>
      <c r="CC244" s="242"/>
      <c r="CD244" s="242"/>
      <c r="CE244" s="242"/>
      <c r="CF244" s="242"/>
      <c r="CG244" s="242"/>
      <c r="CH244" s="242"/>
      <c r="CI244" s="242"/>
      <c r="CJ244" s="242"/>
      <c r="CK244" s="242"/>
      <c r="CL244" s="195">
        <f t="shared" si="102"/>
        <v>0</v>
      </c>
      <c r="CM244" s="197"/>
      <c r="CN244" s="197"/>
      <c r="CO244" s="197"/>
      <c r="CP244" s="197"/>
      <c r="CQ244" s="197"/>
      <c r="CR244" s="197"/>
      <c r="CS244" s="197"/>
      <c r="CT244" s="197"/>
      <c r="CU244" s="197"/>
      <c r="CV244" s="197"/>
      <c r="CW244" s="197"/>
      <c r="CX244" s="197"/>
      <c r="CY244" s="200">
        <f t="shared" si="116"/>
        <v>-1.431E-2</v>
      </c>
      <c r="CZ244" s="172">
        <f t="shared" si="100"/>
        <v>0</v>
      </c>
      <c r="DA244" s="201">
        <f t="shared" si="117"/>
        <v>238.59820999999999</v>
      </c>
      <c r="DB244" s="201">
        <f t="shared" si="118"/>
        <v>1.431E-2</v>
      </c>
      <c r="DC244" s="201">
        <f t="shared" si="103"/>
        <v>238.61251999999999</v>
      </c>
      <c r="DD244" s="239">
        <v>232.38037999999997</v>
      </c>
      <c r="DE244" s="201">
        <f t="shared" si="104"/>
        <v>6.2321400000000153</v>
      </c>
      <c r="DF244" s="172" t="e">
        <f>SUM(DN244:DO244)-SUM(#REF!,BV244)+BU244</f>
        <v>#REF!</v>
      </c>
      <c r="DG244" s="207" t="s">
        <v>1178</v>
      </c>
      <c r="DH244" s="225">
        <f t="shared" si="105"/>
        <v>0</v>
      </c>
      <c r="DI244" s="225">
        <f t="shared" si="106"/>
        <v>0</v>
      </c>
      <c r="DJ244" s="225">
        <f t="shared" si="107"/>
        <v>119.6011</v>
      </c>
      <c r="DK244" s="225" t="e">
        <f>SUM(BS244,#REF!,BV244)</f>
        <v>#REF!</v>
      </c>
      <c r="DL244" s="145">
        <v>254.334</v>
      </c>
      <c r="DM244" s="145">
        <v>238.61251999999999</v>
      </c>
      <c r="DN244" s="145">
        <v>0</v>
      </c>
      <c r="DO244" s="145">
        <v>0</v>
      </c>
      <c r="DP244" s="145">
        <v>238.61251999999999</v>
      </c>
      <c r="DQ244" s="145">
        <v>15.72148</v>
      </c>
      <c r="DR244" s="21">
        <f>VLOOKUP(C244,[6]Database!$B$143:$AD$521,29,FALSE)</f>
        <v>0</v>
      </c>
      <c r="DS244" s="219">
        <f t="shared" si="108"/>
        <v>0</v>
      </c>
    </row>
    <row r="245" spans="1:123" s="21" customFormat="1" ht="24" customHeight="1">
      <c r="A245" s="16"/>
      <c r="B245" s="2">
        <v>218</v>
      </c>
      <c r="C245" s="79" t="s">
        <v>932</v>
      </c>
      <c r="D245" s="79">
        <v>9504</v>
      </c>
      <c r="E245" s="79"/>
      <c r="F245" s="39">
        <v>2021</v>
      </c>
      <c r="G245" s="40">
        <v>44343</v>
      </c>
      <c r="H245" s="40">
        <v>44369</v>
      </c>
      <c r="I245" s="40"/>
      <c r="J245" s="13">
        <f t="shared" ca="1" si="114"/>
        <v>-932.33599710647832</v>
      </c>
      <c r="K245" s="165">
        <f t="shared" si="111"/>
        <v>44916</v>
      </c>
      <c r="L245" s="165">
        <f t="shared" si="112"/>
        <v>45099</v>
      </c>
      <c r="M245" s="170"/>
      <c r="N245" s="165"/>
      <c r="O245" s="170"/>
      <c r="P245" s="165"/>
      <c r="Q245" s="170"/>
      <c r="R245" s="39" t="s">
        <v>175</v>
      </c>
      <c r="S245" s="11" t="s">
        <v>4</v>
      </c>
      <c r="T245" s="39" t="s">
        <v>904</v>
      </c>
      <c r="U245" s="5" t="s">
        <v>7</v>
      </c>
      <c r="V245" s="251">
        <v>4226107</v>
      </c>
      <c r="W245" s="5" t="s">
        <v>602</v>
      </c>
      <c r="X245" s="5" t="s">
        <v>477</v>
      </c>
      <c r="Y245" s="5" t="s">
        <v>929</v>
      </c>
      <c r="Z245" s="39" t="s">
        <v>180</v>
      </c>
      <c r="AA245" s="43" t="s">
        <v>461</v>
      </c>
      <c r="AB245" s="142" t="s">
        <v>1340</v>
      </c>
      <c r="AC245" s="165">
        <v>44895</v>
      </c>
      <c r="AD245" s="165">
        <v>44926</v>
      </c>
      <c r="AE245" s="165">
        <f t="shared" ref="AE245:AE251" si="120">IFERROR(EOMONTH(L245,-2),"")</f>
        <v>45046</v>
      </c>
      <c r="AF245" s="5"/>
      <c r="AG245" s="41"/>
      <c r="AH245" s="212"/>
      <c r="AI245" s="115"/>
      <c r="AJ245" s="115" t="s">
        <v>1196</v>
      </c>
      <c r="AK245" s="221" t="e">
        <f>SUM(#REF!,BT245,BV245)</f>
        <v>#REF!</v>
      </c>
      <c r="AL245" s="153" t="s">
        <v>1182</v>
      </c>
      <c r="AM245" s="153"/>
      <c r="AN245" s="153"/>
      <c r="AO245" s="153" t="s">
        <v>592</v>
      </c>
      <c r="AP245" s="153" t="s">
        <v>592</v>
      </c>
      <c r="AQ245" s="153" t="s">
        <v>592</v>
      </c>
      <c r="AR245" s="52"/>
      <c r="AS245" s="51"/>
      <c r="AT245" s="51"/>
      <c r="AU245" s="51"/>
      <c r="AV245" s="44">
        <v>183.58500000000001</v>
      </c>
      <c r="AW245" s="44"/>
      <c r="AX245" s="90">
        <f t="shared" si="115"/>
        <v>183.58500000000001</v>
      </c>
      <c r="AY245" s="157">
        <f t="shared" si="98"/>
        <v>32.732410000000002</v>
      </c>
      <c r="AZ245" s="182"/>
      <c r="BA245" s="158"/>
      <c r="BB245" s="182"/>
      <c r="BC245" s="159"/>
      <c r="BD245" s="182"/>
      <c r="BE245" s="158"/>
      <c r="BF245" s="182"/>
      <c r="BG245" s="158"/>
      <c r="BH245" s="182">
        <v>0</v>
      </c>
      <c r="BI245" s="158"/>
      <c r="BJ245" s="182">
        <v>0</v>
      </c>
      <c r="BK245" s="158"/>
      <c r="BL245" s="183"/>
      <c r="BM245" s="158"/>
      <c r="BN245" s="183"/>
      <c r="BO245" s="158"/>
      <c r="BP245" s="182"/>
      <c r="BQ245" s="158"/>
      <c r="BR245" s="182"/>
      <c r="BS245" s="158"/>
      <c r="BT245" s="182">
        <v>30</v>
      </c>
      <c r="BU245" s="158">
        <v>19.86656</v>
      </c>
      <c r="BV245" s="182">
        <f>32.5-20</f>
        <v>12.5</v>
      </c>
      <c r="BW245" s="234">
        <v>12.86585</v>
      </c>
      <c r="BX245" s="237">
        <v>12.86585</v>
      </c>
      <c r="BY245" s="81">
        <f t="shared" si="99"/>
        <v>151.166</v>
      </c>
      <c r="BZ245" s="242"/>
      <c r="CA245" s="242">
        <v>20</v>
      </c>
      <c r="CB245" s="242"/>
      <c r="CC245" s="242"/>
      <c r="CD245" s="242">
        <v>60</v>
      </c>
      <c r="CE245" s="242"/>
      <c r="CF245" s="242"/>
      <c r="CG245" s="242">
        <v>63.5</v>
      </c>
      <c r="CH245" s="242">
        <v>7.6660000000000004</v>
      </c>
      <c r="CI245" s="242"/>
      <c r="CJ245" s="242"/>
      <c r="CK245" s="242"/>
      <c r="CL245" s="195">
        <f t="shared" si="102"/>
        <v>0</v>
      </c>
      <c r="CM245" s="197"/>
      <c r="CN245" s="197"/>
      <c r="CO245" s="197"/>
      <c r="CP245" s="197"/>
      <c r="CQ245" s="197"/>
      <c r="CR245" s="197"/>
      <c r="CS245" s="197"/>
      <c r="CT245" s="197"/>
      <c r="CU245" s="197"/>
      <c r="CV245" s="197"/>
      <c r="CW245" s="197"/>
      <c r="CX245" s="197"/>
      <c r="CY245" s="200">
        <f t="shared" si="116"/>
        <v>-0.36585000000000001</v>
      </c>
      <c r="CZ245" s="172">
        <f t="shared" si="100"/>
        <v>0</v>
      </c>
      <c r="DA245" s="201">
        <f t="shared" si="117"/>
        <v>19.86656</v>
      </c>
      <c r="DB245" s="201">
        <f t="shared" si="118"/>
        <v>12.86585</v>
      </c>
      <c r="DC245" s="201">
        <f t="shared" si="103"/>
        <v>183.89841000000001</v>
      </c>
      <c r="DD245" s="239">
        <v>183.506</v>
      </c>
      <c r="DE245" s="201">
        <f t="shared" si="104"/>
        <v>0.39241000000001236</v>
      </c>
      <c r="DF245" s="172" t="e">
        <f>SUM(DN245:DO245)-SUM(#REF!,BV245)+BU245</f>
        <v>#REF!</v>
      </c>
      <c r="DG245" s="207"/>
      <c r="DH245" s="225">
        <f t="shared" si="105"/>
        <v>0</v>
      </c>
      <c r="DI245" s="225">
        <f t="shared" si="106"/>
        <v>0</v>
      </c>
      <c r="DJ245" s="225">
        <f t="shared" si="107"/>
        <v>0</v>
      </c>
      <c r="DK245" s="225" t="e">
        <f>SUM(BS245,#REF!,BV245)</f>
        <v>#REF!</v>
      </c>
      <c r="DL245" s="145">
        <v>183.58500000000001</v>
      </c>
      <c r="DM245" s="145">
        <v>32.732410000000002</v>
      </c>
      <c r="DN245" s="145">
        <v>145.23165</v>
      </c>
      <c r="DO245" s="145">
        <v>0</v>
      </c>
      <c r="DP245" s="145">
        <v>177.96405999999999</v>
      </c>
      <c r="DQ245" s="145">
        <v>5.6209399999999992</v>
      </c>
      <c r="DR245" s="21">
        <f>VLOOKUP(C245,[6]Database!$B$143:$AD$521,29,FALSE)</f>
        <v>123.5</v>
      </c>
      <c r="DS245" s="219">
        <f t="shared" si="108"/>
        <v>27.665999999999997</v>
      </c>
    </row>
    <row r="246" spans="1:123" s="21" customFormat="1" ht="24" customHeight="1">
      <c r="A246" s="16"/>
      <c r="B246" s="2">
        <v>219</v>
      </c>
      <c r="C246" s="79" t="s">
        <v>933</v>
      </c>
      <c r="D246" s="79">
        <v>9445</v>
      </c>
      <c r="E246" s="79"/>
      <c r="F246" s="39">
        <v>2021</v>
      </c>
      <c r="G246" s="40">
        <v>44344</v>
      </c>
      <c r="H246" s="40">
        <v>44377</v>
      </c>
      <c r="I246" s="40"/>
      <c r="J246" s="13">
        <f t="shared" ca="1" si="114"/>
        <v>-924.33599710647832</v>
      </c>
      <c r="K246" s="165">
        <f t="shared" si="111"/>
        <v>44924</v>
      </c>
      <c r="L246" s="165">
        <f t="shared" si="112"/>
        <v>45107</v>
      </c>
      <c r="M246" s="170"/>
      <c r="N246" s="165"/>
      <c r="O246" s="170"/>
      <c r="P246" s="165"/>
      <c r="Q246" s="170"/>
      <c r="R246" s="39" t="s">
        <v>175</v>
      </c>
      <c r="S246" s="11" t="s">
        <v>4</v>
      </c>
      <c r="T246" s="39" t="s">
        <v>904</v>
      </c>
      <c r="U246" s="5" t="s">
        <v>7</v>
      </c>
      <c r="V246" s="251">
        <v>4270167</v>
      </c>
      <c r="W246" s="5" t="s">
        <v>602</v>
      </c>
      <c r="X246" s="5" t="s">
        <v>477</v>
      </c>
      <c r="Y246" s="5" t="s">
        <v>928</v>
      </c>
      <c r="Z246" s="39" t="s">
        <v>180</v>
      </c>
      <c r="AA246" s="43" t="s">
        <v>461</v>
      </c>
      <c r="AB246" s="142" t="s">
        <v>1340</v>
      </c>
      <c r="AC246" s="165">
        <v>44895</v>
      </c>
      <c r="AD246" s="165">
        <v>44926</v>
      </c>
      <c r="AE246" s="165">
        <f t="shared" si="120"/>
        <v>45046</v>
      </c>
      <c r="AF246" s="5"/>
      <c r="AG246" s="41"/>
      <c r="AH246" s="212"/>
      <c r="AI246" s="115"/>
      <c r="AJ246" s="115" t="s">
        <v>1196</v>
      </c>
      <c r="AK246" s="221" t="e">
        <f>SUM(#REF!,BT246,BV246)</f>
        <v>#REF!</v>
      </c>
      <c r="AL246" s="153" t="s">
        <v>1182</v>
      </c>
      <c r="AM246" s="153"/>
      <c r="AN246" s="153"/>
      <c r="AO246" s="153" t="s">
        <v>592</v>
      </c>
      <c r="AP246" s="153" t="s">
        <v>592</v>
      </c>
      <c r="AQ246" s="153" t="s">
        <v>592</v>
      </c>
      <c r="AR246" s="52"/>
      <c r="AS246" s="51"/>
      <c r="AT246" s="51"/>
      <c r="AU246" s="51"/>
      <c r="AV246" s="44">
        <v>183.96199999999999</v>
      </c>
      <c r="AW246" s="44"/>
      <c r="AX246" s="90">
        <f t="shared" si="115"/>
        <v>183.96199999999999</v>
      </c>
      <c r="AY246" s="157">
        <f t="shared" si="98"/>
        <v>32.732410000000002</v>
      </c>
      <c r="AZ246" s="182"/>
      <c r="BA246" s="158"/>
      <c r="BB246" s="182"/>
      <c r="BC246" s="159"/>
      <c r="BD246" s="182"/>
      <c r="BE246" s="158"/>
      <c r="BF246" s="182"/>
      <c r="BG246" s="158"/>
      <c r="BH246" s="182">
        <v>0</v>
      </c>
      <c r="BI246" s="158"/>
      <c r="BJ246" s="182">
        <v>0</v>
      </c>
      <c r="BK246" s="158"/>
      <c r="BL246" s="183"/>
      <c r="BM246" s="158"/>
      <c r="BN246" s="183"/>
      <c r="BO246" s="158"/>
      <c r="BP246" s="182"/>
      <c r="BQ246" s="158"/>
      <c r="BR246" s="182"/>
      <c r="BS246" s="158"/>
      <c r="BT246" s="182">
        <v>30</v>
      </c>
      <c r="BU246" s="158">
        <v>19.86656</v>
      </c>
      <c r="BV246" s="182">
        <v>12.5</v>
      </c>
      <c r="BW246" s="234">
        <v>12.86585</v>
      </c>
      <c r="BX246" s="237">
        <v>12.86585</v>
      </c>
      <c r="BY246" s="81">
        <f t="shared" si="99"/>
        <v>151.666</v>
      </c>
      <c r="BZ246" s="242"/>
      <c r="CA246" s="242">
        <v>20</v>
      </c>
      <c r="CB246" s="242"/>
      <c r="CC246" s="242"/>
      <c r="CD246" s="242">
        <v>60</v>
      </c>
      <c r="CE246" s="242"/>
      <c r="CF246" s="242"/>
      <c r="CG246" s="242">
        <v>64</v>
      </c>
      <c r="CH246" s="242">
        <v>7.6660000000000004</v>
      </c>
      <c r="CI246" s="242"/>
      <c r="CJ246" s="242"/>
      <c r="CK246" s="242"/>
      <c r="CL246" s="195">
        <f t="shared" si="102"/>
        <v>0</v>
      </c>
      <c r="CM246" s="197"/>
      <c r="CN246" s="197"/>
      <c r="CO246" s="197"/>
      <c r="CP246" s="197"/>
      <c r="CQ246" s="197"/>
      <c r="CR246" s="197"/>
      <c r="CS246" s="197"/>
      <c r="CT246" s="197"/>
      <c r="CU246" s="197"/>
      <c r="CV246" s="197"/>
      <c r="CW246" s="197"/>
      <c r="CX246" s="197"/>
      <c r="CY246" s="200">
        <f t="shared" si="116"/>
        <v>-0.36585000000000001</v>
      </c>
      <c r="CZ246" s="172">
        <f t="shared" si="100"/>
        <v>0</v>
      </c>
      <c r="DA246" s="201">
        <f t="shared" si="117"/>
        <v>19.86656</v>
      </c>
      <c r="DB246" s="201">
        <f t="shared" si="118"/>
        <v>12.86585</v>
      </c>
      <c r="DC246" s="201">
        <f t="shared" si="103"/>
        <v>184.39841000000001</v>
      </c>
      <c r="DD246" s="239">
        <v>184.006</v>
      </c>
      <c r="DE246" s="201">
        <f t="shared" si="104"/>
        <v>0.39241000000001236</v>
      </c>
      <c r="DF246" s="172" t="e">
        <f>SUM(DN246:DO246)-SUM(#REF!,BV246)+BU246</f>
        <v>#REF!</v>
      </c>
      <c r="DG246" s="207"/>
      <c r="DH246" s="225">
        <f t="shared" si="105"/>
        <v>0</v>
      </c>
      <c r="DI246" s="225">
        <f t="shared" si="106"/>
        <v>0</v>
      </c>
      <c r="DJ246" s="225">
        <f t="shared" si="107"/>
        <v>0</v>
      </c>
      <c r="DK246" s="225" t="e">
        <f>SUM(BS246,#REF!,BV246)</f>
        <v>#REF!</v>
      </c>
      <c r="DL246" s="145">
        <v>183.96199999999999</v>
      </c>
      <c r="DM246" s="145">
        <v>32.732410000000002</v>
      </c>
      <c r="DN246" s="145">
        <v>145.23165</v>
      </c>
      <c r="DO246" s="145">
        <v>0</v>
      </c>
      <c r="DP246" s="145">
        <v>177.96405999999999</v>
      </c>
      <c r="DQ246" s="145">
        <v>5.9979399999999998</v>
      </c>
      <c r="DR246" s="21">
        <f>VLOOKUP(C246,[6]Database!$B$143:$AD$521,29,FALSE)</f>
        <v>124</v>
      </c>
      <c r="DS246" s="219">
        <f t="shared" si="108"/>
        <v>27.665999999999997</v>
      </c>
    </row>
    <row r="247" spans="1:123" s="21" customFormat="1" ht="24" customHeight="1">
      <c r="A247" s="16"/>
      <c r="B247" s="2">
        <v>221</v>
      </c>
      <c r="C247" s="79" t="s">
        <v>937</v>
      </c>
      <c r="D247" s="78">
        <v>15312</v>
      </c>
      <c r="E247" s="79"/>
      <c r="F247" s="39">
        <v>2021</v>
      </c>
      <c r="G247" s="40">
        <v>44348</v>
      </c>
      <c r="H247" s="40">
        <v>44369</v>
      </c>
      <c r="I247" s="40"/>
      <c r="J247" s="13">
        <f t="shared" ca="1" si="114"/>
        <v>-932.33599710647832</v>
      </c>
      <c r="K247" s="165">
        <f t="shared" si="111"/>
        <v>44916</v>
      </c>
      <c r="L247" s="165">
        <f t="shared" si="112"/>
        <v>45099</v>
      </c>
      <c r="M247" s="170"/>
      <c r="N247" s="170"/>
      <c r="O247" s="170"/>
      <c r="P247" s="170"/>
      <c r="Q247" s="170"/>
      <c r="R247" s="39" t="s">
        <v>175</v>
      </c>
      <c r="S247" s="11" t="s">
        <v>221</v>
      </c>
      <c r="T247" s="41" t="s">
        <v>912</v>
      </c>
      <c r="U247" s="5" t="s">
        <v>7</v>
      </c>
      <c r="V247" s="251">
        <v>4251643</v>
      </c>
      <c r="W247" s="5" t="s">
        <v>602</v>
      </c>
      <c r="X247" s="5" t="s">
        <v>901</v>
      </c>
      <c r="Y247" s="5" t="s">
        <v>936</v>
      </c>
      <c r="Z247" s="39" t="s">
        <v>180</v>
      </c>
      <c r="AA247" s="43" t="s">
        <v>461</v>
      </c>
      <c r="AB247" s="142" t="s">
        <v>1169</v>
      </c>
      <c r="AC247" s="165">
        <v>44592</v>
      </c>
      <c r="AD247" s="165">
        <v>44561</v>
      </c>
      <c r="AE247" s="165">
        <f t="shared" si="120"/>
        <v>45046</v>
      </c>
      <c r="AF247" s="5"/>
      <c r="AG247" s="41"/>
      <c r="AH247" s="212"/>
      <c r="AI247" s="115"/>
      <c r="AJ247" s="115"/>
      <c r="AK247" s="221" t="e">
        <f>SUM(#REF!,BT247,BV247)</f>
        <v>#REF!</v>
      </c>
      <c r="AL247" s="153" t="s">
        <v>1117</v>
      </c>
      <c r="AM247" s="153" t="s">
        <v>1101</v>
      </c>
      <c r="AN247" s="153" t="s">
        <v>592</v>
      </c>
      <c r="AO247" s="153" t="s">
        <v>592</v>
      </c>
      <c r="AP247" s="153" t="s">
        <v>592</v>
      </c>
      <c r="AQ247" s="153" t="s">
        <v>592</v>
      </c>
      <c r="AR247" s="52"/>
      <c r="AS247" s="51"/>
      <c r="AT247" s="51"/>
      <c r="AU247" s="51">
        <v>0</v>
      </c>
      <c r="AV247" s="44">
        <v>130</v>
      </c>
      <c r="AW247" s="44"/>
      <c r="AX247" s="90">
        <f t="shared" si="115"/>
        <v>130</v>
      </c>
      <c r="AY247" s="157">
        <f t="shared" si="98"/>
        <v>183.46823000000001</v>
      </c>
      <c r="AZ247" s="182"/>
      <c r="BA247" s="158"/>
      <c r="BB247" s="182"/>
      <c r="BC247" s="159"/>
      <c r="BD247" s="182"/>
      <c r="BE247" s="158"/>
      <c r="BF247" s="182"/>
      <c r="BG247" s="158"/>
      <c r="BH247" s="182">
        <v>0</v>
      </c>
      <c r="BI247" s="158"/>
      <c r="BJ247" s="182">
        <v>0</v>
      </c>
      <c r="BK247" s="158"/>
      <c r="BL247" s="183">
        <v>50</v>
      </c>
      <c r="BM247" s="158">
        <v>65.023870000000002</v>
      </c>
      <c r="BN247" s="183"/>
      <c r="BO247" s="158">
        <v>8.3198299999999996</v>
      </c>
      <c r="BP247" s="182"/>
      <c r="BQ247" s="158">
        <v>8.1249700000000011</v>
      </c>
      <c r="BR247" s="182"/>
      <c r="BS247" s="158"/>
      <c r="BT247" s="182">
        <v>56.861270000000005</v>
      </c>
      <c r="BU247" s="158">
        <v>41.302759999999999</v>
      </c>
      <c r="BV247" s="182"/>
      <c r="BW247" s="234">
        <v>60.696799999999996</v>
      </c>
      <c r="BX247" s="237">
        <v>60.696799999999996</v>
      </c>
      <c r="BY247" s="81">
        <f t="shared" si="99"/>
        <v>0</v>
      </c>
      <c r="BZ247" s="242"/>
      <c r="CA247" s="242"/>
      <c r="CB247" s="242"/>
      <c r="CC247" s="242"/>
      <c r="CD247" s="242"/>
      <c r="CE247" s="242"/>
      <c r="CF247" s="242"/>
      <c r="CG247" s="242"/>
      <c r="CH247" s="242"/>
      <c r="CI247" s="242"/>
      <c r="CJ247" s="242"/>
      <c r="CK247" s="242"/>
      <c r="CL247" s="195">
        <f t="shared" si="102"/>
        <v>0</v>
      </c>
      <c r="CM247" s="197"/>
      <c r="CN247" s="197"/>
      <c r="CO247" s="197"/>
      <c r="CP247" s="197"/>
      <c r="CQ247" s="197"/>
      <c r="CR247" s="197"/>
      <c r="CS247" s="197"/>
      <c r="CT247" s="197"/>
      <c r="CU247" s="197"/>
      <c r="CV247" s="197"/>
      <c r="CW247" s="197"/>
      <c r="CX247" s="197"/>
      <c r="CY247" s="200">
        <f t="shared" si="116"/>
        <v>-60.696799999999996</v>
      </c>
      <c r="CZ247" s="172">
        <f t="shared" si="100"/>
        <v>0</v>
      </c>
      <c r="DA247" s="201">
        <f t="shared" si="117"/>
        <v>122.77143000000001</v>
      </c>
      <c r="DB247" s="201">
        <f t="shared" si="118"/>
        <v>60.696799999999996</v>
      </c>
      <c r="DC247" s="201">
        <f t="shared" si="103"/>
        <v>183.46823000000001</v>
      </c>
      <c r="DD247" s="239">
        <v>138.32994000000002</v>
      </c>
      <c r="DE247" s="201">
        <f t="shared" si="104"/>
        <v>45.138289999999984</v>
      </c>
      <c r="DF247" s="172" t="e">
        <f>SUM(DN247:DO247)-SUM(#REF!,BV247)+BU247</f>
        <v>#REF!</v>
      </c>
      <c r="DG247" s="231" t="s">
        <v>1049</v>
      </c>
      <c r="DH247" s="225">
        <f t="shared" si="105"/>
        <v>0</v>
      </c>
      <c r="DI247" s="225">
        <f t="shared" si="106"/>
        <v>0</v>
      </c>
      <c r="DJ247" s="225">
        <f t="shared" si="107"/>
        <v>81.468670000000003</v>
      </c>
      <c r="DK247" s="225" t="e">
        <f>SUM(BS247,#REF!,BV247)</f>
        <v>#REF!</v>
      </c>
      <c r="DL247" s="145">
        <v>195</v>
      </c>
      <c r="DM247" s="145">
        <v>183.46823000000001</v>
      </c>
      <c r="DN247" s="145">
        <v>0</v>
      </c>
      <c r="DO247" s="145">
        <v>0</v>
      </c>
      <c r="DP247" s="145">
        <v>183.46823000000001</v>
      </c>
      <c r="DQ247" s="145">
        <v>11.53177</v>
      </c>
      <c r="DR247" s="21">
        <f>VLOOKUP(C247,[6]Database!$B$143:$AD$521,29,FALSE)</f>
        <v>0</v>
      </c>
      <c r="DS247" s="219">
        <f t="shared" si="108"/>
        <v>0</v>
      </c>
    </row>
    <row r="248" spans="1:123" s="21" customFormat="1" ht="24" customHeight="1">
      <c r="A248" s="16"/>
      <c r="B248" s="2">
        <v>225</v>
      </c>
      <c r="C248" s="79" t="s">
        <v>944</v>
      </c>
      <c r="D248" s="79">
        <v>10312</v>
      </c>
      <c r="E248" s="79"/>
      <c r="F248" s="39">
        <v>2021</v>
      </c>
      <c r="G248" s="40">
        <v>44358</v>
      </c>
      <c r="H248" s="40">
        <v>44418</v>
      </c>
      <c r="I248" s="40"/>
      <c r="J248" s="13">
        <f t="shared" ca="1" si="114"/>
        <v>-882.33599710647832</v>
      </c>
      <c r="K248" s="165">
        <f t="shared" si="111"/>
        <v>44965</v>
      </c>
      <c r="L248" s="165">
        <f t="shared" si="112"/>
        <v>45148</v>
      </c>
      <c r="M248" s="170"/>
      <c r="N248" s="170"/>
      <c r="O248" s="170"/>
      <c r="P248" s="170"/>
      <c r="Q248" s="170"/>
      <c r="R248" s="39" t="s">
        <v>175</v>
      </c>
      <c r="S248" s="11" t="s">
        <v>921</v>
      </c>
      <c r="T248" s="41" t="s">
        <v>185</v>
      </c>
      <c r="U248" s="5" t="s">
        <v>7</v>
      </c>
      <c r="V248" s="251">
        <v>4413319</v>
      </c>
      <c r="W248" s="5" t="s">
        <v>602</v>
      </c>
      <c r="X248" s="5" t="s">
        <v>471</v>
      </c>
      <c r="Y248" s="5" t="s">
        <v>965</v>
      </c>
      <c r="Z248" s="78" t="s">
        <v>185</v>
      </c>
      <c r="AA248" s="43" t="s">
        <v>461</v>
      </c>
      <c r="AB248" s="142" t="s">
        <v>1350</v>
      </c>
      <c r="AC248" s="165">
        <v>44926</v>
      </c>
      <c r="AD248" s="165">
        <v>44926</v>
      </c>
      <c r="AE248" s="165">
        <f t="shared" si="120"/>
        <v>45107</v>
      </c>
      <c r="AF248" s="5"/>
      <c r="AG248" s="41"/>
      <c r="AH248" s="212"/>
      <c r="AI248" s="115"/>
      <c r="AJ248" s="115" t="s">
        <v>1196</v>
      </c>
      <c r="AK248" s="221" t="e">
        <f>SUM(#REF!,BT248,BV248)</f>
        <v>#REF!</v>
      </c>
      <c r="AL248" s="153" t="s">
        <v>1079</v>
      </c>
      <c r="AM248" s="153" t="s">
        <v>1079</v>
      </c>
      <c r="AN248" s="153" t="s">
        <v>1079</v>
      </c>
      <c r="AO248" s="153" t="s">
        <v>592</v>
      </c>
      <c r="AP248" s="153" t="s">
        <v>592</v>
      </c>
      <c r="AQ248" s="153" t="s">
        <v>592</v>
      </c>
      <c r="AR248" s="52"/>
      <c r="AS248" s="51"/>
      <c r="AT248" s="51"/>
      <c r="AU248" s="51">
        <v>0</v>
      </c>
      <c r="AV248" s="44">
        <v>166.01123000000001</v>
      </c>
      <c r="AW248" s="44">
        <v>32.359549999999999</v>
      </c>
      <c r="AX248" s="90">
        <f t="shared" si="115"/>
        <v>198.37078000000002</v>
      </c>
      <c r="AY248" s="157">
        <f t="shared" si="98"/>
        <v>101.38187000000001</v>
      </c>
      <c r="AZ248" s="182"/>
      <c r="BA248" s="158"/>
      <c r="BB248" s="182"/>
      <c r="BC248" s="159"/>
      <c r="BD248" s="182"/>
      <c r="BE248" s="158"/>
      <c r="BF248" s="182"/>
      <c r="BG248" s="158"/>
      <c r="BH248" s="182"/>
      <c r="BI248" s="158"/>
      <c r="BJ248" s="182">
        <v>0</v>
      </c>
      <c r="BK248" s="158"/>
      <c r="BL248" s="183"/>
      <c r="BM248" s="158"/>
      <c r="BN248" s="183"/>
      <c r="BO248" s="158"/>
      <c r="BP248" s="182">
        <v>20</v>
      </c>
      <c r="BQ248" s="158">
        <v>14.053180000000001</v>
      </c>
      <c r="BR248" s="182">
        <f>20-4.6</f>
        <v>15.4</v>
      </c>
      <c r="BS248" s="158">
        <v>37.023980000000002</v>
      </c>
      <c r="BT248" s="182">
        <f>20+10.5-15+20-0.5</f>
        <v>35</v>
      </c>
      <c r="BU248" s="158">
        <v>9.281410000000001</v>
      </c>
      <c r="BV248" s="182">
        <f>20-6.2+5+25.3+0.4</f>
        <v>44.5</v>
      </c>
      <c r="BW248" s="234">
        <v>41.023300000000006</v>
      </c>
      <c r="BX248" s="237">
        <v>41.023299999999999</v>
      </c>
      <c r="BY248" s="81">
        <f t="shared" si="99"/>
        <v>64.499999999999986</v>
      </c>
      <c r="BZ248" s="242">
        <f>5-3.9</f>
        <v>1.1000000000000001</v>
      </c>
      <c r="CA248" s="242">
        <v>5</v>
      </c>
      <c r="CB248" s="242">
        <f>5+3</f>
        <v>8</v>
      </c>
      <c r="CC248" s="242">
        <f>5+4.4</f>
        <v>9.4</v>
      </c>
      <c r="CD248" s="242">
        <v>5</v>
      </c>
      <c r="CE248" s="242">
        <v>5</v>
      </c>
      <c r="CF248" s="242">
        <v>5.166666666666667</v>
      </c>
      <c r="CG248" s="242">
        <v>5.166666666666667</v>
      </c>
      <c r="CH248" s="242">
        <v>5.166666666666667</v>
      </c>
      <c r="CI248" s="242">
        <v>5.166666666666667</v>
      </c>
      <c r="CJ248" s="242">
        <v>5.166666666666667</v>
      </c>
      <c r="CK248" s="242">
        <v>5.166666666666667</v>
      </c>
      <c r="CL248" s="195">
        <f t="shared" si="102"/>
        <v>0</v>
      </c>
      <c r="CM248" s="197"/>
      <c r="CN248" s="197"/>
      <c r="CO248" s="197"/>
      <c r="CP248" s="197"/>
      <c r="CQ248" s="197"/>
      <c r="CR248" s="197"/>
      <c r="CS248" s="197"/>
      <c r="CT248" s="197"/>
      <c r="CU248" s="197"/>
      <c r="CV248" s="197"/>
      <c r="CW248" s="197"/>
      <c r="CX248" s="197"/>
      <c r="CY248" s="200">
        <f t="shared" si="116"/>
        <v>3.476700000000001</v>
      </c>
      <c r="CZ248" s="172">
        <f t="shared" si="100"/>
        <v>0</v>
      </c>
      <c r="DA248" s="201">
        <f t="shared" si="117"/>
        <v>60.358570000000007</v>
      </c>
      <c r="DB248" s="201">
        <f t="shared" si="118"/>
        <v>41.023299999999999</v>
      </c>
      <c r="DC248" s="201">
        <f t="shared" si="103"/>
        <v>165.88186999999999</v>
      </c>
      <c r="DD248" s="239">
        <v>165.87716</v>
      </c>
      <c r="DE248" s="201">
        <f t="shared" si="104"/>
        <v>4.7099999999886677E-3</v>
      </c>
      <c r="DF248" s="172" t="e">
        <f>SUM(DN248:DO248)-SUM(#REF!,BV248)+BU248</f>
        <v>#REF!</v>
      </c>
      <c r="DG248" s="207"/>
      <c r="DH248" s="225">
        <f t="shared" si="105"/>
        <v>0</v>
      </c>
      <c r="DI248" s="225">
        <f t="shared" si="106"/>
        <v>0</v>
      </c>
      <c r="DJ248" s="225">
        <f t="shared" si="107"/>
        <v>14.053180000000001</v>
      </c>
      <c r="DK248" s="225" t="e">
        <f>SUM(BS248,#REF!,BV248)</f>
        <v>#REF!</v>
      </c>
      <c r="DL248" s="145">
        <v>166.01123000000001</v>
      </c>
      <c r="DM248" s="145">
        <v>101.38186999999999</v>
      </c>
      <c r="DN248" s="145">
        <v>55.05021</v>
      </c>
      <c r="DO248" s="145">
        <v>4.3031999999999995</v>
      </c>
      <c r="DP248" s="145">
        <v>160.73527999999999</v>
      </c>
      <c r="DQ248" s="145">
        <v>5.2759499999999999</v>
      </c>
      <c r="DR248" s="21">
        <f>VLOOKUP(C248,[6]Database!$B$143:$AD$521,29,FALSE)</f>
        <v>86.000000000000014</v>
      </c>
      <c r="DS248" s="219">
        <f t="shared" si="108"/>
        <v>-21.500000000000028</v>
      </c>
    </row>
    <row r="249" spans="1:123" s="21" customFormat="1" ht="24" customHeight="1">
      <c r="A249" s="16"/>
      <c r="B249" s="2">
        <v>187</v>
      </c>
      <c r="C249" s="79" t="s">
        <v>957</v>
      </c>
      <c r="D249" s="79">
        <v>14331</v>
      </c>
      <c r="E249" s="79"/>
      <c r="F249" s="39">
        <v>2021</v>
      </c>
      <c r="G249" s="40">
        <v>44363</v>
      </c>
      <c r="H249" s="40">
        <v>44392</v>
      </c>
      <c r="I249" s="40"/>
      <c r="J249" s="13">
        <f t="shared" ca="1" si="114"/>
        <v>-908.33599710647832</v>
      </c>
      <c r="K249" s="165">
        <f t="shared" si="111"/>
        <v>44939</v>
      </c>
      <c r="L249" s="165">
        <f t="shared" si="112"/>
        <v>45122</v>
      </c>
      <c r="M249" s="170"/>
      <c r="N249" s="170"/>
      <c r="O249" s="170"/>
      <c r="P249" s="170"/>
      <c r="Q249" s="170"/>
      <c r="R249" s="39" t="s">
        <v>175</v>
      </c>
      <c r="S249" s="11" t="s">
        <v>4</v>
      </c>
      <c r="T249" s="41" t="s">
        <v>905</v>
      </c>
      <c r="U249" s="5" t="s">
        <v>7</v>
      </c>
      <c r="V249" s="251">
        <v>4306091</v>
      </c>
      <c r="W249" s="5" t="s">
        <v>602</v>
      </c>
      <c r="X249" s="5" t="s">
        <v>471</v>
      </c>
      <c r="Y249" s="5" t="s">
        <v>960</v>
      </c>
      <c r="Z249" s="79" t="s">
        <v>186</v>
      </c>
      <c r="AA249" s="43" t="s">
        <v>461</v>
      </c>
      <c r="AB249" s="142" t="s">
        <v>1341</v>
      </c>
      <c r="AC249" s="165">
        <v>44651</v>
      </c>
      <c r="AD249" s="165">
        <v>44712</v>
      </c>
      <c r="AE249" s="165">
        <f t="shared" si="120"/>
        <v>45077</v>
      </c>
      <c r="AF249" s="5"/>
      <c r="AG249" s="41"/>
      <c r="AH249" s="212"/>
      <c r="AI249" s="115"/>
      <c r="AJ249" s="115" t="s">
        <v>1196</v>
      </c>
      <c r="AK249" s="221" t="e">
        <f>SUM(#REF!,BT249,BV249)</f>
        <v>#REF!</v>
      </c>
      <c r="AL249" s="153" t="s">
        <v>1144</v>
      </c>
      <c r="AM249" s="153" t="s">
        <v>1142</v>
      </c>
      <c r="AN249" s="153" t="s">
        <v>1145</v>
      </c>
      <c r="AO249" s="153" t="s">
        <v>592</v>
      </c>
      <c r="AP249" s="153" t="s">
        <v>592</v>
      </c>
      <c r="AQ249" s="153" t="s">
        <v>592</v>
      </c>
      <c r="AR249" s="52"/>
      <c r="AS249" s="51"/>
      <c r="AT249" s="51"/>
      <c r="AU249" s="51">
        <v>0</v>
      </c>
      <c r="AV249" s="44">
        <v>132.15</v>
      </c>
      <c r="AW249" s="44">
        <v>7.8</v>
      </c>
      <c r="AX249" s="90">
        <f t="shared" si="115"/>
        <v>139.95000000000002</v>
      </c>
      <c r="AY249" s="157">
        <f t="shared" si="98"/>
        <v>54.913600000000002</v>
      </c>
      <c r="AZ249" s="182"/>
      <c r="BA249" s="158"/>
      <c r="BB249" s="182"/>
      <c r="BC249" s="159"/>
      <c r="BD249" s="182"/>
      <c r="BE249" s="158"/>
      <c r="BF249" s="182"/>
      <c r="BG249" s="158"/>
      <c r="BH249" s="182"/>
      <c r="BI249" s="158"/>
      <c r="BJ249" s="182">
        <v>0</v>
      </c>
      <c r="BK249" s="158"/>
      <c r="BL249" s="183"/>
      <c r="BM249" s="158"/>
      <c r="BN249" s="183"/>
      <c r="BO249" s="158"/>
      <c r="BP249" s="182">
        <v>2</v>
      </c>
      <c r="BQ249" s="158"/>
      <c r="BR249" s="182"/>
      <c r="BS249" s="158"/>
      <c r="BT249" s="182"/>
      <c r="BU249" s="158">
        <v>12.967549999999999</v>
      </c>
      <c r="BV249" s="182">
        <f>28.88845+7</f>
        <v>35.888449999999999</v>
      </c>
      <c r="BW249" s="234">
        <v>41.94605</v>
      </c>
      <c r="BX249" s="237">
        <v>41.94605</v>
      </c>
      <c r="BY249" s="81">
        <f t="shared" si="99"/>
        <v>77</v>
      </c>
      <c r="BZ249" s="242">
        <v>0</v>
      </c>
      <c r="CA249" s="242">
        <v>0</v>
      </c>
      <c r="CB249" s="242">
        <f>50-7-6</f>
        <v>37</v>
      </c>
      <c r="CC249" s="242">
        <v>10</v>
      </c>
      <c r="CD249" s="242">
        <v>10</v>
      </c>
      <c r="CE249" s="242">
        <v>10</v>
      </c>
      <c r="CF249" s="242">
        <v>5</v>
      </c>
      <c r="CG249" s="242">
        <v>5</v>
      </c>
      <c r="CH249" s="242"/>
      <c r="CI249" s="242"/>
      <c r="CJ249" s="242"/>
      <c r="CK249" s="242"/>
      <c r="CL249" s="195">
        <f t="shared" si="102"/>
        <v>0</v>
      </c>
      <c r="CM249" s="197"/>
      <c r="CN249" s="197"/>
      <c r="CO249" s="197"/>
      <c r="CP249" s="197"/>
      <c r="CQ249" s="197"/>
      <c r="CR249" s="197"/>
      <c r="CS249" s="197"/>
      <c r="CT249" s="197"/>
      <c r="CU249" s="197"/>
      <c r="CV249" s="197"/>
      <c r="CW249" s="197"/>
      <c r="CX249" s="197"/>
      <c r="CY249" s="200">
        <f t="shared" si="116"/>
        <v>-6.0576000000000008</v>
      </c>
      <c r="CZ249" s="172">
        <f t="shared" si="100"/>
        <v>0</v>
      </c>
      <c r="DA249" s="201">
        <f t="shared" si="117"/>
        <v>12.967549999999999</v>
      </c>
      <c r="DB249" s="201">
        <f t="shared" si="118"/>
        <v>41.94605</v>
      </c>
      <c r="DC249" s="201">
        <f t="shared" si="103"/>
        <v>131.9136</v>
      </c>
      <c r="DD249" s="239">
        <v>132</v>
      </c>
      <c r="DE249" s="201">
        <f t="shared" si="104"/>
        <v>-8.639999999999759E-2</v>
      </c>
      <c r="DF249" s="172" t="e">
        <f>SUM(DN249:DO249)-SUM(#REF!,BV249)+BU249</f>
        <v>#REF!</v>
      </c>
      <c r="DG249" s="207" t="s">
        <v>1157</v>
      </c>
      <c r="DH249" s="225">
        <f t="shared" si="105"/>
        <v>0</v>
      </c>
      <c r="DI249" s="225">
        <f t="shared" si="106"/>
        <v>0</v>
      </c>
      <c r="DJ249" s="225">
        <f t="shared" si="107"/>
        <v>0</v>
      </c>
      <c r="DK249" s="225" t="e">
        <f>SUM(BS249,#REF!,BV249)</f>
        <v>#REF!</v>
      </c>
      <c r="DL249" s="145">
        <v>132.15</v>
      </c>
      <c r="DM249" s="145">
        <v>54.913599999999995</v>
      </c>
      <c r="DN249" s="145">
        <v>69.675139999999999</v>
      </c>
      <c r="DO249" s="145">
        <v>2.8925999999999998</v>
      </c>
      <c r="DP249" s="145">
        <v>127.48134</v>
      </c>
      <c r="DQ249" s="145">
        <v>4.66866</v>
      </c>
      <c r="DR249" s="21">
        <f>VLOOKUP(C249,[6]Database!$B$143:$AD$521,29,FALSE)</f>
        <v>0</v>
      </c>
      <c r="DS249" s="219">
        <f t="shared" si="108"/>
        <v>77</v>
      </c>
    </row>
    <row r="250" spans="1:123" s="21" customFormat="1" ht="24" customHeight="1">
      <c r="A250" s="16"/>
      <c r="B250" s="2">
        <v>233</v>
      </c>
      <c r="C250" s="79" t="s">
        <v>954</v>
      </c>
      <c r="D250" s="78">
        <v>16258</v>
      </c>
      <c r="E250" s="79"/>
      <c r="F250" s="39">
        <v>2021</v>
      </c>
      <c r="G250" s="40">
        <v>44365</v>
      </c>
      <c r="H250" s="40">
        <v>44377</v>
      </c>
      <c r="I250" s="40"/>
      <c r="J250" s="13">
        <f t="shared" ca="1" si="114"/>
        <v>-924.33599710647832</v>
      </c>
      <c r="K250" s="165">
        <f t="shared" si="111"/>
        <v>44924</v>
      </c>
      <c r="L250" s="165">
        <f t="shared" si="112"/>
        <v>45107</v>
      </c>
      <c r="M250" s="170"/>
      <c r="N250" s="170"/>
      <c r="O250" s="170"/>
      <c r="P250" s="170"/>
      <c r="Q250" s="170"/>
      <c r="R250" s="39" t="s">
        <v>175</v>
      </c>
      <c r="S250" s="11" t="s">
        <v>4</v>
      </c>
      <c r="T250" s="39" t="s">
        <v>905</v>
      </c>
      <c r="U250" s="5" t="s">
        <v>7</v>
      </c>
      <c r="V250" s="251">
        <v>4305421</v>
      </c>
      <c r="W250" s="5" t="s">
        <v>602</v>
      </c>
      <c r="X250" s="5" t="s">
        <v>901</v>
      </c>
      <c r="Y250" s="5" t="s">
        <v>967</v>
      </c>
      <c r="Z250" s="39" t="s">
        <v>185</v>
      </c>
      <c r="AA250" s="43" t="s">
        <v>461</v>
      </c>
      <c r="AB250" s="142" t="s">
        <v>1334</v>
      </c>
      <c r="AC250" s="165">
        <v>44895</v>
      </c>
      <c r="AD250" s="165">
        <v>44926</v>
      </c>
      <c r="AE250" s="165">
        <f t="shared" si="120"/>
        <v>45046</v>
      </c>
      <c r="AF250" s="5"/>
      <c r="AG250" s="113"/>
      <c r="AH250" s="212"/>
      <c r="AI250" s="115"/>
      <c r="AJ250" s="115"/>
      <c r="AK250" s="221" t="e">
        <f>SUM(#REF!,BT250,BV250)</f>
        <v>#REF!</v>
      </c>
      <c r="AL250" s="48" t="s">
        <v>1079</v>
      </c>
      <c r="AM250" s="48" t="s">
        <v>1101</v>
      </c>
      <c r="AN250" s="48" t="s">
        <v>1079</v>
      </c>
      <c r="AO250" s="48" t="s">
        <v>592</v>
      </c>
      <c r="AP250" s="48" t="s">
        <v>592</v>
      </c>
      <c r="AQ250" s="48" t="s">
        <v>592</v>
      </c>
      <c r="AR250" s="52"/>
      <c r="AS250" s="51"/>
      <c r="AT250" s="51"/>
      <c r="AU250" s="51">
        <v>0</v>
      </c>
      <c r="AV250" s="44">
        <v>575.60928999999999</v>
      </c>
      <c r="AW250" s="44"/>
      <c r="AX250" s="90">
        <f t="shared" si="115"/>
        <v>575.60928999999999</v>
      </c>
      <c r="AY250" s="157">
        <f t="shared" si="98"/>
        <v>88.846319999999992</v>
      </c>
      <c r="AZ250" s="182"/>
      <c r="BA250" s="158"/>
      <c r="BB250" s="182"/>
      <c r="BC250" s="159"/>
      <c r="BD250" s="182"/>
      <c r="BE250" s="158"/>
      <c r="BF250" s="182"/>
      <c r="BG250" s="158"/>
      <c r="BH250" s="182"/>
      <c r="BI250" s="158"/>
      <c r="BJ250" s="182">
        <v>0</v>
      </c>
      <c r="BK250" s="158"/>
      <c r="BL250" s="183"/>
      <c r="BM250" s="158"/>
      <c r="BN250" s="183"/>
      <c r="BO250" s="158">
        <v>10.152059999999999</v>
      </c>
      <c r="BP250" s="182">
        <v>11.6</v>
      </c>
      <c r="BQ250" s="158">
        <v>41.445419999999999</v>
      </c>
      <c r="BR250" s="182">
        <f>4.68588+15+1.3-1</f>
        <v>19.985880000000002</v>
      </c>
      <c r="BS250" s="158">
        <v>18.995270000000001</v>
      </c>
      <c r="BT250" s="218">
        <f>80-8.7-10.1-1.5+0.5+2.9-0.8</f>
        <v>62.3</v>
      </c>
      <c r="BU250" s="158"/>
      <c r="BV250" s="182">
        <f>46+31-15+4-3+62.3-5-60</f>
        <v>60.3</v>
      </c>
      <c r="BW250" s="234">
        <v>18.253570000000003</v>
      </c>
      <c r="BX250" s="237">
        <v>18.253570000000003</v>
      </c>
      <c r="BY250" s="81">
        <f t="shared" si="99"/>
        <v>483.60000000000008</v>
      </c>
      <c r="BZ250" s="242">
        <v>30</v>
      </c>
      <c r="CA250" s="242">
        <v>62</v>
      </c>
      <c r="CB250" s="242">
        <f>281.1/5</f>
        <v>56.220000000000006</v>
      </c>
      <c r="CC250" s="242">
        <f>281.1/5</f>
        <v>56.220000000000006</v>
      </c>
      <c r="CD250" s="242">
        <f>281.1/5</f>
        <v>56.220000000000006</v>
      </c>
      <c r="CE250" s="242">
        <f>281.1/5</f>
        <v>56.220000000000006</v>
      </c>
      <c r="CF250" s="242">
        <f>281.1/5</f>
        <v>56.220000000000006</v>
      </c>
      <c r="CG250" s="242">
        <v>60</v>
      </c>
      <c r="CH250" s="242">
        <v>50.5</v>
      </c>
      <c r="CI250" s="242"/>
      <c r="CJ250" s="242"/>
      <c r="CK250" s="242"/>
      <c r="CL250" s="195">
        <f t="shared" si="102"/>
        <v>0</v>
      </c>
      <c r="CM250" s="197"/>
      <c r="CN250" s="197"/>
      <c r="CO250" s="197"/>
      <c r="CP250" s="197"/>
      <c r="CQ250" s="197"/>
      <c r="CR250" s="197"/>
      <c r="CS250" s="197"/>
      <c r="CT250" s="197"/>
      <c r="CU250" s="197"/>
      <c r="CV250" s="197"/>
      <c r="CW250" s="197"/>
      <c r="CX250" s="197"/>
      <c r="CY250" s="200">
        <f t="shared" si="116"/>
        <v>42.046429999999994</v>
      </c>
      <c r="CZ250" s="172">
        <f t="shared" si="100"/>
        <v>0</v>
      </c>
      <c r="DA250" s="201">
        <f t="shared" si="117"/>
        <v>70.592749999999995</v>
      </c>
      <c r="DB250" s="201">
        <f t="shared" si="118"/>
        <v>18.253570000000003</v>
      </c>
      <c r="DC250" s="201">
        <f t="shared" si="103"/>
        <v>572.44632000000001</v>
      </c>
      <c r="DD250" s="239">
        <v>572.49275000000011</v>
      </c>
      <c r="DE250" s="201">
        <f t="shared" si="104"/>
        <v>-4.6430000000100335E-2</v>
      </c>
      <c r="DF250" s="172" t="e">
        <f>SUM(DN250:DO250)-SUM(#REF!,BV250)+BU250</f>
        <v>#REF!</v>
      </c>
      <c r="DG250" s="207"/>
      <c r="DH250" s="225">
        <f t="shared" si="105"/>
        <v>0</v>
      </c>
      <c r="DI250" s="225">
        <f t="shared" si="106"/>
        <v>0</v>
      </c>
      <c r="DJ250" s="225">
        <f t="shared" si="107"/>
        <v>51.597479999999997</v>
      </c>
      <c r="DK250" s="225" t="e">
        <f>SUM(BS250,#REF!,BV250)</f>
        <v>#REF!</v>
      </c>
      <c r="DL250" s="145">
        <v>575.60928999999999</v>
      </c>
      <c r="DM250" s="145">
        <v>88.846320000000006</v>
      </c>
      <c r="DN250" s="145">
        <v>55.244900000000001</v>
      </c>
      <c r="DO250" s="145">
        <v>66.81062</v>
      </c>
      <c r="DP250" s="145">
        <v>210.90183999999999</v>
      </c>
      <c r="DQ250" s="145">
        <v>364.70744999999999</v>
      </c>
      <c r="DR250" s="21">
        <f>VLOOKUP(C250,[6]Database!$B$143:$AD$521,29,FALSE)</f>
        <v>373.60000000000008</v>
      </c>
      <c r="DS250" s="219">
        <f t="shared" si="108"/>
        <v>110</v>
      </c>
    </row>
    <row r="251" spans="1:123" s="21" customFormat="1" ht="24" customHeight="1">
      <c r="A251" s="16"/>
      <c r="B251" s="2"/>
      <c r="C251" s="79" t="s">
        <v>1016</v>
      </c>
      <c r="D251" s="79">
        <v>17605</v>
      </c>
      <c r="E251" s="79"/>
      <c r="F251" s="39">
        <v>2022</v>
      </c>
      <c r="G251" s="40">
        <v>44417</v>
      </c>
      <c r="H251" s="40">
        <v>44461</v>
      </c>
      <c r="I251" s="40"/>
      <c r="J251" s="13">
        <f t="shared" ca="1" si="114"/>
        <v>-842.33599710647832</v>
      </c>
      <c r="K251" s="165">
        <f t="shared" si="111"/>
        <v>45008</v>
      </c>
      <c r="L251" s="165">
        <f t="shared" si="112"/>
        <v>45191</v>
      </c>
      <c r="M251" s="170"/>
      <c r="N251" s="170"/>
      <c r="O251" s="170"/>
      <c r="P251" s="170"/>
      <c r="Q251" s="170"/>
      <c r="R251" s="39" t="s">
        <v>175</v>
      </c>
      <c r="S251" s="11" t="s">
        <v>4</v>
      </c>
      <c r="T251" s="39" t="s">
        <v>910</v>
      </c>
      <c r="U251" s="5" t="s">
        <v>7</v>
      </c>
      <c r="V251" s="251">
        <v>4636423</v>
      </c>
      <c r="W251" s="5" t="s">
        <v>602</v>
      </c>
      <c r="X251" s="5" t="s">
        <v>477</v>
      </c>
      <c r="Y251" s="5" t="s">
        <v>1059</v>
      </c>
      <c r="Z251" s="3" t="s">
        <v>180</v>
      </c>
      <c r="AA251" s="43" t="s">
        <v>461</v>
      </c>
      <c r="AB251" s="142" t="s">
        <v>1216</v>
      </c>
      <c r="AC251" s="165">
        <v>44985</v>
      </c>
      <c r="AD251" s="165">
        <v>45138</v>
      </c>
      <c r="AE251" s="165">
        <f t="shared" si="120"/>
        <v>45138</v>
      </c>
      <c r="AF251" s="5"/>
      <c r="AG251" s="41"/>
      <c r="AH251" s="212"/>
      <c r="AI251" s="115"/>
      <c r="AJ251" s="115"/>
      <c r="AK251" s="221" t="e">
        <f>SUM(#REF!,BT251,BV251)</f>
        <v>#REF!</v>
      </c>
      <c r="AL251" s="167"/>
      <c r="AM251" s="167"/>
      <c r="AN251" s="167"/>
      <c r="AO251" s="167"/>
      <c r="AP251" s="167"/>
      <c r="AQ251" s="167"/>
      <c r="AR251" s="52"/>
      <c r="AS251" s="51"/>
      <c r="AT251" s="51"/>
      <c r="AU251" s="51"/>
      <c r="AV251" s="44">
        <v>183.67</v>
      </c>
      <c r="AW251" s="44"/>
      <c r="AX251" s="90">
        <f t="shared" si="115"/>
        <v>183.67</v>
      </c>
      <c r="AY251" s="157">
        <f t="shared" si="98"/>
        <v>34.642309999999995</v>
      </c>
      <c r="AZ251" s="182"/>
      <c r="BA251" s="158"/>
      <c r="BB251" s="182"/>
      <c r="BC251" s="159"/>
      <c r="BD251" s="182"/>
      <c r="BE251" s="158"/>
      <c r="BF251" s="182"/>
      <c r="BG251" s="158"/>
      <c r="BH251" s="182"/>
      <c r="BI251" s="158"/>
      <c r="BJ251" s="182"/>
      <c r="BK251" s="158"/>
      <c r="BL251" s="183"/>
      <c r="BM251" s="158"/>
      <c r="BN251" s="183"/>
      <c r="BO251" s="158"/>
      <c r="BP251" s="182"/>
      <c r="BQ251" s="158"/>
      <c r="BR251" s="182"/>
      <c r="BS251" s="158"/>
      <c r="BT251" s="182"/>
      <c r="BU251" s="158">
        <v>34.642309999999995</v>
      </c>
      <c r="BV251" s="182"/>
      <c r="BW251" s="234"/>
      <c r="BX251" s="237"/>
      <c r="BY251" s="81">
        <f t="shared" si="99"/>
        <v>148</v>
      </c>
      <c r="BZ251" s="242"/>
      <c r="CA251" s="242"/>
      <c r="CB251" s="242"/>
      <c r="CC251" s="242"/>
      <c r="CD251" s="242">
        <f>113-35</f>
        <v>78</v>
      </c>
      <c r="CE251" s="242">
        <v>35</v>
      </c>
      <c r="CF251" s="242">
        <v>35</v>
      </c>
      <c r="CG251" s="242"/>
      <c r="CH251" s="242"/>
      <c r="CI251" s="242"/>
      <c r="CJ251" s="242"/>
      <c r="CK251" s="242"/>
      <c r="CL251" s="195">
        <f t="shared" si="102"/>
        <v>0</v>
      </c>
      <c r="CM251" s="197"/>
      <c r="CN251" s="197"/>
      <c r="CO251" s="197"/>
      <c r="CP251" s="197"/>
      <c r="CQ251" s="197"/>
      <c r="CR251" s="197"/>
      <c r="CS251" s="197"/>
      <c r="CT251" s="197"/>
      <c r="CU251" s="197"/>
      <c r="CV251" s="197"/>
      <c r="CW251" s="197"/>
      <c r="CX251" s="197"/>
      <c r="CY251" s="200">
        <f t="shared" si="116"/>
        <v>0</v>
      </c>
      <c r="CZ251" s="172">
        <f t="shared" si="100"/>
        <v>0</v>
      </c>
      <c r="DA251" s="201">
        <f t="shared" si="117"/>
        <v>34.642309999999995</v>
      </c>
      <c r="DB251" s="201">
        <f t="shared" si="118"/>
        <v>0</v>
      </c>
      <c r="DC251" s="201">
        <f t="shared" si="103"/>
        <v>182.64231000000001</v>
      </c>
      <c r="DD251" s="239">
        <v>182.99999999999991</v>
      </c>
      <c r="DE251" s="201">
        <f t="shared" si="104"/>
        <v>-0.35768999999990569</v>
      </c>
      <c r="DF251" s="172" t="e">
        <f>SUM(DN251:DO251)-SUM(#REF!,BV251)+BU251</f>
        <v>#REF!</v>
      </c>
      <c r="DG251" s="207"/>
      <c r="DH251" s="225">
        <f t="shared" si="105"/>
        <v>0</v>
      </c>
      <c r="DI251" s="225">
        <f t="shared" si="106"/>
        <v>0</v>
      </c>
      <c r="DJ251" s="225">
        <f t="shared" si="107"/>
        <v>0</v>
      </c>
      <c r="DK251" s="225" t="e">
        <f>SUM(BS251,#REF!,BV251)</f>
        <v>#REF!</v>
      </c>
      <c r="DL251" s="145">
        <v>183.67</v>
      </c>
      <c r="DM251" s="145">
        <v>34.642309999999995</v>
      </c>
      <c r="DN251" s="145">
        <v>112.97636</v>
      </c>
      <c r="DO251" s="145">
        <v>0</v>
      </c>
      <c r="DP251" s="145">
        <v>147.61867000000001</v>
      </c>
      <c r="DQ251" s="145">
        <v>36.05133</v>
      </c>
      <c r="DR251" s="21">
        <f>VLOOKUP(C251,[6]Database!$B$143:$AD$521,29,FALSE)</f>
        <v>182.99999999999991</v>
      </c>
      <c r="DS251" s="219">
        <f t="shared" si="108"/>
        <v>-34.999999999999915</v>
      </c>
    </row>
    <row r="252" spans="1:123" s="21" customFormat="1" ht="24" customHeight="1">
      <c r="A252" s="16"/>
      <c r="B252" s="2"/>
      <c r="C252" s="79" t="s">
        <v>1026</v>
      </c>
      <c r="D252" s="143" t="s">
        <v>1155</v>
      </c>
      <c r="E252" s="79"/>
      <c r="F252" s="39">
        <v>2021</v>
      </c>
      <c r="G252" s="40">
        <v>44425</v>
      </c>
      <c r="H252" s="40">
        <v>44469</v>
      </c>
      <c r="I252" s="40"/>
      <c r="J252" s="13">
        <f t="shared" ca="1" si="114"/>
        <v>-834.33599710647832</v>
      </c>
      <c r="K252" s="165">
        <f t="shared" si="111"/>
        <v>45016</v>
      </c>
      <c r="L252" s="165">
        <f t="shared" si="112"/>
        <v>45199</v>
      </c>
      <c r="M252" s="170"/>
      <c r="N252" s="170"/>
      <c r="O252" s="170"/>
      <c r="P252" s="170"/>
      <c r="Q252" s="170"/>
      <c r="R252" s="39" t="s">
        <v>175</v>
      </c>
      <c r="S252" s="11" t="s">
        <v>221</v>
      </c>
      <c r="T252" s="41" t="s">
        <v>916</v>
      </c>
      <c r="U252" s="5" t="s">
        <v>7</v>
      </c>
      <c r="V252" s="251">
        <v>4608952</v>
      </c>
      <c r="W252" s="5" t="s">
        <v>602</v>
      </c>
      <c r="X252" s="5" t="s">
        <v>471</v>
      </c>
      <c r="Y252" s="5" t="s">
        <v>1315</v>
      </c>
      <c r="Z252" s="3" t="s">
        <v>180</v>
      </c>
      <c r="AA252" s="43" t="s">
        <v>461</v>
      </c>
      <c r="AB252" s="142" t="s">
        <v>1332</v>
      </c>
      <c r="AC252" s="165"/>
      <c r="AD252" s="165">
        <v>45016</v>
      </c>
      <c r="AE252" s="165"/>
      <c r="AF252" s="5"/>
      <c r="AG252" s="41"/>
      <c r="AH252" s="212"/>
      <c r="AI252" s="115"/>
      <c r="AJ252" s="115"/>
      <c r="AK252" s="221" t="e">
        <f>SUM(#REF!,BT252,BV252)</f>
        <v>#REF!</v>
      </c>
      <c r="AL252" s="153" t="s">
        <v>1141</v>
      </c>
      <c r="AM252" s="153" t="s">
        <v>1142</v>
      </c>
      <c r="AN252" s="153" t="s">
        <v>1079</v>
      </c>
      <c r="AO252" s="153" t="s">
        <v>592</v>
      </c>
      <c r="AP252" s="153" t="s">
        <v>592</v>
      </c>
      <c r="AQ252" s="153" t="s">
        <v>592</v>
      </c>
      <c r="AR252" s="52"/>
      <c r="AS252" s="51"/>
      <c r="AT252" s="51"/>
      <c r="AU252" s="51">
        <v>0</v>
      </c>
      <c r="AV252" s="44">
        <v>1251.4860000000001</v>
      </c>
      <c r="AW252" s="44"/>
      <c r="AX252" s="90">
        <f t="shared" si="115"/>
        <v>1251.4860000000001</v>
      </c>
      <c r="AY252" s="157">
        <f t="shared" si="98"/>
        <v>478.32855999999992</v>
      </c>
      <c r="AZ252" s="182"/>
      <c r="BA252" s="158"/>
      <c r="BB252" s="182"/>
      <c r="BC252" s="159"/>
      <c r="BD252" s="182"/>
      <c r="BE252" s="158"/>
      <c r="BF252" s="182"/>
      <c r="BG252" s="158"/>
      <c r="BH252" s="182"/>
      <c r="BI252" s="158"/>
      <c r="BJ252" s="182"/>
      <c r="BK252" s="158"/>
      <c r="BL252" s="183"/>
      <c r="BM252" s="158"/>
      <c r="BN252" s="183"/>
      <c r="BO252" s="158"/>
      <c r="BP252" s="182"/>
      <c r="BQ252" s="158"/>
      <c r="BR252" s="182"/>
      <c r="BS252" s="158">
        <v>4.7712599999999998</v>
      </c>
      <c r="BT252" s="182"/>
      <c r="BU252" s="158">
        <v>141.98027999999999</v>
      </c>
      <c r="BV252" s="182">
        <f>303.78084+1.5+0.9+1.6</f>
        <v>307.78084000000001</v>
      </c>
      <c r="BW252" s="234">
        <v>331.57701999999995</v>
      </c>
      <c r="BX252" s="237">
        <v>331.57701999999995</v>
      </c>
      <c r="BY252" s="81">
        <f t="shared" si="99"/>
        <v>432.16666666666663</v>
      </c>
      <c r="BZ252" s="242"/>
      <c r="CA252" s="242"/>
      <c r="CB252" s="242"/>
      <c r="CC252" s="242"/>
      <c r="CD252" s="242"/>
      <c r="CE252" s="242"/>
      <c r="CF252" s="242">
        <f>73.3-12.1-2-10.7</f>
        <v>48.5</v>
      </c>
      <c r="CG252" s="242">
        <f>500/6-33</f>
        <v>50.333333333333329</v>
      </c>
      <c r="CH252" s="242">
        <f>500/6</f>
        <v>83.333333333333329</v>
      </c>
      <c r="CI252" s="242">
        <f>500/6</f>
        <v>83.333333333333329</v>
      </c>
      <c r="CJ252" s="242">
        <f>500/6</f>
        <v>83.333333333333329</v>
      </c>
      <c r="CK252" s="242">
        <f>500/6</f>
        <v>83.333333333333329</v>
      </c>
      <c r="CL252" s="195">
        <f t="shared" si="102"/>
        <v>341.39599999999996</v>
      </c>
      <c r="CM252" s="197">
        <v>41.665999999999997</v>
      </c>
      <c r="CN252" s="197">
        <v>41.665999999999997</v>
      </c>
      <c r="CO252" s="197">
        <v>41.665999999999997</v>
      </c>
      <c r="CP252" s="197">
        <v>41.665999999999997</v>
      </c>
      <c r="CQ252" s="197">
        <v>41.665999999999997</v>
      </c>
      <c r="CR252" s="197">
        <v>41.665999999999997</v>
      </c>
      <c r="CS252" s="197">
        <v>45.7</v>
      </c>
      <c r="CT252" s="197">
        <v>45.7</v>
      </c>
      <c r="CU252" s="197"/>
      <c r="CV252" s="197"/>
      <c r="CW252" s="197"/>
      <c r="CX252" s="197"/>
      <c r="CY252" s="200">
        <f t="shared" si="116"/>
        <v>-23.796179999999936</v>
      </c>
      <c r="CZ252" s="172">
        <f t="shared" si="100"/>
        <v>0</v>
      </c>
      <c r="DA252" s="201">
        <f t="shared" si="117"/>
        <v>146.75154000000001</v>
      </c>
      <c r="DB252" s="201">
        <f t="shared" si="118"/>
        <v>331.57701999999995</v>
      </c>
      <c r="DC252" s="201">
        <f t="shared" si="103"/>
        <v>910.49522666666655</v>
      </c>
      <c r="DD252" s="239">
        <v>910.97126000000003</v>
      </c>
      <c r="DE252" s="201">
        <f t="shared" si="104"/>
        <v>-0.47603333333347564</v>
      </c>
      <c r="DF252" s="172" t="e">
        <f>SUM(DN252:DO252)-SUM(#REF!,BV252)+BU252</f>
        <v>#REF!</v>
      </c>
      <c r="DG252" s="207"/>
      <c r="DH252" s="225">
        <f t="shared" si="105"/>
        <v>0</v>
      </c>
      <c r="DI252" s="225">
        <f t="shared" si="106"/>
        <v>0</v>
      </c>
      <c r="DJ252" s="225">
        <f t="shared" si="107"/>
        <v>0</v>
      </c>
      <c r="DK252" s="225" t="e">
        <f>SUM(BS252,#REF!,BV252)</f>
        <v>#REF!</v>
      </c>
      <c r="DL252" s="145">
        <v>1251.4860000000001</v>
      </c>
      <c r="DM252" s="145">
        <v>478.32855999999998</v>
      </c>
      <c r="DN252" s="145">
        <v>138.58095</v>
      </c>
      <c r="DO252" s="145">
        <v>0</v>
      </c>
      <c r="DP252" s="145">
        <v>616.90950999999995</v>
      </c>
      <c r="DQ252" s="145">
        <v>634.57649000000004</v>
      </c>
      <c r="DR252" s="21">
        <f>VLOOKUP(C252,[6]Database!$B$143:$AD$521,29,FALSE)</f>
        <v>500.00000000000006</v>
      </c>
      <c r="DS252" s="219">
        <f t="shared" si="108"/>
        <v>-67.833333333333428</v>
      </c>
    </row>
    <row r="253" spans="1:123" s="21" customFormat="1" ht="24" customHeight="1">
      <c r="A253" s="16"/>
      <c r="B253" s="2"/>
      <c r="C253" s="79" t="s">
        <v>1053</v>
      </c>
      <c r="D253" s="143" t="s">
        <v>1155</v>
      </c>
      <c r="E253" s="79"/>
      <c r="F253" s="39">
        <v>2021</v>
      </c>
      <c r="G253" s="40">
        <v>44456</v>
      </c>
      <c r="H253" s="178">
        <v>44504</v>
      </c>
      <c r="I253" s="40"/>
      <c r="J253" s="13">
        <f t="shared" ca="1" si="114"/>
        <v>-799.33599710647832</v>
      </c>
      <c r="K253" s="165">
        <f t="shared" si="111"/>
        <v>45051</v>
      </c>
      <c r="L253" s="165">
        <f t="shared" si="112"/>
        <v>45234</v>
      </c>
      <c r="M253" s="170"/>
      <c r="N253" s="165"/>
      <c r="O253" s="170"/>
      <c r="P253" s="165"/>
      <c r="Q253" s="170"/>
      <c r="R253" s="39" t="s">
        <v>175</v>
      </c>
      <c r="S253" s="11" t="s">
        <v>4</v>
      </c>
      <c r="T253" s="41" t="s">
        <v>904</v>
      </c>
      <c r="U253" s="5" t="s">
        <v>7</v>
      </c>
      <c r="V253" s="251">
        <v>4771098</v>
      </c>
      <c r="W253" s="5" t="s">
        <v>602</v>
      </c>
      <c r="X253" s="5" t="s">
        <v>475</v>
      </c>
      <c r="Y253" s="5" t="s">
        <v>1061</v>
      </c>
      <c r="Z253" s="3" t="s">
        <v>180</v>
      </c>
      <c r="AA253" s="43" t="s">
        <v>461</v>
      </c>
      <c r="AB253" s="142" t="s">
        <v>1224</v>
      </c>
      <c r="AC253" s="165">
        <v>45051</v>
      </c>
      <c r="AD253" s="165">
        <v>45199</v>
      </c>
      <c r="AE253" s="165">
        <f t="shared" ref="AE253:AE258" si="121">IFERROR(EOMONTH(L253,-2),"")</f>
        <v>45199</v>
      </c>
      <c r="AF253" s="5"/>
      <c r="AG253" s="41"/>
      <c r="AH253" s="212"/>
      <c r="AI253" s="115"/>
      <c r="AJ253" s="115"/>
      <c r="AK253" s="221" t="e">
        <f>SUM(#REF!,BT253,BV253)</f>
        <v>#REF!</v>
      </c>
      <c r="AL253" s="153"/>
      <c r="AM253" s="153"/>
      <c r="AN253" s="153"/>
      <c r="AO253" s="153"/>
      <c r="AP253" s="153"/>
      <c r="AQ253" s="153"/>
      <c r="AR253" s="52"/>
      <c r="AS253" s="51"/>
      <c r="AT253" s="51"/>
      <c r="AU253" s="51"/>
      <c r="AV253" s="44">
        <v>1662.6695199999999</v>
      </c>
      <c r="AW253" s="44">
        <v>46</v>
      </c>
      <c r="AX253" s="90">
        <f t="shared" si="115"/>
        <v>1708.6695199999999</v>
      </c>
      <c r="AY253" s="157">
        <f t="shared" si="98"/>
        <v>0</v>
      </c>
      <c r="AZ253" s="182"/>
      <c r="BA253" s="158"/>
      <c r="BB253" s="182"/>
      <c r="BC253" s="159"/>
      <c r="BD253" s="182"/>
      <c r="BE253" s="158"/>
      <c r="BF253" s="182"/>
      <c r="BG253" s="158"/>
      <c r="BH253" s="182"/>
      <c r="BI253" s="158"/>
      <c r="BJ253" s="182"/>
      <c r="BK253" s="158"/>
      <c r="BL253" s="183"/>
      <c r="BM253" s="158"/>
      <c r="BN253" s="183"/>
      <c r="BO253" s="158"/>
      <c r="BP253" s="182"/>
      <c r="BQ253" s="158"/>
      <c r="BR253" s="182"/>
      <c r="BS253" s="158"/>
      <c r="BT253" s="182"/>
      <c r="BU253" s="158"/>
      <c r="BV253" s="182"/>
      <c r="BW253" s="234"/>
      <c r="BX253" s="237"/>
      <c r="BY253" s="81">
        <f t="shared" si="99"/>
        <v>1630</v>
      </c>
      <c r="BZ253" s="242"/>
      <c r="CA253" s="242"/>
      <c r="CB253" s="242"/>
      <c r="CC253" s="242"/>
      <c r="CD253" s="242"/>
      <c r="CE253" s="242"/>
      <c r="CF253" s="242"/>
      <c r="CG253" s="242"/>
      <c r="CH253" s="242">
        <v>280</v>
      </c>
      <c r="CI253" s="242">
        <v>950</v>
      </c>
      <c r="CJ253" s="242">
        <v>200</v>
      </c>
      <c r="CK253" s="242">
        <v>200</v>
      </c>
      <c r="CL253" s="195">
        <f>SUM(CM253:CX253)</f>
        <v>362</v>
      </c>
      <c r="CM253" s="197">
        <f>362/3</f>
        <v>120.66666666666667</v>
      </c>
      <c r="CN253" s="197">
        <f>362/3</f>
        <v>120.66666666666667</v>
      </c>
      <c r="CO253" s="197">
        <f>362/3</f>
        <v>120.66666666666667</v>
      </c>
      <c r="CP253" s="197"/>
      <c r="CQ253" s="197"/>
      <c r="CR253" s="197"/>
      <c r="CS253" s="197"/>
      <c r="CT253" s="197"/>
      <c r="CU253" s="197"/>
      <c r="CV253" s="197"/>
      <c r="CW253" s="197"/>
      <c r="CX253" s="197"/>
      <c r="CY253" s="200">
        <f t="shared" si="116"/>
        <v>0</v>
      </c>
      <c r="CZ253" s="172">
        <f t="shared" si="100"/>
        <v>0</v>
      </c>
      <c r="DA253" s="201">
        <f t="shared" si="117"/>
        <v>0</v>
      </c>
      <c r="DB253" s="201">
        <f t="shared" si="118"/>
        <v>0</v>
      </c>
      <c r="DC253" s="201">
        <f t="shared" si="103"/>
        <v>1630</v>
      </c>
      <c r="DD253" s="239">
        <v>1662.6695200000001</v>
      </c>
      <c r="DE253" s="201">
        <f>DC253-DD253</f>
        <v>-32.669520000000148</v>
      </c>
      <c r="DF253" s="172" t="e">
        <f>SUM(DN253:DO253)-SUM(#REF!,BV253)+BU253</f>
        <v>#REF!</v>
      </c>
      <c r="DG253" s="207"/>
      <c r="DH253" s="225">
        <f t="shared" si="105"/>
        <v>0</v>
      </c>
      <c r="DI253" s="225">
        <f t="shared" si="106"/>
        <v>0</v>
      </c>
      <c r="DJ253" s="225">
        <f t="shared" si="107"/>
        <v>0</v>
      </c>
      <c r="DK253" s="225" t="e">
        <f>SUM(BS253,#REF!,BV253)</f>
        <v>#REF!</v>
      </c>
      <c r="DL253" s="145">
        <v>1662.67</v>
      </c>
      <c r="DM253" s="145">
        <v>0</v>
      </c>
      <c r="DN253" s="145">
        <v>0.25818999999999998</v>
      </c>
      <c r="DO253" s="145">
        <v>0</v>
      </c>
      <c r="DP253" s="145">
        <v>0.25818999999999998</v>
      </c>
      <c r="DQ253" s="145">
        <v>1662.4118100000001</v>
      </c>
      <c r="DR253" s="21">
        <f>VLOOKUP(C253,[6]Database!$B$143:$AD$521,29,FALSE)</f>
        <v>1300</v>
      </c>
      <c r="DS253" s="219">
        <f>BY253-DR253</f>
        <v>330</v>
      </c>
    </row>
    <row r="254" spans="1:123" s="21" customFormat="1" ht="24" customHeight="1">
      <c r="A254" s="16"/>
      <c r="B254" s="2"/>
      <c r="C254" s="79" t="s">
        <v>1231</v>
      </c>
      <c r="D254" s="79"/>
      <c r="E254" s="79"/>
      <c r="F254" s="39">
        <v>2021</v>
      </c>
      <c r="G254" s="40">
        <v>44474</v>
      </c>
      <c r="H254" s="178">
        <v>44517</v>
      </c>
      <c r="I254" s="40"/>
      <c r="J254" s="13">
        <f t="shared" ca="1" si="114"/>
        <v>-786.33599710647832</v>
      </c>
      <c r="K254" s="165">
        <f t="shared" si="111"/>
        <v>45064</v>
      </c>
      <c r="L254" s="165">
        <f t="shared" si="112"/>
        <v>45247</v>
      </c>
      <c r="M254" s="170"/>
      <c r="N254" s="170"/>
      <c r="O254" s="170"/>
      <c r="P254" s="170"/>
      <c r="Q254" s="170"/>
      <c r="R254" s="39" t="s">
        <v>175</v>
      </c>
      <c r="S254" s="11" t="s">
        <v>4</v>
      </c>
      <c r="T254" s="41" t="s">
        <v>904</v>
      </c>
      <c r="U254" s="5" t="s">
        <v>7</v>
      </c>
      <c r="V254" s="251">
        <v>4824059</v>
      </c>
      <c r="W254" s="5" t="s">
        <v>602</v>
      </c>
      <c r="X254" s="5" t="s">
        <v>475</v>
      </c>
      <c r="Y254" s="5" t="s">
        <v>1232</v>
      </c>
      <c r="Z254" s="3"/>
      <c r="AA254" s="43" t="s">
        <v>461</v>
      </c>
      <c r="AB254" s="244"/>
      <c r="AC254" s="165">
        <v>45076</v>
      </c>
      <c r="AD254" s="165">
        <v>45199</v>
      </c>
      <c r="AE254" s="165">
        <f t="shared" si="121"/>
        <v>45199</v>
      </c>
      <c r="AF254" s="5"/>
      <c r="AG254" s="41"/>
      <c r="AH254" s="212"/>
      <c r="AI254" s="115"/>
      <c r="AJ254" s="115"/>
      <c r="AK254" s="221"/>
      <c r="AL254" s="153"/>
      <c r="AM254" s="153"/>
      <c r="AN254" s="153"/>
      <c r="AO254" s="153"/>
      <c r="AP254" s="153"/>
      <c r="AQ254" s="153"/>
      <c r="AR254" s="52"/>
      <c r="AS254" s="51"/>
      <c r="AT254" s="51"/>
      <c r="AU254" s="51"/>
      <c r="AV254" s="44">
        <v>280.48</v>
      </c>
      <c r="AW254" s="44">
        <v>18</v>
      </c>
      <c r="AX254" s="90">
        <f t="shared" si="115"/>
        <v>298.48</v>
      </c>
      <c r="AY254" s="157">
        <f t="shared" si="98"/>
        <v>0</v>
      </c>
      <c r="AZ254" s="182"/>
      <c r="BA254" s="158"/>
      <c r="BB254" s="182"/>
      <c r="BC254" s="159"/>
      <c r="BD254" s="182"/>
      <c r="BE254" s="158"/>
      <c r="BF254" s="182"/>
      <c r="BG254" s="158"/>
      <c r="BH254" s="182"/>
      <c r="BI254" s="158"/>
      <c r="BJ254" s="182"/>
      <c r="BK254" s="158"/>
      <c r="BL254" s="183"/>
      <c r="BM254" s="158"/>
      <c r="BN254" s="183"/>
      <c r="BO254" s="158"/>
      <c r="BP254" s="182"/>
      <c r="BQ254" s="158"/>
      <c r="BR254" s="182"/>
      <c r="BS254" s="158"/>
      <c r="BT254" s="182"/>
      <c r="BU254" s="158"/>
      <c r="BV254" s="182"/>
      <c r="BW254" s="234"/>
      <c r="BX254" s="237"/>
      <c r="BY254" s="81">
        <f t="shared" si="99"/>
        <v>280</v>
      </c>
      <c r="BZ254" s="242"/>
      <c r="CA254" s="242">
        <v>40</v>
      </c>
      <c r="CB254" s="242"/>
      <c r="CC254" s="242"/>
      <c r="CD254" s="242"/>
      <c r="CE254" s="242"/>
      <c r="CF254" s="242"/>
      <c r="CG254" s="242"/>
      <c r="CH254" s="242"/>
      <c r="CI254" s="242"/>
      <c r="CJ254" s="242">
        <v>240</v>
      </c>
      <c r="CK254" s="242"/>
      <c r="CL254" s="195"/>
      <c r="CM254" s="197"/>
      <c r="CN254" s="197"/>
      <c r="CO254" s="197"/>
      <c r="CP254" s="197"/>
      <c r="CQ254" s="197"/>
      <c r="CR254" s="197"/>
      <c r="CS254" s="197"/>
      <c r="CT254" s="197"/>
      <c r="CU254" s="197"/>
      <c r="CV254" s="197"/>
      <c r="CW254" s="197"/>
      <c r="CX254" s="197"/>
      <c r="CY254" s="200">
        <f t="shared" si="116"/>
        <v>0</v>
      </c>
      <c r="CZ254" s="172">
        <f t="shared" si="100"/>
        <v>0</v>
      </c>
      <c r="DA254" s="201">
        <f t="shared" si="117"/>
        <v>0</v>
      </c>
      <c r="DB254" s="201">
        <f t="shared" si="118"/>
        <v>0</v>
      </c>
      <c r="DC254" s="201"/>
      <c r="DD254" s="239"/>
      <c r="DE254" s="201"/>
      <c r="DF254" s="172"/>
      <c r="DG254" s="207"/>
      <c r="DH254" s="225"/>
      <c r="DI254" s="225"/>
      <c r="DJ254" s="225"/>
      <c r="DK254" s="225"/>
      <c r="DL254" s="145">
        <v>280.48</v>
      </c>
      <c r="DM254" s="145">
        <v>0</v>
      </c>
      <c r="DN254" s="145">
        <v>0</v>
      </c>
      <c r="DO254" s="145">
        <v>0</v>
      </c>
      <c r="DP254" s="145">
        <v>0</v>
      </c>
      <c r="DQ254" s="145">
        <v>280.48</v>
      </c>
      <c r="DS254" s="219"/>
    </row>
    <row r="255" spans="1:123" s="21" customFormat="1" ht="24" customHeight="1">
      <c r="A255" s="16"/>
      <c r="B255" s="2"/>
      <c r="C255" s="79" t="s">
        <v>1173</v>
      </c>
      <c r="D255" s="144" t="s">
        <v>1155</v>
      </c>
      <c r="E255" s="79"/>
      <c r="F255" s="39">
        <v>2021</v>
      </c>
      <c r="G255" s="40">
        <v>44474</v>
      </c>
      <c r="H255" s="178">
        <v>44483</v>
      </c>
      <c r="I255" s="40">
        <v>44558</v>
      </c>
      <c r="J255" s="13">
        <f t="shared" ca="1" si="114"/>
        <v>75</v>
      </c>
      <c r="K255" s="165">
        <f t="shared" si="111"/>
        <v>45030</v>
      </c>
      <c r="L255" s="165">
        <f t="shared" si="112"/>
        <v>45213</v>
      </c>
      <c r="M255" s="170"/>
      <c r="N255" s="170"/>
      <c r="O255" s="170"/>
      <c r="P255" s="170"/>
      <c r="Q255" s="170"/>
      <c r="R255" s="39" t="s">
        <v>175</v>
      </c>
      <c r="S255" s="11" t="s">
        <v>4</v>
      </c>
      <c r="T255" s="41" t="s">
        <v>904</v>
      </c>
      <c r="U255" s="5" t="s">
        <v>7</v>
      </c>
      <c r="V255" s="251">
        <v>4829079</v>
      </c>
      <c r="W255" s="5" t="s">
        <v>602</v>
      </c>
      <c r="X255" s="5" t="s">
        <v>475</v>
      </c>
      <c r="Y255" s="5" t="s">
        <v>1174</v>
      </c>
      <c r="Z255" s="3" t="s">
        <v>180</v>
      </c>
      <c r="AA255" s="43" t="s">
        <v>194</v>
      </c>
      <c r="AB255" s="142" t="s">
        <v>1383</v>
      </c>
      <c r="AC255" s="165" t="s">
        <v>5</v>
      </c>
      <c r="AD255" s="165">
        <v>44530</v>
      </c>
      <c r="AE255" s="165">
        <f t="shared" si="121"/>
        <v>45169</v>
      </c>
      <c r="AF255" s="5" t="s">
        <v>1038</v>
      </c>
      <c r="AG255" s="41" t="s">
        <v>1199</v>
      </c>
      <c r="AH255" s="212">
        <v>0.09</v>
      </c>
      <c r="AI255" s="115"/>
      <c r="AJ255" s="115"/>
      <c r="AK255" s="221" t="e">
        <f>SUM(#REF!,BT255,BV255)</f>
        <v>#REF!</v>
      </c>
      <c r="AL255" s="153"/>
      <c r="AM255" s="153"/>
      <c r="AN255" s="153"/>
      <c r="AO255" s="153"/>
      <c r="AP255" s="153"/>
      <c r="AQ255" s="153"/>
      <c r="AR255" s="52"/>
      <c r="AS255" s="51"/>
      <c r="AT255" s="51"/>
      <c r="AU255" s="51"/>
      <c r="AV255" s="44">
        <f>116.449+10.48</f>
        <v>126.929</v>
      </c>
      <c r="AW255" s="44">
        <v>10.942</v>
      </c>
      <c r="AX255" s="90">
        <f t="shared" si="115"/>
        <v>137.87100000000001</v>
      </c>
      <c r="AY255" s="157">
        <f t="shared" si="98"/>
        <v>117.49017000000001</v>
      </c>
      <c r="AZ255" s="182"/>
      <c r="BA255" s="158"/>
      <c r="BB255" s="182"/>
      <c r="BC255" s="159"/>
      <c r="BD255" s="182"/>
      <c r="BE255" s="158"/>
      <c r="BF255" s="182"/>
      <c r="BG255" s="158"/>
      <c r="BH255" s="182"/>
      <c r="BI255" s="158"/>
      <c r="BJ255" s="182"/>
      <c r="BK255" s="158"/>
      <c r="BL255" s="183"/>
      <c r="BM255" s="158"/>
      <c r="BN255" s="183"/>
      <c r="BO255" s="158"/>
      <c r="BP255" s="182"/>
      <c r="BQ255" s="158"/>
      <c r="BR255" s="182"/>
      <c r="BS255" s="158">
        <v>105.36749</v>
      </c>
      <c r="BT255" s="182">
        <f>31-20.1</f>
        <v>10.899999999999999</v>
      </c>
      <c r="BU255" s="158">
        <v>12.122680000000003</v>
      </c>
      <c r="BV255" s="182"/>
      <c r="BW255" s="234"/>
      <c r="BX255" s="237"/>
      <c r="BY255" s="81">
        <f t="shared" si="99"/>
        <v>0</v>
      </c>
      <c r="BZ255" s="242"/>
      <c r="CA255" s="242"/>
      <c r="CB255" s="242"/>
      <c r="CC255" s="242"/>
      <c r="CD255" s="242"/>
      <c r="CE255" s="242"/>
      <c r="CF255" s="242"/>
      <c r="CG255" s="242"/>
      <c r="CH255" s="242"/>
      <c r="CI255" s="242"/>
      <c r="CJ255" s="242"/>
      <c r="CK255" s="242"/>
      <c r="CL255" s="195"/>
      <c r="CM255" s="197"/>
      <c r="CN255" s="197"/>
      <c r="CO255" s="197"/>
      <c r="CP255" s="197"/>
      <c r="CQ255" s="197"/>
      <c r="CR255" s="197"/>
      <c r="CS255" s="197"/>
      <c r="CT255" s="197"/>
      <c r="CU255" s="197"/>
      <c r="CV255" s="197"/>
      <c r="CW255" s="197"/>
      <c r="CX255" s="197"/>
      <c r="CY255" s="200">
        <f t="shared" si="116"/>
        <v>0</v>
      </c>
      <c r="CZ255" s="172">
        <f t="shared" si="100"/>
        <v>0</v>
      </c>
      <c r="DA255" s="201">
        <f t="shared" si="117"/>
        <v>117.49017000000001</v>
      </c>
      <c r="DB255" s="201">
        <f t="shared" si="118"/>
        <v>0</v>
      </c>
      <c r="DC255" s="201">
        <f>SUM(AY255,BY255)</f>
        <v>117.49017000000001</v>
      </c>
      <c r="DD255" s="239">
        <v>116.26749000000001</v>
      </c>
      <c r="DE255" s="201">
        <f>DC255-DD255</f>
        <v>1.2226799999999969</v>
      </c>
      <c r="DF255" s="172" t="e">
        <f>SUM(DN255:DO255)-SUM(#REF!,BV255)+BU255</f>
        <v>#REF!</v>
      </c>
      <c r="DG255" s="228"/>
      <c r="DH255" s="225"/>
      <c r="DI255" s="225"/>
      <c r="DJ255" s="225"/>
      <c r="DK255" s="225" t="e">
        <f>SUM(BS255,#REF!,BV255)</f>
        <v>#REF!</v>
      </c>
      <c r="DL255" s="145">
        <v>126.929</v>
      </c>
      <c r="DM255" s="145">
        <v>117.49016999999999</v>
      </c>
      <c r="DN255" s="145">
        <v>0.30262</v>
      </c>
      <c r="DO255" s="145">
        <v>1.7999999999999998E-4</v>
      </c>
      <c r="DP255" s="145">
        <v>117.79297</v>
      </c>
      <c r="DQ255" s="145">
        <v>9.1360299999999999</v>
      </c>
      <c r="DS255" s="219"/>
    </row>
    <row r="256" spans="1:123" s="21" customFormat="1" ht="24" customHeight="1">
      <c r="A256" s="16"/>
      <c r="B256" s="2"/>
      <c r="C256" s="79" t="s">
        <v>1219</v>
      </c>
      <c r="D256" s="79">
        <v>17039</v>
      </c>
      <c r="E256" s="79"/>
      <c r="F256" s="39">
        <v>2022</v>
      </c>
      <c r="G256" s="40">
        <v>44476</v>
      </c>
      <c r="H256" s="178">
        <v>44523</v>
      </c>
      <c r="I256" s="40"/>
      <c r="J256" s="13">
        <f t="shared" ca="1" si="114"/>
        <v>-780.33599710647832</v>
      </c>
      <c r="K256" s="165">
        <f t="shared" si="111"/>
        <v>45070</v>
      </c>
      <c r="L256" s="165">
        <f t="shared" si="112"/>
        <v>45253</v>
      </c>
      <c r="M256" s="170"/>
      <c r="N256" s="170"/>
      <c r="O256" s="170"/>
      <c r="P256" s="170"/>
      <c r="Q256" s="170"/>
      <c r="R256" s="39" t="s">
        <v>175</v>
      </c>
      <c r="S256" s="11" t="s">
        <v>223</v>
      </c>
      <c r="T256" s="39" t="s">
        <v>912</v>
      </c>
      <c r="U256" s="5" t="s">
        <v>7</v>
      </c>
      <c r="V256" s="251">
        <v>4828989</v>
      </c>
      <c r="W256" s="5" t="s">
        <v>602</v>
      </c>
      <c r="X256" s="5" t="s">
        <v>901</v>
      </c>
      <c r="Y256" s="5" t="s">
        <v>1319</v>
      </c>
      <c r="Z256" s="3" t="s">
        <v>180</v>
      </c>
      <c r="AA256" s="43" t="s">
        <v>461</v>
      </c>
      <c r="AB256" s="142" t="s">
        <v>1220</v>
      </c>
      <c r="AC256" s="165">
        <v>45070</v>
      </c>
      <c r="AD256" s="165">
        <v>45070</v>
      </c>
      <c r="AE256" s="165">
        <f t="shared" si="121"/>
        <v>45199</v>
      </c>
      <c r="AF256" s="5"/>
      <c r="AG256" s="41"/>
      <c r="AH256" s="211"/>
      <c r="AI256" s="115" t="s">
        <v>1377</v>
      </c>
      <c r="AJ256" s="115"/>
      <c r="AK256" s="221" t="e">
        <f>SUM(#REF!,BT256,BV256)</f>
        <v>#REF!</v>
      </c>
      <c r="AL256" s="153"/>
      <c r="AM256" s="153"/>
      <c r="AN256" s="153"/>
      <c r="AO256" s="153"/>
      <c r="AP256" s="153"/>
      <c r="AQ256" s="153"/>
      <c r="AR256" s="52"/>
      <c r="AS256" s="51"/>
      <c r="AT256" s="51"/>
      <c r="AU256" s="51"/>
      <c r="AV256" s="44">
        <v>600</v>
      </c>
      <c r="AW256" s="44">
        <v>0</v>
      </c>
      <c r="AX256" s="90">
        <f t="shared" si="115"/>
        <v>600</v>
      </c>
      <c r="AY256" s="157">
        <f t="shared" si="98"/>
        <v>0</v>
      </c>
      <c r="AZ256" s="182"/>
      <c r="BA256" s="158"/>
      <c r="BB256" s="182"/>
      <c r="BC256" s="159"/>
      <c r="BD256" s="182"/>
      <c r="BE256" s="158"/>
      <c r="BF256" s="182"/>
      <c r="BG256" s="158"/>
      <c r="BH256" s="182"/>
      <c r="BI256" s="158"/>
      <c r="BJ256" s="182"/>
      <c r="BK256" s="158"/>
      <c r="BL256" s="183"/>
      <c r="BM256" s="158"/>
      <c r="BN256" s="183"/>
      <c r="BO256" s="158"/>
      <c r="BP256" s="182"/>
      <c r="BQ256" s="158"/>
      <c r="BR256" s="182"/>
      <c r="BS256" s="158"/>
      <c r="BT256" s="182"/>
      <c r="BU256" s="158"/>
      <c r="BV256" s="182"/>
      <c r="BW256" s="234"/>
      <c r="BX256" s="237"/>
      <c r="BY256" s="81">
        <f t="shared" si="99"/>
        <v>600</v>
      </c>
      <c r="BZ256" s="242"/>
      <c r="CA256" s="242"/>
      <c r="CB256" s="242"/>
      <c r="CC256" s="242">
        <v>330</v>
      </c>
      <c r="CD256" s="242">
        <v>30</v>
      </c>
      <c r="CE256" s="242">
        <v>30</v>
      </c>
      <c r="CF256" s="242">
        <v>30</v>
      </c>
      <c r="CG256" s="242">
        <v>30</v>
      </c>
      <c r="CH256" s="242">
        <v>30</v>
      </c>
      <c r="CI256" s="242">
        <v>30</v>
      </c>
      <c r="CJ256" s="242">
        <v>30</v>
      </c>
      <c r="CK256" s="242">
        <v>60</v>
      </c>
      <c r="CL256" s="195">
        <f>SUM(CM256:CX256)</f>
        <v>0</v>
      </c>
      <c r="CM256" s="197"/>
      <c r="CN256" s="197"/>
      <c r="CO256" s="197"/>
      <c r="CP256" s="197"/>
      <c r="CQ256" s="197"/>
      <c r="CR256" s="197"/>
      <c r="CS256" s="197"/>
      <c r="CT256" s="197"/>
      <c r="CU256" s="197"/>
      <c r="CV256" s="197"/>
      <c r="CW256" s="197"/>
      <c r="CX256" s="197"/>
      <c r="CY256" s="200">
        <f t="shared" si="116"/>
        <v>0</v>
      </c>
      <c r="CZ256" s="172">
        <f t="shared" si="100"/>
        <v>0</v>
      </c>
      <c r="DA256" s="201">
        <f t="shared" si="117"/>
        <v>0</v>
      </c>
      <c r="DB256" s="201">
        <f t="shared" si="118"/>
        <v>0</v>
      </c>
      <c r="DC256" s="201">
        <f>SUM(AY256,BY256)</f>
        <v>600</v>
      </c>
      <c r="DD256" s="239">
        <v>600</v>
      </c>
      <c r="DE256" s="201">
        <f>DC256-DD256</f>
        <v>0</v>
      </c>
      <c r="DF256" s="172" t="e">
        <f>SUM(DN256:DO256)-SUM(#REF!,BV256)+BU256</f>
        <v>#REF!</v>
      </c>
      <c r="DG256" s="207"/>
      <c r="DH256" s="225">
        <f>SUM(BA256,BC256,BE256)</f>
        <v>0</v>
      </c>
      <c r="DI256" s="225">
        <f>SUM(BG256,BI256,BK256)</f>
        <v>0</v>
      </c>
      <c r="DJ256" s="225">
        <f>SUM(BM256,BO256,BQ256)</f>
        <v>0</v>
      </c>
      <c r="DK256" s="225" t="e">
        <f>SUM(BS256,#REF!,BV256)</f>
        <v>#REF!</v>
      </c>
      <c r="DL256" s="145">
        <v>600</v>
      </c>
      <c r="DM256" s="145">
        <v>0</v>
      </c>
      <c r="DN256" s="145">
        <v>0</v>
      </c>
      <c r="DO256" s="145">
        <v>0</v>
      </c>
      <c r="DP256" s="145">
        <v>0</v>
      </c>
      <c r="DQ256" s="145">
        <v>600</v>
      </c>
      <c r="DS256" s="219">
        <f>BY256-DR256</f>
        <v>600</v>
      </c>
    </row>
    <row r="257" spans="1:123" s="21" customFormat="1" ht="24" customHeight="1">
      <c r="A257" s="16"/>
      <c r="B257" s="2"/>
      <c r="C257" s="79" t="s">
        <v>1202</v>
      </c>
      <c r="D257" s="226" t="s">
        <v>592</v>
      </c>
      <c r="E257" s="79" t="s">
        <v>1203</v>
      </c>
      <c r="F257" s="39">
        <v>2021</v>
      </c>
      <c r="G257" s="40">
        <v>44476</v>
      </c>
      <c r="H257" s="40">
        <v>44510</v>
      </c>
      <c r="I257" s="40"/>
      <c r="J257" s="13">
        <f t="shared" ca="1" si="114"/>
        <v>-793.33599710647832</v>
      </c>
      <c r="K257" s="165">
        <f t="shared" si="111"/>
        <v>45057</v>
      </c>
      <c r="L257" s="165">
        <f t="shared" si="112"/>
        <v>45240</v>
      </c>
      <c r="M257" s="170"/>
      <c r="N257" s="170"/>
      <c r="O257" s="170"/>
      <c r="P257" s="170"/>
      <c r="Q257" s="170"/>
      <c r="R257" s="39" t="s">
        <v>177</v>
      </c>
      <c r="S257" s="11"/>
      <c r="T257" s="41"/>
      <c r="U257" s="5" t="s">
        <v>7</v>
      </c>
      <c r="V257" s="251">
        <v>4829206</v>
      </c>
      <c r="W257" s="5" t="s">
        <v>602</v>
      </c>
      <c r="X257" s="5" t="s">
        <v>1031</v>
      </c>
      <c r="Y257" s="5" t="s">
        <v>1154</v>
      </c>
      <c r="Z257" s="3" t="s">
        <v>1235</v>
      </c>
      <c r="AA257" s="43" t="s">
        <v>461</v>
      </c>
      <c r="AB257" s="142" t="s">
        <v>1344</v>
      </c>
      <c r="AC257" s="165">
        <v>45076</v>
      </c>
      <c r="AD257" s="165">
        <v>45199</v>
      </c>
      <c r="AE257" s="165">
        <f t="shared" si="121"/>
        <v>45199</v>
      </c>
      <c r="AF257" s="5"/>
      <c r="AG257" s="41"/>
      <c r="AH257" s="211"/>
      <c r="AI257" s="115"/>
      <c r="AJ257" s="115"/>
      <c r="AK257" s="221" t="e">
        <f>SUM(#REF!,BT257,BV257)</f>
        <v>#REF!</v>
      </c>
      <c r="AL257" s="153"/>
      <c r="AM257" s="153"/>
      <c r="AN257" s="153"/>
      <c r="AO257" s="153"/>
      <c r="AP257" s="153"/>
      <c r="AQ257" s="153"/>
      <c r="AR257" s="52"/>
      <c r="AS257" s="51"/>
      <c r="AT257" s="51"/>
      <c r="AU257" s="51"/>
      <c r="AV257" s="44">
        <v>244.75377</v>
      </c>
      <c r="AW257" s="44">
        <v>10.257199999999999</v>
      </c>
      <c r="AX257" s="90">
        <f t="shared" si="115"/>
        <v>255.01097000000001</v>
      </c>
      <c r="AY257" s="157">
        <f t="shared" si="98"/>
        <v>8.2791900000000016</v>
      </c>
      <c r="AZ257" s="182"/>
      <c r="BA257" s="158"/>
      <c r="BB257" s="182"/>
      <c r="BC257" s="159"/>
      <c r="BD257" s="182"/>
      <c r="BE257" s="158"/>
      <c r="BF257" s="182"/>
      <c r="BG257" s="158"/>
      <c r="BH257" s="182"/>
      <c r="BI257" s="158"/>
      <c r="BJ257" s="182"/>
      <c r="BK257" s="158"/>
      <c r="BL257" s="183"/>
      <c r="BM257" s="158"/>
      <c r="BN257" s="183"/>
      <c r="BO257" s="158"/>
      <c r="BP257" s="182"/>
      <c r="BQ257" s="158"/>
      <c r="BR257" s="182"/>
      <c r="BS257" s="158"/>
      <c r="BT257" s="182"/>
      <c r="BU257" s="158"/>
      <c r="BV257" s="182">
        <v>9</v>
      </c>
      <c r="BW257" s="234">
        <v>8.2791900000000016</v>
      </c>
      <c r="BX257" s="237">
        <v>8.2791900000000016</v>
      </c>
      <c r="BY257" s="81">
        <f t="shared" si="99"/>
        <v>215.45</v>
      </c>
      <c r="BZ257" s="242"/>
      <c r="CA257" s="242">
        <f>21+0.7</f>
        <v>21.7</v>
      </c>
      <c r="CB257" s="242">
        <v>30</v>
      </c>
      <c r="CC257" s="242">
        <v>50</v>
      </c>
      <c r="CD257" s="242">
        <v>80</v>
      </c>
      <c r="CE257" s="242">
        <v>33.75</v>
      </c>
      <c r="CF257" s="242"/>
      <c r="CG257" s="242"/>
      <c r="CH257" s="242"/>
      <c r="CI257" s="242"/>
      <c r="CJ257" s="242"/>
      <c r="CK257" s="242"/>
      <c r="CL257" s="195">
        <f>SUM(CM257:CX257)</f>
        <v>0</v>
      </c>
      <c r="CM257" s="197"/>
      <c r="CN257" s="197"/>
      <c r="CO257" s="197"/>
      <c r="CP257" s="197"/>
      <c r="CQ257" s="197"/>
      <c r="CR257" s="197"/>
      <c r="CS257" s="197"/>
      <c r="CT257" s="197"/>
      <c r="CU257" s="197"/>
      <c r="CV257" s="197"/>
      <c r="CW257" s="197"/>
      <c r="CX257" s="197"/>
      <c r="CY257" s="200">
        <f t="shared" si="116"/>
        <v>0.7208099999999984</v>
      </c>
      <c r="CZ257" s="172">
        <f t="shared" si="100"/>
        <v>0</v>
      </c>
      <c r="DA257" s="201">
        <f t="shared" si="117"/>
        <v>0</v>
      </c>
      <c r="DB257" s="201">
        <f t="shared" si="118"/>
        <v>8.2791900000000016</v>
      </c>
      <c r="DC257" s="201">
        <f>SUM(AY257,BY257)</f>
        <v>223.72918999999999</v>
      </c>
      <c r="DD257" s="239">
        <v>195</v>
      </c>
      <c r="DE257" s="201">
        <f>DC257-DD257</f>
        <v>28.729189999999988</v>
      </c>
      <c r="DF257" s="172" t="e">
        <f>SUM(DN257:DO257)-SUM(#REF!,BV257)+BU257</f>
        <v>#REF!</v>
      </c>
      <c r="DG257" s="207"/>
      <c r="DH257" s="225">
        <f>SUM(BA257,BC257,BE257)</f>
        <v>0</v>
      </c>
      <c r="DI257" s="225">
        <f>SUM(BG257,BI257,BK257)</f>
        <v>0</v>
      </c>
      <c r="DJ257" s="225">
        <f>SUM(BM257,BO257,BQ257)</f>
        <v>0</v>
      </c>
      <c r="DK257" s="225" t="e">
        <f>SUM(BS257,#REF!,BV257)</f>
        <v>#REF!</v>
      </c>
      <c r="DL257" s="145">
        <v>244.75377</v>
      </c>
      <c r="DM257" s="145">
        <v>8.2791899999999998</v>
      </c>
      <c r="DN257" s="145">
        <v>7.5472900000000003</v>
      </c>
      <c r="DO257" s="145">
        <v>15.02947</v>
      </c>
      <c r="DP257" s="145">
        <v>30.85595</v>
      </c>
      <c r="DQ257" s="145">
        <v>213.89782</v>
      </c>
      <c r="DS257" s="219">
        <f>BY257-DR257</f>
        <v>215.45</v>
      </c>
    </row>
    <row r="258" spans="1:123" s="21" customFormat="1" ht="24" customHeight="1">
      <c r="A258" s="16"/>
      <c r="B258" s="2">
        <v>156</v>
      </c>
      <c r="C258" s="79" t="s">
        <v>1239</v>
      </c>
      <c r="D258" s="79"/>
      <c r="E258" s="79"/>
      <c r="F258" s="39">
        <v>2021</v>
      </c>
      <c r="G258" s="40">
        <v>44476</v>
      </c>
      <c r="H258" s="178">
        <v>44519</v>
      </c>
      <c r="I258" s="40"/>
      <c r="J258" s="13">
        <f t="shared" ca="1" si="114"/>
        <v>-784.33599710647832</v>
      </c>
      <c r="K258" s="165">
        <f t="shared" si="111"/>
        <v>45066</v>
      </c>
      <c r="L258" s="165">
        <f t="shared" si="112"/>
        <v>45249</v>
      </c>
      <c r="M258" s="170"/>
      <c r="N258" s="170"/>
      <c r="O258" s="170"/>
      <c r="P258" s="170"/>
      <c r="Q258" s="170"/>
      <c r="R258" s="39" t="s">
        <v>175</v>
      </c>
      <c r="S258" s="11" t="s">
        <v>921</v>
      </c>
      <c r="T258" s="41" t="s">
        <v>911</v>
      </c>
      <c r="U258" s="5" t="s">
        <v>7</v>
      </c>
      <c r="V258" s="251">
        <v>4878328</v>
      </c>
      <c r="W258" s="5" t="s">
        <v>602</v>
      </c>
      <c r="X258" s="5" t="s">
        <v>901</v>
      </c>
      <c r="Y258" s="5" t="s">
        <v>1320</v>
      </c>
      <c r="Z258" s="3" t="s">
        <v>185</v>
      </c>
      <c r="AA258" s="43" t="s">
        <v>461</v>
      </c>
      <c r="AB258" s="151"/>
      <c r="AC258" s="165">
        <v>45066</v>
      </c>
      <c r="AD258" s="165">
        <v>45066</v>
      </c>
      <c r="AE258" s="165">
        <f t="shared" si="121"/>
        <v>45199</v>
      </c>
      <c r="AF258" s="5"/>
      <c r="AG258" s="41"/>
      <c r="AH258" s="212"/>
      <c r="AI258" s="115"/>
      <c r="AJ258" s="115"/>
      <c r="AK258" s="221" t="e">
        <f>SUM(#REF!,BT258,BV258)</f>
        <v>#REF!</v>
      </c>
      <c r="AL258" s="167"/>
      <c r="AM258" s="167"/>
      <c r="AN258" s="167"/>
      <c r="AO258" s="167"/>
      <c r="AP258" s="167"/>
      <c r="AQ258" s="167"/>
      <c r="AR258" s="52"/>
      <c r="AS258" s="51"/>
      <c r="AT258" s="51"/>
      <c r="AU258" s="51"/>
      <c r="AV258" s="44">
        <v>239</v>
      </c>
      <c r="AW258" s="44">
        <v>0</v>
      </c>
      <c r="AX258" s="90">
        <f t="shared" si="115"/>
        <v>239</v>
      </c>
      <c r="AY258" s="157">
        <f t="shared" si="98"/>
        <v>0</v>
      </c>
      <c r="AZ258" s="182"/>
      <c r="BA258" s="158"/>
      <c r="BB258" s="182"/>
      <c r="BC258" s="159"/>
      <c r="BD258" s="182"/>
      <c r="BE258" s="158"/>
      <c r="BF258" s="182"/>
      <c r="BG258" s="158"/>
      <c r="BH258" s="182"/>
      <c r="BI258" s="158"/>
      <c r="BJ258" s="182"/>
      <c r="BK258" s="158"/>
      <c r="BL258" s="183"/>
      <c r="BM258" s="158"/>
      <c r="BN258" s="183"/>
      <c r="BO258" s="158"/>
      <c r="BP258" s="182"/>
      <c r="BQ258" s="158"/>
      <c r="BR258" s="182"/>
      <c r="BS258" s="158"/>
      <c r="BT258" s="182"/>
      <c r="BU258" s="158"/>
      <c r="BV258" s="182"/>
      <c r="BW258" s="234"/>
      <c r="BX258" s="237"/>
      <c r="BY258" s="81">
        <f t="shared" si="99"/>
        <v>239</v>
      </c>
      <c r="BZ258" s="242"/>
      <c r="CA258" s="242"/>
      <c r="CB258" s="242">
        <v>40</v>
      </c>
      <c r="CC258" s="242">
        <v>40</v>
      </c>
      <c r="CD258" s="242">
        <v>40</v>
      </c>
      <c r="CE258" s="242">
        <v>40</v>
      </c>
      <c r="CF258" s="242">
        <v>40</v>
      </c>
      <c r="CG258" s="242">
        <v>39</v>
      </c>
      <c r="CH258" s="242"/>
      <c r="CI258" s="242"/>
      <c r="CJ258" s="242"/>
      <c r="CK258" s="242"/>
      <c r="CL258" s="195"/>
      <c r="CM258" s="197"/>
      <c r="CN258" s="197"/>
      <c r="CO258" s="197"/>
      <c r="CP258" s="197"/>
      <c r="CQ258" s="197"/>
      <c r="CR258" s="197"/>
      <c r="CS258" s="197"/>
      <c r="CT258" s="197"/>
      <c r="CU258" s="197"/>
      <c r="CV258" s="197"/>
      <c r="CW258" s="197"/>
      <c r="CX258" s="197"/>
      <c r="CY258" s="200">
        <f t="shared" si="116"/>
        <v>0</v>
      </c>
      <c r="CZ258" s="172">
        <f t="shared" si="100"/>
        <v>0</v>
      </c>
      <c r="DA258" s="201">
        <f t="shared" si="117"/>
        <v>0</v>
      </c>
      <c r="DB258" s="201">
        <f t="shared" si="118"/>
        <v>0</v>
      </c>
      <c r="DC258" s="201">
        <f>SUM(AY258,BY258)</f>
        <v>239</v>
      </c>
      <c r="DD258" s="239"/>
      <c r="DE258" s="201"/>
      <c r="DF258" s="172"/>
      <c r="DG258" s="231"/>
      <c r="DH258" s="225"/>
      <c r="DI258" s="225"/>
      <c r="DJ258" s="225"/>
      <c r="DK258" s="225"/>
      <c r="DL258" s="145">
        <v>239</v>
      </c>
      <c r="DM258" s="145">
        <v>0</v>
      </c>
      <c r="DN258" s="145">
        <v>0</v>
      </c>
      <c r="DO258" s="145">
        <v>173.74420000000001</v>
      </c>
      <c r="DP258" s="145">
        <v>173.74420000000001</v>
      </c>
      <c r="DQ258" s="145">
        <v>65.255800000000008</v>
      </c>
      <c r="DS258" s="219"/>
    </row>
    <row r="259" spans="1:123" s="21" customFormat="1" ht="24" customHeight="1">
      <c r="A259" s="16"/>
      <c r="B259" s="2"/>
      <c r="C259" s="79" t="s">
        <v>1271</v>
      </c>
      <c r="D259" s="226"/>
      <c r="E259" s="79"/>
      <c r="F259" s="39">
        <v>2021</v>
      </c>
      <c r="G259" s="40">
        <v>44518</v>
      </c>
      <c r="H259" s="40">
        <v>44532</v>
      </c>
      <c r="I259" s="40"/>
      <c r="J259" s="13">
        <f t="shared" ca="1" si="114"/>
        <v>-770.33599710647832</v>
      </c>
      <c r="K259" s="165">
        <f t="shared" si="111"/>
        <v>45079</v>
      </c>
      <c r="L259" s="165">
        <f t="shared" si="112"/>
        <v>45262</v>
      </c>
      <c r="M259" s="170"/>
      <c r="N259" s="170"/>
      <c r="O259" s="170"/>
      <c r="P259" s="170"/>
      <c r="Q259" s="170"/>
      <c r="R259" s="39" t="s">
        <v>177</v>
      </c>
      <c r="S259" s="11" t="s">
        <v>222</v>
      </c>
      <c r="T259" s="41" t="s">
        <v>917</v>
      </c>
      <c r="U259" s="5" t="s">
        <v>7</v>
      </c>
      <c r="V259" s="251"/>
      <c r="W259" s="5" t="s">
        <v>602</v>
      </c>
      <c r="X259" s="5" t="s">
        <v>478</v>
      </c>
      <c r="Y259" s="5" t="s">
        <v>1278</v>
      </c>
      <c r="Z259" s="3" t="s">
        <v>180</v>
      </c>
      <c r="AA259" s="43" t="s">
        <v>461</v>
      </c>
      <c r="AB259" s="142" t="s">
        <v>1272</v>
      </c>
      <c r="AC259" s="165">
        <v>45079</v>
      </c>
      <c r="AD259" s="165">
        <v>45201</v>
      </c>
      <c r="AE259" s="165">
        <v>45201</v>
      </c>
      <c r="AF259" s="5"/>
      <c r="AG259" s="41"/>
      <c r="AH259" s="211"/>
      <c r="AI259" s="115"/>
      <c r="AJ259" s="115"/>
      <c r="AK259" s="221" t="e">
        <f>SUM(#REF!,BT259,BV259)</f>
        <v>#REF!</v>
      </c>
      <c r="AL259" s="153"/>
      <c r="AM259" s="153"/>
      <c r="AN259" s="153"/>
      <c r="AO259" s="153"/>
      <c r="AP259" s="153"/>
      <c r="AQ259" s="153"/>
      <c r="AR259" s="52"/>
      <c r="AS259" s="51"/>
      <c r="AT259" s="51"/>
      <c r="AU259" s="51"/>
      <c r="AV259" s="44">
        <v>233.4</v>
      </c>
      <c r="AW259" s="44">
        <v>19.5</v>
      </c>
      <c r="AX259" s="90">
        <f t="shared" si="115"/>
        <v>252.9</v>
      </c>
      <c r="AY259" s="157">
        <f t="shared" si="98"/>
        <v>15.53795</v>
      </c>
      <c r="AZ259" s="182"/>
      <c r="BA259" s="158"/>
      <c r="BB259" s="182"/>
      <c r="BC259" s="159"/>
      <c r="BD259" s="182"/>
      <c r="BE259" s="158"/>
      <c r="BF259" s="182"/>
      <c r="BG259" s="158"/>
      <c r="BH259" s="182"/>
      <c r="BI259" s="158"/>
      <c r="BJ259" s="182"/>
      <c r="BK259" s="158"/>
      <c r="BL259" s="183"/>
      <c r="BM259" s="158"/>
      <c r="BN259" s="183"/>
      <c r="BO259" s="158"/>
      <c r="BP259" s="182"/>
      <c r="BQ259" s="158"/>
      <c r="BR259" s="182"/>
      <c r="BS259" s="158"/>
      <c r="BT259" s="182"/>
      <c r="BU259" s="158"/>
      <c r="BV259" s="182"/>
      <c r="BW259" s="234">
        <v>15.53795</v>
      </c>
      <c r="BX259" s="237">
        <v>15.53795</v>
      </c>
      <c r="BY259" s="81">
        <f t="shared" si="99"/>
        <v>217.9</v>
      </c>
      <c r="BZ259" s="242">
        <f>35-15.5</f>
        <v>19.5</v>
      </c>
      <c r="CA259" s="242">
        <v>35</v>
      </c>
      <c r="CB259" s="242">
        <v>25</v>
      </c>
      <c r="CC259" s="242">
        <v>27</v>
      </c>
      <c r="CD259" s="242">
        <v>30</v>
      </c>
      <c r="CE259" s="242">
        <v>27.4</v>
      </c>
      <c r="CF259" s="242">
        <v>27</v>
      </c>
      <c r="CG259" s="242">
        <v>27</v>
      </c>
      <c r="CH259" s="242"/>
      <c r="CI259" s="242"/>
      <c r="CJ259" s="242"/>
      <c r="CK259" s="242"/>
      <c r="CL259" s="195"/>
      <c r="CM259" s="197"/>
      <c r="CN259" s="197"/>
      <c r="CO259" s="197"/>
      <c r="CP259" s="197"/>
      <c r="CQ259" s="197"/>
      <c r="CR259" s="197"/>
      <c r="CS259" s="197"/>
      <c r="CT259" s="197"/>
      <c r="CU259" s="197"/>
      <c r="CV259" s="197"/>
      <c r="CW259" s="197"/>
      <c r="CX259" s="197"/>
      <c r="CY259" s="200">
        <f t="shared" si="116"/>
        <v>-15.53795</v>
      </c>
      <c r="CZ259" s="172">
        <f t="shared" si="100"/>
        <v>0</v>
      </c>
      <c r="DA259" s="201">
        <f t="shared" si="117"/>
        <v>0</v>
      </c>
      <c r="DB259" s="201">
        <f t="shared" si="118"/>
        <v>15.53795</v>
      </c>
      <c r="DC259" s="201"/>
      <c r="DD259" s="239"/>
      <c r="DE259" s="201"/>
      <c r="DF259" s="172"/>
      <c r="DG259" s="207"/>
      <c r="DH259" s="225"/>
      <c r="DI259" s="225"/>
      <c r="DJ259" s="225"/>
      <c r="DK259" s="225"/>
      <c r="DL259" s="145">
        <v>233.4</v>
      </c>
      <c r="DM259" s="145">
        <v>15.53795</v>
      </c>
      <c r="DN259" s="145">
        <v>15.68718</v>
      </c>
      <c r="DO259" s="145">
        <v>0</v>
      </c>
      <c r="DP259" s="145">
        <v>31.22513</v>
      </c>
      <c r="DQ259" s="145">
        <v>202.17487</v>
      </c>
      <c r="DS259" s="219"/>
    </row>
    <row r="260" spans="1:123" s="21" customFormat="1" ht="24" customHeight="1">
      <c r="A260" s="16"/>
      <c r="B260" s="2"/>
      <c r="C260" s="79" t="s">
        <v>1233</v>
      </c>
      <c r="D260" s="226" t="s">
        <v>592</v>
      </c>
      <c r="E260" s="79"/>
      <c r="F260" s="39">
        <v>2021</v>
      </c>
      <c r="G260" s="40">
        <v>44477</v>
      </c>
      <c r="H260" s="40">
        <v>44522</v>
      </c>
      <c r="I260" s="40"/>
      <c r="J260" s="13">
        <f t="shared" ca="1" si="114"/>
        <v>-781.33599710647832</v>
      </c>
      <c r="K260" s="165">
        <f t="shared" si="111"/>
        <v>45069</v>
      </c>
      <c r="L260" s="165">
        <f t="shared" si="112"/>
        <v>45252</v>
      </c>
      <c r="M260" s="170"/>
      <c r="N260" s="165"/>
      <c r="O260" s="170"/>
      <c r="P260" s="170"/>
      <c r="Q260" s="170"/>
      <c r="R260" s="39" t="s">
        <v>177</v>
      </c>
      <c r="S260" s="11"/>
      <c r="T260" s="41"/>
      <c r="U260" s="5" t="s">
        <v>7</v>
      </c>
      <c r="V260" s="251">
        <v>4878446</v>
      </c>
      <c r="W260" s="5" t="s">
        <v>602</v>
      </c>
      <c r="X260" s="5" t="s">
        <v>478</v>
      </c>
      <c r="Y260" s="5" t="s">
        <v>1321</v>
      </c>
      <c r="Z260" s="3" t="s">
        <v>180</v>
      </c>
      <c r="AA260" s="43" t="s">
        <v>461</v>
      </c>
      <c r="AB260" s="142" t="s">
        <v>1236</v>
      </c>
      <c r="AC260" s="165">
        <v>45076</v>
      </c>
      <c r="AD260" s="165">
        <v>45199</v>
      </c>
      <c r="AE260" s="165">
        <f>IFERROR(EOMONTH(L260,-2),"")</f>
        <v>45199</v>
      </c>
      <c r="AF260" s="5"/>
      <c r="AG260" s="41"/>
      <c r="AH260" s="211"/>
      <c r="AI260" s="115"/>
      <c r="AJ260" s="115"/>
      <c r="AK260" s="221" t="e">
        <f>SUM(#REF!,BT260,BV260)</f>
        <v>#REF!</v>
      </c>
      <c r="AL260" s="153"/>
      <c r="AM260" s="153"/>
      <c r="AN260" s="153"/>
      <c r="AO260" s="153"/>
      <c r="AP260" s="153"/>
      <c r="AQ260" s="153"/>
      <c r="AR260" s="52"/>
      <c r="AS260" s="51"/>
      <c r="AT260" s="51"/>
      <c r="AU260" s="51"/>
      <c r="AV260" s="44">
        <v>74</v>
      </c>
      <c r="AW260" s="44"/>
      <c r="AX260" s="90">
        <f t="shared" si="115"/>
        <v>74</v>
      </c>
      <c r="AY260" s="157">
        <f t="shared" si="98"/>
        <v>43.119990000000001</v>
      </c>
      <c r="AZ260" s="182"/>
      <c r="BA260" s="158"/>
      <c r="BB260" s="182"/>
      <c r="BC260" s="159"/>
      <c r="BD260" s="182"/>
      <c r="BE260" s="158"/>
      <c r="BF260" s="182"/>
      <c r="BG260" s="158"/>
      <c r="BH260" s="182"/>
      <c r="BI260" s="158"/>
      <c r="BJ260" s="182"/>
      <c r="BK260" s="158"/>
      <c r="BL260" s="183"/>
      <c r="BM260" s="158"/>
      <c r="BN260" s="183"/>
      <c r="BO260" s="158"/>
      <c r="BP260" s="182"/>
      <c r="BQ260" s="158"/>
      <c r="BR260" s="182"/>
      <c r="BS260" s="158"/>
      <c r="BT260" s="182"/>
      <c r="BU260" s="158"/>
      <c r="BV260" s="182"/>
      <c r="BW260" s="234">
        <v>43.119990000000001</v>
      </c>
      <c r="BX260" s="237">
        <v>43.119990000000001</v>
      </c>
      <c r="BY260" s="81">
        <f t="shared" si="99"/>
        <v>30.9</v>
      </c>
      <c r="BZ260" s="242"/>
      <c r="CA260" s="242"/>
      <c r="CB260" s="242"/>
      <c r="CC260" s="242">
        <f>54-23.1</f>
        <v>30.9</v>
      </c>
      <c r="CD260" s="242"/>
      <c r="CE260" s="242"/>
      <c r="CF260" s="242"/>
      <c r="CG260" s="242"/>
      <c r="CH260" s="242"/>
      <c r="CI260" s="242"/>
      <c r="CJ260" s="242"/>
      <c r="CK260" s="242"/>
      <c r="CL260" s="195"/>
      <c r="CM260" s="197"/>
      <c r="CN260" s="197"/>
      <c r="CO260" s="197"/>
      <c r="CP260" s="197"/>
      <c r="CQ260" s="197"/>
      <c r="CR260" s="197"/>
      <c r="CS260" s="197"/>
      <c r="CT260" s="197"/>
      <c r="CU260" s="197"/>
      <c r="CV260" s="197"/>
      <c r="CW260" s="197"/>
      <c r="CX260" s="197"/>
      <c r="CY260" s="200">
        <f t="shared" si="116"/>
        <v>-43.119990000000001</v>
      </c>
      <c r="CZ260" s="172">
        <f t="shared" si="100"/>
        <v>0</v>
      </c>
      <c r="DA260" s="201">
        <f t="shared" si="117"/>
        <v>0</v>
      </c>
      <c r="DB260" s="201">
        <f t="shared" si="118"/>
        <v>43.119990000000001</v>
      </c>
      <c r="DC260" s="201"/>
      <c r="DD260" s="239"/>
      <c r="DE260" s="201"/>
      <c r="DF260" s="172"/>
      <c r="DG260" s="207"/>
      <c r="DH260" s="225"/>
      <c r="DI260" s="225"/>
      <c r="DJ260" s="225"/>
      <c r="DK260" s="225"/>
      <c r="DL260" s="145">
        <v>74</v>
      </c>
      <c r="DM260" s="145">
        <v>43.119990000000001</v>
      </c>
      <c r="DN260" s="145">
        <v>0</v>
      </c>
      <c r="DO260" s="145">
        <v>0</v>
      </c>
      <c r="DP260" s="145">
        <v>43.119990000000001</v>
      </c>
      <c r="DQ260" s="145">
        <v>30.880009999999999</v>
      </c>
      <c r="DS260" s="219"/>
    </row>
    <row r="261" spans="1:123" s="21" customFormat="1" ht="24" customHeight="1">
      <c r="A261" s="16"/>
      <c r="B261" s="2"/>
      <c r="C261" s="79" t="s">
        <v>1237</v>
      </c>
      <c r="D261" s="226" t="s">
        <v>592</v>
      </c>
      <c r="E261" s="79"/>
      <c r="F261" s="39">
        <v>2021</v>
      </c>
      <c r="G261" s="40">
        <v>44480</v>
      </c>
      <c r="H261" s="40">
        <v>44522</v>
      </c>
      <c r="I261" s="40"/>
      <c r="J261" s="13">
        <f t="shared" ca="1" si="114"/>
        <v>-781.33599710647832</v>
      </c>
      <c r="K261" s="165">
        <f t="shared" si="111"/>
        <v>45069</v>
      </c>
      <c r="L261" s="165">
        <f t="shared" si="112"/>
        <v>45252</v>
      </c>
      <c r="M261" s="170"/>
      <c r="N261" s="170"/>
      <c r="O261" s="170"/>
      <c r="P261" s="170"/>
      <c r="Q261" s="170"/>
      <c r="R261" s="39" t="s">
        <v>175</v>
      </c>
      <c r="S261" s="11" t="s">
        <v>4</v>
      </c>
      <c r="T261" s="41" t="s">
        <v>904</v>
      </c>
      <c r="U261" s="5" t="s">
        <v>7</v>
      </c>
      <c r="V261" s="251">
        <v>4878535</v>
      </c>
      <c r="W261" s="5" t="s">
        <v>602</v>
      </c>
      <c r="X261" s="5" t="s">
        <v>474</v>
      </c>
      <c r="Y261" s="5" t="s">
        <v>1323</v>
      </c>
      <c r="Z261" s="3" t="s">
        <v>180</v>
      </c>
      <c r="AA261" s="43" t="s">
        <v>461</v>
      </c>
      <c r="AB261" s="142" t="s">
        <v>1236</v>
      </c>
      <c r="AC261" s="165">
        <v>45076</v>
      </c>
      <c r="AD261" s="165">
        <v>45199</v>
      </c>
      <c r="AE261" s="165">
        <f>IFERROR(EOMONTH(L261,-2),"")</f>
        <v>45199</v>
      </c>
      <c r="AF261" s="5"/>
      <c r="AG261" s="41"/>
      <c r="AH261" s="211"/>
      <c r="AI261" s="115"/>
      <c r="AJ261" s="115"/>
      <c r="AK261" s="221" t="e">
        <f>SUM(#REF!,BT261,BV261)</f>
        <v>#REF!</v>
      </c>
      <c r="AL261" s="153"/>
      <c r="AM261" s="153"/>
      <c r="AN261" s="153"/>
      <c r="AO261" s="153"/>
      <c r="AP261" s="153"/>
      <c r="AQ261" s="153"/>
      <c r="AR261" s="52"/>
      <c r="AS261" s="51"/>
      <c r="AT261" s="51"/>
      <c r="AU261" s="51"/>
      <c r="AV261" s="44">
        <v>132.41499999999999</v>
      </c>
      <c r="AW261" s="44"/>
      <c r="AX261" s="90">
        <f t="shared" si="115"/>
        <v>132.41499999999999</v>
      </c>
      <c r="AY261" s="157">
        <f t="shared" si="98"/>
        <v>0</v>
      </c>
      <c r="AZ261" s="182"/>
      <c r="BA261" s="158"/>
      <c r="BB261" s="182"/>
      <c r="BC261" s="159"/>
      <c r="BD261" s="182"/>
      <c r="BE261" s="158"/>
      <c r="BF261" s="182"/>
      <c r="BG261" s="158"/>
      <c r="BH261" s="182"/>
      <c r="BI261" s="158"/>
      <c r="BJ261" s="182"/>
      <c r="BK261" s="158"/>
      <c r="BL261" s="183"/>
      <c r="BM261" s="158"/>
      <c r="BN261" s="183"/>
      <c r="BO261" s="158"/>
      <c r="BP261" s="182"/>
      <c r="BQ261" s="158"/>
      <c r="BR261" s="182"/>
      <c r="BS261" s="158"/>
      <c r="BT261" s="182"/>
      <c r="BU261" s="158"/>
      <c r="BV261" s="182"/>
      <c r="BW261" s="234"/>
      <c r="BX261" s="237"/>
      <c r="BY261" s="81">
        <f t="shared" si="99"/>
        <v>132.42000000000002</v>
      </c>
      <c r="BZ261" s="242"/>
      <c r="CA261" s="242">
        <v>27</v>
      </c>
      <c r="CB261" s="242">
        <v>27</v>
      </c>
      <c r="CC261" s="242">
        <v>41</v>
      </c>
      <c r="CD261" s="242">
        <v>37.42</v>
      </c>
      <c r="CE261" s="242"/>
      <c r="CF261" s="242"/>
      <c r="CG261" s="242"/>
      <c r="CH261" s="242"/>
      <c r="CI261" s="242"/>
      <c r="CJ261" s="242"/>
      <c r="CK261" s="242"/>
      <c r="CL261" s="195"/>
      <c r="CM261" s="197"/>
      <c r="CN261" s="197"/>
      <c r="CO261" s="197"/>
      <c r="CP261" s="197"/>
      <c r="CQ261" s="197"/>
      <c r="CR261" s="197"/>
      <c r="CS261" s="197"/>
      <c r="CT261" s="197"/>
      <c r="CU261" s="197"/>
      <c r="CV261" s="197"/>
      <c r="CW261" s="197"/>
      <c r="CX261" s="197"/>
      <c r="CY261" s="200">
        <f t="shared" si="116"/>
        <v>0</v>
      </c>
      <c r="CZ261" s="172">
        <f t="shared" si="100"/>
        <v>0</v>
      </c>
      <c r="DA261" s="201">
        <f t="shared" si="117"/>
        <v>0</v>
      </c>
      <c r="DB261" s="201">
        <f t="shared" si="118"/>
        <v>0</v>
      </c>
      <c r="DC261" s="201"/>
      <c r="DD261" s="239"/>
      <c r="DE261" s="201"/>
      <c r="DF261" s="172"/>
      <c r="DG261" s="207"/>
      <c r="DH261" s="225"/>
      <c r="DI261" s="225"/>
      <c r="DJ261" s="225"/>
      <c r="DK261" s="225"/>
      <c r="DL261" s="145">
        <v>132.41499999999999</v>
      </c>
      <c r="DM261" s="145">
        <v>0</v>
      </c>
      <c r="DN261" s="145">
        <v>95.65513</v>
      </c>
      <c r="DO261" s="145">
        <v>21.42</v>
      </c>
      <c r="DP261" s="145">
        <v>117.07513</v>
      </c>
      <c r="DQ261" s="145">
        <v>15.339870000000001</v>
      </c>
      <c r="DS261" s="219"/>
    </row>
    <row r="262" spans="1:123" s="21" customFormat="1" ht="24" customHeight="1">
      <c r="A262" s="16"/>
      <c r="B262" s="2"/>
      <c r="C262" s="79" t="s">
        <v>1238</v>
      </c>
      <c r="D262" s="226" t="s">
        <v>592</v>
      </c>
      <c r="E262" s="79"/>
      <c r="F262" s="39">
        <v>2021</v>
      </c>
      <c r="G262" s="40">
        <v>44482</v>
      </c>
      <c r="H262" s="40">
        <v>44522</v>
      </c>
      <c r="I262" s="40"/>
      <c r="J262" s="13">
        <f t="shared" ca="1" si="114"/>
        <v>-781.33599710647832</v>
      </c>
      <c r="K262" s="165">
        <f t="shared" si="111"/>
        <v>45069</v>
      </c>
      <c r="L262" s="165">
        <f t="shared" si="112"/>
        <v>45252</v>
      </c>
      <c r="M262" s="170"/>
      <c r="N262" s="170"/>
      <c r="O262" s="170"/>
      <c r="P262" s="170"/>
      <c r="Q262" s="170"/>
      <c r="R262" s="39" t="s">
        <v>175</v>
      </c>
      <c r="S262" s="11" t="s">
        <v>4</v>
      </c>
      <c r="T262" s="41" t="s">
        <v>905</v>
      </c>
      <c r="U262" s="5" t="s">
        <v>7</v>
      </c>
      <c r="V262" s="251">
        <v>4878797</v>
      </c>
      <c r="W262" s="5" t="s">
        <v>602</v>
      </c>
      <c r="X262" s="5" t="s">
        <v>474</v>
      </c>
      <c r="Y262" s="5" t="s">
        <v>1324</v>
      </c>
      <c r="Z262" s="3" t="s">
        <v>180</v>
      </c>
      <c r="AA262" s="43" t="s">
        <v>461</v>
      </c>
      <c r="AB262" s="142" t="s">
        <v>1236</v>
      </c>
      <c r="AC262" s="165">
        <v>45076</v>
      </c>
      <c r="AD262" s="165">
        <v>45199</v>
      </c>
      <c r="AE262" s="165">
        <f>IFERROR(EOMONTH(L262,-2),"")</f>
        <v>45199</v>
      </c>
      <c r="AF262" s="5"/>
      <c r="AG262" s="41"/>
      <c r="AH262" s="211"/>
      <c r="AI262" s="115"/>
      <c r="AJ262" s="115"/>
      <c r="AK262" s="221" t="e">
        <f>SUM(#REF!,BT262,BV262)</f>
        <v>#REF!</v>
      </c>
      <c r="AL262" s="153"/>
      <c r="AM262" s="153"/>
      <c r="AN262" s="153"/>
      <c r="AO262" s="153"/>
      <c r="AP262" s="153"/>
      <c r="AQ262" s="153"/>
      <c r="AR262" s="52"/>
      <c r="AS262" s="51"/>
      <c r="AT262" s="51"/>
      <c r="AU262" s="51"/>
      <c r="AV262" s="44">
        <v>56.115000000000002</v>
      </c>
      <c r="AW262" s="44"/>
      <c r="AX262" s="90">
        <f t="shared" si="115"/>
        <v>56.115000000000002</v>
      </c>
      <c r="AY262" s="157">
        <f t="shared" ref="AY262:AY274" si="122">BA262+BC262+BE262+BG262+BI262+BK262+BM262+BO262+BQ262+BS262+BU262+BX262</f>
        <v>0</v>
      </c>
      <c r="AZ262" s="182"/>
      <c r="BA262" s="158"/>
      <c r="BB262" s="182"/>
      <c r="BC262" s="159"/>
      <c r="BD262" s="182"/>
      <c r="BE262" s="158"/>
      <c r="BF262" s="182"/>
      <c r="BG262" s="158"/>
      <c r="BH262" s="182"/>
      <c r="BI262" s="158"/>
      <c r="BJ262" s="182"/>
      <c r="BK262" s="158"/>
      <c r="BL262" s="183"/>
      <c r="BM262" s="158"/>
      <c r="BN262" s="183"/>
      <c r="BO262" s="158"/>
      <c r="BP262" s="182"/>
      <c r="BQ262" s="158"/>
      <c r="BR262" s="182"/>
      <c r="BS262" s="158"/>
      <c r="BT262" s="182"/>
      <c r="BU262" s="158"/>
      <c r="BV262" s="182"/>
      <c r="BW262" s="234"/>
      <c r="BX262" s="237"/>
      <c r="BY262" s="81">
        <f t="shared" ref="BY262:BY274" si="123">SUM(BZ262:CK262)</f>
        <v>56.120000000000005</v>
      </c>
      <c r="BZ262" s="242"/>
      <c r="CA262" s="242">
        <v>29</v>
      </c>
      <c r="CB262" s="242">
        <v>27.12</v>
      </c>
      <c r="CC262" s="242"/>
      <c r="CD262" s="242"/>
      <c r="CE262" s="242"/>
      <c r="CF262" s="242"/>
      <c r="CG262" s="242"/>
      <c r="CH262" s="242"/>
      <c r="CI262" s="242"/>
      <c r="CJ262" s="242"/>
      <c r="CK262" s="242"/>
      <c r="CL262" s="195"/>
      <c r="CM262" s="197"/>
      <c r="CN262" s="197"/>
      <c r="CO262" s="197"/>
      <c r="CP262" s="197"/>
      <c r="CQ262" s="197"/>
      <c r="CR262" s="197"/>
      <c r="CS262" s="197"/>
      <c r="CT262" s="197"/>
      <c r="CU262" s="197"/>
      <c r="CV262" s="197"/>
      <c r="CW262" s="197"/>
      <c r="CX262" s="197"/>
      <c r="CY262" s="200">
        <f t="shared" si="116"/>
        <v>0</v>
      </c>
      <c r="CZ262" s="172">
        <f t="shared" ref="CZ262:CZ274" si="124">BW262-BX262</f>
        <v>0</v>
      </c>
      <c r="DA262" s="201">
        <f t="shared" si="117"/>
        <v>0</v>
      </c>
      <c r="DB262" s="201">
        <f t="shared" si="118"/>
        <v>0</v>
      </c>
      <c r="DC262" s="201"/>
      <c r="DD262" s="239"/>
      <c r="DE262" s="201"/>
      <c r="DF262" s="172"/>
      <c r="DG262" s="207"/>
      <c r="DH262" s="225"/>
      <c r="DI262" s="225"/>
      <c r="DJ262" s="225"/>
      <c r="DK262" s="225"/>
      <c r="DL262" s="145">
        <v>56.115000000000002</v>
      </c>
      <c r="DM262" s="145">
        <v>0</v>
      </c>
      <c r="DN262" s="145">
        <v>23.301069999999999</v>
      </c>
      <c r="DO262" s="145">
        <v>24.13185</v>
      </c>
      <c r="DP262" s="145">
        <v>47.432919999999996</v>
      </c>
      <c r="DQ262" s="145">
        <v>8.6820799999999991</v>
      </c>
      <c r="DS262" s="219"/>
    </row>
    <row r="263" spans="1:123" s="21" customFormat="1" ht="24" customHeight="1">
      <c r="A263" s="16"/>
      <c r="B263" s="2"/>
      <c r="C263" s="79" t="s">
        <v>1354</v>
      </c>
      <c r="D263" s="79"/>
      <c r="E263" s="79"/>
      <c r="F263" s="39">
        <v>2021</v>
      </c>
      <c r="G263" s="40"/>
      <c r="H263" s="40"/>
      <c r="I263" s="40"/>
      <c r="J263" s="13" t="str">
        <f t="shared" ca="1" si="114"/>
        <v/>
      </c>
      <c r="K263" s="165" t="str">
        <f t="shared" si="111"/>
        <v/>
      </c>
      <c r="L263" s="165" t="str">
        <f t="shared" si="112"/>
        <v/>
      </c>
      <c r="M263" s="170"/>
      <c r="N263" s="170"/>
      <c r="O263" s="170"/>
      <c r="P263" s="170"/>
      <c r="Q263" s="170"/>
      <c r="R263" s="39" t="s">
        <v>175</v>
      </c>
      <c r="S263" s="11" t="s">
        <v>4</v>
      </c>
      <c r="T263" s="41" t="s">
        <v>904</v>
      </c>
      <c r="U263" s="5" t="s">
        <v>1014</v>
      </c>
      <c r="V263" s="251"/>
      <c r="W263" s="5" t="s">
        <v>602</v>
      </c>
      <c r="X263" s="5" t="s">
        <v>799</v>
      </c>
      <c r="Y263" s="5" t="s">
        <v>1325</v>
      </c>
      <c r="Z263" s="3" t="s">
        <v>182</v>
      </c>
      <c r="AA263" s="43" t="s">
        <v>699</v>
      </c>
      <c r="AB263" s="142" t="s">
        <v>1066</v>
      </c>
      <c r="AC263" s="165"/>
      <c r="AD263" s="165"/>
      <c r="AE263" s="165"/>
      <c r="AF263" s="5"/>
      <c r="AG263" s="41"/>
      <c r="AH263" s="211"/>
      <c r="AI263" s="115"/>
      <c r="AJ263" s="115"/>
      <c r="AK263" s="221" t="e">
        <f>SUM(#REF!,BT263,BV263)</f>
        <v>#REF!</v>
      </c>
      <c r="AL263" s="153"/>
      <c r="AM263" s="153"/>
      <c r="AN263" s="153"/>
      <c r="AO263" s="153"/>
      <c r="AP263" s="153"/>
      <c r="AQ263" s="153"/>
      <c r="AR263" s="52"/>
      <c r="AS263" s="51"/>
      <c r="AT263" s="51"/>
      <c r="AU263" s="51"/>
      <c r="AV263" s="44"/>
      <c r="AW263" s="44"/>
      <c r="AX263" s="90">
        <f t="shared" si="115"/>
        <v>0</v>
      </c>
      <c r="AY263" s="157">
        <f t="shared" si="122"/>
        <v>0</v>
      </c>
      <c r="AZ263" s="182"/>
      <c r="BA263" s="158"/>
      <c r="BB263" s="182"/>
      <c r="BC263" s="159"/>
      <c r="BD263" s="182"/>
      <c r="BE263" s="158"/>
      <c r="BF263" s="182"/>
      <c r="BG263" s="158"/>
      <c r="BH263" s="182"/>
      <c r="BI263" s="158"/>
      <c r="BJ263" s="182"/>
      <c r="BK263" s="158"/>
      <c r="BL263" s="183"/>
      <c r="BM263" s="158"/>
      <c r="BN263" s="183"/>
      <c r="BO263" s="158"/>
      <c r="BP263" s="182"/>
      <c r="BQ263" s="158"/>
      <c r="BR263" s="182"/>
      <c r="BS263" s="158"/>
      <c r="BT263" s="182"/>
      <c r="BU263" s="158"/>
      <c r="BV263" s="182"/>
      <c r="BW263" s="234"/>
      <c r="BX263" s="237"/>
      <c r="BY263" s="81">
        <f t="shared" si="123"/>
        <v>9000</v>
      </c>
      <c r="BZ263" s="242">
        <v>0</v>
      </c>
      <c r="CA263" s="242">
        <v>0</v>
      </c>
      <c r="CB263" s="242">
        <v>0</v>
      </c>
      <c r="CC263" s="242">
        <v>0</v>
      </c>
      <c r="CD263" s="242">
        <v>0</v>
      </c>
      <c r="CE263" s="242"/>
      <c r="CF263" s="242"/>
      <c r="CG263" s="242">
        <v>9000</v>
      </c>
      <c r="CH263" s="242"/>
      <c r="CI263" s="242"/>
      <c r="CJ263" s="242"/>
      <c r="CK263" s="242">
        <v>0</v>
      </c>
      <c r="CL263" s="195">
        <f t="shared" ref="CL263:CL274" si="125">SUM(CM263:CX263)</f>
        <v>19000</v>
      </c>
      <c r="CM263" s="197">
        <f t="shared" ref="CM263:CX263" si="126">19000/12</f>
        <v>1583.3333333333333</v>
      </c>
      <c r="CN263" s="197">
        <f t="shared" si="126"/>
        <v>1583.3333333333333</v>
      </c>
      <c r="CO263" s="197">
        <f t="shared" si="126"/>
        <v>1583.3333333333333</v>
      </c>
      <c r="CP263" s="197">
        <f t="shared" si="126"/>
        <v>1583.3333333333333</v>
      </c>
      <c r="CQ263" s="197">
        <f t="shared" si="126"/>
        <v>1583.3333333333333</v>
      </c>
      <c r="CR263" s="197">
        <f t="shared" si="126"/>
        <v>1583.3333333333333</v>
      </c>
      <c r="CS263" s="197">
        <f t="shared" si="126"/>
        <v>1583.3333333333333</v>
      </c>
      <c r="CT263" s="197">
        <f t="shared" si="126"/>
        <v>1583.3333333333333</v>
      </c>
      <c r="CU263" s="197">
        <f t="shared" si="126"/>
        <v>1583.3333333333333</v>
      </c>
      <c r="CV263" s="197">
        <f t="shared" si="126"/>
        <v>1583.3333333333333</v>
      </c>
      <c r="CW263" s="197">
        <f t="shared" si="126"/>
        <v>1583.3333333333333</v>
      </c>
      <c r="CX263" s="197">
        <f t="shared" si="126"/>
        <v>1583.3333333333333</v>
      </c>
      <c r="CY263" s="200">
        <f t="shared" si="116"/>
        <v>0</v>
      </c>
      <c r="CZ263" s="172">
        <f t="shared" si="124"/>
        <v>0</v>
      </c>
      <c r="DA263" s="201">
        <f t="shared" si="117"/>
        <v>0</v>
      </c>
      <c r="DB263" s="201">
        <f t="shared" si="118"/>
        <v>0</v>
      </c>
      <c r="DC263" s="201">
        <f>SUM(AY263,BY263)</f>
        <v>9000</v>
      </c>
      <c r="DD263" s="239">
        <v>9000</v>
      </c>
      <c r="DE263" s="201">
        <f>DC263-DD263</f>
        <v>0</v>
      </c>
      <c r="DF263" s="172" t="e">
        <f>SUM(DN263:DO263)-SUM(#REF!,BV263)+BU263</f>
        <v>#REF!</v>
      </c>
      <c r="DG263" s="207"/>
      <c r="DH263" s="225">
        <f>SUM(BA263,BC263,BE263)</f>
        <v>0</v>
      </c>
      <c r="DI263" s="225">
        <f>SUM(BG263,BI263,BK263)</f>
        <v>0</v>
      </c>
      <c r="DJ263" s="225">
        <f>SUM(BM263,BO263,BQ263)</f>
        <v>0</v>
      </c>
      <c r="DK263" s="225" t="e">
        <f>SUM(BS263,#REF!,BV263)</f>
        <v>#REF!</v>
      </c>
      <c r="DL263" s="145">
        <v>0</v>
      </c>
      <c r="DM263" s="145">
        <v>0</v>
      </c>
      <c r="DN263" s="145">
        <v>0</v>
      </c>
      <c r="DO263" s="145">
        <v>0</v>
      </c>
      <c r="DP263" s="145">
        <v>0</v>
      </c>
      <c r="DQ263" s="145">
        <v>0</v>
      </c>
      <c r="DR263" s="21" t="e">
        <f>VLOOKUP(C263,[6]Database!$B$143:$AD$521,29,FALSE)</f>
        <v>#N/A</v>
      </c>
      <c r="DS263" s="219" t="e">
        <f>BY263-DR263</f>
        <v>#N/A</v>
      </c>
    </row>
    <row r="264" spans="1:123" s="21" customFormat="1" ht="24" customHeight="1">
      <c r="A264" s="16"/>
      <c r="B264" s="2"/>
      <c r="C264" s="79" t="s">
        <v>1356</v>
      </c>
      <c r="D264" s="79"/>
      <c r="E264" s="79"/>
      <c r="F264" s="39">
        <v>2022</v>
      </c>
      <c r="G264" s="40"/>
      <c r="H264" s="40"/>
      <c r="I264" s="40"/>
      <c r="J264" s="13" t="str">
        <f t="shared" ca="1" si="114"/>
        <v/>
      </c>
      <c r="K264" s="165"/>
      <c r="L264" s="165"/>
      <c r="M264" s="170"/>
      <c r="N264" s="170"/>
      <c r="O264" s="170"/>
      <c r="P264" s="170"/>
      <c r="Q264" s="170"/>
      <c r="R264" s="39" t="s">
        <v>175</v>
      </c>
      <c r="S264" s="11" t="s">
        <v>222</v>
      </c>
      <c r="T264" s="39" t="s">
        <v>601</v>
      </c>
      <c r="U264" s="5" t="s">
        <v>1014</v>
      </c>
      <c r="V264" s="251"/>
      <c r="W264" s="5" t="s">
        <v>602</v>
      </c>
      <c r="X264" s="5" t="s">
        <v>799</v>
      </c>
      <c r="Y264" s="5" t="s">
        <v>1326</v>
      </c>
      <c r="Z264" s="3" t="s">
        <v>180</v>
      </c>
      <c r="AA264" s="43" t="s">
        <v>699</v>
      </c>
      <c r="AB264" s="142" t="s">
        <v>1033</v>
      </c>
      <c r="AC264" s="165"/>
      <c r="AD264" s="165"/>
      <c r="AE264" s="165"/>
      <c r="AF264" s="5"/>
      <c r="AG264" s="41"/>
      <c r="AH264" s="211"/>
      <c r="AI264" s="115"/>
      <c r="AJ264" s="115"/>
      <c r="AK264" s="221" t="e">
        <f>SUM(#REF!,BT264,BV264)</f>
        <v>#REF!</v>
      </c>
      <c r="AL264" s="153"/>
      <c r="AM264" s="153"/>
      <c r="AN264" s="153"/>
      <c r="AO264" s="153"/>
      <c r="AP264" s="153"/>
      <c r="AQ264" s="153"/>
      <c r="AR264" s="52"/>
      <c r="AS264" s="51"/>
      <c r="AT264" s="51"/>
      <c r="AU264" s="51"/>
      <c r="AV264" s="44"/>
      <c r="AW264" s="44"/>
      <c r="AX264" s="90">
        <f t="shared" si="115"/>
        <v>0</v>
      </c>
      <c r="AY264" s="157">
        <f t="shared" si="122"/>
        <v>0</v>
      </c>
      <c r="AZ264" s="182"/>
      <c r="BA264" s="158"/>
      <c r="BB264" s="182"/>
      <c r="BC264" s="159"/>
      <c r="BD264" s="182"/>
      <c r="BE264" s="158"/>
      <c r="BF264" s="182"/>
      <c r="BG264" s="158"/>
      <c r="BH264" s="182"/>
      <c r="BI264" s="158"/>
      <c r="BJ264" s="182"/>
      <c r="BK264" s="158"/>
      <c r="BL264" s="183"/>
      <c r="BM264" s="158"/>
      <c r="BN264" s="183"/>
      <c r="BO264" s="158"/>
      <c r="BP264" s="182"/>
      <c r="BQ264" s="158"/>
      <c r="BR264" s="182"/>
      <c r="BS264" s="158"/>
      <c r="BT264" s="182"/>
      <c r="BU264" s="158"/>
      <c r="BV264" s="182"/>
      <c r="BW264" s="234"/>
      <c r="BX264" s="237"/>
      <c r="BY264" s="81">
        <f t="shared" si="123"/>
        <v>900</v>
      </c>
      <c r="BZ264" s="242"/>
      <c r="CA264" s="242"/>
      <c r="CB264" s="242"/>
      <c r="CC264" s="242">
        <f>900*0.15/3</f>
        <v>45</v>
      </c>
      <c r="CD264" s="242">
        <f>900*0.15/3</f>
        <v>45</v>
      </c>
      <c r="CE264" s="242">
        <f>900*0.15/3</f>
        <v>45</v>
      </c>
      <c r="CF264" s="242">
        <f>900*0.75/5</f>
        <v>135</v>
      </c>
      <c r="CG264" s="242">
        <f>900*0.75/5</f>
        <v>135</v>
      </c>
      <c r="CH264" s="242">
        <f>900*0.75/5</f>
        <v>135</v>
      </c>
      <c r="CI264" s="242">
        <f>900*0.75/5</f>
        <v>135</v>
      </c>
      <c r="CJ264" s="242">
        <f>900*0.75/5</f>
        <v>135</v>
      </c>
      <c r="CK264" s="242">
        <f>900*0.1/1</f>
        <v>90</v>
      </c>
      <c r="CL264" s="195">
        <f t="shared" si="125"/>
        <v>0</v>
      </c>
      <c r="CM264" s="197"/>
      <c r="CN264" s="197"/>
      <c r="CO264" s="197"/>
      <c r="CP264" s="197"/>
      <c r="CQ264" s="197"/>
      <c r="CR264" s="197"/>
      <c r="CS264" s="197"/>
      <c r="CT264" s="197"/>
      <c r="CU264" s="197"/>
      <c r="CV264" s="197"/>
      <c r="CW264" s="197"/>
      <c r="CX264" s="197"/>
      <c r="CY264" s="200">
        <f t="shared" si="116"/>
        <v>0</v>
      </c>
      <c r="CZ264" s="172">
        <f t="shared" si="124"/>
        <v>0</v>
      </c>
      <c r="DA264" s="201">
        <f t="shared" si="117"/>
        <v>0</v>
      </c>
      <c r="DB264" s="201">
        <f t="shared" si="118"/>
        <v>0</v>
      </c>
      <c r="DC264" s="201">
        <f>SUM(AY264,BY264)</f>
        <v>900</v>
      </c>
      <c r="DD264" s="239">
        <v>900</v>
      </c>
      <c r="DE264" s="201">
        <f>DC264-DD264</f>
        <v>0</v>
      </c>
      <c r="DF264" s="172" t="e">
        <f>SUM(DN264:DO264)-SUM(#REF!,BV264)+BU264</f>
        <v>#REF!</v>
      </c>
      <c r="DG264" s="207"/>
      <c r="DH264" s="225">
        <f>SUM(BA264,BC264,BE264)</f>
        <v>0</v>
      </c>
      <c r="DI264" s="225">
        <f>SUM(BG264,BI264,BK264)</f>
        <v>0</v>
      </c>
      <c r="DJ264" s="225">
        <f>SUM(BM264,BO264,BQ264)</f>
        <v>0</v>
      </c>
      <c r="DK264" s="225" t="e">
        <f>SUM(BS264,#REF!,BV264)</f>
        <v>#REF!</v>
      </c>
      <c r="DL264" s="145">
        <v>0</v>
      </c>
      <c r="DM264" s="145">
        <v>0</v>
      </c>
      <c r="DN264" s="145">
        <v>0</v>
      </c>
      <c r="DO264" s="145">
        <v>0</v>
      </c>
      <c r="DP264" s="145">
        <v>0</v>
      </c>
      <c r="DQ264" s="145">
        <v>0</v>
      </c>
      <c r="DS264" s="219">
        <f>BY264-DR264</f>
        <v>900</v>
      </c>
    </row>
    <row r="265" spans="1:123" s="21" customFormat="1" ht="24" customHeight="1">
      <c r="A265" s="16"/>
      <c r="B265" s="2"/>
      <c r="C265" s="79" t="s">
        <v>1380</v>
      </c>
      <c r="D265" s="79"/>
      <c r="E265" s="79"/>
      <c r="F265" s="39">
        <v>2022</v>
      </c>
      <c r="G265" s="40"/>
      <c r="H265" s="40"/>
      <c r="I265" s="40"/>
      <c r="J265" s="13" t="str">
        <f t="shared" ca="1" si="114"/>
        <v/>
      </c>
      <c r="K265" s="165" t="str">
        <f t="shared" ref="K265:K274" si="127">IF(H265="","",H265+547)</f>
        <v/>
      </c>
      <c r="L265" s="165" t="str">
        <f t="shared" ref="L265:L274" si="128">IF(H265="","",H265+730)</f>
        <v/>
      </c>
      <c r="M265" s="170"/>
      <c r="N265" s="170"/>
      <c r="O265" s="170"/>
      <c r="P265" s="170"/>
      <c r="Q265" s="170"/>
      <c r="R265" s="39" t="s">
        <v>175</v>
      </c>
      <c r="S265" s="11" t="s">
        <v>4</v>
      </c>
      <c r="T265" s="41" t="s">
        <v>905</v>
      </c>
      <c r="U265" s="5" t="s">
        <v>1014</v>
      </c>
      <c r="V265" s="251"/>
      <c r="W265" s="5" t="s">
        <v>602</v>
      </c>
      <c r="X265" s="5" t="s">
        <v>477</v>
      </c>
      <c r="Y265" s="5" t="s">
        <v>1355</v>
      </c>
      <c r="Z265" s="3" t="s">
        <v>315</v>
      </c>
      <c r="AA265" s="43" t="s">
        <v>699</v>
      </c>
      <c r="AB265" s="142"/>
      <c r="AC265" s="165"/>
      <c r="AD265" s="165"/>
      <c r="AE265" s="165"/>
      <c r="AF265" s="5"/>
      <c r="AG265" s="41"/>
      <c r="AH265" s="211"/>
      <c r="AI265" s="115"/>
      <c r="AJ265" s="115"/>
      <c r="AK265" s="221"/>
      <c r="AL265" s="153"/>
      <c r="AM265" s="153"/>
      <c r="AN265" s="153"/>
      <c r="AO265" s="153"/>
      <c r="AP265" s="153"/>
      <c r="AQ265" s="153"/>
      <c r="AR265" s="52"/>
      <c r="AS265" s="51"/>
      <c r="AT265" s="51"/>
      <c r="AU265" s="51"/>
      <c r="AV265" s="44"/>
      <c r="AW265" s="44"/>
      <c r="AX265" s="90"/>
      <c r="AY265" s="157">
        <f t="shared" si="122"/>
        <v>0</v>
      </c>
      <c r="AZ265" s="182"/>
      <c r="BA265" s="158"/>
      <c r="BB265" s="182"/>
      <c r="BC265" s="159"/>
      <c r="BD265" s="182"/>
      <c r="BE265" s="158"/>
      <c r="BF265" s="182"/>
      <c r="BG265" s="158"/>
      <c r="BH265" s="182"/>
      <c r="BI265" s="158"/>
      <c r="BJ265" s="182"/>
      <c r="BK265" s="158"/>
      <c r="BL265" s="183"/>
      <c r="BM265" s="158"/>
      <c r="BN265" s="183"/>
      <c r="BO265" s="158"/>
      <c r="BP265" s="182"/>
      <c r="BQ265" s="158"/>
      <c r="BR265" s="182"/>
      <c r="BS265" s="158"/>
      <c r="BT265" s="182"/>
      <c r="BU265" s="158"/>
      <c r="BV265" s="182"/>
      <c r="BW265" s="234"/>
      <c r="BX265" s="237"/>
      <c r="BY265" s="81">
        <f t="shared" si="123"/>
        <v>160</v>
      </c>
      <c r="BZ265" s="242"/>
      <c r="CA265" s="242"/>
      <c r="CB265" s="242"/>
      <c r="CC265" s="242"/>
      <c r="CD265" s="242">
        <v>40</v>
      </c>
      <c r="CE265" s="242">
        <v>60</v>
      </c>
      <c r="CF265" s="242">
        <v>60</v>
      </c>
      <c r="CG265" s="242"/>
      <c r="CH265" s="242"/>
      <c r="CI265" s="242"/>
      <c r="CJ265" s="242"/>
      <c r="CK265" s="242"/>
      <c r="CL265" s="195">
        <f t="shared" si="125"/>
        <v>185.64</v>
      </c>
      <c r="CM265" s="197"/>
      <c r="CN265" s="197">
        <v>61.879999999999995</v>
      </c>
      <c r="CO265" s="197">
        <v>61.879999999999995</v>
      </c>
      <c r="CP265" s="197">
        <v>61.879999999999995</v>
      </c>
      <c r="CQ265" s="197"/>
      <c r="CR265" s="197"/>
      <c r="CS265" s="197"/>
      <c r="CT265" s="197"/>
      <c r="CU265" s="197"/>
      <c r="CV265" s="197"/>
      <c r="CW265" s="197"/>
      <c r="CX265" s="197"/>
      <c r="CY265" s="200"/>
      <c r="CZ265" s="172">
        <f t="shared" si="124"/>
        <v>0</v>
      </c>
      <c r="DA265" s="201"/>
      <c r="DB265" s="201"/>
      <c r="DC265" s="201"/>
      <c r="DD265" s="239"/>
      <c r="DE265" s="201"/>
      <c r="DF265" s="172"/>
      <c r="DG265" s="207"/>
      <c r="DH265" s="225"/>
      <c r="DI265" s="225"/>
      <c r="DJ265" s="225"/>
      <c r="DK265" s="225"/>
      <c r="DL265" s="145">
        <v>0</v>
      </c>
      <c r="DM265" s="145">
        <v>0</v>
      </c>
      <c r="DN265" s="145">
        <v>0</v>
      </c>
      <c r="DO265" s="145">
        <v>0</v>
      </c>
      <c r="DP265" s="145">
        <v>0</v>
      </c>
      <c r="DQ265" s="145">
        <v>0</v>
      </c>
      <c r="DS265" s="219"/>
    </row>
    <row r="266" spans="1:123" s="21" customFormat="1" ht="24" customHeight="1">
      <c r="A266" s="16"/>
      <c r="B266" s="2"/>
      <c r="C266" s="79"/>
      <c r="D266" s="79"/>
      <c r="E266" s="79"/>
      <c r="F266" s="39">
        <v>2021</v>
      </c>
      <c r="G266" s="40"/>
      <c r="H266" s="40"/>
      <c r="I266" s="40"/>
      <c r="J266" s="13" t="str">
        <f t="shared" ca="1" si="114"/>
        <v/>
      </c>
      <c r="K266" s="165" t="str">
        <f t="shared" si="127"/>
        <v/>
      </c>
      <c r="L266" s="165" t="str">
        <f t="shared" si="128"/>
        <v/>
      </c>
      <c r="M266" s="170"/>
      <c r="N266" s="170"/>
      <c r="O266" s="170"/>
      <c r="P266" s="170"/>
      <c r="Q266" s="170"/>
      <c r="R266" s="39" t="s">
        <v>175</v>
      </c>
      <c r="S266" s="11" t="s">
        <v>919</v>
      </c>
      <c r="T266" s="41" t="s">
        <v>915</v>
      </c>
      <c r="U266" s="5" t="s">
        <v>693</v>
      </c>
      <c r="V266" s="251"/>
      <c r="W266" s="5" t="s">
        <v>602</v>
      </c>
      <c r="X266" s="5" t="s">
        <v>471</v>
      </c>
      <c r="Y266" s="5" t="s">
        <v>1276</v>
      </c>
      <c r="Z266" s="3" t="s">
        <v>184</v>
      </c>
      <c r="AA266" s="43" t="s">
        <v>699</v>
      </c>
      <c r="AB266" s="142" t="s">
        <v>1007</v>
      </c>
      <c r="AC266" s="165"/>
      <c r="AD266" s="165"/>
      <c r="AE266" s="165" t="str">
        <f t="shared" ref="AE266:AE274" si="129">IFERROR(EOMONTH(L266,-2),"")</f>
        <v/>
      </c>
      <c r="AF266" s="5"/>
      <c r="AG266" s="41"/>
      <c r="AH266" s="211"/>
      <c r="AI266" s="115"/>
      <c r="AJ266" s="115"/>
      <c r="AK266" s="221" t="e">
        <f>SUM(#REF!,BT266,BV266)</f>
        <v>#REF!</v>
      </c>
      <c r="AL266" s="153"/>
      <c r="AM266" s="153"/>
      <c r="AN266" s="153"/>
      <c r="AO266" s="153"/>
      <c r="AP266" s="153"/>
      <c r="AQ266" s="153"/>
      <c r="AR266" s="52"/>
      <c r="AS266" s="51"/>
      <c r="AT266" s="51"/>
      <c r="AU266" s="205">
        <v>75.641000000000005</v>
      </c>
      <c r="AV266" s="44"/>
      <c r="AW266" s="44"/>
      <c r="AX266" s="90">
        <f t="shared" ref="AX266:AX274" si="130">AW266+AV266</f>
        <v>0</v>
      </c>
      <c r="AY266" s="157">
        <f t="shared" si="122"/>
        <v>0</v>
      </c>
      <c r="AZ266" s="182"/>
      <c r="BA266" s="158"/>
      <c r="BB266" s="182"/>
      <c r="BC266" s="159"/>
      <c r="BD266" s="182"/>
      <c r="BE266" s="158"/>
      <c r="BF266" s="182"/>
      <c r="BG266" s="158"/>
      <c r="BH266" s="182"/>
      <c r="BI266" s="158"/>
      <c r="BJ266" s="182"/>
      <c r="BK266" s="158"/>
      <c r="BL266" s="183"/>
      <c r="BM266" s="158"/>
      <c r="BN266" s="183"/>
      <c r="BO266" s="158"/>
      <c r="BP266" s="182"/>
      <c r="BQ266" s="158"/>
      <c r="BR266" s="182"/>
      <c r="BS266" s="158"/>
      <c r="BT266" s="182"/>
      <c r="BU266" s="158"/>
      <c r="BV266" s="182"/>
      <c r="BW266" s="234"/>
      <c r="BX266" s="237"/>
      <c r="BY266" s="81">
        <f t="shared" si="123"/>
        <v>0</v>
      </c>
      <c r="BZ266" s="242"/>
      <c r="CA266" s="242"/>
      <c r="CB266" s="242"/>
      <c r="CC266" s="242"/>
      <c r="CD266" s="242"/>
      <c r="CE266" s="242"/>
      <c r="CF266" s="242"/>
      <c r="CG266" s="242"/>
      <c r="CH266" s="242"/>
      <c r="CI266" s="242"/>
      <c r="CJ266" s="242"/>
      <c r="CK266" s="242"/>
      <c r="CL266" s="195">
        <f t="shared" si="125"/>
        <v>0</v>
      </c>
      <c r="CM266" s="197"/>
      <c r="CN266" s="197"/>
      <c r="CO266" s="197"/>
      <c r="CP266" s="197"/>
      <c r="CQ266" s="197"/>
      <c r="CR266" s="197"/>
      <c r="CS266" s="197"/>
      <c r="CT266" s="197"/>
      <c r="CU266" s="197"/>
      <c r="CV266" s="197"/>
      <c r="CW266" s="197"/>
      <c r="CX266" s="197"/>
      <c r="CY266" s="200">
        <f t="shared" ref="CY266:CY274" si="131">BV266-BX266</f>
        <v>0</v>
      </c>
      <c r="CZ266" s="172">
        <f t="shared" si="124"/>
        <v>0</v>
      </c>
      <c r="DA266" s="201">
        <f t="shared" ref="DA266:DA274" si="132">SUM(BA266,BC266,BE266,BG266,BI266,BK266,BM266,BO266,BQ266,BS266,BU266)</f>
        <v>0</v>
      </c>
      <c r="DB266" s="201">
        <f t="shared" ref="DB266:DB274" si="133">SUM(BX266)</f>
        <v>0</v>
      </c>
      <c r="DC266" s="201">
        <f>SUM(AY266,BY266)</f>
        <v>0</v>
      </c>
      <c r="DD266" s="239"/>
      <c r="DE266" s="201">
        <f t="shared" ref="DE266:DE274" si="134">DC266-DD266</f>
        <v>0</v>
      </c>
      <c r="DF266" s="172" t="e">
        <f>SUM(DN266:DO266)-SUM(#REF!,BV266)+BU266</f>
        <v>#REF!</v>
      </c>
      <c r="DG266" s="207"/>
      <c r="DH266" s="225">
        <f t="shared" ref="DH266:DH274" si="135">SUM(BA266,BC266,BE266)</f>
        <v>0</v>
      </c>
      <c r="DI266" s="225">
        <f t="shared" ref="DI266:DI274" si="136">SUM(BG266,BI266,BK266)</f>
        <v>0</v>
      </c>
      <c r="DJ266" s="225">
        <f t="shared" ref="DJ266:DJ274" si="137">SUM(BM266,BO266,BQ266)</f>
        <v>0</v>
      </c>
      <c r="DK266" s="225" t="e">
        <f>SUM(BS266,#REF!,BV266)</f>
        <v>#REF!</v>
      </c>
      <c r="DL266" s="145"/>
      <c r="DM266" s="145"/>
      <c r="DN266" s="145"/>
      <c r="DO266" s="145"/>
      <c r="DP266" s="145"/>
      <c r="DQ266" s="145"/>
      <c r="DS266" s="219">
        <f>BY266-DR266</f>
        <v>0</v>
      </c>
    </row>
    <row r="267" spans="1:123" s="21" customFormat="1" ht="24" customHeight="1">
      <c r="A267" s="16"/>
      <c r="B267" s="2"/>
      <c r="C267" s="79"/>
      <c r="D267" s="78"/>
      <c r="E267" s="79"/>
      <c r="F267" s="39">
        <v>2021</v>
      </c>
      <c r="G267" s="40"/>
      <c r="H267" s="40"/>
      <c r="I267" s="40"/>
      <c r="J267" s="13" t="str">
        <f t="shared" ca="1" si="114"/>
        <v/>
      </c>
      <c r="K267" s="165" t="str">
        <f t="shared" si="127"/>
        <v/>
      </c>
      <c r="L267" s="165" t="str">
        <f t="shared" si="128"/>
        <v/>
      </c>
      <c r="M267" s="170"/>
      <c r="N267" s="170"/>
      <c r="O267" s="170"/>
      <c r="P267" s="170"/>
      <c r="Q267" s="170"/>
      <c r="R267" s="39" t="s">
        <v>175</v>
      </c>
      <c r="S267" s="11" t="s">
        <v>4</v>
      </c>
      <c r="T267" s="41" t="s">
        <v>910</v>
      </c>
      <c r="U267" s="5" t="s">
        <v>693</v>
      </c>
      <c r="V267" s="251"/>
      <c r="W267" s="5" t="s">
        <v>602</v>
      </c>
      <c r="X267" s="5" t="s">
        <v>471</v>
      </c>
      <c r="Y267" s="5" t="s">
        <v>1277</v>
      </c>
      <c r="Z267" s="3"/>
      <c r="AA267" s="43" t="s">
        <v>699</v>
      </c>
      <c r="AB267" s="142" t="s">
        <v>1008</v>
      </c>
      <c r="AC267" s="165"/>
      <c r="AD267" s="165"/>
      <c r="AE267" s="165" t="str">
        <f t="shared" si="129"/>
        <v/>
      </c>
      <c r="AF267" s="5"/>
      <c r="AG267" s="41"/>
      <c r="AH267" s="211"/>
      <c r="AI267" s="115"/>
      <c r="AJ267" s="115"/>
      <c r="AK267" s="221" t="e">
        <f>SUM(#REF!,BT267,BV267)</f>
        <v>#REF!</v>
      </c>
      <c r="AL267" s="153"/>
      <c r="AM267" s="153"/>
      <c r="AN267" s="153"/>
      <c r="AO267" s="153"/>
      <c r="AP267" s="153"/>
      <c r="AQ267" s="153"/>
      <c r="AR267" s="52"/>
      <c r="AS267" s="51"/>
      <c r="AT267" s="51"/>
      <c r="AU267" s="51"/>
      <c r="AV267" s="44"/>
      <c r="AW267" s="44"/>
      <c r="AX267" s="90">
        <f t="shared" si="130"/>
        <v>0</v>
      </c>
      <c r="AY267" s="157">
        <f t="shared" si="122"/>
        <v>0</v>
      </c>
      <c r="AZ267" s="182"/>
      <c r="BA267" s="158"/>
      <c r="BB267" s="182"/>
      <c r="BC267" s="159"/>
      <c r="BD267" s="182"/>
      <c r="BE267" s="158"/>
      <c r="BF267" s="182"/>
      <c r="BG267" s="158"/>
      <c r="BH267" s="182"/>
      <c r="BI267" s="158"/>
      <c r="BJ267" s="182"/>
      <c r="BK267" s="158"/>
      <c r="BL267" s="183"/>
      <c r="BM267" s="158"/>
      <c r="BN267" s="183"/>
      <c r="BO267" s="158"/>
      <c r="BP267" s="182"/>
      <c r="BQ267" s="158"/>
      <c r="BR267" s="182"/>
      <c r="BS267" s="158"/>
      <c r="BT267" s="182"/>
      <c r="BU267" s="158"/>
      <c r="BV267" s="182"/>
      <c r="BW267" s="234"/>
      <c r="BX267" s="237"/>
      <c r="BY267" s="81">
        <f t="shared" si="123"/>
        <v>0</v>
      </c>
      <c r="BZ267" s="242"/>
      <c r="CA267" s="242"/>
      <c r="CB267" s="242"/>
      <c r="CC267" s="242"/>
      <c r="CD267" s="242"/>
      <c r="CE267" s="242"/>
      <c r="CF267" s="242"/>
      <c r="CG267" s="242"/>
      <c r="CH267" s="242"/>
      <c r="CI267" s="242"/>
      <c r="CJ267" s="242"/>
      <c r="CK267" s="242"/>
      <c r="CL267" s="195">
        <f t="shared" si="125"/>
        <v>0</v>
      </c>
      <c r="CM267" s="197"/>
      <c r="CN267" s="197"/>
      <c r="CO267" s="197"/>
      <c r="CP267" s="197"/>
      <c r="CQ267" s="197"/>
      <c r="CR267" s="197"/>
      <c r="CS267" s="197"/>
      <c r="CT267" s="197"/>
      <c r="CU267" s="197"/>
      <c r="CV267" s="197"/>
      <c r="CW267" s="197"/>
      <c r="CX267" s="197"/>
      <c r="CY267" s="200">
        <f t="shared" si="131"/>
        <v>0</v>
      </c>
      <c r="CZ267" s="172">
        <f t="shared" si="124"/>
        <v>0</v>
      </c>
      <c r="DA267" s="201">
        <f t="shared" si="132"/>
        <v>0</v>
      </c>
      <c r="DB267" s="201">
        <f t="shared" si="133"/>
        <v>0</v>
      </c>
      <c r="DC267" s="201">
        <f>SUM(AY267,BY267)</f>
        <v>0</v>
      </c>
      <c r="DD267" s="239"/>
      <c r="DE267" s="201">
        <f t="shared" si="134"/>
        <v>0</v>
      </c>
      <c r="DF267" s="172" t="e">
        <f>SUM(DN267:DO267)-SUM(#REF!,BV267)+BU267</f>
        <v>#REF!</v>
      </c>
      <c r="DG267" s="207"/>
      <c r="DH267" s="225">
        <f t="shared" si="135"/>
        <v>0</v>
      </c>
      <c r="DI267" s="225">
        <f t="shared" si="136"/>
        <v>0</v>
      </c>
      <c r="DJ267" s="225">
        <f t="shared" si="137"/>
        <v>0</v>
      </c>
      <c r="DK267" s="225" t="e">
        <f>SUM(BS267,#REF!,BV267)</f>
        <v>#REF!</v>
      </c>
      <c r="DL267" s="145"/>
      <c r="DM267" s="145"/>
      <c r="DN267" s="145"/>
      <c r="DO267" s="145"/>
      <c r="DP267" s="145"/>
      <c r="DQ267" s="145"/>
      <c r="DS267" s="219">
        <f>BY267-DR267</f>
        <v>0</v>
      </c>
    </row>
    <row r="268" spans="1:123" s="21" customFormat="1" ht="24" customHeight="1">
      <c r="A268" s="16"/>
      <c r="B268" s="2"/>
      <c r="C268" s="79"/>
      <c r="D268" s="79"/>
      <c r="E268" s="79"/>
      <c r="F268" s="39">
        <v>2021</v>
      </c>
      <c r="G268" s="40"/>
      <c r="H268" s="40"/>
      <c r="I268" s="40"/>
      <c r="J268" s="13" t="str">
        <f t="shared" ca="1" si="114"/>
        <v/>
      </c>
      <c r="K268" s="165" t="str">
        <f t="shared" si="127"/>
        <v/>
      </c>
      <c r="L268" s="165" t="str">
        <f t="shared" si="128"/>
        <v/>
      </c>
      <c r="M268" s="170"/>
      <c r="N268" s="170"/>
      <c r="O268" s="170"/>
      <c r="P268" s="170"/>
      <c r="Q268" s="170"/>
      <c r="R268" s="39" t="s">
        <v>175</v>
      </c>
      <c r="S268" s="11"/>
      <c r="T268" s="41"/>
      <c r="U268" s="5" t="s">
        <v>693</v>
      </c>
      <c r="V268" s="251"/>
      <c r="W268" s="5" t="s">
        <v>602</v>
      </c>
      <c r="X268" s="5" t="s">
        <v>471</v>
      </c>
      <c r="Y268" s="5" t="s">
        <v>1275</v>
      </c>
      <c r="Z268" s="3" t="s">
        <v>180</v>
      </c>
      <c r="AA268" s="43" t="s">
        <v>699</v>
      </c>
      <c r="AB268" s="142" t="s">
        <v>1007</v>
      </c>
      <c r="AC268" s="165"/>
      <c r="AD268" s="165"/>
      <c r="AE268" s="165" t="str">
        <f t="shared" si="129"/>
        <v/>
      </c>
      <c r="AF268" s="5"/>
      <c r="AG268" s="41"/>
      <c r="AH268" s="211"/>
      <c r="AI268" s="115"/>
      <c r="AJ268" s="115"/>
      <c r="AK268" s="221" t="e">
        <f>SUM(#REF!,BT268,BV268)</f>
        <v>#REF!</v>
      </c>
      <c r="AL268" s="153"/>
      <c r="AM268" s="153"/>
      <c r="AN268" s="153"/>
      <c r="AO268" s="153"/>
      <c r="AP268" s="153"/>
      <c r="AQ268" s="153"/>
      <c r="AR268" s="52"/>
      <c r="AS268" s="51"/>
      <c r="AT268" s="51"/>
      <c r="AU268" s="51">
        <v>133.5</v>
      </c>
      <c r="AV268" s="44"/>
      <c r="AW268" s="44"/>
      <c r="AX268" s="90">
        <f t="shared" si="130"/>
        <v>0</v>
      </c>
      <c r="AY268" s="157">
        <f t="shared" si="122"/>
        <v>0</v>
      </c>
      <c r="AZ268" s="182"/>
      <c r="BA268" s="158"/>
      <c r="BB268" s="182"/>
      <c r="BC268" s="159"/>
      <c r="BD268" s="182"/>
      <c r="BE268" s="158"/>
      <c r="BF268" s="182"/>
      <c r="BG268" s="158"/>
      <c r="BH268" s="182"/>
      <c r="BI268" s="158"/>
      <c r="BJ268" s="182"/>
      <c r="BK268" s="158"/>
      <c r="BL268" s="183"/>
      <c r="BM268" s="158"/>
      <c r="BN268" s="183"/>
      <c r="BO268" s="158"/>
      <c r="BP268" s="182"/>
      <c r="BQ268" s="158"/>
      <c r="BR268" s="182"/>
      <c r="BS268" s="158"/>
      <c r="BT268" s="182"/>
      <c r="BU268" s="158"/>
      <c r="BV268" s="182"/>
      <c r="BW268" s="234"/>
      <c r="BX268" s="237"/>
      <c r="BY268" s="81">
        <f t="shared" si="123"/>
        <v>0</v>
      </c>
      <c r="BZ268" s="242"/>
      <c r="CA268" s="242"/>
      <c r="CB268" s="242"/>
      <c r="CC268" s="242"/>
      <c r="CD268" s="242"/>
      <c r="CE268" s="242"/>
      <c r="CF268" s="242"/>
      <c r="CG268" s="242"/>
      <c r="CH268" s="242"/>
      <c r="CI268" s="242"/>
      <c r="CJ268" s="242"/>
      <c r="CK268" s="242"/>
      <c r="CL268" s="195">
        <f t="shared" si="125"/>
        <v>0</v>
      </c>
      <c r="CM268" s="197"/>
      <c r="CN268" s="197"/>
      <c r="CO268" s="197"/>
      <c r="CP268" s="197"/>
      <c r="CQ268" s="197"/>
      <c r="CR268" s="197"/>
      <c r="CS268" s="197"/>
      <c r="CT268" s="197"/>
      <c r="CU268" s="197"/>
      <c r="CV268" s="197"/>
      <c r="CW268" s="197"/>
      <c r="CX268" s="197"/>
      <c r="CY268" s="200">
        <f t="shared" si="131"/>
        <v>0</v>
      </c>
      <c r="CZ268" s="172">
        <f t="shared" si="124"/>
        <v>0</v>
      </c>
      <c r="DA268" s="201">
        <f t="shared" si="132"/>
        <v>0</v>
      </c>
      <c r="DB268" s="201">
        <f t="shared" si="133"/>
        <v>0</v>
      </c>
      <c r="DC268" s="201">
        <f>SUM(AY268,BY268)</f>
        <v>0</v>
      </c>
      <c r="DD268" s="239"/>
      <c r="DE268" s="201">
        <f t="shared" si="134"/>
        <v>0</v>
      </c>
      <c r="DF268" s="172" t="e">
        <f>SUM(DN268:DO268)-SUM(#REF!,BV268)+BU268</f>
        <v>#REF!</v>
      </c>
      <c r="DG268" s="207"/>
      <c r="DH268" s="225">
        <f t="shared" si="135"/>
        <v>0</v>
      </c>
      <c r="DI268" s="225">
        <f t="shared" si="136"/>
        <v>0</v>
      </c>
      <c r="DJ268" s="225">
        <f t="shared" si="137"/>
        <v>0</v>
      </c>
      <c r="DK268" s="225" t="e">
        <f>SUM(BS268,#REF!,BV268)</f>
        <v>#REF!</v>
      </c>
      <c r="DL268" s="145"/>
      <c r="DM268" s="145"/>
      <c r="DN268" s="145"/>
      <c r="DO268" s="145"/>
      <c r="DP268" s="145"/>
      <c r="DQ268" s="145"/>
      <c r="DS268" s="219">
        <f>BY268-DR268</f>
        <v>0</v>
      </c>
    </row>
    <row r="269" spans="1:123" s="21" customFormat="1" ht="24" hidden="1" customHeight="1">
      <c r="A269" s="16"/>
      <c r="B269" s="2">
        <v>230</v>
      </c>
      <c r="C269" s="79" t="s">
        <v>644</v>
      </c>
      <c r="D269" s="79"/>
      <c r="E269" s="79"/>
      <c r="F269" s="39"/>
      <c r="G269" s="40"/>
      <c r="H269" s="40"/>
      <c r="I269" s="40"/>
      <c r="J269" s="13" t="str">
        <f t="shared" ca="1" si="114"/>
        <v/>
      </c>
      <c r="K269" s="165" t="str">
        <f t="shared" si="127"/>
        <v/>
      </c>
      <c r="L269" s="165" t="str">
        <f t="shared" si="128"/>
        <v/>
      </c>
      <c r="M269" s="170"/>
      <c r="N269" s="170"/>
      <c r="O269" s="170"/>
      <c r="P269" s="170"/>
      <c r="Q269" s="170"/>
      <c r="R269" s="39" t="s">
        <v>175</v>
      </c>
      <c r="S269" s="11"/>
      <c r="T269" s="41"/>
      <c r="U269" s="5" t="s">
        <v>7</v>
      </c>
      <c r="V269" s="251"/>
      <c r="W269" s="5" t="s">
        <v>1327</v>
      </c>
      <c r="X269" s="5" t="s">
        <v>681</v>
      </c>
      <c r="Y269" s="5" t="s">
        <v>1328</v>
      </c>
      <c r="Z269" s="3" t="s">
        <v>180</v>
      </c>
      <c r="AA269" s="43"/>
      <c r="AB269" s="80"/>
      <c r="AC269" s="165"/>
      <c r="AD269" s="165"/>
      <c r="AE269" s="165" t="str">
        <f t="shared" si="129"/>
        <v/>
      </c>
      <c r="AF269" s="5"/>
      <c r="AG269" s="41"/>
      <c r="AH269" s="211"/>
      <c r="AI269" s="115"/>
      <c r="AJ269" s="115"/>
      <c r="AK269" s="221" t="e">
        <f>SUM(#REF!,BT269,BV269)</f>
        <v>#REF!</v>
      </c>
      <c r="AL269" s="153"/>
      <c r="AM269" s="153"/>
      <c r="AN269" s="153"/>
      <c r="AO269" s="153"/>
      <c r="AP269" s="153"/>
      <c r="AQ269" s="153"/>
      <c r="AR269" s="52">
        <v>-4344.27483402083</v>
      </c>
      <c r="AS269" s="51">
        <v>0</v>
      </c>
      <c r="AT269" s="51">
        <v>39.299372195749697</v>
      </c>
      <c r="AU269" s="51">
        <v>0</v>
      </c>
      <c r="AV269" s="44"/>
      <c r="AW269" s="44"/>
      <c r="AX269" s="90">
        <f t="shared" si="130"/>
        <v>0</v>
      </c>
      <c r="AY269" s="157">
        <f t="shared" si="122"/>
        <v>16.88863113221646</v>
      </c>
      <c r="AZ269" s="182">
        <v>0</v>
      </c>
      <c r="BA269" s="158">
        <v>0</v>
      </c>
      <c r="BB269" s="182">
        <v>0</v>
      </c>
      <c r="BC269" s="159"/>
      <c r="BD269" s="182">
        <v>0</v>
      </c>
      <c r="BE269" s="158">
        <v>0</v>
      </c>
      <c r="BF269" s="182">
        <v>0</v>
      </c>
      <c r="BG269" s="158">
        <v>732</v>
      </c>
      <c r="BH269" s="182">
        <v>0</v>
      </c>
      <c r="BI269" s="158">
        <v>-213.95594346647201</v>
      </c>
      <c r="BJ269" s="182">
        <v>-520</v>
      </c>
      <c r="BK269" s="158">
        <v>783.66150799695401</v>
      </c>
      <c r="BL269" s="183">
        <v>-783.66150799695401</v>
      </c>
      <c r="BM269" s="158">
        <v>-940</v>
      </c>
      <c r="BN269" s="183"/>
      <c r="BO269" s="158"/>
      <c r="BP269" s="182">
        <v>-361.7</v>
      </c>
      <c r="BQ269" s="158">
        <v>-126.85193518414171</v>
      </c>
      <c r="BR269" s="182"/>
      <c r="BS269" s="158">
        <v>-217.9649982141238</v>
      </c>
      <c r="BT269" s="182"/>
      <c r="BU269" s="158">
        <v>0</v>
      </c>
      <c r="BV269" s="182"/>
      <c r="BW269" s="234"/>
      <c r="BX269" s="237"/>
      <c r="BY269" s="81">
        <f t="shared" si="123"/>
        <v>0</v>
      </c>
      <c r="BZ269" s="199"/>
      <c r="CA269" s="199"/>
      <c r="CB269" s="199"/>
      <c r="CC269" s="199"/>
      <c r="CD269" s="199"/>
      <c r="CE269" s="199"/>
      <c r="CF269" s="199"/>
      <c r="CG269" s="199"/>
      <c r="CH269" s="199"/>
      <c r="CI269" s="199"/>
      <c r="CJ269" s="199"/>
      <c r="CK269" s="199"/>
      <c r="CL269" s="195">
        <f t="shared" si="125"/>
        <v>0</v>
      </c>
      <c r="CM269" s="197"/>
      <c r="CN269" s="197"/>
      <c r="CO269" s="197"/>
      <c r="CP269" s="197"/>
      <c r="CQ269" s="197"/>
      <c r="CR269" s="197"/>
      <c r="CS269" s="197"/>
      <c r="CT269" s="197"/>
      <c r="CU269" s="197"/>
      <c r="CV269" s="197"/>
      <c r="CW269" s="197"/>
      <c r="CX269" s="197"/>
      <c r="CY269" s="200">
        <f t="shared" si="131"/>
        <v>0</v>
      </c>
      <c r="CZ269" s="172">
        <f t="shared" si="124"/>
        <v>0</v>
      </c>
      <c r="DA269" s="201">
        <f t="shared" si="132"/>
        <v>16.88863113221646</v>
      </c>
      <c r="DB269" s="201">
        <f t="shared" si="133"/>
        <v>0</v>
      </c>
      <c r="DC269" s="201">
        <f>SUM(AY269-BY269)</f>
        <v>16.88863113221646</v>
      </c>
      <c r="DD269" s="239">
        <v>16.88863113221646</v>
      </c>
      <c r="DE269" s="201">
        <f t="shared" si="134"/>
        <v>0</v>
      </c>
      <c r="DF269" s="172" t="e">
        <f>SUM(DN269:DO269)-SUM(#REF!,BV269)+BU269</f>
        <v>#REF!</v>
      </c>
      <c r="DG269" s="207"/>
      <c r="DH269" s="225">
        <f t="shared" si="135"/>
        <v>0</v>
      </c>
      <c r="DI269" s="225">
        <f t="shared" si="136"/>
        <v>1301.705564530482</v>
      </c>
      <c r="DJ269" s="225">
        <f t="shared" si="137"/>
        <v>-1066.8519351841417</v>
      </c>
      <c r="DK269" s="225" t="e">
        <f>SUM(BS269,#REF!,BV269)</f>
        <v>#REF!</v>
      </c>
      <c r="DL269" s="145"/>
      <c r="DM269" s="145"/>
      <c r="DN269" s="145"/>
      <c r="DO269" s="145"/>
      <c r="DP269" s="145"/>
      <c r="DQ269" s="145"/>
      <c r="DR269" s="21">
        <f>VLOOKUP(C269,[5]Database!$B$126:$AD$521,29,FALSE)</f>
        <v>0</v>
      </c>
      <c r="DS269" s="219">
        <f>DR269-BY269</f>
        <v>0</v>
      </c>
    </row>
    <row r="270" spans="1:123" s="21" customFormat="1" ht="24" hidden="1" customHeight="1">
      <c r="A270" s="16"/>
      <c r="B270" s="2">
        <v>231</v>
      </c>
      <c r="C270" s="79" t="s">
        <v>645</v>
      </c>
      <c r="D270" s="79"/>
      <c r="E270" s="79"/>
      <c r="F270" s="39"/>
      <c r="G270" s="40"/>
      <c r="H270" s="40"/>
      <c r="I270" s="40"/>
      <c r="J270" s="13" t="str">
        <f t="shared" ca="1" si="114"/>
        <v/>
      </c>
      <c r="K270" s="165" t="str">
        <f t="shared" si="127"/>
        <v/>
      </c>
      <c r="L270" s="165" t="str">
        <f t="shared" si="128"/>
        <v/>
      </c>
      <c r="M270" s="170"/>
      <c r="N270" s="170"/>
      <c r="O270" s="170"/>
      <c r="P270" s="170"/>
      <c r="Q270" s="170"/>
      <c r="R270" s="39" t="s">
        <v>175</v>
      </c>
      <c r="S270" s="11"/>
      <c r="T270" s="41"/>
      <c r="U270" s="5" t="s">
        <v>7</v>
      </c>
      <c r="V270" s="251"/>
      <c r="W270" s="5" t="s">
        <v>1327</v>
      </c>
      <c r="X270" s="5" t="s">
        <v>681</v>
      </c>
      <c r="Y270" s="5" t="s">
        <v>9</v>
      </c>
      <c r="Z270" s="39" t="s">
        <v>180</v>
      </c>
      <c r="AA270" s="43"/>
      <c r="AB270" s="142"/>
      <c r="AC270" s="165"/>
      <c r="AD270" s="165"/>
      <c r="AE270" s="165" t="str">
        <f t="shared" si="129"/>
        <v/>
      </c>
      <c r="AF270" s="5"/>
      <c r="AG270" s="41"/>
      <c r="AH270" s="211"/>
      <c r="AI270" s="115"/>
      <c r="AJ270" s="115"/>
      <c r="AK270" s="221" t="e">
        <f>SUM(#REF!,BT270,BV270)</f>
        <v>#REF!</v>
      </c>
      <c r="AL270" s="162"/>
      <c r="AM270" s="162"/>
      <c r="AN270" s="162"/>
      <c r="AO270" s="162"/>
      <c r="AP270" s="162"/>
      <c r="AQ270" s="162"/>
      <c r="AR270" s="52"/>
      <c r="AS270" s="51">
        <v>0</v>
      </c>
      <c r="AT270" s="51">
        <v>134.05377141119726</v>
      </c>
      <c r="AU270" s="51">
        <v>162.76861000000011</v>
      </c>
      <c r="AV270" s="44"/>
      <c r="AW270" s="44"/>
      <c r="AX270" s="90">
        <f t="shared" si="130"/>
        <v>0</v>
      </c>
      <c r="AY270" s="157">
        <f t="shared" si="122"/>
        <v>-105.79370399884283</v>
      </c>
      <c r="AZ270" s="182">
        <v>0</v>
      </c>
      <c r="BA270" s="158">
        <v>162.76861000000011</v>
      </c>
      <c r="BB270" s="182">
        <v>0</v>
      </c>
      <c r="BC270" s="159">
        <v>-35.608890776300655</v>
      </c>
      <c r="BD270" s="182">
        <v>0</v>
      </c>
      <c r="BE270" s="158">
        <v>133.24954000000139</v>
      </c>
      <c r="BF270" s="182">
        <v>0</v>
      </c>
      <c r="BG270" s="158">
        <v>8.2863899999980504</v>
      </c>
      <c r="BH270" s="182">
        <v>0</v>
      </c>
      <c r="BI270" s="158">
        <v>-451.56752653352942</v>
      </c>
      <c r="BJ270" s="182">
        <v>0</v>
      </c>
      <c r="BK270" s="158">
        <v>-49.419207199538505</v>
      </c>
      <c r="BL270" s="183"/>
      <c r="BM270" s="158">
        <v>21.169999999999998</v>
      </c>
      <c r="BN270" s="183"/>
      <c r="BO270" s="158">
        <v>-4.3968500000024973</v>
      </c>
      <c r="BP270" s="182"/>
      <c r="BQ270" s="158">
        <v>4.1973751841414924</v>
      </c>
      <c r="BR270" s="182"/>
      <c r="BS270" s="158">
        <v>57.837308214122913</v>
      </c>
      <c r="BT270" s="182"/>
      <c r="BU270" s="158">
        <v>47.689547112264336</v>
      </c>
      <c r="BV270" s="182"/>
      <c r="BW270" s="234"/>
      <c r="BX270" s="237"/>
      <c r="BY270" s="81">
        <f t="shared" si="123"/>
        <v>0</v>
      </c>
      <c r="BZ270" s="199"/>
      <c r="CA270" s="199"/>
      <c r="CB270" s="199"/>
      <c r="CC270" s="199"/>
      <c r="CD270" s="199"/>
      <c r="CE270" s="199"/>
      <c r="CF270" s="199"/>
      <c r="CG270" s="199"/>
      <c r="CH270" s="199"/>
      <c r="CI270" s="199"/>
      <c r="CJ270" s="199"/>
      <c r="CK270" s="199"/>
      <c r="CL270" s="195">
        <f t="shared" si="125"/>
        <v>0</v>
      </c>
      <c r="CM270" s="197"/>
      <c r="CN270" s="197"/>
      <c r="CO270" s="197"/>
      <c r="CP270" s="197"/>
      <c r="CQ270" s="197"/>
      <c r="CR270" s="197"/>
      <c r="CS270" s="197"/>
      <c r="CT270" s="197"/>
      <c r="CU270" s="197"/>
      <c r="CV270" s="197"/>
      <c r="CW270" s="197"/>
      <c r="CX270" s="197"/>
      <c r="CY270" s="200">
        <f t="shared" si="131"/>
        <v>0</v>
      </c>
      <c r="CZ270" s="172">
        <f t="shared" si="124"/>
        <v>0</v>
      </c>
      <c r="DA270" s="201">
        <f t="shared" si="132"/>
        <v>-105.79370399884283</v>
      </c>
      <c r="DB270" s="201">
        <f t="shared" si="133"/>
        <v>0</v>
      </c>
      <c r="DC270" s="201">
        <f>SUM(AY270-BY270)</f>
        <v>-105.79370399884283</v>
      </c>
      <c r="DD270" s="239">
        <v>-153.48325111110717</v>
      </c>
      <c r="DE270" s="201">
        <f t="shared" si="134"/>
        <v>47.689547112264336</v>
      </c>
      <c r="DF270" s="172" t="e">
        <f>SUM(DN270:DO270)-SUM(#REF!,BV270)+BU270</f>
        <v>#REF!</v>
      </c>
      <c r="DG270" s="207"/>
      <c r="DH270" s="225">
        <f t="shared" si="135"/>
        <v>260.40925922370081</v>
      </c>
      <c r="DI270" s="225">
        <f t="shared" si="136"/>
        <v>-492.70034373306987</v>
      </c>
      <c r="DJ270" s="225">
        <f t="shared" si="137"/>
        <v>20.970525184138992</v>
      </c>
      <c r="DK270" s="225" t="e">
        <f>SUM(BS270,#REF!,BV270)</f>
        <v>#REF!</v>
      </c>
      <c r="DL270" s="145"/>
      <c r="DM270" s="145"/>
      <c r="DN270" s="145"/>
      <c r="DO270" s="145"/>
      <c r="DP270" s="145"/>
      <c r="DQ270" s="145"/>
      <c r="DR270" s="21">
        <f>VLOOKUP(C270,[5]Database!$B$126:$AD$521,29,FALSE)</f>
        <v>0</v>
      </c>
      <c r="DS270" s="219">
        <f>DR270-BY270</f>
        <v>0</v>
      </c>
    </row>
    <row r="271" spans="1:123" s="21" customFormat="1" ht="24" customHeight="1">
      <c r="A271" s="16"/>
      <c r="B271" s="2"/>
      <c r="C271" s="79"/>
      <c r="D271" s="79"/>
      <c r="E271" s="79"/>
      <c r="F271" s="39">
        <v>2021</v>
      </c>
      <c r="G271" s="40"/>
      <c r="H271" s="40"/>
      <c r="I271" s="40"/>
      <c r="J271" s="13" t="str">
        <f t="shared" ca="1" si="114"/>
        <v/>
      </c>
      <c r="K271" s="165" t="str">
        <f t="shared" si="127"/>
        <v/>
      </c>
      <c r="L271" s="165" t="str">
        <f t="shared" si="128"/>
        <v/>
      </c>
      <c r="M271" s="170"/>
      <c r="N271" s="170"/>
      <c r="O271" s="170"/>
      <c r="P271" s="170"/>
      <c r="Q271" s="170"/>
      <c r="R271" s="39" t="s">
        <v>176</v>
      </c>
      <c r="S271" s="11"/>
      <c r="T271" s="41"/>
      <c r="U271" s="5" t="s">
        <v>693</v>
      </c>
      <c r="V271" s="251"/>
      <c r="W271" s="5" t="s">
        <v>602</v>
      </c>
      <c r="X271" s="5" t="s">
        <v>473</v>
      </c>
      <c r="Y271" s="5" t="s">
        <v>1274</v>
      </c>
      <c r="Z271" s="3" t="s">
        <v>180</v>
      </c>
      <c r="AA271" s="43" t="s">
        <v>699</v>
      </c>
      <c r="AB271" s="142" t="s">
        <v>1007</v>
      </c>
      <c r="AC271" s="165"/>
      <c r="AD271" s="165"/>
      <c r="AE271" s="165" t="str">
        <f t="shared" si="129"/>
        <v/>
      </c>
      <c r="AF271" s="5"/>
      <c r="AG271" s="41"/>
      <c r="AH271" s="211"/>
      <c r="AI271" s="115"/>
      <c r="AJ271" s="115"/>
      <c r="AK271" s="221" t="e">
        <f>SUM(#REF!,BT271,BV271)</f>
        <v>#REF!</v>
      </c>
      <c r="AL271" s="153"/>
      <c r="AM271" s="153"/>
      <c r="AN271" s="153"/>
      <c r="AO271" s="153"/>
      <c r="AP271" s="153"/>
      <c r="AQ271" s="153"/>
      <c r="AR271" s="52"/>
      <c r="AS271" s="51"/>
      <c r="AT271" s="51"/>
      <c r="AU271" s="51">
        <v>80</v>
      </c>
      <c r="AV271" s="44"/>
      <c r="AW271" s="44"/>
      <c r="AX271" s="90">
        <f t="shared" si="130"/>
        <v>0</v>
      </c>
      <c r="AY271" s="157">
        <f t="shared" si="122"/>
        <v>0</v>
      </c>
      <c r="AZ271" s="182"/>
      <c r="BA271" s="158"/>
      <c r="BB271" s="182"/>
      <c r="BC271" s="159"/>
      <c r="BD271" s="182"/>
      <c r="BE271" s="158"/>
      <c r="BF271" s="182"/>
      <c r="BG271" s="158"/>
      <c r="BH271" s="182"/>
      <c r="BI271" s="159"/>
      <c r="BJ271" s="182"/>
      <c r="BK271" s="158"/>
      <c r="BL271" s="183"/>
      <c r="BM271" s="158"/>
      <c r="BN271" s="183"/>
      <c r="BO271" s="158"/>
      <c r="BP271" s="182"/>
      <c r="BQ271" s="158"/>
      <c r="BR271" s="182"/>
      <c r="BS271" s="158"/>
      <c r="BT271" s="182"/>
      <c r="BU271" s="158"/>
      <c r="BV271" s="182"/>
      <c r="BW271" s="234"/>
      <c r="BX271" s="237"/>
      <c r="BY271" s="81">
        <f t="shared" si="123"/>
        <v>0</v>
      </c>
      <c r="BZ271" s="242"/>
      <c r="CA271" s="242"/>
      <c r="CB271" s="242"/>
      <c r="CC271" s="242"/>
      <c r="CD271" s="242"/>
      <c r="CE271" s="242"/>
      <c r="CF271" s="242"/>
      <c r="CG271" s="199"/>
      <c r="CH271" s="199"/>
      <c r="CI271" s="199"/>
      <c r="CJ271" s="199"/>
      <c r="CK271" s="199"/>
      <c r="CL271" s="195">
        <f t="shared" si="125"/>
        <v>0</v>
      </c>
      <c r="CM271" s="197"/>
      <c r="CN271" s="197"/>
      <c r="CO271" s="197"/>
      <c r="CP271" s="197"/>
      <c r="CQ271" s="197"/>
      <c r="CR271" s="197"/>
      <c r="CS271" s="197"/>
      <c r="CT271" s="197"/>
      <c r="CU271" s="197"/>
      <c r="CV271" s="197"/>
      <c r="CW271" s="197"/>
      <c r="CX271" s="197"/>
      <c r="CY271" s="200">
        <f t="shared" si="131"/>
        <v>0</v>
      </c>
      <c r="CZ271" s="172">
        <f t="shared" si="124"/>
        <v>0</v>
      </c>
      <c r="DA271" s="201">
        <f t="shared" si="132"/>
        <v>0</v>
      </c>
      <c r="DB271" s="201">
        <f t="shared" si="133"/>
        <v>0</v>
      </c>
      <c r="DC271" s="201">
        <f>SUM(AY271,BY271)</f>
        <v>0</v>
      </c>
      <c r="DD271" s="239"/>
      <c r="DE271" s="201">
        <f t="shared" si="134"/>
        <v>0</v>
      </c>
      <c r="DF271" s="172" t="e">
        <f>SUM(DN271:DO271)-SUM(#REF!,BV271)+BU271</f>
        <v>#REF!</v>
      </c>
      <c r="DG271" s="207"/>
      <c r="DH271" s="225">
        <f t="shared" si="135"/>
        <v>0</v>
      </c>
      <c r="DI271" s="225">
        <f t="shared" si="136"/>
        <v>0</v>
      </c>
      <c r="DJ271" s="225">
        <f t="shared" si="137"/>
        <v>0</v>
      </c>
      <c r="DK271" s="225" t="e">
        <f>SUM(BS271,#REF!,BV271)</f>
        <v>#REF!</v>
      </c>
      <c r="DL271" s="145"/>
      <c r="DM271" s="145"/>
      <c r="DN271" s="145"/>
      <c r="DO271" s="145"/>
      <c r="DP271" s="145"/>
      <c r="DQ271" s="145"/>
      <c r="DS271" s="219">
        <f>BY271-DR271</f>
        <v>0</v>
      </c>
    </row>
    <row r="272" spans="1:123" s="21" customFormat="1" ht="24" customHeight="1">
      <c r="A272" s="16"/>
      <c r="B272" s="2">
        <v>163</v>
      </c>
      <c r="C272" s="79" t="s">
        <v>340</v>
      </c>
      <c r="D272" s="78"/>
      <c r="E272" s="79" t="s">
        <v>835</v>
      </c>
      <c r="F272" s="39">
        <v>2020</v>
      </c>
      <c r="G272" s="40">
        <v>43889</v>
      </c>
      <c r="H272" s="178">
        <v>43979</v>
      </c>
      <c r="I272" s="40">
        <v>44459</v>
      </c>
      <c r="J272" s="13">
        <f t="shared" ca="1" si="114"/>
        <v>480</v>
      </c>
      <c r="K272" s="165">
        <f t="shared" si="127"/>
        <v>44526</v>
      </c>
      <c r="L272" s="165">
        <f t="shared" si="128"/>
        <v>44709</v>
      </c>
      <c r="M272" s="170"/>
      <c r="N272" s="170"/>
      <c r="O272" s="170"/>
      <c r="P272" s="170"/>
      <c r="Q272" s="170"/>
      <c r="R272" s="39" t="s">
        <v>175</v>
      </c>
      <c r="S272" s="11" t="s">
        <v>4</v>
      </c>
      <c r="T272" s="41" t="s">
        <v>904</v>
      </c>
      <c r="U272" s="5" t="s">
        <v>8</v>
      </c>
      <c r="V272" s="251">
        <v>2815734</v>
      </c>
      <c r="W272" s="5" t="s">
        <v>602</v>
      </c>
      <c r="X272" s="5" t="s">
        <v>475</v>
      </c>
      <c r="Y272" s="5" t="s">
        <v>334</v>
      </c>
      <c r="Z272" s="78" t="s">
        <v>315</v>
      </c>
      <c r="AA272" s="43" t="s">
        <v>194</v>
      </c>
      <c r="AB272" s="216" t="s">
        <v>1394</v>
      </c>
      <c r="AC272" s="165" t="s">
        <v>5</v>
      </c>
      <c r="AD272" s="165">
        <v>44500</v>
      </c>
      <c r="AE272" s="165">
        <f t="shared" si="129"/>
        <v>44651</v>
      </c>
      <c r="AF272" s="5"/>
      <c r="AG272" s="41"/>
      <c r="AH272" s="212"/>
      <c r="AI272" s="115"/>
      <c r="AJ272" s="115"/>
      <c r="AK272" s="221" t="e">
        <f>SUM(#REF!,BT272,BV272)</f>
        <v>#REF!</v>
      </c>
      <c r="AL272" s="167"/>
      <c r="AM272" s="167"/>
      <c r="AN272" s="167"/>
      <c r="AO272" s="167"/>
      <c r="AP272" s="167"/>
      <c r="AQ272" s="167"/>
      <c r="AR272" s="52">
        <v>0</v>
      </c>
      <c r="AS272" s="51">
        <v>180</v>
      </c>
      <c r="AT272" s="51">
        <v>134.98552000000001</v>
      </c>
      <c r="AU272" s="51">
        <v>63.783950000000004</v>
      </c>
      <c r="AV272" s="44">
        <v>213.85</v>
      </c>
      <c r="AW272" s="44">
        <v>41</v>
      </c>
      <c r="AX272" s="90">
        <f t="shared" si="130"/>
        <v>254.85</v>
      </c>
      <c r="AY272" s="157">
        <f t="shared" si="122"/>
        <v>71.796830000000014</v>
      </c>
      <c r="AZ272" s="182">
        <v>15</v>
      </c>
      <c r="BA272" s="158">
        <v>6.7839499999999999</v>
      </c>
      <c r="BB272" s="182">
        <v>10</v>
      </c>
      <c r="BC272" s="159">
        <v>11.081469999999999</v>
      </c>
      <c r="BD272" s="182">
        <v>6.5</v>
      </c>
      <c r="BE272" s="158">
        <v>6.0355700000000008</v>
      </c>
      <c r="BF272" s="182">
        <v>15</v>
      </c>
      <c r="BG272" s="158">
        <v>16.27413</v>
      </c>
      <c r="BH272" s="182">
        <v>2</v>
      </c>
      <c r="BI272" s="159">
        <v>5.2538499999999999</v>
      </c>
      <c r="BJ272" s="182">
        <v>7</v>
      </c>
      <c r="BK272" s="158">
        <v>22.046790000000001</v>
      </c>
      <c r="BL272" s="183">
        <v>0.1</v>
      </c>
      <c r="BM272" s="158">
        <v>5.3239999999999982E-2</v>
      </c>
      <c r="BN272" s="183"/>
      <c r="BO272" s="158">
        <v>-0.21703999999999998</v>
      </c>
      <c r="BP272" s="182">
        <v>5</v>
      </c>
      <c r="BQ272" s="158">
        <v>3.64127</v>
      </c>
      <c r="BR272" s="182"/>
      <c r="BS272" s="158">
        <v>0.84045999999999998</v>
      </c>
      <c r="BT272" s="182"/>
      <c r="BU272" s="158"/>
      <c r="BV272" s="182"/>
      <c r="BW272" s="234">
        <v>3.14E-3</v>
      </c>
      <c r="BX272" s="237">
        <v>3.14E-3</v>
      </c>
      <c r="BY272" s="81">
        <f t="shared" si="123"/>
        <v>0</v>
      </c>
      <c r="BZ272" s="242"/>
      <c r="CA272" s="242"/>
      <c r="CB272" s="242"/>
      <c r="CC272" s="242"/>
      <c r="CD272" s="242"/>
      <c r="CE272" s="242"/>
      <c r="CF272" s="242"/>
      <c r="CG272" s="242"/>
      <c r="CH272" s="242"/>
      <c r="CI272" s="242"/>
      <c r="CJ272" s="242"/>
      <c r="CK272" s="242"/>
      <c r="CL272" s="195">
        <f t="shared" si="125"/>
        <v>0</v>
      </c>
      <c r="CM272" s="197"/>
      <c r="CN272" s="197"/>
      <c r="CO272" s="197"/>
      <c r="CP272" s="197"/>
      <c r="CQ272" s="197"/>
      <c r="CR272" s="197"/>
      <c r="CS272" s="197"/>
      <c r="CT272" s="197"/>
      <c r="CU272" s="197"/>
      <c r="CV272" s="197"/>
      <c r="CW272" s="197"/>
      <c r="CX272" s="197"/>
      <c r="CY272" s="200">
        <f t="shared" si="131"/>
        <v>-3.14E-3</v>
      </c>
      <c r="CZ272" s="172">
        <f t="shared" si="124"/>
        <v>0</v>
      </c>
      <c r="DA272" s="201">
        <f t="shared" si="132"/>
        <v>71.793690000000012</v>
      </c>
      <c r="DB272" s="201">
        <f t="shared" si="133"/>
        <v>3.14E-3</v>
      </c>
      <c r="DC272" s="201">
        <f>SUM(AY272,BY272)</f>
        <v>71.796830000000014</v>
      </c>
      <c r="DD272" s="239">
        <v>71.793690000000012</v>
      </c>
      <c r="DE272" s="201">
        <f t="shared" si="134"/>
        <v>3.140000000001919E-3</v>
      </c>
      <c r="DF272" s="172" t="e">
        <f>SUM(DN272:DO272)-SUM(#REF!,BV272)+BU272</f>
        <v>#REF!</v>
      </c>
      <c r="DG272" s="207"/>
      <c r="DH272" s="225">
        <f t="shared" si="135"/>
        <v>23.90099</v>
      </c>
      <c r="DI272" s="225">
        <f t="shared" si="136"/>
        <v>43.574770000000001</v>
      </c>
      <c r="DJ272" s="225">
        <f t="shared" si="137"/>
        <v>3.4774699999999998</v>
      </c>
      <c r="DK272" s="225" t="e">
        <f>SUM(BS272,#REF!,BV272)</f>
        <v>#REF!</v>
      </c>
      <c r="DL272" s="145">
        <v>213.85</v>
      </c>
      <c r="DM272" s="145">
        <v>206.78235000000001</v>
      </c>
      <c r="DN272" s="145">
        <v>0</v>
      </c>
      <c r="DO272" s="145">
        <v>0</v>
      </c>
      <c r="DP272" s="145">
        <v>206.78235000000001</v>
      </c>
      <c r="DQ272" s="145">
        <v>7.0676499999999995</v>
      </c>
      <c r="DR272" s="21">
        <f>VLOOKUP(C272,[6]Database!$B$143:$AD$521,29,FALSE)</f>
        <v>0</v>
      </c>
      <c r="DS272" s="219">
        <f>BY272-DR272</f>
        <v>0</v>
      </c>
    </row>
    <row r="273" spans="1:123" s="21" customFormat="1" ht="24" customHeight="1">
      <c r="A273" s="16"/>
      <c r="B273" s="2">
        <v>137</v>
      </c>
      <c r="C273" s="79" t="s">
        <v>260</v>
      </c>
      <c r="D273" s="79"/>
      <c r="E273" s="79" t="s">
        <v>843</v>
      </c>
      <c r="F273" s="39">
        <v>2019</v>
      </c>
      <c r="G273" s="40">
        <v>43716</v>
      </c>
      <c r="H273" s="178">
        <v>43771</v>
      </c>
      <c r="I273" s="40">
        <v>44321</v>
      </c>
      <c r="J273" s="13">
        <f t="shared" ca="1" si="114"/>
        <v>550</v>
      </c>
      <c r="K273" s="165">
        <f t="shared" si="127"/>
        <v>44318</v>
      </c>
      <c r="L273" s="165">
        <f t="shared" si="128"/>
        <v>44501</v>
      </c>
      <c r="M273" s="170"/>
      <c r="N273" s="170" t="s">
        <v>597</v>
      </c>
      <c r="O273" s="258" t="s">
        <v>597</v>
      </c>
      <c r="P273" s="259" t="s">
        <v>1267</v>
      </c>
      <c r="Q273" s="170"/>
      <c r="R273" s="39" t="s">
        <v>175</v>
      </c>
      <c r="S273" s="11" t="s">
        <v>221</v>
      </c>
      <c r="T273" s="41" t="s">
        <v>918</v>
      </c>
      <c r="U273" s="5" t="s">
        <v>8</v>
      </c>
      <c r="V273" s="251">
        <v>2357502</v>
      </c>
      <c r="W273" s="5" t="s">
        <v>602</v>
      </c>
      <c r="X273" s="5" t="s">
        <v>471</v>
      </c>
      <c r="Y273" s="5" t="s">
        <v>259</v>
      </c>
      <c r="Z273" s="3" t="s">
        <v>186</v>
      </c>
      <c r="AA273" s="43" t="s">
        <v>217</v>
      </c>
      <c r="AB273" s="141" t="s">
        <v>196</v>
      </c>
      <c r="AC273" s="165" t="s">
        <v>5</v>
      </c>
      <c r="AD273" s="165">
        <v>44469</v>
      </c>
      <c r="AE273" s="165">
        <f t="shared" si="129"/>
        <v>44469</v>
      </c>
      <c r="AF273" s="5"/>
      <c r="AG273" s="41"/>
      <c r="AH273" s="212"/>
      <c r="AI273" s="115"/>
      <c r="AJ273" s="115"/>
      <c r="AK273" s="221" t="e">
        <f>SUM(#REF!,BT273,BV273)</f>
        <v>#REF!</v>
      </c>
      <c r="AL273" s="153" t="s">
        <v>1079</v>
      </c>
      <c r="AM273" s="153" t="s">
        <v>1079</v>
      </c>
      <c r="AN273" s="153" t="s">
        <v>1079</v>
      </c>
      <c r="AO273" s="153" t="s">
        <v>592</v>
      </c>
      <c r="AP273" s="153" t="s">
        <v>592</v>
      </c>
      <c r="AQ273" s="153" t="s">
        <v>592</v>
      </c>
      <c r="AR273" s="52">
        <v>0</v>
      </c>
      <c r="AS273" s="51">
        <v>130.12182999999999</v>
      </c>
      <c r="AT273" s="51">
        <v>98.993009999999984</v>
      </c>
      <c r="AU273" s="51">
        <v>32.894840000000002</v>
      </c>
      <c r="AV273" s="44">
        <v>138.869</v>
      </c>
      <c r="AW273" s="44">
        <v>4.6900000000000004</v>
      </c>
      <c r="AX273" s="90">
        <f t="shared" si="130"/>
        <v>143.559</v>
      </c>
      <c r="AY273" s="157">
        <f t="shared" si="122"/>
        <v>34.289530000000006</v>
      </c>
      <c r="AZ273" s="182">
        <v>2</v>
      </c>
      <c r="BA273" s="158">
        <v>-0.10516</v>
      </c>
      <c r="BB273" s="182">
        <v>2</v>
      </c>
      <c r="BC273" s="159">
        <v>3.8984899999999998</v>
      </c>
      <c r="BD273" s="182">
        <v>0</v>
      </c>
      <c r="BE273" s="158">
        <v>9.5626200000000008</v>
      </c>
      <c r="BF273" s="182">
        <v>3.6099899999999998</v>
      </c>
      <c r="BG273" s="158">
        <v>2.5693699999999997</v>
      </c>
      <c r="BH273" s="182">
        <v>12.7</v>
      </c>
      <c r="BI273" s="159">
        <v>10.08849</v>
      </c>
      <c r="BJ273" s="182">
        <v>8</v>
      </c>
      <c r="BK273" s="158">
        <v>0.26027999999999996</v>
      </c>
      <c r="BL273" s="183">
        <v>7.7</v>
      </c>
      <c r="BM273" s="158"/>
      <c r="BN273" s="183">
        <v>7.7</v>
      </c>
      <c r="BO273" s="158">
        <v>0.63800999999999997</v>
      </c>
      <c r="BP273" s="182">
        <v>7.1</v>
      </c>
      <c r="BQ273" s="158">
        <v>7.0303599999999999</v>
      </c>
      <c r="BR273" s="182">
        <f>1-0.2</f>
        <v>0.8</v>
      </c>
      <c r="BS273" s="158"/>
      <c r="BT273" s="182">
        <v>0.8</v>
      </c>
      <c r="BU273" s="158">
        <v>0.56973999999999991</v>
      </c>
      <c r="BV273" s="182"/>
      <c r="BW273" s="234">
        <v>-0.22267000000000003</v>
      </c>
      <c r="BX273" s="237">
        <v>-0.22267000000000003</v>
      </c>
      <c r="BY273" s="81">
        <f t="shared" si="123"/>
        <v>0</v>
      </c>
      <c r="BZ273" s="242"/>
      <c r="CA273" s="242"/>
      <c r="CB273" s="242"/>
      <c r="CC273" s="242"/>
      <c r="CD273" s="242"/>
      <c r="CE273" s="242"/>
      <c r="CF273" s="242"/>
      <c r="CG273" s="242"/>
      <c r="CH273" s="242"/>
      <c r="CI273" s="242"/>
      <c r="CJ273" s="242"/>
      <c r="CK273" s="242"/>
      <c r="CL273" s="195">
        <f t="shared" si="125"/>
        <v>0</v>
      </c>
      <c r="CM273" s="197"/>
      <c r="CN273" s="197"/>
      <c r="CO273" s="197"/>
      <c r="CP273" s="197"/>
      <c r="CQ273" s="197"/>
      <c r="CR273" s="197"/>
      <c r="CS273" s="197"/>
      <c r="CT273" s="197"/>
      <c r="CU273" s="197"/>
      <c r="CV273" s="197"/>
      <c r="CW273" s="197"/>
      <c r="CX273" s="197"/>
      <c r="CY273" s="200">
        <f t="shared" si="131"/>
        <v>0.22267000000000003</v>
      </c>
      <c r="CZ273" s="172">
        <f t="shared" si="124"/>
        <v>0</v>
      </c>
      <c r="DA273" s="201">
        <f t="shared" si="132"/>
        <v>34.512200000000007</v>
      </c>
      <c r="DB273" s="201">
        <f t="shared" si="133"/>
        <v>-0.22267000000000003</v>
      </c>
      <c r="DC273" s="201">
        <f>SUM(AY273,BY273)</f>
        <v>34.289530000000006</v>
      </c>
      <c r="DD273" s="239">
        <v>34.742460000000001</v>
      </c>
      <c r="DE273" s="201">
        <f t="shared" si="134"/>
        <v>-0.45292999999999495</v>
      </c>
      <c r="DF273" s="172" t="e">
        <f>SUM(DN273:DO273)-SUM(#REF!,BV273)+BU273</f>
        <v>#REF!</v>
      </c>
      <c r="DG273" s="207"/>
      <c r="DH273" s="225">
        <f t="shared" si="135"/>
        <v>13.35595</v>
      </c>
      <c r="DI273" s="225">
        <f t="shared" si="136"/>
        <v>12.918139999999999</v>
      </c>
      <c r="DJ273" s="225">
        <f t="shared" si="137"/>
        <v>7.6683699999999995</v>
      </c>
      <c r="DK273" s="225" t="e">
        <f>SUM(BS273,#REF!,BV273)</f>
        <v>#REF!</v>
      </c>
      <c r="DL273" s="145">
        <v>138.869</v>
      </c>
      <c r="DM273" s="145">
        <v>133.11342999999999</v>
      </c>
      <c r="DN273" s="145">
        <v>0</v>
      </c>
      <c r="DO273" s="145">
        <v>0</v>
      </c>
      <c r="DP273" s="145">
        <v>133.11342999999999</v>
      </c>
      <c r="DQ273" s="145">
        <v>5.7555699999999996</v>
      </c>
      <c r="DR273" s="21">
        <f>VLOOKUP(C273,[6]Database!$B$143:$AD$521,29,FALSE)</f>
        <v>0</v>
      </c>
      <c r="DS273" s="219">
        <f>BY273-DR273</f>
        <v>0</v>
      </c>
    </row>
    <row r="274" spans="1:123" s="21" customFormat="1" ht="24" customHeight="1">
      <c r="A274" s="16"/>
      <c r="B274" s="2">
        <v>234</v>
      </c>
      <c r="C274" s="79" t="s">
        <v>1050</v>
      </c>
      <c r="D274" s="143" t="s">
        <v>1155</v>
      </c>
      <c r="E274" s="79"/>
      <c r="F274" s="39">
        <v>2021</v>
      </c>
      <c r="G274" s="40">
        <v>44448</v>
      </c>
      <c r="H274" s="178">
        <v>44483</v>
      </c>
      <c r="I274" s="40"/>
      <c r="J274" s="13">
        <f t="shared" ca="1" si="114"/>
        <v>-819.33599710647832</v>
      </c>
      <c r="K274" s="165">
        <f t="shared" si="127"/>
        <v>45030</v>
      </c>
      <c r="L274" s="165">
        <f t="shared" si="128"/>
        <v>45213</v>
      </c>
      <c r="M274" s="170"/>
      <c r="N274" s="170"/>
      <c r="O274" s="170"/>
      <c r="P274" s="170"/>
      <c r="Q274" s="170"/>
      <c r="R274" s="39" t="s">
        <v>175</v>
      </c>
      <c r="S274" s="11" t="s">
        <v>223</v>
      </c>
      <c r="T274" s="11" t="s">
        <v>916</v>
      </c>
      <c r="U274" s="5" t="s">
        <v>7</v>
      </c>
      <c r="V274" s="251">
        <v>4741958</v>
      </c>
      <c r="W274" s="5" t="s">
        <v>602</v>
      </c>
      <c r="X274" s="5" t="s">
        <v>901</v>
      </c>
      <c r="Y274" s="5" t="s">
        <v>923</v>
      </c>
      <c r="Z274" s="3" t="s">
        <v>315</v>
      </c>
      <c r="AA274" s="43" t="s">
        <v>461</v>
      </c>
      <c r="AB274" s="142" t="s">
        <v>1368</v>
      </c>
      <c r="AC274" s="165">
        <v>45016</v>
      </c>
      <c r="AD274" s="165">
        <v>45168</v>
      </c>
      <c r="AE274" s="165">
        <f t="shared" si="129"/>
        <v>45169</v>
      </c>
      <c r="AF274" s="5"/>
      <c r="AG274" s="41"/>
      <c r="AH274" s="212"/>
      <c r="AI274" s="115"/>
      <c r="AJ274" s="115"/>
      <c r="AK274" s="221" t="e">
        <f>SUM(#REF!,BT274,BV274)</f>
        <v>#REF!</v>
      </c>
      <c r="AL274" s="167"/>
      <c r="AM274" s="167"/>
      <c r="AN274" s="167"/>
      <c r="AO274" s="167"/>
      <c r="AP274" s="167"/>
      <c r="AQ274" s="167"/>
      <c r="AR274" s="52"/>
      <c r="AS274" s="51"/>
      <c r="AT274" s="51"/>
      <c r="AU274" s="51"/>
      <c r="AV274" s="44">
        <v>715</v>
      </c>
      <c r="AW274" s="44">
        <v>8.1999999999999993</v>
      </c>
      <c r="AX274" s="90">
        <f t="shared" si="130"/>
        <v>723.2</v>
      </c>
      <c r="AY274" s="157">
        <f t="shared" si="122"/>
        <v>12.11361</v>
      </c>
      <c r="AZ274" s="182"/>
      <c r="BA274" s="158"/>
      <c r="BB274" s="182"/>
      <c r="BC274" s="159"/>
      <c r="BD274" s="182"/>
      <c r="BE274" s="158"/>
      <c r="BF274" s="182"/>
      <c r="BG274" s="158"/>
      <c r="BH274" s="182"/>
      <c r="BI274" s="159"/>
      <c r="BJ274" s="182"/>
      <c r="BK274" s="158"/>
      <c r="BL274" s="183"/>
      <c r="BM274" s="158"/>
      <c r="BN274" s="183"/>
      <c r="BO274" s="158"/>
      <c r="BP274" s="182"/>
      <c r="BQ274" s="158"/>
      <c r="BR274" s="182"/>
      <c r="BS274" s="158"/>
      <c r="BT274" s="182"/>
      <c r="BU274" s="158">
        <v>3.1735100000000003</v>
      </c>
      <c r="BV274" s="182">
        <v>4.7</v>
      </c>
      <c r="BW274" s="234">
        <v>8.9400999999999993</v>
      </c>
      <c r="BX274" s="237">
        <v>8.9400999999999993</v>
      </c>
      <c r="BY274" s="81">
        <f t="shared" si="123"/>
        <v>700.67755999999997</v>
      </c>
      <c r="BZ274" s="242"/>
      <c r="CA274" s="242"/>
      <c r="CB274" s="242">
        <f>16.97756-5-1.1-2.5-0.7</f>
        <v>7.6775600000000006</v>
      </c>
      <c r="CC274" s="242">
        <f>30+100</f>
        <v>130</v>
      </c>
      <c r="CD274" s="242">
        <v>10</v>
      </c>
      <c r="CE274" s="242">
        <f>486-102</f>
        <v>384</v>
      </c>
      <c r="CF274" s="242">
        <v>50</v>
      </c>
      <c r="CG274" s="242">
        <v>50</v>
      </c>
      <c r="CH274" s="242">
        <v>50</v>
      </c>
      <c r="CI274" s="242">
        <v>12</v>
      </c>
      <c r="CJ274" s="242">
        <v>7</v>
      </c>
      <c r="CK274" s="242"/>
      <c r="CL274" s="195">
        <f t="shared" si="125"/>
        <v>0</v>
      </c>
      <c r="CM274" s="197"/>
      <c r="CN274" s="197"/>
      <c r="CO274" s="197"/>
      <c r="CP274" s="197"/>
      <c r="CQ274" s="197"/>
      <c r="CR274" s="197"/>
      <c r="CS274" s="197"/>
      <c r="CT274" s="197"/>
      <c r="CU274" s="197"/>
      <c r="CV274" s="197"/>
      <c r="CW274" s="197"/>
      <c r="CX274" s="197"/>
      <c r="CY274" s="200">
        <f t="shared" si="131"/>
        <v>-4.2400999999999991</v>
      </c>
      <c r="CZ274" s="172">
        <f t="shared" si="124"/>
        <v>0</v>
      </c>
      <c r="DA274" s="201">
        <f t="shared" si="132"/>
        <v>3.1735100000000003</v>
      </c>
      <c r="DB274" s="201">
        <f t="shared" si="133"/>
        <v>8.9400999999999993</v>
      </c>
      <c r="DC274" s="201">
        <f>SUM(AY274,BY274)</f>
        <v>712.79116999999997</v>
      </c>
      <c r="DD274" s="239">
        <v>613</v>
      </c>
      <c r="DE274" s="201">
        <f t="shared" si="134"/>
        <v>99.791169999999966</v>
      </c>
      <c r="DF274" s="172" t="e">
        <f>SUM(DN274:DO274)-SUM(#REF!,BV274)+BU274</f>
        <v>#REF!</v>
      </c>
      <c r="DG274" s="207"/>
      <c r="DH274" s="225">
        <f t="shared" si="135"/>
        <v>0</v>
      </c>
      <c r="DI274" s="225">
        <f t="shared" si="136"/>
        <v>0</v>
      </c>
      <c r="DJ274" s="225">
        <f t="shared" si="137"/>
        <v>0</v>
      </c>
      <c r="DK274" s="225" t="e">
        <f>SUM(BS274,#REF!,BV274)</f>
        <v>#REF!</v>
      </c>
      <c r="DL274" s="145">
        <v>715</v>
      </c>
      <c r="DM274" s="145">
        <v>11.45951</v>
      </c>
      <c r="DN274" s="145">
        <v>7.5108000000000006</v>
      </c>
      <c r="DO274" s="145">
        <v>0</v>
      </c>
      <c r="DP274" s="145">
        <v>18.970310000000001</v>
      </c>
      <c r="DQ274" s="145">
        <v>696.02968999999996</v>
      </c>
      <c r="DR274" s="21">
        <f>VLOOKUP(C274,[6]Database!$B$143:$AD$521,29,FALSE)</f>
        <v>715</v>
      </c>
      <c r="DS274" s="219">
        <f>BY274-DR274</f>
        <v>-14.322440000000029</v>
      </c>
    </row>
  </sheetData>
  <autoFilter ref="A5:DS274" xr:uid="{3656792C-27F1-4799-B5A6-7E674206C18F}">
    <filterColumn colId="22">
      <filters>
        <filter val="PROJETO"/>
      </filters>
    </filterColumn>
  </autoFilter>
  <mergeCells count="27">
    <mergeCell ref="AY2:BV2"/>
    <mergeCell ref="BY2:CK2"/>
    <mergeCell ref="CL2:CX2"/>
    <mergeCell ref="AY3:AY4"/>
    <mergeCell ref="AZ3:BE4"/>
    <mergeCell ref="BF3:BK4"/>
    <mergeCell ref="BL3:BQ4"/>
    <mergeCell ref="BR3:BX4"/>
    <mergeCell ref="BY3:BY4"/>
    <mergeCell ref="BZ3:CB4"/>
    <mergeCell ref="DL3:DL4"/>
    <mergeCell ref="CC3:CE4"/>
    <mergeCell ref="CF3:CH4"/>
    <mergeCell ref="CI3:CK4"/>
    <mergeCell ref="CL3:CL4"/>
    <mergeCell ref="CM3:CO4"/>
    <mergeCell ref="CP3:CR4"/>
    <mergeCell ref="CS3:CU4"/>
    <mergeCell ref="CV3:CX4"/>
    <mergeCell ref="CY3:CY4"/>
    <mergeCell ref="DB3:DB4"/>
    <mergeCell ref="DF3:DF4"/>
    <mergeCell ref="DM3:DM4"/>
    <mergeCell ref="DN3:DN4"/>
    <mergeCell ref="DO3:DO4"/>
    <mergeCell ref="DP3:DP4"/>
    <mergeCell ref="DQ3:DQ4"/>
  </mergeCells>
  <conditionalFormatting sqref="J6:J274">
    <cfRule type="cellIs" dxfId="416" priority="922" operator="greaterThan">
      <formula>547</formula>
    </cfRule>
    <cfRule type="cellIs" dxfId="415" priority="923" operator="lessThan">
      <formula>-1</formula>
    </cfRule>
    <cfRule type="cellIs" dxfId="414" priority="924" operator="between">
      <formula>1</formula>
      <formula>547</formula>
    </cfRule>
    <cfRule type="containsBlanks" dxfId="413" priority="929">
      <formula>LEN(TRIM(J6))=0</formula>
    </cfRule>
  </conditionalFormatting>
  <conditionalFormatting sqref="AA6">
    <cfRule type="expression" dxfId="412" priority="4">
      <formula>"EM ESTUDO"</formula>
    </cfRule>
    <cfRule type="cellIs" dxfId="411" priority="5" operator="equal">
      <formula>"CANCELADO"</formula>
    </cfRule>
    <cfRule type="cellIs" dxfId="410" priority="6" operator="equal">
      <formula>"EM EXECUÇÃO"</formula>
    </cfRule>
    <cfRule type="cellIs" dxfId="409" priority="7" operator="equal">
      <formula>"CLSD"</formula>
    </cfRule>
    <cfRule type="cellIs" dxfId="408" priority="8" operator="equal">
      <formula>"TECO"</formula>
    </cfRule>
    <cfRule type="expression" dxfId="407" priority="62">
      <formula>"EM ESTUDO"</formula>
    </cfRule>
    <cfRule type="cellIs" dxfId="406" priority="63" operator="equal">
      <formula>"CANCELADO"</formula>
    </cfRule>
    <cfRule type="cellIs" dxfId="405" priority="64" operator="equal">
      <formula>"EM EXECUÇÃO"</formula>
    </cfRule>
    <cfRule type="cellIs" dxfId="404" priority="65" operator="equal">
      <formula>"CLSD"</formula>
    </cfRule>
    <cfRule type="cellIs" dxfId="403" priority="66" operator="equal">
      <formula>"TECO"</formula>
    </cfRule>
    <cfRule type="expression" dxfId="402" priority="73">
      <formula>"EM ESTUDO"</formula>
    </cfRule>
    <cfRule type="cellIs" dxfId="401" priority="74" operator="equal">
      <formula>"CANCELADO"</formula>
    </cfRule>
    <cfRule type="cellIs" dxfId="400" priority="75" operator="equal">
      <formula>"EM EXECUÇÃO"</formula>
    </cfRule>
    <cfRule type="cellIs" dxfId="399" priority="76" operator="equal">
      <formula>"CLSD"</formula>
    </cfRule>
    <cfRule type="cellIs" dxfId="398" priority="77" operator="equal">
      <formula>"TECO"</formula>
    </cfRule>
    <cfRule type="expression" dxfId="397" priority="181">
      <formula>"EM ESTUDO"</formula>
    </cfRule>
    <cfRule type="cellIs" dxfId="396" priority="182" operator="equal">
      <formula>"CANCELADO"</formula>
    </cfRule>
    <cfRule type="cellIs" dxfId="395" priority="183" operator="equal">
      <formula>"EM EXECUÇÃO"</formula>
    </cfRule>
    <cfRule type="cellIs" dxfId="394" priority="184" operator="equal">
      <formula>"CLSD"</formula>
    </cfRule>
  </conditionalFormatting>
  <conditionalFormatting sqref="AA6:AA52">
    <cfRule type="cellIs" dxfId="393" priority="185" operator="equal">
      <formula>"TECO"</formula>
    </cfRule>
    <cfRule type="cellIs" dxfId="392" priority="913" operator="equal">
      <formula>"CLSD"</formula>
    </cfRule>
    <cfRule type="cellIs" dxfId="391" priority="915" operator="equal">
      <formula>"REL"</formula>
    </cfRule>
  </conditionalFormatting>
  <conditionalFormatting sqref="AA6:AA274">
    <cfRule type="cellIs" dxfId="390" priority="12" operator="equal">
      <formula>"CRTD"</formula>
    </cfRule>
  </conditionalFormatting>
  <conditionalFormatting sqref="AA8">
    <cfRule type="expression" dxfId="389" priority="67">
      <formula>"EM ESTUDO"</formula>
    </cfRule>
    <cfRule type="cellIs" dxfId="388" priority="68" operator="equal">
      <formula>"CANCELADO"</formula>
    </cfRule>
    <cfRule type="cellIs" dxfId="387" priority="69" operator="equal">
      <formula>"EM EXECUÇÃO"</formula>
    </cfRule>
    <cfRule type="cellIs" dxfId="386" priority="70" operator="equal">
      <formula>"CLSD"</formula>
    </cfRule>
    <cfRule type="cellIs" dxfId="385" priority="71" operator="equal">
      <formula>"TECO"</formula>
    </cfRule>
  </conditionalFormatting>
  <conditionalFormatting sqref="AA9:AA52 AA54:AA106 AA109:AA118 AA121 AA123:AA126 AA128 AA130 AA132:AA143 AA145 AA147:AA152 AA154:AA175 AA177 AA180:AA231 AA233:AA253 AA255:AA274">
    <cfRule type="cellIs" dxfId="384" priority="918" operator="equal">
      <formula>"CANCELADO"</formula>
    </cfRule>
    <cfRule type="cellIs" dxfId="383" priority="919" operator="equal">
      <formula>"EM EXECUÇÃO"</formula>
    </cfRule>
    <cfRule type="cellIs" dxfId="382" priority="920" operator="equal">
      <formula>"CLSD"</formula>
    </cfRule>
    <cfRule type="cellIs" dxfId="381" priority="921" operator="equal">
      <formula>"TECO"</formula>
    </cfRule>
  </conditionalFormatting>
  <conditionalFormatting sqref="AA9:AA52 AA177 AA154:AA175 AA180:AA208 AA121 AA123:AA126 AA109:AA118 AA128 AA130 AA132:AA143 AA145 AA147:AA152 AA54:AA106 AA244:AA253 AA255:AA274">
    <cfRule type="expression" dxfId="380" priority="917">
      <formula>"EM ESTUDO"</formula>
    </cfRule>
  </conditionalFormatting>
  <conditionalFormatting sqref="AA53">
    <cfRule type="cellIs" dxfId="379" priority="92" operator="equal">
      <formula>"TECO"</formula>
    </cfRule>
    <cfRule type="expression" dxfId="378" priority="95">
      <formula>"EM ESTUDO"</formula>
    </cfRule>
    <cfRule type="cellIs" dxfId="377" priority="96" operator="equal">
      <formula>"CANCELADO"</formula>
    </cfRule>
    <cfRule type="cellIs" dxfId="376" priority="97" operator="equal">
      <formula>"EM EXECUÇÃO"</formula>
    </cfRule>
    <cfRule type="cellIs" dxfId="375" priority="98" operator="equal">
      <formula>"CLSD"</formula>
    </cfRule>
    <cfRule type="cellIs" dxfId="374" priority="99" operator="equal">
      <formula>"TECO"</formula>
    </cfRule>
  </conditionalFormatting>
  <conditionalFormatting sqref="AA53:AA274">
    <cfRule type="cellIs" dxfId="373" priority="9" operator="equal">
      <formula>"CLSD"</formula>
    </cfRule>
    <cfRule type="cellIs" dxfId="372" priority="11" operator="equal">
      <formula>"REL"</formula>
    </cfRule>
  </conditionalFormatting>
  <conditionalFormatting sqref="AA54:AA108">
    <cfRule type="cellIs" dxfId="371" priority="108" operator="equal">
      <formula>"TECO"</formula>
    </cfRule>
  </conditionalFormatting>
  <conditionalFormatting sqref="AA107:AA108">
    <cfRule type="cellIs" dxfId="370" priority="101" operator="equal">
      <formula>"TECO"</formula>
    </cfRule>
    <cfRule type="expression" dxfId="369" priority="104">
      <formula>"EM ESTUDO"</formula>
    </cfRule>
    <cfRule type="cellIs" dxfId="368" priority="105" operator="equal">
      <formula>"CANCELADO"</formula>
    </cfRule>
    <cfRule type="cellIs" dxfId="367" priority="106" operator="equal">
      <formula>"EM EXECUÇÃO"</formula>
    </cfRule>
    <cfRule type="cellIs" dxfId="366" priority="107" operator="equal">
      <formula>"CLSD"</formula>
    </cfRule>
  </conditionalFormatting>
  <conditionalFormatting sqref="AA109:AA120">
    <cfRule type="cellIs" dxfId="365" priority="171" operator="equal">
      <formula>"TECO"</formula>
    </cfRule>
  </conditionalFormatting>
  <conditionalFormatting sqref="AA119:AA120">
    <cfRule type="cellIs" dxfId="364" priority="164" operator="equal">
      <formula>"TECO"</formula>
    </cfRule>
    <cfRule type="expression" dxfId="363" priority="167">
      <formula>"EM ESTUDO"</formula>
    </cfRule>
    <cfRule type="cellIs" dxfId="362" priority="168" operator="equal">
      <formula>"CANCELADO"</formula>
    </cfRule>
    <cfRule type="cellIs" dxfId="361" priority="169" operator="equal">
      <formula>"EM EXECUÇÃO"</formula>
    </cfRule>
    <cfRule type="cellIs" dxfId="360" priority="170" operator="equal">
      <formula>"CLSD"</formula>
    </cfRule>
  </conditionalFormatting>
  <conditionalFormatting sqref="AA121:AA126">
    <cfRule type="cellIs" dxfId="359" priority="180" operator="equal">
      <formula>"TECO"</formula>
    </cfRule>
  </conditionalFormatting>
  <conditionalFormatting sqref="AA122">
    <cfRule type="cellIs" dxfId="358" priority="173" operator="equal">
      <formula>"TECO"</formula>
    </cfRule>
    <cfRule type="expression" dxfId="357" priority="176">
      <formula>"EM ESTUDO"</formula>
    </cfRule>
    <cfRule type="cellIs" dxfId="356" priority="177" operator="equal">
      <formula>"CANCELADO"</formula>
    </cfRule>
    <cfRule type="cellIs" dxfId="355" priority="178" operator="equal">
      <formula>"EM EXECUÇÃO"</formula>
    </cfRule>
    <cfRule type="cellIs" dxfId="354" priority="179" operator="equal">
      <formula>"CLSD"</formula>
    </cfRule>
  </conditionalFormatting>
  <conditionalFormatting sqref="AA127">
    <cfRule type="cellIs" dxfId="353" priority="155" operator="equal">
      <formula>"TECO"</formula>
    </cfRule>
    <cfRule type="expression" dxfId="352" priority="158">
      <formula>"EM ESTUDO"</formula>
    </cfRule>
    <cfRule type="cellIs" dxfId="351" priority="159" operator="equal">
      <formula>"CANCELADO"</formula>
    </cfRule>
    <cfRule type="cellIs" dxfId="350" priority="160" operator="equal">
      <formula>"EM EXECUÇÃO"</formula>
    </cfRule>
    <cfRule type="cellIs" dxfId="349" priority="161" operator="equal">
      <formula>"CLSD"</formula>
    </cfRule>
  </conditionalFormatting>
  <conditionalFormatting sqref="AA127:AA128">
    <cfRule type="cellIs" dxfId="348" priority="162" operator="equal">
      <formula>"TECO"</formula>
    </cfRule>
  </conditionalFormatting>
  <conditionalFormatting sqref="AA129">
    <cfRule type="cellIs" dxfId="347" priority="146" operator="equal">
      <formula>"TECO"</formula>
    </cfRule>
    <cfRule type="expression" dxfId="346" priority="149">
      <formula>"EM ESTUDO"</formula>
    </cfRule>
    <cfRule type="cellIs" dxfId="345" priority="150" operator="equal">
      <formula>"CANCELADO"</formula>
    </cfRule>
    <cfRule type="cellIs" dxfId="344" priority="151" operator="equal">
      <formula>"EM EXECUÇÃO"</formula>
    </cfRule>
    <cfRule type="cellIs" dxfId="343" priority="152" operator="equal">
      <formula>"CLSD"</formula>
    </cfRule>
  </conditionalFormatting>
  <conditionalFormatting sqref="AA129:AA130">
    <cfRule type="cellIs" dxfId="342" priority="153" operator="equal">
      <formula>"TECO"</formula>
    </cfRule>
  </conditionalFormatting>
  <conditionalFormatting sqref="AA131">
    <cfRule type="cellIs" dxfId="341" priority="137" operator="equal">
      <formula>"TECO"</formula>
    </cfRule>
    <cfRule type="expression" dxfId="340" priority="140">
      <formula>"EM ESTUDO"</formula>
    </cfRule>
    <cfRule type="cellIs" dxfId="339" priority="141" operator="equal">
      <formula>"CANCELADO"</formula>
    </cfRule>
    <cfRule type="cellIs" dxfId="338" priority="142" operator="equal">
      <formula>"EM EXECUÇÃO"</formula>
    </cfRule>
    <cfRule type="cellIs" dxfId="337" priority="143" operator="equal">
      <formula>"CLSD"</formula>
    </cfRule>
  </conditionalFormatting>
  <conditionalFormatting sqref="AA131:AA143">
    <cfRule type="cellIs" dxfId="336" priority="144" operator="equal">
      <formula>"TECO"</formula>
    </cfRule>
  </conditionalFormatting>
  <conditionalFormatting sqref="AA144">
    <cfRule type="cellIs" dxfId="335" priority="128" operator="equal">
      <formula>"TECO"</formula>
    </cfRule>
    <cfRule type="expression" dxfId="334" priority="131">
      <formula>"EM ESTUDO"</formula>
    </cfRule>
    <cfRule type="cellIs" dxfId="333" priority="132" operator="equal">
      <formula>"CANCELADO"</formula>
    </cfRule>
    <cfRule type="cellIs" dxfId="332" priority="133" operator="equal">
      <formula>"EM EXECUÇÃO"</formula>
    </cfRule>
    <cfRule type="cellIs" dxfId="331" priority="134" operator="equal">
      <formula>"CLSD"</formula>
    </cfRule>
  </conditionalFormatting>
  <conditionalFormatting sqref="AA144:AA145">
    <cfRule type="cellIs" dxfId="330" priority="135" operator="equal">
      <formula>"TECO"</formula>
    </cfRule>
  </conditionalFormatting>
  <conditionalFormatting sqref="AA146">
    <cfRule type="cellIs" dxfId="329" priority="119" operator="equal">
      <formula>"TECO"</formula>
    </cfRule>
    <cfRule type="expression" dxfId="328" priority="122">
      <formula>"EM ESTUDO"</formula>
    </cfRule>
    <cfRule type="cellIs" dxfId="327" priority="123" operator="equal">
      <formula>"CANCELADO"</formula>
    </cfRule>
    <cfRule type="cellIs" dxfId="326" priority="124" operator="equal">
      <formula>"EM EXECUÇÃO"</formula>
    </cfRule>
    <cfRule type="cellIs" dxfId="325" priority="125" operator="equal">
      <formula>"CLSD"</formula>
    </cfRule>
  </conditionalFormatting>
  <conditionalFormatting sqref="AA146:AA152">
    <cfRule type="cellIs" dxfId="324" priority="126" operator="equal">
      <formula>"TECO"</formula>
    </cfRule>
  </conditionalFormatting>
  <conditionalFormatting sqref="AA153">
    <cfRule type="cellIs" dxfId="323" priority="110" operator="equal">
      <formula>"TECO"</formula>
    </cfRule>
    <cfRule type="expression" dxfId="322" priority="113">
      <formula>"EM ESTUDO"</formula>
    </cfRule>
    <cfRule type="cellIs" dxfId="321" priority="114" operator="equal">
      <formula>"CANCELADO"</formula>
    </cfRule>
    <cfRule type="cellIs" dxfId="320" priority="115" operator="equal">
      <formula>"EM EXECUÇÃO"</formula>
    </cfRule>
    <cfRule type="cellIs" dxfId="319" priority="116" operator="equal">
      <formula>"CLSD"</formula>
    </cfRule>
    <cfRule type="cellIs" dxfId="318" priority="117" operator="equal">
      <formula>"TECO"</formula>
    </cfRule>
  </conditionalFormatting>
  <conditionalFormatting sqref="AA154:AA176">
    <cfRule type="cellIs" dxfId="317" priority="215" operator="equal">
      <formula>"TECO"</formula>
    </cfRule>
  </conditionalFormatting>
  <conditionalFormatting sqref="AA176">
    <cfRule type="cellIs" dxfId="316" priority="208" operator="equal">
      <formula>"TECO"</formula>
    </cfRule>
    <cfRule type="expression" dxfId="315" priority="211">
      <formula>"EM ESTUDO"</formula>
    </cfRule>
    <cfRule type="cellIs" dxfId="314" priority="212" operator="equal">
      <formula>"CANCELADO"</formula>
    </cfRule>
    <cfRule type="cellIs" dxfId="313" priority="213" operator="equal">
      <formula>"EM EXECUÇÃO"</formula>
    </cfRule>
    <cfRule type="cellIs" dxfId="312" priority="214" operator="equal">
      <formula>"CLSD"</formula>
    </cfRule>
  </conditionalFormatting>
  <conditionalFormatting sqref="AA177:AA178">
    <cfRule type="cellIs" dxfId="311" priority="224" operator="equal">
      <formula>"TECO"</formula>
    </cfRule>
  </conditionalFormatting>
  <conditionalFormatting sqref="AA178">
    <cfRule type="expression" dxfId="310" priority="220">
      <formula>"EM ESTUDO"</formula>
    </cfRule>
    <cfRule type="cellIs" dxfId="309" priority="221" operator="equal">
      <formula>"CANCELADO"</formula>
    </cfRule>
    <cfRule type="cellIs" dxfId="308" priority="222" operator="equal">
      <formula>"EM EXECUÇÃO"</formula>
    </cfRule>
    <cfRule type="cellIs" dxfId="307" priority="223" operator="equal">
      <formula>"CLSD"</formula>
    </cfRule>
  </conditionalFormatting>
  <conditionalFormatting sqref="AA178:AA231">
    <cfRule type="cellIs" dxfId="306" priority="202" operator="equal">
      <formula>"TECO"</formula>
    </cfRule>
  </conditionalFormatting>
  <conditionalFormatting sqref="AA179">
    <cfRule type="cellIs" dxfId="305" priority="195" operator="equal">
      <formula>"TECO"</formula>
    </cfRule>
    <cfRule type="expression" dxfId="304" priority="198">
      <formula>"EM ESTUDO"</formula>
    </cfRule>
    <cfRule type="cellIs" dxfId="303" priority="199" operator="equal">
      <formula>"CANCELADO"</formula>
    </cfRule>
    <cfRule type="cellIs" dxfId="302" priority="200" operator="equal">
      <formula>"EM EXECUÇÃO"</formula>
    </cfRule>
    <cfRule type="cellIs" dxfId="301" priority="201" operator="equal">
      <formula>"CLSD"</formula>
    </cfRule>
  </conditionalFormatting>
  <conditionalFormatting sqref="AA232">
    <cfRule type="cellIs" dxfId="300" priority="83" operator="equal">
      <formula>"TECO"</formula>
    </cfRule>
    <cfRule type="expression" dxfId="299" priority="86">
      <formula>"EM ESTUDO"</formula>
    </cfRule>
    <cfRule type="cellIs" dxfId="298" priority="87" operator="equal">
      <formula>"CANCELADO"</formula>
    </cfRule>
    <cfRule type="cellIs" dxfId="297" priority="88" operator="equal">
      <formula>"EM EXECUÇÃO"</formula>
    </cfRule>
    <cfRule type="cellIs" dxfId="296" priority="89" operator="equal">
      <formula>"CLSD"</formula>
    </cfRule>
  </conditionalFormatting>
  <conditionalFormatting sqref="AA232:AA253">
    <cfRule type="cellIs" dxfId="295" priority="90" operator="equal">
      <formula>"TECO"</formula>
    </cfRule>
  </conditionalFormatting>
  <conditionalFormatting sqref="AA254">
    <cfRule type="cellIs" dxfId="294" priority="10" operator="equal">
      <formula>"TECO"</formula>
    </cfRule>
    <cfRule type="expression" dxfId="293" priority="13">
      <formula>"EM ESTUDO"</formula>
    </cfRule>
    <cfRule type="cellIs" dxfId="292" priority="14" operator="equal">
      <formula>"CANCELADO"</formula>
    </cfRule>
    <cfRule type="cellIs" dxfId="291" priority="15" operator="equal">
      <formula>"EM EXECUÇÃO"</formula>
    </cfRule>
    <cfRule type="cellIs" dxfId="290" priority="16" operator="equal">
      <formula>"CLSD"</formula>
    </cfRule>
  </conditionalFormatting>
  <conditionalFormatting sqref="AA254:AA274">
    <cfRule type="cellIs" dxfId="289" priority="17" operator="equal">
      <formula>"TECO"</formula>
    </cfRule>
  </conditionalFormatting>
  <conditionalFormatting sqref="AC6:AC257 AC259:AC274">
    <cfRule type="containsText" dxfId="288" priority="80" operator="containsText" text="OK">
      <formula>NOT(ISERROR(SEARCH("OK",AC6)))</formula>
    </cfRule>
    <cfRule type="cellIs" dxfId="287" priority="81" operator="greaterThan">
      <formula>EOMONTH($K6,0)</formula>
    </cfRule>
    <cfRule type="cellIs" dxfId="286" priority="930" operator="equal">
      <formula>36892</formula>
    </cfRule>
  </conditionalFormatting>
  <conditionalFormatting sqref="AD6:AD257 AD259 AD261:AD274">
    <cfRule type="containsText" dxfId="285" priority="79" operator="containsText" text="OK">
      <formula>NOT(ISERROR(SEARCH("OK",AD6)))</formula>
    </cfRule>
  </conditionalFormatting>
  <conditionalFormatting sqref="AD260">
    <cfRule type="containsText" dxfId="284" priority="1" operator="containsText" text="OK">
      <formula>NOT(ISERROR(SEARCH("OK",AD260)))</formula>
    </cfRule>
    <cfRule type="cellIs" dxfId="283" priority="2" operator="greaterThan">
      <formula>EOMONTH($K260,0)</formula>
    </cfRule>
    <cfRule type="cellIs" dxfId="282" priority="3" operator="equal">
      <formula>36892</formula>
    </cfRule>
  </conditionalFormatting>
  <conditionalFormatting sqref="AD6:AE257 AD259:AE259 AE260 AD261:AE274">
    <cfRule type="cellIs" dxfId="281" priority="78" operator="greaterThan">
      <formula>EOMONTH($L6,-2)</formula>
    </cfRule>
  </conditionalFormatting>
  <conditionalFormatting sqref="AE6:AE257 AE259:AE274">
    <cfRule type="containsText" dxfId="280" priority="72" operator="containsText" text="OK">
      <formula>NOT(ISERROR(SEARCH("OK",AE6)))</formula>
    </cfRule>
  </conditionalFormatting>
  <conditionalFormatting sqref="AL7:AQ274">
    <cfRule type="cellIs" dxfId="279" priority="18" operator="equal">
      <formula>"Behind Schedule"</formula>
    </cfRule>
    <cfRule type="cellIs" dxfId="278" priority="19" operator="equal">
      <formula>"TBD"</formula>
    </cfRule>
    <cfRule type="cellIs" dxfId="277" priority="20" operator="equal">
      <formula>"In Progress"</formula>
    </cfRule>
    <cfRule type="cellIs" dxfId="276" priority="21" operator="equal">
      <formula>"Completed"</formula>
    </cfRule>
  </conditionalFormatting>
  <conditionalFormatting sqref="AR6:AY274 BY6:BY274 CL6:CL274 CY6:DK274">
    <cfRule type="cellIs" dxfId="275" priority="925" operator="equal">
      <formula>"Behind Schedule"</formula>
    </cfRule>
    <cfRule type="cellIs" dxfId="274" priority="926" operator="equal">
      <formula>"TBD"</formula>
    </cfRule>
    <cfRule type="cellIs" dxfId="273" priority="927" operator="equal">
      <formula>"In Progress"</formula>
    </cfRule>
    <cfRule type="cellIs" dxfId="272" priority="928" operator="equal">
      <formula>"Completed"</formula>
    </cfRule>
  </conditionalFormatting>
  <conditionalFormatting sqref="AV137:AV140">
    <cfRule type="cellIs" dxfId="271" priority="297" operator="equal">
      <formula>"Behind Schedule"</formula>
    </cfRule>
    <cfRule type="cellIs" dxfId="270" priority="298" operator="equal">
      <formula>"TBD"</formula>
    </cfRule>
    <cfRule type="cellIs" dxfId="269" priority="299" operator="equal">
      <formula>"In Progress"</formula>
    </cfRule>
    <cfRule type="cellIs" dxfId="268" priority="300" operator="equal">
      <formula>"Completed"</formula>
    </cfRule>
  </conditionalFormatting>
  <conditionalFormatting sqref="AV161">
    <cfRule type="cellIs" dxfId="267" priority="237" operator="equal">
      <formula>"Behind Schedule"</formula>
    </cfRule>
    <cfRule type="cellIs" dxfId="266" priority="238" operator="equal">
      <formula>"TBD"</formula>
    </cfRule>
    <cfRule type="cellIs" dxfId="265" priority="239" operator="equal">
      <formula>"In Progress"</formula>
    </cfRule>
    <cfRule type="cellIs" dxfId="264" priority="240" operator="equal">
      <formula>"Completed"</formula>
    </cfRule>
  </conditionalFormatting>
  <conditionalFormatting sqref="AV163">
    <cfRule type="cellIs" dxfId="263" priority="233" operator="equal">
      <formula>"Behind Schedule"</formula>
    </cfRule>
    <cfRule type="cellIs" dxfId="262" priority="234" operator="equal">
      <formula>"TBD"</formula>
    </cfRule>
    <cfRule type="cellIs" dxfId="261" priority="235" operator="equal">
      <formula>"In Progress"</formula>
    </cfRule>
    <cfRule type="cellIs" dxfId="260" priority="236" operator="equal">
      <formula>"Completed"</formula>
    </cfRule>
  </conditionalFormatting>
  <conditionalFormatting sqref="AV166:AV167">
    <cfRule type="cellIs" dxfId="259" priority="225" operator="equal">
      <formula>"Behind Schedule"</formula>
    </cfRule>
    <cfRule type="cellIs" dxfId="258" priority="226" operator="equal">
      <formula>"TBD"</formula>
    </cfRule>
    <cfRule type="cellIs" dxfId="257" priority="227" operator="equal">
      <formula>"In Progress"</formula>
    </cfRule>
    <cfRule type="cellIs" dxfId="256" priority="228" operator="equal">
      <formula>"Completed"</formula>
    </cfRule>
  </conditionalFormatting>
  <conditionalFormatting sqref="AV49:AW55">
    <cfRule type="cellIs" dxfId="255" priority="249" operator="equal">
      <formula>"Behind Schedule"</formula>
    </cfRule>
    <cfRule type="cellIs" dxfId="254" priority="250" operator="equal">
      <formula>"TBD"</formula>
    </cfRule>
    <cfRule type="cellIs" dxfId="253" priority="251" operator="equal">
      <formula>"In Progress"</formula>
    </cfRule>
    <cfRule type="cellIs" dxfId="252" priority="252" operator="equal">
      <formula>"Completed"</formula>
    </cfRule>
  </conditionalFormatting>
  <conditionalFormatting sqref="AV57:AW108">
    <cfRule type="cellIs" dxfId="251" priority="497" operator="equal">
      <formula>"Behind Schedule"</formula>
    </cfRule>
    <cfRule type="cellIs" dxfId="250" priority="498" operator="equal">
      <formula>"TBD"</formula>
    </cfRule>
    <cfRule type="cellIs" dxfId="249" priority="499" operator="equal">
      <formula>"In Progress"</formula>
    </cfRule>
    <cfRule type="cellIs" dxfId="248" priority="500" operator="equal">
      <formula>"Completed"</formula>
    </cfRule>
  </conditionalFormatting>
  <conditionalFormatting sqref="AV112:AW136">
    <cfRule type="cellIs" dxfId="247" priority="245" operator="equal">
      <formula>"Behind Schedule"</formula>
    </cfRule>
    <cfRule type="cellIs" dxfId="246" priority="246" operator="equal">
      <formula>"TBD"</formula>
    </cfRule>
    <cfRule type="cellIs" dxfId="245" priority="247" operator="equal">
      <formula>"In Progress"</formula>
    </cfRule>
    <cfRule type="cellIs" dxfId="244" priority="248" operator="equal">
      <formula>"Completed"</formula>
    </cfRule>
  </conditionalFormatting>
  <conditionalFormatting sqref="AV141:AW141">
    <cfRule type="cellIs" dxfId="243" priority="381" operator="equal">
      <formula>"Behind Schedule"</formula>
    </cfRule>
    <cfRule type="cellIs" dxfId="242" priority="382" operator="equal">
      <formula>"TBD"</formula>
    </cfRule>
    <cfRule type="cellIs" dxfId="241" priority="383" operator="equal">
      <formula>"In Progress"</formula>
    </cfRule>
    <cfRule type="cellIs" dxfId="240" priority="384" operator="equal">
      <formula>"Completed"</formula>
    </cfRule>
  </conditionalFormatting>
  <conditionalFormatting sqref="AV142:AX147">
    <cfRule type="cellIs" dxfId="239" priority="241" operator="equal">
      <formula>"Behind Schedule"</formula>
    </cfRule>
    <cfRule type="cellIs" dxfId="238" priority="242" operator="equal">
      <formula>"TBD"</formula>
    </cfRule>
    <cfRule type="cellIs" dxfId="237" priority="243" operator="equal">
      <formula>"In Progress"</formula>
    </cfRule>
    <cfRule type="cellIs" dxfId="236" priority="244" operator="equal">
      <formula>"Completed"</formula>
    </cfRule>
  </conditionalFormatting>
  <conditionalFormatting sqref="AW137:AW138">
    <cfRule type="cellIs" dxfId="235" priority="301" operator="equal">
      <formula>"Behind Schedule"</formula>
    </cfRule>
    <cfRule type="cellIs" dxfId="234" priority="302" operator="equal">
      <formula>"TBD"</formula>
    </cfRule>
    <cfRule type="cellIs" dxfId="233" priority="303" operator="equal">
      <formula>"In Progress"</formula>
    </cfRule>
    <cfRule type="cellIs" dxfId="232" priority="304" operator="equal">
      <formula>"Completed"</formula>
    </cfRule>
  </conditionalFormatting>
  <conditionalFormatting sqref="AW140">
    <cfRule type="cellIs" dxfId="231" priority="357" operator="equal">
      <formula>"Behind Schedule"</formula>
    </cfRule>
    <cfRule type="cellIs" dxfId="230" priority="358" operator="equal">
      <formula>"TBD"</formula>
    </cfRule>
    <cfRule type="cellIs" dxfId="229" priority="359" operator="equal">
      <formula>"In Progress"</formula>
    </cfRule>
    <cfRule type="cellIs" dxfId="228" priority="360" operator="equal">
      <formula>"Completed"</formula>
    </cfRule>
  </conditionalFormatting>
  <conditionalFormatting sqref="AX59:AX108">
    <cfRule type="cellIs" dxfId="227" priority="749" operator="equal">
      <formula>"Behind Schedule"</formula>
    </cfRule>
    <cfRule type="cellIs" dxfId="226" priority="750" operator="equal">
      <formula>"TBD"</formula>
    </cfRule>
    <cfRule type="cellIs" dxfId="225" priority="751" operator="equal">
      <formula>"In Progress"</formula>
    </cfRule>
    <cfRule type="cellIs" dxfId="224" priority="752" operator="equal">
      <formula>"Completed"</formula>
    </cfRule>
  </conditionalFormatting>
  <conditionalFormatting sqref="AX112:AX141">
    <cfRule type="cellIs" dxfId="223" priority="309" operator="equal">
      <formula>"Behind Schedule"</formula>
    </cfRule>
    <cfRule type="cellIs" dxfId="222" priority="310" operator="equal">
      <formula>"TBD"</formula>
    </cfRule>
    <cfRule type="cellIs" dxfId="221" priority="311" operator="equal">
      <formula>"In Progress"</formula>
    </cfRule>
    <cfRule type="cellIs" dxfId="220" priority="312" operator="equal">
      <formula>"Completed"</formula>
    </cfRule>
  </conditionalFormatting>
  <conditionalFormatting sqref="AX148:AX160">
    <cfRule type="cellIs" dxfId="219" priority="257" operator="equal">
      <formula>"Behind Schedule"</formula>
    </cfRule>
    <cfRule type="cellIs" dxfId="218" priority="258" operator="equal">
      <formula>"TBD"</formula>
    </cfRule>
    <cfRule type="cellIs" dxfId="217" priority="259" operator="equal">
      <formula>"In Progress"</formula>
    </cfRule>
    <cfRule type="cellIs" dxfId="216" priority="260" operator="equal">
      <formula>"Completed"</formula>
    </cfRule>
  </conditionalFormatting>
  <dataValidations count="3">
    <dataValidation type="list" allowBlank="1" showInputMessage="1" showErrorMessage="1" sqref="S6:S274" xr:uid="{E33660A9-EE32-4F54-B873-02AA1B8D804D}">
      <formula1>"A,B1,B2,UTIL,FACIL,STAFF,"</formula1>
    </dataValidation>
    <dataValidation type="list" allowBlank="1" showInputMessage="1" showErrorMessage="1" sqref="AA6:AA274" xr:uid="{50B90949-929C-44AF-82CE-139D2E25F1AD}">
      <formula1>"CRTD, CLSD, REL, TECO"</formula1>
    </dataValidation>
    <dataValidation type="list" allowBlank="1" showInputMessage="1" showErrorMessage="1" sqref="AF6:AF274" xr:uid="{1BD31E59-DAF1-42A1-8753-AB09C08D3147}">
      <formula1>#REF!</formula1>
    </dataValidation>
  </dataValidations>
  <printOptions horizontalCentered="1" verticalCentered="1"/>
  <pageMargins left="0.25" right="0.25" top="0.75" bottom="0.75" header="0.3" footer="0.3"/>
  <pageSetup scale="26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7F8F553-FC14-4604-9F80-6D0AC329DBE7}">
          <x14:formula1>
            <xm:f>#REF!</xm:f>
          </x14:formula1>
          <xm:sqref>T6:T274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FD1BD-5023-4107-9F3C-935C69CF9FB9}">
  <sheetPr codeName="Planilha9">
    <tabColor rgb="FF0070C0"/>
    <pageSetUpPr fitToPage="1"/>
  </sheetPr>
  <dimension ref="A1:BE39"/>
  <sheetViews>
    <sheetView showGridLines="0" topLeftCell="B1" zoomScale="70" zoomScaleNormal="70" zoomScaleSheetLayoutView="25" workbookViewId="0">
      <pane xSplit="24" ySplit="6" topLeftCell="AM16" activePane="bottomRight" state="frozen"/>
      <selection activeCell="B1" sqref="B1"/>
      <selection pane="topRight" activeCell="AT1" sqref="AT1"/>
      <selection pane="bottomLeft" activeCell="B7" sqref="B7"/>
      <selection pane="bottomRight" activeCell="S22" sqref="S22"/>
    </sheetView>
  </sheetViews>
  <sheetFormatPr defaultColWidth="9.453125" defaultRowHeight="13"/>
  <cols>
    <col min="1" max="1" width="2" style="17" bestFit="1" customWidth="1"/>
    <col min="2" max="2" width="9" style="29" customWidth="1"/>
    <col min="3" max="3" width="20.1796875" style="29" customWidth="1"/>
    <col min="4" max="5" width="11.81640625" style="29" customWidth="1"/>
    <col min="6" max="8" width="14.1796875" style="29" customWidth="1"/>
    <col min="9" max="9" width="49.54296875" style="29" customWidth="1"/>
    <col min="10" max="10" width="9.54296875" style="29" customWidth="1"/>
    <col min="11" max="11" width="17.453125" style="29" hidden="1" customWidth="1"/>
    <col min="12" max="12" width="15.453125" style="29" hidden="1" customWidth="1"/>
    <col min="13" max="13" width="16.453125" style="29" hidden="1" customWidth="1"/>
    <col min="14" max="14" width="10.453125" style="29" customWidth="1"/>
    <col min="15" max="16" width="10.453125" style="29" hidden="1" customWidth="1"/>
    <col min="17" max="17" width="15.81640625" style="29" hidden="1" customWidth="1"/>
    <col min="18" max="18" width="18.81640625" style="29" customWidth="1"/>
    <col min="19" max="19" width="42.453125" style="30" customWidth="1"/>
    <col min="20" max="20" width="25.54296875" style="29" customWidth="1"/>
    <col min="21" max="21" width="17.453125" style="29" customWidth="1"/>
    <col min="22" max="23" width="21.453125" style="29" hidden="1" customWidth="1"/>
    <col min="24" max="24" width="39.81640625" style="29" customWidth="1"/>
    <col min="25" max="25" width="20.26953125" style="29" customWidth="1"/>
    <col min="26" max="26" width="15.54296875" style="32" customWidth="1"/>
    <col min="27" max="38" width="15.54296875" style="32" hidden="1" customWidth="1"/>
    <col min="39" max="39" width="15.54296875" style="32" customWidth="1"/>
    <col min="40" max="42" width="12" style="32" customWidth="1"/>
    <col min="43" max="45" width="11.1796875" style="32" customWidth="1"/>
    <col min="46" max="46" width="20" style="32" bestFit="1" customWidth="1"/>
    <col min="47" max="47" width="42.1796875" style="32" bestFit="1" customWidth="1"/>
    <col min="48" max="53" width="15.81640625" style="32" customWidth="1"/>
    <col min="54" max="55" width="15.54296875" style="32" customWidth="1"/>
    <col min="56" max="56" width="22.7265625" style="32" customWidth="1"/>
    <col min="57" max="16384" width="9.453125" style="29"/>
  </cols>
  <sheetData>
    <row r="1" spans="1:57" s="15" customFormat="1" ht="31.4" customHeight="1">
      <c r="L1" s="18"/>
      <c r="M1" s="18"/>
      <c r="U1" s="15" t="s">
        <v>583</v>
      </c>
      <c r="X1" s="188">
        <v>878960</v>
      </c>
      <c r="Y1" s="188"/>
      <c r="Z1" s="46">
        <f>SUBTOTAL(9,Z7:Z38)</f>
        <v>833578.07999999961</v>
      </c>
      <c r="AA1" s="46">
        <f t="shared" ref="AA1:BC1" si="0">SUBTOTAL(9,AA7:AA38)</f>
        <v>0</v>
      </c>
      <c r="AB1" s="46">
        <f t="shared" si="0"/>
        <v>0</v>
      </c>
      <c r="AC1" s="46">
        <f t="shared" si="0"/>
        <v>0</v>
      </c>
      <c r="AD1" s="46">
        <f t="shared" si="0"/>
        <v>9280.27</v>
      </c>
      <c r="AE1" s="46">
        <f t="shared" si="0"/>
        <v>38738.539999999994</v>
      </c>
      <c r="AF1" s="46">
        <f t="shared" si="0"/>
        <v>79836.040000000008</v>
      </c>
      <c r="AG1" s="46">
        <f t="shared" si="0"/>
        <v>57965.02</v>
      </c>
      <c r="AH1" s="46">
        <f t="shared" si="0"/>
        <v>46265.05</v>
      </c>
      <c r="AI1" s="46">
        <f t="shared" si="0"/>
        <v>154583.82</v>
      </c>
      <c r="AJ1" s="46">
        <f t="shared" si="0"/>
        <v>92279.729999999967</v>
      </c>
      <c r="AK1" s="46">
        <f t="shared" si="0"/>
        <v>145141.01999999999</v>
      </c>
      <c r="AL1" s="46">
        <f>SUBTOTAL(9,AL7:AL38)</f>
        <v>209488.59</v>
      </c>
      <c r="AM1" s="46">
        <f t="shared" si="0"/>
        <v>27148.591420000001</v>
      </c>
      <c r="AN1" s="46">
        <f>SUBTOTAL(9,AN7:AN38)</f>
        <v>42841.509999999995</v>
      </c>
      <c r="AO1" s="46">
        <f t="shared" si="0"/>
        <v>-2.7585799999999994</v>
      </c>
      <c r="AP1" s="46">
        <f t="shared" si="0"/>
        <v>-2.7585799999999994</v>
      </c>
      <c r="AQ1" s="46">
        <f t="shared" si="0"/>
        <v>27151.35</v>
      </c>
      <c r="AR1" s="46">
        <f t="shared" si="0"/>
        <v>-3626.8199999999997</v>
      </c>
      <c r="AS1" s="46">
        <f t="shared" si="0"/>
        <v>-790.6099999999999</v>
      </c>
      <c r="AT1" s="46">
        <f t="shared" si="0"/>
        <v>0</v>
      </c>
      <c r="AU1" s="46">
        <f t="shared" si="0"/>
        <v>0</v>
      </c>
      <c r="AV1" s="46">
        <f t="shared" si="0"/>
        <v>878959.23999999976</v>
      </c>
      <c r="AW1" s="46">
        <f t="shared" si="0"/>
        <v>830815.4299999997</v>
      </c>
      <c r="AX1" s="46">
        <f t="shared" si="0"/>
        <v>26964.63</v>
      </c>
      <c r="AY1" s="46">
        <f t="shared" si="0"/>
        <v>0</v>
      </c>
      <c r="AZ1" s="46">
        <f t="shared" si="0"/>
        <v>857780.05999999982</v>
      </c>
      <c r="BA1" s="46">
        <f t="shared" si="0"/>
        <v>21179.180000000004</v>
      </c>
      <c r="BB1" s="46">
        <f>SUBTOTAL(9,BB7:BB36)</f>
        <v>11807.47037000001</v>
      </c>
      <c r="BC1" s="46">
        <f t="shared" si="0"/>
        <v>0</v>
      </c>
      <c r="BD1" s="19"/>
    </row>
    <row r="2" spans="1:57" s="21" customFormat="1" ht="39" customHeight="1" thickBot="1">
      <c r="A2" s="16"/>
      <c r="B2" s="176" t="s">
        <v>795</v>
      </c>
      <c r="C2" s="23"/>
      <c r="D2" s="173"/>
      <c r="E2" s="173"/>
      <c r="F2" s="173"/>
      <c r="G2" s="173"/>
      <c r="H2" s="173"/>
      <c r="I2" s="173"/>
      <c r="J2" s="20"/>
      <c r="K2" s="20"/>
      <c r="R2" s="22"/>
      <c r="S2" s="24"/>
      <c r="T2" s="25"/>
      <c r="U2" s="26"/>
      <c r="V2" s="26"/>
      <c r="W2" s="26"/>
      <c r="X2" s="26"/>
      <c r="Y2" s="26"/>
      <c r="Z2" s="27">
        <f>Z1/1000</f>
        <v>833.57807999999966</v>
      </c>
      <c r="AA2" s="27">
        <f>AA1/1000</f>
        <v>0</v>
      </c>
      <c r="AB2" s="27">
        <f>AB1/1000</f>
        <v>0</v>
      </c>
      <c r="AC2" s="27">
        <f>AC1/1000</f>
        <v>0</v>
      </c>
      <c r="AD2" s="27">
        <f>AD1/1000</f>
        <v>9.2802699999999998</v>
      </c>
      <c r="AE2" s="27">
        <f t="shared" ref="AE2:AS2" si="1">AE1/1000</f>
        <v>38.738539999999993</v>
      </c>
      <c r="AF2" s="27">
        <f t="shared" si="1"/>
        <v>79.836040000000011</v>
      </c>
      <c r="AG2" s="27">
        <f t="shared" si="1"/>
        <v>57.965019999999996</v>
      </c>
      <c r="AH2" s="27">
        <f t="shared" si="1"/>
        <v>46.265050000000002</v>
      </c>
      <c r="AI2" s="27">
        <f t="shared" si="1"/>
        <v>154.58382</v>
      </c>
      <c r="AJ2" s="27">
        <f t="shared" si="1"/>
        <v>92.279729999999972</v>
      </c>
      <c r="AK2" s="27">
        <f t="shared" si="1"/>
        <v>145.14102</v>
      </c>
      <c r="AL2" s="27">
        <f t="shared" si="1"/>
        <v>209.48858999999999</v>
      </c>
      <c r="AM2" s="27">
        <f t="shared" si="1"/>
        <v>27.148591419999999</v>
      </c>
      <c r="AN2" s="27">
        <f t="shared" si="1"/>
        <v>42.841509999999992</v>
      </c>
      <c r="AO2" s="27">
        <f>AO1/1000</f>
        <v>-2.7585799999999992E-3</v>
      </c>
      <c r="AP2" s="27">
        <f t="shared" si="1"/>
        <v>-2.7585799999999992E-3</v>
      </c>
      <c r="AQ2" s="27">
        <f t="shared" si="1"/>
        <v>27.151349999999997</v>
      </c>
      <c r="AR2" s="27">
        <f t="shared" si="1"/>
        <v>-3.6268199999999995</v>
      </c>
      <c r="AS2" s="27">
        <f t="shared" si="1"/>
        <v>-0.79060999999999992</v>
      </c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</row>
    <row r="3" spans="1:57" s="21" customFormat="1" ht="18" customHeight="1" thickTop="1" thickBot="1">
      <c r="A3" s="16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25"/>
      <c r="U3" s="26"/>
      <c r="V3" s="26"/>
      <c r="W3" s="26"/>
      <c r="X3" s="282"/>
      <c r="Y3" s="26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235">
        <f>X1-AV5</f>
        <v>0.76000000024214387</v>
      </c>
      <c r="AW3" s="235">
        <v>235554.43000000002</v>
      </c>
      <c r="AX3" s="14"/>
      <c r="AY3" s="14"/>
      <c r="AZ3" s="14"/>
      <c r="BA3" s="14"/>
      <c r="BB3" s="14"/>
      <c r="BC3" s="235"/>
      <c r="BD3" s="14"/>
    </row>
    <row r="4" spans="1:57" s="21" customFormat="1" ht="25.5" customHeight="1" thickTop="1">
      <c r="A4" s="16"/>
      <c r="B4" s="34"/>
      <c r="C4" s="23"/>
      <c r="D4" s="34"/>
      <c r="E4" s="34"/>
      <c r="F4" s="34"/>
      <c r="G4" s="34"/>
      <c r="H4" s="34"/>
      <c r="I4" s="34"/>
      <c r="J4" s="20"/>
      <c r="K4" s="20"/>
      <c r="R4" s="22"/>
      <c r="S4" s="24"/>
      <c r="T4" s="25"/>
      <c r="U4" s="26"/>
      <c r="V4" s="27"/>
      <c r="W4" s="26"/>
      <c r="X4" s="282">
        <f>SUM(BE7:BE38)</f>
        <v>0</v>
      </c>
      <c r="Y4" s="26"/>
      <c r="Z4" s="186"/>
      <c r="AA4" s="350">
        <f>SUM(AA5:AC5)</f>
        <v>0</v>
      </c>
      <c r="AB4" s="351"/>
      <c r="AC4" s="352"/>
      <c r="AD4" s="350">
        <f>SUM(AD5:AF5)</f>
        <v>127854.85</v>
      </c>
      <c r="AE4" s="351"/>
      <c r="AF4" s="352"/>
      <c r="AG4" s="350">
        <f>SUM(AG5:AI5)</f>
        <v>258813.89</v>
      </c>
      <c r="AH4" s="351"/>
      <c r="AI4" s="352"/>
      <c r="AJ4" s="350">
        <f>SUM(AJ5,AK5,AL5)</f>
        <v>446909.33999999997</v>
      </c>
      <c r="AK4" s="351"/>
      <c r="AL4" s="352"/>
      <c r="AM4" s="253"/>
      <c r="AN4" s="253"/>
      <c r="AO4" s="253"/>
      <c r="AP4" s="253"/>
      <c r="AQ4" s="253"/>
      <c r="AR4" s="253"/>
      <c r="AS4" s="253"/>
      <c r="AT4" s="14"/>
      <c r="AU4" s="14"/>
      <c r="AV4" s="214"/>
      <c r="AW4" s="214"/>
      <c r="AX4" s="14"/>
      <c r="AY4" s="14"/>
      <c r="AZ4" s="14"/>
      <c r="BA4" s="14"/>
      <c r="BB4" s="27"/>
      <c r="BC4" s="14"/>
      <c r="BD4" s="14"/>
    </row>
    <row r="5" spans="1:57" s="21" customFormat="1" ht="18.75" customHeight="1" thickBot="1">
      <c r="A5" s="16"/>
      <c r="B5" s="34"/>
      <c r="C5" s="23"/>
      <c r="D5" s="34"/>
      <c r="E5" s="34"/>
      <c r="F5" s="34"/>
      <c r="G5" s="34"/>
      <c r="H5" s="34"/>
      <c r="I5" s="34"/>
      <c r="J5" s="20"/>
      <c r="K5" s="20"/>
      <c r="R5" s="22"/>
      <c r="S5" s="24"/>
      <c r="T5" s="25"/>
      <c r="U5" s="26"/>
      <c r="V5" s="46">
        <f>SUBTOTAL(9,V7:V36)</f>
        <v>816694</v>
      </c>
      <c r="W5" s="46">
        <f>SUBTOTAL(9,W7:W36)</f>
        <v>0</v>
      </c>
      <c r="X5" s="26"/>
      <c r="Y5" s="26"/>
      <c r="Z5" s="46">
        <f>SUBTOTAL(9,Z7:Z38)</f>
        <v>833578.07999999961</v>
      </c>
      <c r="AA5" s="46">
        <f t="shared" ref="AA5:BA5" si="2">SUBTOTAL(9,AA7:AA38)</f>
        <v>0</v>
      </c>
      <c r="AB5" s="46">
        <f t="shared" si="2"/>
        <v>0</v>
      </c>
      <c r="AC5" s="46">
        <f t="shared" si="2"/>
        <v>0</v>
      </c>
      <c r="AD5" s="46">
        <f t="shared" si="2"/>
        <v>9280.27</v>
      </c>
      <c r="AE5" s="46">
        <f t="shared" si="2"/>
        <v>38738.539999999994</v>
      </c>
      <c r="AF5" s="46">
        <f t="shared" si="2"/>
        <v>79836.040000000008</v>
      </c>
      <c r="AG5" s="46">
        <f t="shared" si="2"/>
        <v>57965.02</v>
      </c>
      <c r="AH5" s="46">
        <f t="shared" si="2"/>
        <v>46265.05</v>
      </c>
      <c r="AI5" s="46">
        <f t="shared" si="2"/>
        <v>154583.82</v>
      </c>
      <c r="AJ5" s="46">
        <f t="shared" si="2"/>
        <v>92279.729999999967</v>
      </c>
      <c r="AK5" s="46">
        <f t="shared" si="2"/>
        <v>145141.01999999999</v>
      </c>
      <c r="AL5" s="46">
        <f t="shared" si="2"/>
        <v>209488.59</v>
      </c>
      <c r="AM5" s="46"/>
      <c r="AN5" s="46"/>
      <c r="AO5" s="46"/>
      <c r="AP5" s="46"/>
      <c r="AQ5" s="46"/>
      <c r="AR5" s="46"/>
      <c r="AS5" s="46"/>
      <c r="AT5" s="46">
        <f t="shared" si="2"/>
        <v>0</v>
      </c>
      <c r="AU5" s="46">
        <f t="shared" si="2"/>
        <v>0</v>
      </c>
      <c r="AV5" s="46">
        <f t="shared" si="2"/>
        <v>878959.23999999976</v>
      </c>
      <c r="AW5" s="46">
        <f t="shared" si="2"/>
        <v>830815.4299999997</v>
      </c>
      <c r="AX5" s="46">
        <f t="shared" si="2"/>
        <v>26964.63</v>
      </c>
      <c r="AY5" s="46">
        <f t="shared" si="2"/>
        <v>0</v>
      </c>
      <c r="AZ5" s="46">
        <f t="shared" si="2"/>
        <v>857780.05999999982</v>
      </c>
      <c r="BA5" s="46">
        <f t="shared" si="2"/>
        <v>21179.180000000004</v>
      </c>
      <c r="BB5" s="14"/>
      <c r="BC5" s="14"/>
      <c r="BD5" s="14"/>
    </row>
    <row r="6" spans="1:57" s="28" customFormat="1" ht="71.150000000000006" customHeight="1" thickBot="1">
      <c r="A6" s="16">
        <v>0</v>
      </c>
      <c r="B6" s="1" t="s">
        <v>193</v>
      </c>
      <c r="C6" s="1" t="s">
        <v>1017</v>
      </c>
      <c r="D6" s="1" t="s">
        <v>723</v>
      </c>
      <c r="E6" s="1" t="s">
        <v>721</v>
      </c>
      <c r="F6" s="1" t="s">
        <v>741</v>
      </c>
      <c r="G6" s="1" t="s">
        <v>743</v>
      </c>
      <c r="H6" s="1" t="s">
        <v>744</v>
      </c>
      <c r="I6" s="1" t="s">
        <v>805</v>
      </c>
      <c r="J6" s="1" t="s">
        <v>0</v>
      </c>
      <c r="K6" s="1" t="s">
        <v>307</v>
      </c>
      <c r="L6" s="1" t="s">
        <v>2</v>
      </c>
      <c r="M6" s="1" t="s">
        <v>320</v>
      </c>
      <c r="N6" s="1" t="s">
        <v>192</v>
      </c>
      <c r="O6" s="1" t="s">
        <v>219</v>
      </c>
      <c r="P6" s="1" t="s">
        <v>903</v>
      </c>
      <c r="Q6" s="1" t="s">
        <v>585</v>
      </c>
      <c r="R6" s="1" t="s">
        <v>1</v>
      </c>
      <c r="S6" s="1" t="s">
        <v>3</v>
      </c>
      <c r="T6" s="1" t="s">
        <v>189</v>
      </c>
      <c r="U6" s="1" t="s">
        <v>454</v>
      </c>
      <c r="V6" s="1" t="s">
        <v>1027</v>
      </c>
      <c r="W6" s="1" t="s">
        <v>1028</v>
      </c>
      <c r="X6" s="1" t="s">
        <v>6</v>
      </c>
      <c r="Y6" s="1" t="s">
        <v>1195</v>
      </c>
      <c r="Z6" s="83" t="s">
        <v>333</v>
      </c>
      <c r="AA6" s="84" t="s">
        <v>692</v>
      </c>
      <c r="AB6" s="84" t="s">
        <v>708</v>
      </c>
      <c r="AC6" s="84" t="s">
        <v>765</v>
      </c>
      <c r="AD6" s="84" t="s">
        <v>815</v>
      </c>
      <c r="AE6" s="84" t="s">
        <v>939</v>
      </c>
      <c r="AF6" s="84" t="s">
        <v>980</v>
      </c>
      <c r="AG6" s="84" t="s">
        <v>994</v>
      </c>
      <c r="AH6" s="84" t="s">
        <v>1209</v>
      </c>
      <c r="AI6" s="84" t="s">
        <v>1210</v>
      </c>
      <c r="AJ6" s="84" t="s">
        <v>1211</v>
      </c>
      <c r="AK6" s="84" t="s">
        <v>1401</v>
      </c>
      <c r="AL6" s="84" t="s">
        <v>1402</v>
      </c>
      <c r="AM6" s="254" t="s">
        <v>682</v>
      </c>
      <c r="AN6" s="156" t="s">
        <v>1403</v>
      </c>
      <c r="AO6" s="283" t="s">
        <v>692</v>
      </c>
      <c r="AP6" s="284" t="s">
        <v>1404</v>
      </c>
      <c r="AQ6" s="156" t="s">
        <v>295</v>
      </c>
      <c r="AR6" s="156" t="s">
        <v>296</v>
      </c>
      <c r="AS6" s="156" t="s">
        <v>297</v>
      </c>
      <c r="AT6" s="189" t="s">
        <v>1056</v>
      </c>
      <c r="AU6" s="85" t="s">
        <v>1029</v>
      </c>
      <c r="AV6" s="147" t="s">
        <v>586</v>
      </c>
      <c r="AW6" s="147" t="s">
        <v>587</v>
      </c>
      <c r="AX6" s="147" t="s">
        <v>588</v>
      </c>
      <c r="AY6" s="147" t="s">
        <v>589</v>
      </c>
      <c r="AZ6" s="147" t="s">
        <v>590</v>
      </c>
      <c r="BA6" s="147" t="s">
        <v>591</v>
      </c>
      <c r="BB6" s="223" t="s">
        <v>1204</v>
      </c>
      <c r="BC6" s="223" t="s">
        <v>1215</v>
      </c>
      <c r="BD6" s="223" t="s">
        <v>1205</v>
      </c>
    </row>
    <row r="7" spans="1:57" s="21" customFormat="1" ht="28.5" customHeight="1">
      <c r="A7" s="16"/>
      <c r="B7" s="2">
        <v>1</v>
      </c>
      <c r="C7" s="181" t="s">
        <v>942</v>
      </c>
      <c r="D7" s="181"/>
      <c r="E7" s="181"/>
      <c r="F7" s="181"/>
      <c r="G7" s="181"/>
      <c r="H7" s="181"/>
      <c r="I7" s="181"/>
      <c r="J7" s="181"/>
      <c r="K7" s="245"/>
      <c r="L7" s="266"/>
      <c r="M7" s="246">
        <f t="shared" ref="M7:M38" ca="1" si="3">IF(L7&lt;&gt;"",L7-K7,EDATE(K7,3)-NOW())</f>
        <v>-45758.335997106478</v>
      </c>
      <c r="N7" s="181" t="s">
        <v>175</v>
      </c>
      <c r="O7" s="247"/>
      <c r="P7" s="247"/>
      <c r="Q7" s="181"/>
      <c r="R7" s="245" t="s">
        <v>1011</v>
      </c>
      <c r="S7" s="217" t="s">
        <v>978</v>
      </c>
      <c r="T7" s="181"/>
      <c r="U7" s="248" t="s">
        <v>218</v>
      </c>
      <c r="V7" s="249"/>
      <c r="W7" s="248"/>
      <c r="X7" s="217" t="s">
        <v>978</v>
      </c>
      <c r="Y7" s="141"/>
      <c r="Z7" s="168">
        <f t="shared" ref="Z7:Z38" si="4">SUM(AA7:AL7,)</f>
        <v>0</v>
      </c>
      <c r="AA7" s="146"/>
      <c r="AB7" s="146"/>
      <c r="AC7" s="146"/>
      <c r="AD7" s="146"/>
      <c r="AE7" s="146"/>
      <c r="AF7" s="146"/>
      <c r="AG7" s="146"/>
      <c r="AH7" s="146"/>
      <c r="AI7" s="146"/>
      <c r="AJ7" s="146"/>
      <c r="AK7" s="146"/>
      <c r="AL7" s="146"/>
      <c r="AM7" s="256">
        <f>SUM(AP7:AQ7)</f>
        <v>0</v>
      </c>
      <c r="AN7" s="255">
        <v>7000</v>
      </c>
      <c r="AO7" s="286"/>
      <c r="AP7" s="285"/>
      <c r="AQ7" s="255"/>
      <c r="AR7" s="255"/>
      <c r="AS7" s="255"/>
      <c r="AT7" s="132"/>
      <c r="AU7" s="190"/>
      <c r="AV7" s="166">
        <v>0</v>
      </c>
      <c r="AW7" s="166">
        <v>0</v>
      </c>
      <c r="AX7" s="166">
        <v>0</v>
      </c>
      <c r="AY7" s="166">
        <v>0</v>
      </c>
      <c r="AZ7" s="166">
        <v>0</v>
      </c>
      <c r="BA7" s="166">
        <v>0</v>
      </c>
      <c r="BB7" s="208">
        <f t="shared" ref="BB7:BB38" si="5">AV7-(Z7+AM7)</f>
        <v>0</v>
      </c>
      <c r="BC7" s="208"/>
      <c r="BD7" s="208"/>
      <c r="BE7" s="47"/>
    </row>
    <row r="8" spans="1:57" s="21" customFormat="1" ht="28.5" customHeight="1">
      <c r="A8" s="16"/>
      <c r="B8" s="2">
        <v>2</v>
      </c>
      <c r="C8" s="78" t="s">
        <v>773</v>
      </c>
      <c r="D8" s="78">
        <v>2223</v>
      </c>
      <c r="E8" s="78"/>
      <c r="F8" s="5" t="s">
        <v>1248</v>
      </c>
      <c r="G8" s="141" t="s">
        <v>1249</v>
      </c>
      <c r="H8" s="5" t="s">
        <v>1250</v>
      </c>
      <c r="I8" s="78"/>
      <c r="J8" s="3">
        <v>2021</v>
      </c>
      <c r="K8" s="5">
        <v>44272</v>
      </c>
      <c r="L8" s="4"/>
      <c r="M8" s="13">
        <f t="shared" ca="1" si="3"/>
        <v>-1485.3359971064783</v>
      </c>
      <c r="N8" s="3" t="s">
        <v>175</v>
      </c>
      <c r="O8" s="11" t="s">
        <v>4</v>
      </c>
      <c r="P8" s="11" t="s">
        <v>918</v>
      </c>
      <c r="Q8" s="3" t="s">
        <v>725</v>
      </c>
      <c r="R8" s="5" t="s">
        <v>471</v>
      </c>
      <c r="S8" s="141" t="s">
        <v>722</v>
      </c>
      <c r="T8" s="3" t="s">
        <v>180</v>
      </c>
      <c r="U8" s="76" t="s">
        <v>460</v>
      </c>
      <c r="V8" s="208">
        <v>49865</v>
      </c>
      <c r="W8" s="76"/>
      <c r="X8" s="141"/>
      <c r="Y8" s="141"/>
      <c r="Z8" s="168">
        <f t="shared" si="4"/>
        <v>47642.12</v>
      </c>
      <c r="AA8" s="146"/>
      <c r="AB8" s="146"/>
      <c r="AC8" s="146"/>
      <c r="AD8" s="146"/>
      <c r="AE8" s="146">
        <v>9895.510000000002</v>
      </c>
      <c r="AF8" s="146">
        <v>16846.780000000002</v>
      </c>
      <c r="AG8" s="146">
        <v>17774.949999999997</v>
      </c>
      <c r="AH8" s="146"/>
      <c r="AI8" s="146">
        <v>291.83999999999997</v>
      </c>
      <c r="AJ8" s="146">
        <v>364.97</v>
      </c>
      <c r="AK8" s="146">
        <v>2468.0700000000002</v>
      </c>
      <c r="AL8" s="146"/>
      <c r="AM8" s="256">
        <f t="shared" ref="AM8:AM38" si="6">SUM(AP8:AQ8)</f>
        <v>0</v>
      </c>
      <c r="AN8" s="255"/>
      <c r="AO8" s="286"/>
      <c r="AP8" s="285"/>
      <c r="AQ8" s="255"/>
      <c r="AR8" s="255"/>
      <c r="AS8" s="255"/>
      <c r="AT8" s="132"/>
      <c r="AU8" s="190"/>
      <c r="AV8" s="166">
        <v>47642.12</v>
      </c>
      <c r="AW8" s="166">
        <v>47642.12</v>
      </c>
      <c r="AX8" s="166">
        <v>0</v>
      </c>
      <c r="AY8" s="166">
        <v>0</v>
      </c>
      <c r="AZ8" s="166">
        <v>47642.12</v>
      </c>
      <c r="BA8" s="166">
        <v>0</v>
      </c>
      <c r="BB8" s="208">
        <f t="shared" si="5"/>
        <v>0</v>
      </c>
      <c r="BC8" s="208"/>
      <c r="BD8" s="208"/>
      <c r="BE8" s="47"/>
    </row>
    <row r="9" spans="1:57" s="21" customFormat="1" ht="28.5" customHeight="1">
      <c r="A9" s="16"/>
      <c r="B9" s="2">
        <v>3</v>
      </c>
      <c r="C9" s="78" t="s">
        <v>774</v>
      </c>
      <c r="D9" s="78">
        <v>1910</v>
      </c>
      <c r="E9" s="78"/>
      <c r="F9" s="5" t="s">
        <v>597</v>
      </c>
      <c r="G9" s="141" t="s">
        <v>635</v>
      </c>
      <c r="H9" s="5" t="s">
        <v>1251</v>
      </c>
      <c r="I9" s="78"/>
      <c r="J9" s="3">
        <v>2021</v>
      </c>
      <c r="K9" s="5">
        <v>44272</v>
      </c>
      <c r="L9" s="4"/>
      <c r="M9" s="13">
        <f t="shared" ca="1" si="3"/>
        <v>-1485.3359971064783</v>
      </c>
      <c r="N9" s="3" t="s">
        <v>175</v>
      </c>
      <c r="O9" s="11" t="s">
        <v>4</v>
      </c>
      <c r="P9" s="11" t="s">
        <v>917</v>
      </c>
      <c r="Q9" s="3" t="s">
        <v>728</v>
      </c>
      <c r="R9" s="5" t="s">
        <v>471</v>
      </c>
      <c r="S9" s="141" t="s">
        <v>724</v>
      </c>
      <c r="T9" s="3" t="s">
        <v>185</v>
      </c>
      <c r="U9" s="76" t="s">
        <v>460</v>
      </c>
      <c r="V9" s="208">
        <v>49938</v>
      </c>
      <c r="W9" s="76"/>
      <c r="X9" s="141"/>
      <c r="Y9" s="141"/>
      <c r="Z9" s="168">
        <f t="shared" si="4"/>
        <v>46816.19</v>
      </c>
      <c r="AA9" s="146"/>
      <c r="AB9" s="146"/>
      <c r="AC9" s="146"/>
      <c r="AD9" s="146"/>
      <c r="AE9" s="146">
        <v>2290.81</v>
      </c>
      <c r="AF9" s="146">
        <v>4665.37</v>
      </c>
      <c r="AG9" s="146">
        <v>4922.41</v>
      </c>
      <c r="AH9" s="146">
        <v>9590.7699999999986</v>
      </c>
      <c r="AI9" s="146">
        <v>9483.94</v>
      </c>
      <c r="AJ9" s="146">
        <v>14836</v>
      </c>
      <c r="AK9" s="146"/>
      <c r="AL9" s="146">
        <v>1026.8900000000001</v>
      </c>
      <c r="AM9" s="256">
        <f t="shared" si="6"/>
        <v>0</v>
      </c>
      <c r="AN9" s="255"/>
      <c r="AO9" s="286"/>
      <c r="AP9" s="285"/>
      <c r="AQ9" s="255"/>
      <c r="AR9" s="255"/>
      <c r="AS9" s="255"/>
      <c r="AT9" s="132"/>
      <c r="AU9" s="190"/>
      <c r="AV9" s="166">
        <v>46656.36</v>
      </c>
      <c r="AW9" s="166">
        <v>46816.19</v>
      </c>
      <c r="AX9" s="166">
        <v>0</v>
      </c>
      <c r="AY9" s="166">
        <v>0</v>
      </c>
      <c r="AZ9" s="166">
        <v>46816.19</v>
      </c>
      <c r="BA9" s="166">
        <v>-159.83000000000001</v>
      </c>
      <c r="BB9" s="208">
        <f t="shared" si="5"/>
        <v>-159.83000000000175</v>
      </c>
      <c r="BC9" s="208"/>
      <c r="BD9" s="208"/>
      <c r="BE9" s="47"/>
    </row>
    <row r="10" spans="1:57" s="21" customFormat="1" ht="28.5" customHeight="1">
      <c r="A10" s="16"/>
      <c r="B10" s="2">
        <v>4</v>
      </c>
      <c r="C10" s="78" t="s">
        <v>775</v>
      </c>
      <c r="D10" s="78">
        <v>9437</v>
      </c>
      <c r="E10" s="78"/>
      <c r="F10" s="5" t="s">
        <v>1248</v>
      </c>
      <c r="G10" s="8" t="s">
        <v>1249</v>
      </c>
      <c r="H10" s="5" t="s">
        <v>1250</v>
      </c>
      <c r="I10" s="78" t="s">
        <v>1247</v>
      </c>
      <c r="J10" s="3">
        <v>2021</v>
      </c>
      <c r="K10" s="5">
        <v>44272</v>
      </c>
      <c r="L10" s="4"/>
      <c r="M10" s="13">
        <f t="shared" ca="1" si="3"/>
        <v>-1485.3359971064783</v>
      </c>
      <c r="N10" s="3" t="s">
        <v>175</v>
      </c>
      <c r="O10" s="11" t="s">
        <v>4</v>
      </c>
      <c r="P10" s="11" t="s">
        <v>910</v>
      </c>
      <c r="Q10" s="3" t="s">
        <v>726</v>
      </c>
      <c r="R10" s="5" t="s">
        <v>471</v>
      </c>
      <c r="S10" s="8" t="s">
        <v>727</v>
      </c>
      <c r="T10" s="3" t="s">
        <v>186</v>
      </c>
      <c r="U10" s="76" t="s">
        <v>460</v>
      </c>
      <c r="V10" s="208">
        <v>45000</v>
      </c>
      <c r="W10" s="76"/>
      <c r="X10" s="141"/>
      <c r="Y10" s="141"/>
      <c r="Z10" s="168">
        <f t="shared" si="4"/>
        <v>29055.989999999998</v>
      </c>
      <c r="AA10" s="146"/>
      <c r="AB10" s="146"/>
      <c r="AC10" s="146"/>
      <c r="AD10" s="146"/>
      <c r="AE10" s="146"/>
      <c r="AF10" s="146"/>
      <c r="AG10" s="146"/>
      <c r="AH10" s="146"/>
      <c r="AI10" s="146">
        <v>451.31</v>
      </c>
      <c r="AJ10" s="146"/>
      <c r="AK10" s="146">
        <v>22103.499999999996</v>
      </c>
      <c r="AL10" s="146">
        <v>6501.18</v>
      </c>
      <c r="AM10" s="256">
        <f t="shared" si="6"/>
        <v>0</v>
      </c>
      <c r="AN10" s="255"/>
      <c r="AO10" s="286"/>
      <c r="AP10" s="285"/>
      <c r="AQ10" s="255"/>
      <c r="AR10" s="255"/>
      <c r="AS10" s="255"/>
      <c r="AT10" s="132"/>
      <c r="AU10" s="229" t="s">
        <v>1164</v>
      </c>
      <c r="AV10" s="166">
        <v>29666.01</v>
      </c>
      <c r="AW10" s="166">
        <v>29055.99</v>
      </c>
      <c r="AX10" s="166">
        <v>0</v>
      </c>
      <c r="AY10" s="166">
        <v>0</v>
      </c>
      <c r="AZ10" s="166">
        <v>29055.99</v>
      </c>
      <c r="BA10" s="166">
        <v>610.02</v>
      </c>
      <c r="BB10" s="208">
        <f t="shared" si="5"/>
        <v>610.02000000000044</v>
      </c>
      <c r="BC10" s="208"/>
      <c r="BD10" s="208"/>
      <c r="BE10" s="47"/>
    </row>
    <row r="11" spans="1:57" s="21" customFormat="1" ht="28.5" customHeight="1">
      <c r="A11" s="16"/>
      <c r="B11" s="2">
        <v>5</v>
      </c>
      <c r="C11" s="78" t="s">
        <v>776</v>
      </c>
      <c r="D11" s="78">
        <v>4930</v>
      </c>
      <c r="E11" s="78"/>
      <c r="F11" s="5" t="s">
        <v>597</v>
      </c>
      <c r="G11" s="8" t="s">
        <v>635</v>
      </c>
      <c r="H11" s="5" t="s">
        <v>1251</v>
      </c>
      <c r="I11" s="181" t="s">
        <v>809</v>
      </c>
      <c r="J11" s="3">
        <v>2021</v>
      </c>
      <c r="K11" s="5">
        <v>44272</v>
      </c>
      <c r="L11" s="4"/>
      <c r="M11" s="13">
        <f t="shared" ca="1" si="3"/>
        <v>-1485.3359971064783</v>
      </c>
      <c r="N11" s="3" t="s">
        <v>175</v>
      </c>
      <c r="O11" s="11" t="s">
        <v>221</v>
      </c>
      <c r="P11" s="11" t="s">
        <v>916</v>
      </c>
      <c r="Q11" s="3" t="s">
        <v>730</v>
      </c>
      <c r="R11" s="5" t="s">
        <v>471</v>
      </c>
      <c r="S11" s="8" t="s">
        <v>729</v>
      </c>
      <c r="T11" s="3" t="s">
        <v>185</v>
      </c>
      <c r="U11" s="76" t="s">
        <v>460</v>
      </c>
      <c r="V11" s="208">
        <v>49756</v>
      </c>
      <c r="W11" s="76"/>
      <c r="X11" s="141" t="s">
        <v>1432</v>
      </c>
      <c r="Y11" s="141"/>
      <c r="Z11" s="168">
        <f t="shared" si="4"/>
        <v>37869.479999999996</v>
      </c>
      <c r="AA11" s="146"/>
      <c r="AB11" s="146"/>
      <c r="AC11" s="146"/>
      <c r="AD11" s="146"/>
      <c r="AE11" s="146"/>
      <c r="AF11" s="146"/>
      <c r="AG11" s="146"/>
      <c r="AH11" s="146"/>
      <c r="AI11" s="146">
        <v>2107.54</v>
      </c>
      <c r="AJ11" s="146">
        <v>5505.27</v>
      </c>
      <c r="AK11" s="146">
        <v>3884.9799999999996</v>
      </c>
      <c r="AL11" s="146">
        <v>26371.69</v>
      </c>
      <c r="AM11" s="256">
        <f t="shared" si="6"/>
        <v>4726.0492199999999</v>
      </c>
      <c r="AN11" s="255"/>
      <c r="AO11" s="286">
        <v>-4.7307799999999993</v>
      </c>
      <c r="AP11" s="285">
        <v>-4.7307799999999993</v>
      </c>
      <c r="AQ11" s="255">
        <v>4730.78</v>
      </c>
      <c r="AR11" s="255"/>
      <c r="AS11" s="255">
        <v>-1279.0899999999999</v>
      </c>
      <c r="AT11" s="132"/>
      <c r="AU11" s="190"/>
      <c r="AV11" s="166">
        <v>38834.730000000003</v>
      </c>
      <c r="AW11" s="166">
        <v>33138.699999999997</v>
      </c>
      <c r="AX11" s="166">
        <v>5024.17</v>
      </c>
      <c r="AY11" s="166">
        <v>0</v>
      </c>
      <c r="AZ11" s="166">
        <v>38162.870000000003</v>
      </c>
      <c r="BA11" s="166">
        <v>671.86</v>
      </c>
      <c r="BB11" s="208">
        <f t="shared" si="5"/>
        <v>-3760.7992199999935</v>
      </c>
      <c r="BC11" s="208"/>
      <c r="BD11" s="208"/>
      <c r="BE11" s="47"/>
    </row>
    <row r="12" spans="1:57" s="21" customFormat="1" ht="28.5" customHeight="1">
      <c r="A12" s="16"/>
      <c r="B12" s="2">
        <v>6</v>
      </c>
      <c r="C12" s="78" t="s">
        <v>777</v>
      </c>
      <c r="D12" s="78">
        <v>10607</v>
      </c>
      <c r="E12" s="78"/>
      <c r="F12" s="5" t="s">
        <v>1248</v>
      </c>
      <c r="G12" s="8" t="s">
        <v>1249</v>
      </c>
      <c r="H12" s="5" t="s">
        <v>1250</v>
      </c>
      <c r="I12" s="78"/>
      <c r="J12" s="3">
        <v>2021</v>
      </c>
      <c r="K12" s="5">
        <v>44272</v>
      </c>
      <c r="L12" s="4"/>
      <c r="M12" s="13">
        <f t="shared" ca="1" si="3"/>
        <v>-1485.3359971064783</v>
      </c>
      <c r="N12" s="3" t="s">
        <v>175</v>
      </c>
      <c r="O12" s="11" t="s">
        <v>222</v>
      </c>
      <c r="P12" s="11" t="s">
        <v>917</v>
      </c>
      <c r="Q12" s="3" t="s">
        <v>732</v>
      </c>
      <c r="R12" s="5" t="s">
        <v>471</v>
      </c>
      <c r="S12" s="8" t="s">
        <v>731</v>
      </c>
      <c r="T12" s="3" t="s">
        <v>185</v>
      </c>
      <c r="U12" s="76" t="s">
        <v>460</v>
      </c>
      <c r="V12" s="208">
        <v>35000</v>
      </c>
      <c r="W12" s="76"/>
      <c r="X12" s="141"/>
      <c r="Y12" s="76" t="s">
        <v>1196</v>
      </c>
      <c r="Z12" s="168">
        <f t="shared" si="4"/>
        <v>27087.66</v>
      </c>
      <c r="AA12" s="146"/>
      <c r="AB12" s="146"/>
      <c r="AC12" s="146"/>
      <c r="AD12" s="146"/>
      <c r="AE12" s="146">
        <v>9409.9</v>
      </c>
      <c r="AF12" s="146">
        <v>13789.530000000002</v>
      </c>
      <c r="AG12" s="146">
        <v>3888.23</v>
      </c>
      <c r="AH12" s="146"/>
      <c r="AI12" s="146"/>
      <c r="AJ12" s="146"/>
      <c r="AK12" s="146"/>
      <c r="AL12" s="146"/>
      <c r="AM12" s="256">
        <f t="shared" si="6"/>
        <v>0</v>
      </c>
      <c r="AN12" s="255"/>
      <c r="AO12" s="286"/>
      <c r="AP12" s="285"/>
      <c r="AQ12" s="255"/>
      <c r="AR12" s="255"/>
      <c r="AS12" s="255"/>
      <c r="AT12" s="132"/>
      <c r="AU12" s="190"/>
      <c r="AV12" s="166">
        <v>27087.66</v>
      </c>
      <c r="AW12" s="166">
        <v>27087.66</v>
      </c>
      <c r="AX12" s="166">
        <v>0</v>
      </c>
      <c r="AY12" s="166">
        <v>0</v>
      </c>
      <c r="AZ12" s="166">
        <v>27087.66</v>
      </c>
      <c r="BA12" s="166">
        <v>0</v>
      </c>
      <c r="BB12" s="208">
        <f t="shared" si="5"/>
        <v>0</v>
      </c>
      <c r="BC12" s="208"/>
      <c r="BD12" s="208"/>
      <c r="BE12" s="47"/>
    </row>
    <row r="13" spans="1:57" s="21" customFormat="1" ht="28.5" customHeight="1">
      <c r="A13" s="16"/>
      <c r="B13" s="2">
        <v>7</v>
      </c>
      <c r="C13" s="78" t="s">
        <v>778</v>
      </c>
      <c r="D13" s="78">
        <v>11017</v>
      </c>
      <c r="E13" s="78"/>
      <c r="F13" s="5" t="s">
        <v>1248</v>
      </c>
      <c r="G13" s="141" t="s">
        <v>1252</v>
      </c>
      <c r="H13" s="5" t="s">
        <v>1253</v>
      </c>
      <c r="I13" s="78"/>
      <c r="J13" s="3">
        <v>2021</v>
      </c>
      <c r="K13" s="5">
        <v>44272</v>
      </c>
      <c r="L13" s="4"/>
      <c r="M13" s="13">
        <f t="shared" ca="1" si="3"/>
        <v>-1485.3359971064783</v>
      </c>
      <c r="N13" s="3" t="s">
        <v>175</v>
      </c>
      <c r="O13" s="11" t="s">
        <v>4</v>
      </c>
      <c r="P13" s="11" t="s">
        <v>905</v>
      </c>
      <c r="Q13" s="3" t="s">
        <v>733</v>
      </c>
      <c r="R13" s="5" t="s">
        <v>477</v>
      </c>
      <c r="S13" s="8" t="s">
        <v>734</v>
      </c>
      <c r="T13" s="3" t="s">
        <v>185</v>
      </c>
      <c r="U13" s="76" t="s">
        <v>460</v>
      </c>
      <c r="V13" s="208">
        <v>49665</v>
      </c>
      <c r="W13" s="76"/>
      <c r="X13" s="8" t="s">
        <v>1398</v>
      </c>
      <c r="Y13" s="141"/>
      <c r="Z13" s="168">
        <f t="shared" si="4"/>
        <v>19805.590000000004</v>
      </c>
      <c r="AA13" s="146"/>
      <c r="AB13" s="146"/>
      <c r="AC13" s="146"/>
      <c r="AD13" s="146"/>
      <c r="AE13" s="146"/>
      <c r="AF13" s="146"/>
      <c r="AG13" s="146"/>
      <c r="AH13" s="146"/>
      <c r="AI13" s="146"/>
      <c r="AJ13" s="146">
        <v>4867.6899999999996</v>
      </c>
      <c r="AK13" s="146">
        <v>14627.820000000002</v>
      </c>
      <c r="AL13" s="146">
        <v>310.08</v>
      </c>
      <c r="AM13" s="256">
        <f t="shared" si="6"/>
        <v>0</v>
      </c>
      <c r="AN13" s="255"/>
      <c r="AO13" s="286"/>
      <c r="AP13" s="285"/>
      <c r="AQ13" s="255"/>
      <c r="AR13" s="255">
        <v>90.27</v>
      </c>
      <c r="AS13" s="255"/>
      <c r="AT13" s="132"/>
      <c r="AU13" s="229" t="s">
        <v>1180</v>
      </c>
      <c r="AV13" s="166">
        <v>20115.990000000002</v>
      </c>
      <c r="AW13" s="166">
        <v>19805.59</v>
      </c>
      <c r="AX13" s="166">
        <v>0</v>
      </c>
      <c r="AY13" s="166">
        <v>0</v>
      </c>
      <c r="AZ13" s="166">
        <v>19805.59</v>
      </c>
      <c r="BA13" s="166">
        <v>310.39999999999998</v>
      </c>
      <c r="BB13" s="208">
        <f t="shared" si="5"/>
        <v>310.39999999999782</v>
      </c>
      <c r="BC13" s="208"/>
      <c r="BD13" s="208"/>
      <c r="BE13" s="47"/>
    </row>
    <row r="14" spans="1:57" s="21" customFormat="1" ht="28.5" customHeight="1">
      <c r="A14" s="16"/>
      <c r="B14" s="2">
        <v>8</v>
      </c>
      <c r="C14" s="78" t="s">
        <v>779</v>
      </c>
      <c r="D14" s="78">
        <v>10392</v>
      </c>
      <c r="E14" s="78" t="s">
        <v>886</v>
      </c>
      <c r="F14" s="5" t="s">
        <v>1248</v>
      </c>
      <c r="G14" s="141" t="s">
        <v>1249</v>
      </c>
      <c r="H14" s="5" t="s">
        <v>1250</v>
      </c>
      <c r="I14" s="78"/>
      <c r="J14" s="3">
        <v>2021</v>
      </c>
      <c r="K14" s="5">
        <v>44272</v>
      </c>
      <c r="L14" s="4"/>
      <c r="M14" s="13">
        <f t="shared" ca="1" si="3"/>
        <v>-1485.3359971064783</v>
      </c>
      <c r="N14" s="3" t="s">
        <v>175</v>
      </c>
      <c r="O14" s="11" t="s">
        <v>4</v>
      </c>
      <c r="P14" s="11"/>
      <c r="Q14" s="3" t="s">
        <v>735</v>
      </c>
      <c r="R14" s="5" t="s">
        <v>477</v>
      </c>
      <c r="S14" s="8" t="s">
        <v>736</v>
      </c>
      <c r="T14" s="3" t="s">
        <v>182</v>
      </c>
      <c r="U14" s="76" t="s">
        <v>460</v>
      </c>
      <c r="V14" s="208">
        <v>23000</v>
      </c>
      <c r="W14" s="76"/>
      <c r="X14" s="141"/>
      <c r="Y14" s="141"/>
      <c r="Z14" s="168">
        <f t="shared" si="4"/>
        <v>17700.09</v>
      </c>
      <c r="AA14" s="146"/>
      <c r="AB14" s="146"/>
      <c r="AC14" s="146"/>
      <c r="AD14" s="146">
        <v>122.98</v>
      </c>
      <c r="AE14" s="146">
        <v>2555.4099999999994</v>
      </c>
      <c r="AF14" s="146">
        <v>71.209999999999994</v>
      </c>
      <c r="AG14" s="146">
        <v>2360.86</v>
      </c>
      <c r="AH14" s="146">
        <v>12589.630000000001</v>
      </c>
      <c r="AI14" s="146"/>
      <c r="AJ14" s="146"/>
      <c r="AK14" s="146"/>
      <c r="AL14" s="146"/>
      <c r="AM14" s="256">
        <f t="shared" si="6"/>
        <v>0</v>
      </c>
      <c r="AN14" s="255"/>
      <c r="AO14" s="286"/>
      <c r="AP14" s="285"/>
      <c r="AQ14" s="255"/>
      <c r="AR14" s="255"/>
      <c r="AS14" s="255"/>
      <c r="AT14" s="132"/>
      <c r="AU14" s="190"/>
      <c r="AV14" s="166">
        <v>17700.09</v>
      </c>
      <c r="AW14" s="166">
        <v>17700.09</v>
      </c>
      <c r="AX14" s="166">
        <v>0</v>
      </c>
      <c r="AY14" s="166">
        <v>0</v>
      </c>
      <c r="AZ14" s="166">
        <v>17700.09</v>
      </c>
      <c r="BA14" s="166">
        <v>0</v>
      </c>
      <c r="BB14" s="208">
        <f t="shared" si="5"/>
        <v>0</v>
      </c>
      <c r="BC14" s="208"/>
      <c r="BD14" s="208"/>
      <c r="BE14" s="47"/>
    </row>
    <row r="15" spans="1:57" s="21" customFormat="1" ht="28.5" customHeight="1">
      <c r="A15" s="16"/>
      <c r="B15" s="2">
        <v>9</v>
      </c>
      <c r="C15" s="78" t="s">
        <v>780</v>
      </c>
      <c r="D15" s="78">
        <v>10770</v>
      </c>
      <c r="E15" s="78" t="s">
        <v>887</v>
      </c>
      <c r="F15" s="5" t="s">
        <v>1248</v>
      </c>
      <c r="G15" s="8" t="s">
        <v>1249</v>
      </c>
      <c r="H15" s="5" t="s">
        <v>1250</v>
      </c>
      <c r="I15" s="78"/>
      <c r="J15" s="3">
        <v>2021</v>
      </c>
      <c r="K15" s="5">
        <v>44272</v>
      </c>
      <c r="L15" s="4"/>
      <c r="M15" s="13">
        <f t="shared" ca="1" si="3"/>
        <v>-1485.3359971064783</v>
      </c>
      <c r="N15" s="3" t="s">
        <v>175</v>
      </c>
      <c r="O15" s="11"/>
      <c r="P15" s="11"/>
      <c r="Q15" s="3" t="s">
        <v>737</v>
      </c>
      <c r="R15" s="5" t="s">
        <v>477</v>
      </c>
      <c r="S15" s="8" t="s">
        <v>738</v>
      </c>
      <c r="T15" s="3" t="s">
        <v>185</v>
      </c>
      <c r="U15" s="76" t="s">
        <v>460</v>
      </c>
      <c r="V15" s="208">
        <v>49000</v>
      </c>
      <c r="W15" s="76"/>
      <c r="X15" s="8" t="s">
        <v>1398</v>
      </c>
      <c r="Y15" s="141"/>
      <c r="Z15" s="168">
        <f t="shared" si="4"/>
        <v>27153.01</v>
      </c>
      <c r="AA15" s="146"/>
      <c r="AB15" s="146"/>
      <c r="AC15" s="146"/>
      <c r="AD15" s="146"/>
      <c r="AE15" s="146">
        <v>2277.35</v>
      </c>
      <c r="AF15" s="146">
        <v>1701.2199999999991</v>
      </c>
      <c r="AG15" s="146">
        <v>2014.12</v>
      </c>
      <c r="AH15" s="146">
        <v>1788.3999999999999</v>
      </c>
      <c r="AI15" s="146">
        <v>11860.68</v>
      </c>
      <c r="AJ15" s="146">
        <v>5967.78</v>
      </c>
      <c r="AK15" s="146">
        <v>1427.3799999999999</v>
      </c>
      <c r="AL15" s="146">
        <v>116.08</v>
      </c>
      <c r="AM15" s="256">
        <f t="shared" si="6"/>
        <v>0</v>
      </c>
      <c r="AN15" s="255"/>
      <c r="AO15" s="286"/>
      <c r="AP15" s="285"/>
      <c r="AQ15" s="255"/>
      <c r="AR15" s="255"/>
      <c r="AS15" s="255"/>
      <c r="AT15" s="132"/>
      <c r="AU15" s="190"/>
      <c r="AV15" s="166">
        <v>27188.34</v>
      </c>
      <c r="AW15" s="166">
        <v>27153.01</v>
      </c>
      <c r="AX15" s="166">
        <v>0</v>
      </c>
      <c r="AY15" s="166">
        <v>0</v>
      </c>
      <c r="AZ15" s="166">
        <v>27153.01</v>
      </c>
      <c r="BA15" s="166">
        <v>35.33</v>
      </c>
      <c r="BB15" s="208">
        <f t="shared" si="5"/>
        <v>35.330000000001746</v>
      </c>
      <c r="BC15" s="208"/>
      <c r="BD15" s="208"/>
      <c r="BE15" s="47"/>
    </row>
    <row r="16" spans="1:57" s="21" customFormat="1" ht="28.5" customHeight="1">
      <c r="A16" s="16"/>
      <c r="B16" s="2">
        <v>10</v>
      </c>
      <c r="C16" s="78" t="s">
        <v>781</v>
      </c>
      <c r="D16" s="78">
        <v>9910</v>
      </c>
      <c r="E16" s="78" t="s">
        <v>888</v>
      </c>
      <c r="F16" s="5" t="s">
        <v>1248</v>
      </c>
      <c r="G16" s="8" t="s">
        <v>1249</v>
      </c>
      <c r="H16" s="5" t="s">
        <v>1250</v>
      </c>
      <c r="I16" s="78"/>
      <c r="J16" s="3">
        <v>2021</v>
      </c>
      <c r="K16" s="5">
        <v>44272</v>
      </c>
      <c r="L16" s="4"/>
      <c r="M16" s="13">
        <f t="shared" ca="1" si="3"/>
        <v>-1485.3359971064783</v>
      </c>
      <c r="N16" s="3" t="s">
        <v>175</v>
      </c>
      <c r="O16" s="11" t="s">
        <v>4</v>
      </c>
      <c r="P16" s="11" t="s">
        <v>905</v>
      </c>
      <c r="Q16" s="3" t="s">
        <v>725</v>
      </c>
      <c r="R16" s="5" t="s">
        <v>477</v>
      </c>
      <c r="S16" s="8" t="s">
        <v>739</v>
      </c>
      <c r="T16" s="3" t="s">
        <v>186</v>
      </c>
      <c r="U16" s="76" t="s">
        <v>460</v>
      </c>
      <c r="V16" s="208">
        <v>30000</v>
      </c>
      <c r="W16" s="76"/>
      <c r="X16" s="141"/>
      <c r="Y16" s="141"/>
      <c r="Z16" s="168">
        <f t="shared" si="4"/>
        <v>29826.639999999999</v>
      </c>
      <c r="AA16" s="146"/>
      <c r="AB16" s="146"/>
      <c r="AC16" s="146"/>
      <c r="AD16" s="146"/>
      <c r="AE16" s="146">
        <v>9344.8299999999981</v>
      </c>
      <c r="AF16" s="146">
        <v>3472.3200000000006</v>
      </c>
      <c r="AG16" s="146">
        <v>151.07</v>
      </c>
      <c r="AH16" s="146"/>
      <c r="AI16" s="146">
        <v>2113.35</v>
      </c>
      <c r="AJ16" s="146">
        <v>7205.1</v>
      </c>
      <c r="AK16" s="146">
        <v>6061.07</v>
      </c>
      <c r="AL16" s="146">
        <v>1478.9</v>
      </c>
      <c r="AM16" s="256">
        <f t="shared" si="6"/>
        <v>-0.31280000000000002</v>
      </c>
      <c r="AN16" s="255"/>
      <c r="AO16" s="286">
        <v>-0.31280000000000002</v>
      </c>
      <c r="AP16" s="285">
        <v>-0.31280000000000002</v>
      </c>
      <c r="AQ16" s="255"/>
      <c r="AR16" s="255">
        <v>33.380000000000003</v>
      </c>
      <c r="AS16" s="255"/>
      <c r="AT16" s="132"/>
      <c r="AU16" s="229" t="s">
        <v>1191</v>
      </c>
      <c r="AV16" s="166">
        <v>29828.3</v>
      </c>
      <c r="AW16" s="166">
        <v>29513.84</v>
      </c>
      <c r="AX16" s="166">
        <v>0</v>
      </c>
      <c r="AY16" s="166">
        <v>0</v>
      </c>
      <c r="AZ16" s="166">
        <v>29513.84</v>
      </c>
      <c r="BA16" s="166">
        <v>314.45999999999998</v>
      </c>
      <c r="BB16" s="208">
        <f t="shared" si="5"/>
        <v>1.9727999999995518</v>
      </c>
      <c r="BC16" s="208"/>
      <c r="BD16" s="208"/>
      <c r="BE16" s="47"/>
    </row>
    <row r="17" spans="1:57" s="21" customFormat="1" ht="28.5" customHeight="1">
      <c r="A17" s="16"/>
      <c r="B17" s="2">
        <v>11</v>
      </c>
      <c r="C17" s="78" t="s">
        <v>782</v>
      </c>
      <c r="D17" s="78">
        <v>713</v>
      </c>
      <c r="E17" s="78" t="s">
        <v>889</v>
      </c>
      <c r="F17" s="5" t="s">
        <v>1248</v>
      </c>
      <c r="G17" s="8" t="s">
        <v>1252</v>
      </c>
      <c r="H17" s="5" t="s">
        <v>1253</v>
      </c>
      <c r="I17" s="78"/>
      <c r="J17" s="3">
        <v>2021</v>
      </c>
      <c r="K17" s="5">
        <v>44272</v>
      </c>
      <c r="L17" s="4"/>
      <c r="M17" s="13">
        <f t="shared" ca="1" si="3"/>
        <v>-1485.3359971064783</v>
      </c>
      <c r="N17" s="3" t="s">
        <v>175</v>
      </c>
      <c r="O17" s="11" t="s">
        <v>223</v>
      </c>
      <c r="P17" s="11" t="s">
        <v>918</v>
      </c>
      <c r="Q17" s="3" t="s">
        <v>740</v>
      </c>
      <c r="R17" s="5" t="s">
        <v>471</v>
      </c>
      <c r="S17" s="8" t="s">
        <v>638</v>
      </c>
      <c r="T17" s="3" t="s">
        <v>180</v>
      </c>
      <c r="U17" s="76" t="s">
        <v>460</v>
      </c>
      <c r="V17" s="208">
        <v>32000</v>
      </c>
      <c r="W17" s="76"/>
      <c r="X17" s="141"/>
      <c r="Y17" s="141"/>
      <c r="Z17" s="168">
        <f t="shared" si="4"/>
        <v>17314.16</v>
      </c>
      <c r="AA17" s="146"/>
      <c r="AB17" s="146"/>
      <c r="AC17" s="146"/>
      <c r="AD17" s="146">
        <v>3449.8599999999992</v>
      </c>
      <c r="AE17" s="146">
        <v>2964.7299999999996</v>
      </c>
      <c r="AF17" s="146">
        <v>3700.2300000000009</v>
      </c>
      <c r="AG17" s="146"/>
      <c r="AH17" s="146">
        <v>5398.46</v>
      </c>
      <c r="AI17" s="146">
        <v>2100.5700000000002</v>
      </c>
      <c r="AJ17" s="146">
        <v>-299.69</v>
      </c>
      <c r="AK17" s="146"/>
      <c r="AL17" s="146"/>
      <c r="AM17" s="256">
        <f t="shared" si="6"/>
        <v>0</v>
      </c>
      <c r="AN17" s="255"/>
      <c r="AO17" s="286"/>
      <c r="AP17" s="285"/>
      <c r="AQ17" s="255"/>
      <c r="AR17" s="255"/>
      <c r="AS17" s="255"/>
      <c r="AT17" s="132"/>
      <c r="AU17" s="190"/>
      <c r="AV17" s="166">
        <v>17314.16</v>
      </c>
      <c r="AW17" s="166">
        <v>17314.16</v>
      </c>
      <c r="AX17" s="166">
        <v>0</v>
      </c>
      <c r="AY17" s="166">
        <v>0</v>
      </c>
      <c r="AZ17" s="166">
        <v>17314.16</v>
      </c>
      <c r="BA17" s="166">
        <v>0</v>
      </c>
      <c r="BB17" s="208">
        <f t="shared" si="5"/>
        <v>0</v>
      </c>
      <c r="BC17" s="208"/>
      <c r="BD17" s="208"/>
      <c r="BE17" s="47"/>
    </row>
    <row r="18" spans="1:57" s="21" customFormat="1" ht="28.5" customHeight="1">
      <c r="A18" s="16"/>
      <c r="B18" s="2">
        <v>12</v>
      </c>
      <c r="C18" s="78" t="s">
        <v>783</v>
      </c>
      <c r="D18" s="78">
        <v>2228</v>
      </c>
      <c r="E18" s="78"/>
      <c r="F18" s="5" t="s">
        <v>1248</v>
      </c>
      <c r="G18" s="141" t="s">
        <v>1254</v>
      </c>
      <c r="H18" s="5" t="s">
        <v>746</v>
      </c>
      <c r="I18" s="78" t="s">
        <v>995</v>
      </c>
      <c r="J18" s="3">
        <v>2021</v>
      </c>
      <c r="K18" s="5">
        <v>44288</v>
      </c>
      <c r="L18" s="40"/>
      <c r="M18" s="13">
        <f t="shared" ca="1" si="3"/>
        <v>-1470.3359971064783</v>
      </c>
      <c r="N18" s="3" t="s">
        <v>175</v>
      </c>
      <c r="O18" s="11" t="s">
        <v>221</v>
      </c>
      <c r="P18" s="11" t="s">
        <v>909</v>
      </c>
      <c r="Q18" s="39" t="s">
        <v>746</v>
      </c>
      <c r="R18" s="5" t="s">
        <v>471</v>
      </c>
      <c r="S18" s="141" t="s">
        <v>760</v>
      </c>
      <c r="T18" s="39" t="s">
        <v>186</v>
      </c>
      <c r="U18" s="76" t="s">
        <v>460</v>
      </c>
      <c r="V18" s="208">
        <v>10000</v>
      </c>
      <c r="W18" s="76"/>
      <c r="X18" s="141" t="s">
        <v>1405</v>
      </c>
      <c r="Y18" s="141"/>
      <c r="Z18" s="168">
        <f t="shared" si="4"/>
        <v>37762.339999999997</v>
      </c>
      <c r="AA18" s="146"/>
      <c r="AB18" s="146"/>
      <c r="AC18" s="146"/>
      <c r="AD18" s="146"/>
      <c r="AE18" s="146"/>
      <c r="AF18" s="146"/>
      <c r="AG18" s="146">
        <v>3199.579999999999</v>
      </c>
      <c r="AH18" s="146"/>
      <c r="AI18" s="146">
        <v>5369.49</v>
      </c>
      <c r="AJ18" s="146">
        <v>2861.12</v>
      </c>
      <c r="AK18" s="146">
        <v>6658.4900000000007</v>
      </c>
      <c r="AL18" s="146">
        <v>19673.66</v>
      </c>
      <c r="AM18" s="256">
        <f t="shared" si="6"/>
        <v>299.47588999999999</v>
      </c>
      <c r="AN18" s="255">
        <v>1018.41</v>
      </c>
      <c r="AO18" s="286">
        <v>-0.52410999999999996</v>
      </c>
      <c r="AP18" s="285">
        <v>-0.52410999999999996</v>
      </c>
      <c r="AQ18" s="255">
        <v>300</v>
      </c>
      <c r="AR18" s="255"/>
      <c r="AS18" s="255"/>
      <c r="AT18" s="132"/>
      <c r="AU18" s="190" t="s">
        <v>1162</v>
      </c>
      <c r="AV18" s="166">
        <v>39230.93</v>
      </c>
      <c r="AW18" s="166">
        <v>37238.230000000003</v>
      </c>
      <c r="AX18" s="166">
        <v>391.05</v>
      </c>
      <c r="AY18" s="166">
        <v>0</v>
      </c>
      <c r="AZ18" s="166">
        <v>37629.279999999999</v>
      </c>
      <c r="BA18" s="166">
        <v>1601.65</v>
      </c>
      <c r="BB18" s="208">
        <f t="shared" si="5"/>
        <v>1169.1141100000023</v>
      </c>
      <c r="BC18" s="208"/>
      <c r="BD18" s="208"/>
      <c r="BE18" s="47"/>
    </row>
    <row r="19" spans="1:57" s="21" customFormat="1" ht="28.5" customHeight="1">
      <c r="A19" s="16"/>
      <c r="B19" s="2">
        <v>13</v>
      </c>
      <c r="C19" s="78" t="s">
        <v>784</v>
      </c>
      <c r="D19" s="78">
        <v>1377</v>
      </c>
      <c r="E19" s="79"/>
      <c r="F19" s="5" t="s">
        <v>1248</v>
      </c>
      <c r="G19" s="141" t="s">
        <v>584</v>
      </c>
      <c r="H19" s="5" t="s">
        <v>265</v>
      </c>
      <c r="I19" s="192" t="s">
        <v>553</v>
      </c>
      <c r="J19" s="3">
        <v>2021</v>
      </c>
      <c r="K19" s="5">
        <v>44288</v>
      </c>
      <c r="L19" s="40"/>
      <c r="M19" s="13">
        <f t="shared" ca="1" si="3"/>
        <v>-1470.3359971064783</v>
      </c>
      <c r="N19" s="3" t="s">
        <v>175</v>
      </c>
      <c r="O19" s="11" t="s">
        <v>222</v>
      </c>
      <c r="P19" s="11" t="s">
        <v>917</v>
      </c>
      <c r="Q19" s="39" t="s">
        <v>747</v>
      </c>
      <c r="R19" s="5" t="s">
        <v>471</v>
      </c>
      <c r="S19" s="8" t="s">
        <v>745</v>
      </c>
      <c r="T19" s="3" t="s">
        <v>185</v>
      </c>
      <c r="U19" s="76" t="s">
        <v>553</v>
      </c>
      <c r="V19" s="208">
        <v>8000</v>
      </c>
      <c r="W19" s="115"/>
      <c r="X19" s="142"/>
      <c r="Y19" s="141"/>
      <c r="Z19" s="168">
        <f t="shared" si="4"/>
        <v>0</v>
      </c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256">
        <f t="shared" si="6"/>
        <v>0</v>
      </c>
      <c r="AN19" s="255"/>
      <c r="AO19" s="286"/>
      <c r="AP19" s="285"/>
      <c r="AQ19" s="255"/>
      <c r="AR19" s="255"/>
      <c r="AS19" s="255"/>
      <c r="AT19" s="132"/>
      <c r="AU19" s="190"/>
      <c r="AV19" s="166"/>
      <c r="AW19" s="166"/>
      <c r="AX19" s="166"/>
      <c r="AY19" s="166"/>
      <c r="AZ19" s="166"/>
      <c r="BA19" s="166"/>
      <c r="BB19" s="208">
        <f t="shared" si="5"/>
        <v>0</v>
      </c>
      <c r="BC19" s="208"/>
      <c r="BD19" s="208"/>
      <c r="BE19" s="47"/>
    </row>
    <row r="20" spans="1:57" s="21" customFormat="1" ht="28.5" customHeight="1">
      <c r="A20" s="16"/>
      <c r="B20" s="2">
        <v>14</v>
      </c>
      <c r="C20" s="78" t="s">
        <v>785</v>
      </c>
      <c r="D20" s="78">
        <v>9813</v>
      </c>
      <c r="E20" s="79"/>
      <c r="F20" s="5" t="s">
        <v>1248</v>
      </c>
      <c r="G20" s="8" t="s">
        <v>1249</v>
      </c>
      <c r="H20" s="5" t="s">
        <v>1250</v>
      </c>
      <c r="I20" s="78"/>
      <c r="J20" s="3">
        <v>2021</v>
      </c>
      <c r="K20" s="5">
        <v>44288</v>
      </c>
      <c r="L20" s="40"/>
      <c r="M20" s="13">
        <f t="shared" ca="1" si="3"/>
        <v>-1470.3359971064783</v>
      </c>
      <c r="N20" s="3" t="s">
        <v>175</v>
      </c>
      <c r="O20" s="11" t="s">
        <v>223</v>
      </c>
      <c r="P20" s="11" t="s">
        <v>918</v>
      </c>
      <c r="Q20" s="39" t="s">
        <v>748</v>
      </c>
      <c r="R20" s="5" t="s">
        <v>471</v>
      </c>
      <c r="S20" s="8" t="s">
        <v>749</v>
      </c>
      <c r="T20" s="3" t="s">
        <v>315</v>
      </c>
      <c r="U20" s="76" t="s">
        <v>460</v>
      </c>
      <c r="V20" s="208">
        <v>44500</v>
      </c>
      <c r="W20" s="115"/>
      <c r="X20" s="142"/>
      <c r="Y20" s="141"/>
      <c r="Z20" s="168">
        <f t="shared" si="4"/>
        <v>49052.87</v>
      </c>
      <c r="AA20" s="146"/>
      <c r="AB20" s="146"/>
      <c r="AC20" s="146"/>
      <c r="AD20" s="146"/>
      <c r="AE20" s="146"/>
      <c r="AF20" s="146"/>
      <c r="AG20" s="146">
        <v>1485.78</v>
      </c>
      <c r="AH20" s="146">
        <v>1358.4199999999996</v>
      </c>
      <c r="AI20" s="146">
        <v>14413.53</v>
      </c>
      <c r="AJ20" s="146">
        <v>12756.92</v>
      </c>
      <c r="AK20" s="146">
        <v>3356.2099999999996</v>
      </c>
      <c r="AL20" s="146">
        <v>15682.01</v>
      </c>
      <c r="AM20" s="256">
        <f t="shared" si="6"/>
        <v>-0.30037999999999998</v>
      </c>
      <c r="AN20" s="255"/>
      <c r="AO20" s="286">
        <v>-0.30037999999999998</v>
      </c>
      <c r="AP20" s="285">
        <v>-0.30037999999999998</v>
      </c>
      <c r="AQ20" s="255"/>
      <c r="AR20" s="255"/>
      <c r="AS20" s="255"/>
      <c r="AT20" s="132"/>
      <c r="AU20" s="190" t="s">
        <v>1163</v>
      </c>
      <c r="AV20" s="166">
        <v>48054.15</v>
      </c>
      <c r="AW20" s="166">
        <v>48752.49</v>
      </c>
      <c r="AX20" s="166">
        <v>0</v>
      </c>
      <c r="AY20" s="166">
        <v>0</v>
      </c>
      <c r="AZ20" s="166">
        <v>48752.49</v>
      </c>
      <c r="BA20" s="166">
        <v>-698.34</v>
      </c>
      <c r="BB20" s="208">
        <f t="shared" si="5"/>
        <v>-998.41962000000058</v>
      </c>
      <c r="BC20" s="208"/>
      <c r="BD20" s="208"/>
      <c r="BE20" s="47"/>
    </row>
    <row r="21" spans="1:57" s="21" customFormat="1" ht="28.5" customHeight="1">
      <c r="A21" s="16"/>
      <c r="B21" s="2">
        <v>15</v>
      </c>
      <c r="C21" s="78" t="s">
        <v>786</v>
      </c>
      <c r="D21" s="79">
        <v>5050</v>
      </c>
      <c r="E21" s="79" t="s">
        <v>890</v>
      </c>
      <c r="F21" s="5" t="s">
        <v>1248</v>
      </c>
      <c r="G21" s="8" t="s">
        <v>1252</v>
      </c>
      <c r="H21" s="5" t="s">
        <v>1253</v>
      </c>
      <c r="I21" s="78"/>
      <c r="J21" s="3">
        <v>2021</v>
      </c>
      <c r="K21" s="5">
        <v>44288</v>
      </c>
      <c r="L21" s="40"/>
      <c r="M21" s="13">
        <f t="shared" ca="1" si="3"/>
        <v>-1470.3359971064783</v>
      </c>
      <c r="N21" s="3" t="s">
        <v>175</v>
      </c>
      <c r="O21" s="11" t="s">
        <v>4</v>
      </c>
      <c r="P21" s="11" t="s">
        <v>905</v>
      </c>
      <c r="Q21" s="39" t="s">
        <v>725</v>
      </c>
      <c r="R21" s="5" t="s">
        <v>477</v>
      </c>
      <c r="S21" s="8" t="s">
        <v>751</v>
      </c>
      <c r="T21" s="3" t="s">
        <v>180</v>
      </c>
      <c r="U21" s="76" t="s">
        <v>460</v>
      </c>
      <c r="V21" s="208">
        <v>50000</v>
      </c>
      <c r="W21" s="76"/>
      <c r="X21" s="141"/>
      <c r="Y21" s="141"/>
      <c r="Z21" s="168">
        <f t="shared" si="4"/>
        <v>47598.299999999996</v>
      </c>
      <c r="AA21" s="146"/>
      <c r="AB21" s="146"/>
      <c r="AC21" s="146"/>
      <c r="AD21" s="146">
        <v>254.99</v>
      </c>
      <c r="AE21" s="146"/>
      <c r="AF21" s="146">
        <v>31514.63</v>
      </c>
      <c r="AG21" s="146">
        <v>884.92000000000007</v>
      </c>
      <c r="AH21" s="146">
        <v>2095.86</v>
      </c>
      <c r="AI21" s="146">
        <v>12128.91</v>
      </c>
      <c r="AJ21" s="146">
        <v>718.99</v>
      </c>
      <c r="AK21" s="146"/>
      <c r="AL21" s="146"/>
      <c r="AM21" s="256">
        <f t="shared" si="6"/>
        <v>0</v>
      </c>
      <c r="AN21" s="255"/>
      <c r="AO21" s="286"/>
      <c r="AP21" s="285"/>
      <c r="AQ21" s="255"/>
      <c r="AR21" s="255"/>
      <c r="AS21" s="255"/>
      <c r="AT21" s="132"/>
      <c r="AU21" s="190"/>
      <c r="AV21" s="166">
        <v>47598.3</v>
      </c>
      <c r="AW21" s="166">
        <v>47598.3</v>
      </c>
      <c r="AX21" s="166">
        <v>0</v>
      </c>
      <c r="AY21" s="166">
        <v>0</v>
      </c>
      <c r="AZ21" s="166">
        <v>47598.3</v>
      </c>
      <c r="BA21" s="166">
        <v>0</v>
      </c>
      <c r="BB21" s="208">
        <f t="shared" si="5"/>
        <v>0</v>
      </c>
      <c r="BC21" s="208"/>
      <c r="BD21" s="208"/>
      <c r="BE21" s="47"/>
    </row>
    <row r="22" spans="1:57" s="21" customFormat="1" ht="28.5" customHeight="1">
      <c r="A22" s="16"/>
      <c r="B22" s="2">
        <v>16</v>
      </c>
      <c r="C22" s="78" t="s">
        <v>787</v>
      </c>
      <c r="D22" s="79">
        <v>11067</v>
      </c>
      <c r="E22" s="79"/>
      <c r="F22" s="5" t="s">
        <v>1248</v>
      </c>
      <c r="G22" s="8" t="s">
        <v>1249</v>
      </c>
      <c r="H22" s="5" t="s">
        <v>1250</v>
      </c>
      <c r="I22" s="78"/>
      <c r="J22" s="3">
        <v>2021</v>
      </c>
      <c r="K22" s="5">
        <v>44288</v>
      </c>
      <c r="L22" s="40"/>
      <c r="M22" s="13">
        <f t="shared" ca="1" si="3"/>
        <v>-1470.3359971064783</v>
      </c>
      <c r="N22" s="3" t="s">
        <v>175</v>
      </c>
      <c r="O22" s="11" t="s">
        <v>223</v>
      </c>
      <c r="P22" s="11" t="s">
        <v>918</v>
      </c>
      <c r="Q22" s="39" t="s">
        <v>750</v>
      </c>
      <c r="R22" s="5" t="s">
        <v>471</v>
      </c>
      <c r="S22" s="8" t="s">
        <v>762</v>
      </c>
      <c r="T22" s="3" t="s">
        <v>186</v>
      </c>
      <c r="U22" s="76" t="s">
        <v>460</v>
      </c>
      <c r="V22" s="208">
        <v>49500</v>
      </c>
      <c r="W22" s="115"/>
      <c r="X22" s="142"/>
      <c r="Y22" s="141"/>
      <c r="Z22" s="168">
        <f t="shared" si="4"/>
        <v>48913.78</v>
      </c>
      <c r="AA22" s="146"/>
      <c r="AB22" s="146"/>
      <c r="AC22" s="146"/>
      <c r="AD22" s="146"/>
      <c r="AE22" s="146"/>
      <c r="AF22" s="146"/>
      <c r="AG22" s="146"/>
      <c r="AH22" s="146"/>
      <c r="AI22" s="146">
        <v>18441.09</v>
      </c>
      <c r="AJ22" s="146">
        <v>5048.88</v>
      </c>
      <c r="AK22" s="146">
        <v>6051.14</v>
      </c>
      <c r="AL22" s="146">
        <v>19372.669999999998</v>
      </c>
      <c r="AM22" s="256">
        <f t="shared" si="6"/>
        <v>-0.67443999999999993</v>
      </c>
      <c r="AN22" s="255"/>
      <c r="AO22" s="286">
        <v>-0.67443999999999993</v>
      </c>
      <c r="AP22" s="285">
        <v>-0.67443999999999993</v>
      </c>
      <c r="AQ22" s="255"/>
      <c r="AR22" s="255">
        <v>592.01</v>
      </c>
      <c r="AS22" s="255"/>
      <c r="AT22" s="132"/>
      <c r="AU22" s="190" t="s">
        <v>1161</v>
      </c>
      <c r="AV22" s="166">
        <v>49784.74</v>
      </c>
      <c r="AW22" s="166">
        <v>48239.34</v>
      </c>
      <c r="AX22" s="166">
        <v>0</v>
      </c>
      <c r="AY22" s="166">
        <v>0</v>
      </c>
      <c r="AZ22" s="166">
        <v>48239.34</v>
      </c>
      <c r="BA22" s="166">
        <v>1545.4</v>
      </c>
      <c r="BB22" s="208">
        <f t="shared" si="5"/>
        <v>871.63444000000163</v>
      </c>
      <c r="BC22" s="208"/>
      <c r="BD22" s="208"/>
      <c r="BE22" s="47"/>
    </row>
    <row r="23" spans="1:57" s="21" customFormat="1" ht="28.5" customHeight="1">
      <c r="A23" s="16"/>
      <c r="B23" s="2">
        <v>17</v>
      </c>
      <c r="C23" s="78" t="s">
        <v>788</v>
      </c>
      <c r="D23" s="79">
        <v>3268</v>
      </c>
      <c r="E23" s="79" t="s">
        <v>891</v>
      </c>
      <c r="F23" s="5" t="s">
        <v>1248</v>
      </c>
      <c r="G23" s="141" t="s">
        <v>1252</v>
      </c>
      <c r="H23" s="5" t="s">
        <v>1253</v>
      </c>
      <c r="I23" s="78"/>
      <c r="J23" s="3">
        <v>2021</v>
      </c>
      <c r="K23" s="5">
        <v>44288</v>
      </c>
      <c r="L23" s="40"/>
      <c r="M23" s="13">
        <f t="shared" ca="1" si="3"/>
        <v>-1470.3359971064783</v>
      </c>
      <c r="N23" s="3" t="s">
        <v>175</v>
      </c>
      <c r="O23" s="11" t="s">
        <v>4</v>
      </c>
      <c r="P23" s="11" t="s">
        <v>904</v>
      </c>
      <c r="Q23" s="39" t="s">
        <v>752</v>
      </c>
      <c r="R23" s="5" t="s">
        <v>477</v>
      </c>
      <c r="S23" s="8" t="s">
        <v>753</v>
      </c>
      <c r="T23" s="3" t="s">
        <v>180</v>
      </c>
      <c r="U23" s="76" t="s">
        <v>460</v>
      </c>
      <c r="V23" s="208">
        <v>42000</v>
      </c>
      <c r="W23" s="76"/>
      <c r="X23" s="141" t="s">
        <v>1398</v>
      </c>
      <c r="Y23" s="141"/>
      <c r="Z23" s="168">
        <f t="shared" si="4"/>
        <v>45072.38</v>
      </c>
      <c r="AA23" s="146"/>
      <c r="AB23" s="146"/>
      <c r="AC23" s="146"/>
      <c r="AD23" s="146"/>
      <c r="AE23" s="146"/>
      <c r="AF23" s="146">
        <v>266.18</v>
      </c>
      <c r="AG23" s="146">
        <v>378.47999999999996</v>
      </c>
      <c r="AH23" s="146">
        <v>66.349999999999994</v>
      </c>
      <c r="AI23" s="146"/>
      <c r="AJ23" s="146">
        <v>23886.33</v>
      </c>
      <c r="AK23" s="146">
        <v>17640.8</v>
      </c>
      <c r="AL23" s="146">
        <v>2834.24</v>
      </c>
      <c r="AM23" s="256">
        <f t="shared" si="6"/>
        <v>-0.36984</v>
      </c>
      <c r="AN23" s="255"/>
      <c r="AO23" s="286">
        <v>-0.36984</v>
      </c>
      <c r="AP23" s="285">
        <v>-0.36984</v>
      </c>
      <c r="AQ23" s="255"/>
      <c r="AR23" s="255"/>
      <c r="AS23" s="255"/>
      <c r="AT23" s="132"/>
      <c r="AU23" s="190"/>
      <c r="AV23" s="166">
        <v>45350.31</v>
      </c>
      <c r="AW23" s="166">
        <v>44702.54</v>
      </c>
      <c r="AX23" s="166">
        <v>0</v>
      </c>
      <c r="AY23" s="166">
        <v>0</v>
      </c>
      <c r="AZ23" s="166">
        <v>44702.54</v>
      </c>
      <c r="BA23" s="166">
        <v>647.77</v>
      </c>
      <c r="BB23" s="208">
        <f t="shared" si="5"/>
        <v>278.29983999999968</v>
      </c>
      <c r="BC23" s="208"/>
      <c r="BD23" s="208"/>
      <c r="BE23" s="47"/>
    </row>
    <row r="24" spans="1:57" s="21" customFormat="1" ht="28.5" customHeight="1">
      <c r="A24" s="16"/>
      <c r="B24" s="2">
        <v>18</v>
      </c>
      <c r="C24" s="78" t="s">
        <v>789</v>
      </c>
      <c r="D24" s="79">
        <v>2957</v>
      </c>
      <c r="E24" s="79" t="s">
        <v>892</v>
      </c>
      <c r="F24" s="5" t="s">
        <v>1248</v>
      </c>
      <c r="G24" s="141" t="s">
        <v>1249</v>
      </c>
      <c r="H24" s="5" t="s">
        <v>1250</v>
      </c>
      <c r="I24" s="78"/>
      <c r="J24" s="3">
        <v>2021</v>
      </c>
      <c r="K24" s="5">
        <v>44288</v>
      </c>
      <c r="L24" s="40"/>
      <c r="M24" s="13">
        <f t="shared" ca="1" si="3"/>
        <v>-1470.3359971064783</v>
      </c>
      <c r="N24" s="3" t="s">
        <v>175</v>
      </c>
      <c r="O24" s="11" t="s">
        <v>221</v>
      </c>
      <c r="P24" s="11" t="s">
        <v>918</v>
      </c>
      <c r="Q24" s="39" t="s">
        <v>754</v>
      </c>
      <c r="R24" s="5" t="s">
        <v>471</v>
      </c>
      <c r="S24" s="8" t="s">
        <v>763</v>
      </c>
      <c r="T24" s="39" t="s">
        <v>186</v>
      </c>
      <c r="U24" s="76" t="s">
        <v>460</v>
      </c>
      <c r="V24" s="208">
        <v>10000</v>
      </c>
      <c r="W24" s="76"/>
      <c r="X24" s="141"/>
      <c r="Y24" s="141"/>
      <c r="Z24" s="168">
        <f t="shared" si="4"/>
        <v>15580.83</v>
      </c>
      <c r="AA24" s="146"/>
      <c r="AB24" s="146"/>
      <c r="AC24" s="146"/>
      <c r="AD24" s="146"/>
      <c r="AE24" s="146"/>
      <c r="AF24" s="146"/>
      <c r="AG24" s="146">
        <v>10917.169999999998</v>
      </c>
      <c r="AH24" s="146"/>
      <c r="AI24" s="146">
        <v>2607.04</v>
      </c>
      <c r="AJ24" s="146">
        <v>41.54</v>
      </c>
      <c r="AK24" s="146"/>
      <c r="AL24" s="146">
        <v>2015.08</v>
      </c>
      <c r="AM24" s="256">
        <f t="shared" si="6"/>
        <v>0</v>
      </c>
      <c r="AN24" s="255"/>
      <c r="AO24" s="286"/>
      <c r="AP24" s="285"/>
      <c r="AQ24" s="255"/>
      <c r="AR24" s="255"/>
      <c r="AS24" s="255"/>
      <c r="AT24" s="132"/>
      <c r="AU24" s="190"/>
      <c r="AV24" s="166">
        <v>15797.46</v>
      </c>
      <c r="AW24" s="166">
        <v>15580.83</v>
      </c>
      <c r="AX24" s="166">
        <v>0</v>
      </c>
      <c r="AY24" s="166">
        <v>0</v>
      </c>
      <c r="AZ24" s="166">
        <v>15580.83</v>
      </c>
      <c r="BA24" s="166">
        <v>216.63</v>
      </c>
      <c r="BB24" s="208">
        <f t="shared" si="5"/>
        <v>216.6299999999992</v>
      </c>
      <c r="BC24" s="208"/>
      <c r="BD24" s="208"/>
      <c r="BE24" s="47"/>
    </row>
    <row r="25" spans="1:57" s="21" customFormat="1" ht="28.5" customHeight="1">
      <c r="A25" s="16"/>
      <c r="B25" s="2">
        <v>19</v>
      </c>
      <c r="C25" s="78" t="s">
        <v>790</v>
      </c>
      <c r="D25" s="79">
        <v>3236</v>
      </c>
      <c r="E25" s="79" t="s">
        <v>893</v>
      </c>
      <c r="F25" s="5" t="s">
        <v>1248</v>
      </c>
      <c r="G25" s="8" t="s">
        <v>1252</v>
      </c>
      <c r="H25" s="5" t="s">
        <v>1253</v>
      </c>
      <c r="I25" s="78"/>
      <c r="J25" s="3">
        <v>2021</v>
      </c>
      <c r="K25" s="5">
        <v>44288</v>
      </c>
      <c r="L25" s="40"/>
      <c r="M25" s="13">
        <f t="shared" ca="1" si="3"/>
        <v>-1470.3359971064783</v>
      </c>
      <c r="N25" s="3" t="s">
        <v>175</v>
      </c>
      <c r="O25" s="11" t="s">
        <v>4</v>
      </c>
      <c r="P25" s="11" t="s">
        <v>904</v>
      </c>
      <c r="Q25" s="39" t="s">
        <v>752</v>
      </c>
      <c r="R25" s="5" t="s">
        <v>477</v>
      </c>
      <c r="S25" s="8" t="s">
        <v>755</v>
      </c>
      <c r="T25" s="39" t="s">
        <v>180</v>
      </c>
      <c r="U25" s="76" t="s">
        <v>460</v>
      </c>
      <c r="V25" s="208">
        <v>24000</v>
      </c>
      <c r="W25" s="76"/>
      <c r="X25" s="141"/>
      <c r="Y25" s="141"/>
      <c r="Z25" s="168">
        <f t="shared" si="4"/>
        <v>48937.29</v>
      </c>
      <c r="AA25" s="146"/>
      <c r="AB25" s="146"/>
      <c r="AC25" s="146"/>
      <c r="AD25" s="146"/>
      <c r="AE25" s="146"/>
      <c r="AF25" s="146"/>
      <c r="AG25" s="146"/>
      <c r="AH25" s="146"/>
      <c r="AI25" s="146">
        <v>37069.699999999997</v>
      </c>
      <c r="AJ25" s="146">
        <v>2472.79</v>
      </c>
      <c r="AK25" s="146">
        <v>5304.55</v>
      </c>
      <c r="AL25" s="146">
        <v>4090.25</v>
      </c>
      <c r="AM25" s="256">
        <f t="shared" si="6"/>
        <v>-0.40267999999999998</v>
      </c>
      <c r="AN25" s="255"/>
      <c r="AO25" s="286">
        <v>-0.40267999999999998</v>
      </c>
      <c r="AP25" s="285">
        <v>-0.40267999999999998</v>
      </c>
      <c r="AQ25" s="255"/>
      <c r="AR25" s="255">
        <v>50.73</v>
      </c>
      <c r="AS25" s="255"/>
      <c r="AT25" s="132"/>
      <c r="AU25" s="229" t="s">
        <v>1180</v>
      </c>
      <c r="AV25" s="166">
        <v>48917.74</v>
      </c>
      <c r="AW25" s="166">
        <v>48534.61</v>
      </c>
      <c r="AX25" s="166">
        <v>0</v>
      </c>
      <c r="AY25" s="166">
        <v>0</v>
      </c>
      <c r="AZ25" s="166">
        <v>48534.61</v>
      </c>
      <c r="BA25" s="166">
        <v>383.13</v>
      </c>
      <c r="BB25" s="208">
        <f t="shared" si="5"/>
        <v>-19.147320000003674</v>
      </c>
      <c r="BC25" s="208"/>
      <c r="BD25" s="208"/>
      <c r="BE25" s="47"/>
    </row>
    <row r="26" spans="1:57" s="21" customFormat="1" ht="28.5" customHeight="1">
      <c r="A26" s="16"/>
      <c r="B26" s="2">
        <v>20</v>
      </c>
      <c r="C26" s="78" t="s">
        <v>791</v>
      </c>
      <c r="D26" s="79">
        <v>11895</v>
      </c>
      <c r="E26" s="79"/>
      <c r="F26" s="5" t="s">
        <v>1248</v>
      </c>
      <c r="G26" s="8" t="s">
        <v>1249</v>
      </c>
      <c r="H26" s="5" t="s">
        <v>1250</v>
      </c>
      <c r="I26" s="78"/>
      <c r="J26" s="3">
        <v>2021</v>
      </c>
      <c r="K26" s="175">
        <v>44288</v>
      </c>
      <c r="L26" s="40"/>
      <c r="M26" s="13">
        <f t="shared" ca="1" si="3"/>
        <v>-1470.3359971064783</v>
      </c>
      <c r="N26" s="3" t="s">
        <v>175</v>
      </c>
      <c r="O26" s="11" t="s">
        <v>921</v>
      </c>
      <c r="P26" s="11" t="s">
        <v>913</v>
      </c>
      <c r="Q26" s="39" t="s">
        <v>756</v>
      </c>
      <c r="R26" s="5" t="s">
        <v>471</v>
      </c>
      <c r="S26" s="8" t="s">
        <v>757</v>
      </c>
      <c r="T26" s="39" t="s">
        <v>186</v>
      </c>
      <c r="U26" s="76" t="s">
        <v>460</v>
      </c>
      <c r="V26" s="208">
        <v>7500</v>
      </c>
      <c r="W26" s="115"/>
      <c r="X26" s="142"/>
      <c r="Y26" s="76" t="s">
        <v>1196</v>
      </c>
      <c r="Z26" s="168">
        <f t="shared" si="4"/>
        <v>5452.4400000000005</v>
      </c>
      <c r="AA26" s="146"/>
      <c r="AB26" s="146"/>
      <c r="AC26" s="146"/>
      <c r="AD26" s="146">
        <v>5452.4400000000005</v>
      </c>
      <c r="AE26" s="146"/>
      <c r="AF26" s="146"/>
      <c r="AG26" s="146"/>
      <c r="AH26" s="146"/>
      <c r="AI26" s="146"/>
      <c r="AJ26" s="146"/>
      <c r="AK26" s="146"/>
      <c r="AL26" s="146"/>
      <c r="AM26" s="256">
        <f t="shared" si="6"/>
        <v>0</v>
      </c>
      <c r="AN26" s="255"/>
      <c r="AO26" s="286"/>
      <c r="AP26" s="285"/>
      <c r="AQ26" s="255"/>
      <c r="AR26" s="255"/>
      <c r="AS26" s="255"/>
      <c r="AT26" s="132"/>
      <c r="AU26" s="190"/>
      <c r="AV26" s="166">
        <v>5452.44</v>
      </c>
      <c r="AW26" s="166">
        <v>5452.44</v>
      </c>
      <c r="AX26" s="166">
        <v>0</v>
      </c>
      <c r="AY26" s="166">
        <v>0</v>
      </c>
      <c r="AZ26" s="166">
        <v>5452.44</v>
      </c>
      <c r="BA26" s="166">
        <v>0</v>
      </c>
      <c r="BB26" s="208">
        <f t="shared" si="5"/>
        <v>0</v>
      </c>
      <c r="BC26" s="208"/>
      <c r="BD26" s="208"/>
      <c r="BE26" s="47"/>
    </row>
    <row r="27" spans="1:57" s="21" customFormat="1" ht="28.5" customHeight="1">
      <c r="A27" s="16"/>
      <c r="B27" s="2">
        <v>21</v>
      </c>
      <c r="C27" s="78" t="s">
        <v>792</v>
      </c>
      <c r="D27" s="79">
        <v>4057</v>
      </c>
      <c r="E27" s="79" t="s">
        <v>894</v>
      </c>
      <c r="F27" s="5" t="s">
        <v>1248</v>
      </c>
      <c r="G27" s="8" t="s">
        <v>1249</v>
      </c>
      <c r="H27" s="5" t="s">
        <v>1250</v>
      </c>
      <c r="I27" s="78"/>
      <c r="J27" s="3">
        <v>2021</v>
      </c>
      <c r="K27" s="5">
        <v>44288</v>
      </c>
      <c r="L27" s="40"/>
      <c r="M27" s="13">
        <f t="shared" ca="1" si="3"/>
        <v>-1470.3359971064783</v>
      </c>
      <c r="N27" s="3" t="s">
        <v>175</v>
      </c>
      <c r="O27" s="11" t="s">
        <v>4</v>
      </c>
      <c r="P27" s="11" t="s">
        <v>910</v>
      </c>
      <c r="Q27" s="39" t="s">
        <v>758</v>
      </c>
      <c r="R27" s="5" t="s">
        <v>477</v>
      </c>
      <c r="S27" s="8" t="s">
        <v>764</v>
      </c>
      <c r="T27" s="39" t="s">
        <v>186</v>
      </c>
      <c r="U27" s="76" t="s">
        <v>460</v>
      </c>
      <c r="V27" s="208">
        <v>21000</v>
      </c>
      <c r="W27" s="76"/>
      <c r="X27" s="141"/>
      <c r="Y27" s="141"/>
      <c r="Z27" s="168">
        <f t="shared" si="4"/>
        <v>5898.6</v>
      </c>
      <c r="AA27" s="146"/>
      <c r="AB27" s="146"/>
      <c r="AC27" s="146"/>
      <c r="AD27" s="146"/>
      <c r="AE27" s="146"/>
      <c r="AF27" s="146"/>
      <c r="AG27" s="146"/>
      <c r="AH27" s="146"/>
      <c r="AI27" s="146">
        <v>5898.6</v>
      </c>
      <c r="AJ27" s="146"/>
      <c r="AK27" s="146"/>
      <c r="AL27" s="146"/>
      <c r="AM27" s="256">
        <f t="shared" si="6"/>
        <v>0</v>
      </c>
      <c r="AN27" s="255"/>
      <c r="AO27" s="286"/>
      <c r="AP27" s="285"/>
      <c r="AQ27" s="255"/>
      <c r="AR27" s="255"/>
      <c r="AS27" s="255"/>
      <c r="AT27" s="132"/>
      <c r="AU27" s="190"/>
      <c r="AV27" s="166">
        <v>5898.6</v>
      </c>
      <c r="AW27" s="166">
        <v>5898.6</v>
      </c>
      <c r="AX27" s="166">
        <v>0</v>
      </c>
      <c r="AY27" s="166">
        <v>0</v>
      </c>
      <c r="AZ27" s="166">
        <v>5898.6</v>
      </c>
      <c r="BA27" s="166">
        <v>0</v>
      </c>
      <c r="BB27" s="208">
        <f t="shared" si="5"/>
        <v>0</v>
      </c>
      <c r="BC27" s="208"/>
      <c r="BD27" s="208"/>
      <c r="BE27" s="47"/>
    </row>
    <row r="28" spans="1:57" s="21" customFormat="1" ht="28.5" customHeight="1">
      <c r="A28" s="16"/>
      <c r="B28" s="2">
        <v>22</v>
      </c>
      <c r="C28" s="78" t="s">
        <v>793</v>
      </c>
      <c r="D28" s="79">
        <v>7885</v>
      </c>
      <c r="E28" s="79" t="s">
        <v>895</v>
      </c>
      <c r="F28" s="5" t="s">
        <v>1248</v>
      </c>
      <c r="G28" s="141" t="s">
        <v>1249</v>
      </c>
      <c r="H28" s="5" t="s">
        <v>1250</v>
      </c>
      <c r="I28" s="78" t="s">
        <v>996</v>
      </c>
      <c r="J28" s="3">
        <v>2021</v>
      </c>
      <c r="K28" s="5">
        <v>44288</v>
      </c>
      <c r="L28" s="40"/>
      <c r="M28" s="13">
        <f t="shared" ca="1" si="3"/>
        <v>-1470.3359971064783</v>
      </c>
      <c r="N28" s="3" t="s">
        <v>175</v>
      </c>
      <c r="O28" s="11" t="s">
        <v>4</v>
      </c>
      <c r="P28" s="11" t="s">
        <v>918</v>
      </c>
      <c r="Q28" s="39" t="s">
        <v>735</v>
      </c>
      <c r="R28" s="5" t="s">
        <v>477</v>
      </c>
      <c r="S28" s="8" t="s">
        <v>759</v>
      </c>
      <c r="T28" s="39" t="s">
        <v>315</v>
      </c>
      <c r="U28" s="76" t="s">
        <v>460</v>
      </c>
      <c r="V28" s="208">
        <v>15000</v>
      </c>
      <c r="W28" s="115"/>
      <c r="X28" s="281" t="s">
        <v>1398</v>
      </c>
      <c r="Y28" s="141"/>
      <c r="Z28" s="168">
        <f t="shared" si="4"/>
        <v>42455.95</v>
      </c>
      <c r="AA28" s="146"/>
      <c r="AB28" s="146"/>
      <c r="AC28" s="146"/>
      <c r="AD28" s="146"/>
      <c r="AE28" s="146"/>
      <c r="AF28" s="146">
        <v>3808.5699999999997</v>
      </c>
      <c r="AG28" s="146">
        <v>8753.58</v>
      </c>
      <c r="AH28" s="146">
        <v>4981.21</v>
      </c>
      <c r="AI28" s="146">
        <v>11994.22</v>
      </c>
      <c r="AJ28" s="146">
        <v>275.76</v>
      </c>
      <c r="AK28" s="146">
        <v>10223.83</v>
      </c>
      <c r="AL28" s="146">
        <v>2418.7800000000002</v>
      </c>
      <c r="AM28" s="256">
        <f t="shared" si="6"/>
        <v>0</v>
      </c>
      <c r="AN28" s="255"/>
      <c r="AO28" s="286"/>
      <c r="AP28" s="285"/>
      <c r="AQ28" s="255"/>
      <c r="AR28" s="255">
        <v>50.54</v>
      </c>
      <c r="AS28" s="255"/>
      <c r="AT28" s="132"/>
      <c r="AU28" s="190"/>
      <c r="AV28" s="166">
        <v>43278.97</v>
      </c>
      <c r="AW28" s="166">
        <v>42455.95</v>
      </c>
      <c r="AX28" s="166">
        <v>0</v>
      </c>
      <c r="AY28" s="166">
        <v>0</v>
      </c>
      <c r="AZ28" s="166">
        <v>42455.95</v>
      </c>
      <c r="BA28" s="166">
        <v>823.02</v>
      </c>
      <c r="BB28" s="208">
        <f t="shared" si="5"/>
        <v>823.02000000000407</v>
      </c>
      <c r="BC28" s="208"/>
      <c r="BD28" s="208"/>
      <c r="BE28" s="47"/>
    </row>
    <row r="29" spans="1:57" s="21" customFormat="1" ht="28.5" customHeight="1">
      <c r="A29" s="16"/>
      <c r="B29" s="2">
        <v>23</v>
      </c>
      <c r="C29" s="78" t="s">
        <v>794</v>
      </c>
      <c r="D29" s="79">
        <v>2730</v>
      </c>
      <c r="E29" s="79"/>
      <c r="F29" s="5" t="s">
        <v>1248</v>
      </c>
      <c r="G29" s="141" t="s">
        <v>1254</v>
      </c>
      <c r="H29" s="5" t="s">
        <v>1012</v>
      </c>
      <c r="I29" s="78" t="s">
        <v>997</v>
      </c>
      <c r="J29" s="3">
        <v>2021</v>
      </c>
      <c r="K29" s="5">
        <v>44404</v>
      </c>
      <c r="L29" s="40"/>
      <c r="M29" s="13">
        <f t="shared" ca="1" si="3"/>
        <v>-1353.3359971064783</v>
      </c>
      <c r="N29" s="3" t="s">
        <v>175</v>
      </c>
      <c r="O29" s="11" t="s">
        <v>221</v>
      </c>
      <c r="P29" s="11" t="s">
        <v>909</v>
      </c>
      <c r="Q29" s="39" t="s">
        <v>769</v>
      </c>
      <c r="R29" s="5" t="s">
        <v>471</v>
      </c>
      <c r="S29" s="8" t="s">
        <v>770</v>
      </c>
      <c r="T29" s="39" t="s">
        <v>186</v>
      </c>
      <c r="U29" s="76" t="s">
        <v>460</v>
      </c>
      <c r="V29" s="208">
        <v>49840</v>
      </c>
      <c r="W29" s="76"/>
      <c r="X29" s="141" t="s">
        <v>1396</v>
      </c>
      <c r="Y29" s="141"/>
      <c r="Z29" s="168">
        <f t="shared" si="4"/>
        <v>37228.1</v>
      </c>
      <c r="AA29" s="146"/>
      <c r="AB29" s="146"/>
      <c r="AC29" s="146"/>
      <c r="AD29" s="146"/>
      <c r="AE29" s="146"/>
      <c r="AF29" s="146"/>
      <c r="AG29" s="146">
        <v>1233.8700000000001</v>
      </c>
      <c r="AH29" s="146">
        <v>4869.26</v>
      </c>
      <c r="AI29" s="146">
        <v>5789.45</v>
      </c>
      <c r="AJ29" s="146">
        <v>2511.5500000000002</v>
      </c>
      <c r="AK29" s="146">
        <v>7733.5900000000011</v>
      </c>
      <c r="AL29" s="146">
        <v>15090.38</v>
      </c>
      <c r="AM29" s="256">
        <f t="shared" si="6"/>
        <v>1200</v>
      </c>
      <c r="AN29" s="255">
        <v>1278.72</v>
      </c>
      <c r="AO29" s="286"/>
      <c r="AP29" s="285"/>
      <c r="AQ29" s="255">
        <v>1200</v>
      </c>
      <c r="AR29" s="255"/>
      <c r="AS29" s="255"/>
      <c r="AT29" s="132"/>
      <c r="AU29" s="190" t="s">
        <v>1163</v>
      </c>
      <c r="AV29" s="166">
        <v>40117.760000000002</v>
      </c>
      <c r="AW29" s="166">
        <v>37228.1</v>
      </c>
      <c r="AX29" s="166">
        <v>1278.72</v>
      </c>
      <c r="AY29" s="166">
        <v>0</v>
      </c>
      <c r="AZ29" s="166">
        <v>38506.82</v>
      </c>
      <c r="BA29" s="166">
        <v>1610.94</v>
      </c>
      <c r="BB29" s="208">
        <f t="shared" si="5"/>
        <v>1689.6600000000035</v>
      </c>
      <c r="BC29" s="208"/>
      <c r="BD29" s="208"/>
      <c r="BE29" s="47"/>
    </row>
    <row r="30" spans="1:57" s="21" customFormat="1" ht="28.5" customHeight="1">
      <c r="A30" s="16"/>
      <c r="B30" s="2">
        <v>24</v>
      </c>
      <c r="C30" s="78" t="s">
        <v>968</v>
      </c>
      <c r="D30" s="79">
        <v>14309</v>
      </c>
      <c r="E30" s="79"/>
      <c r="F30" s="5" t="s">
        <v>597</v>
      </c>
      <c r="G30" s="8" t="s">
        <v>635</v>
      </c>
      <c r="H30" s="5" t="s">
        <v>1251</v>
      </c>
      <c r="I30" s="181" t="s">
        <v>809</v>
      </c>
      <c r="J30" s="3">
        <v>2021</v>
      </c>
      <c r="K30" s="5">
        <v>44377</v>
      </c>
      <c r="L30" s="40"/>
      <c r="M30" s="13">
        <f t="shared" ca="1" si="3"/>
        <v>-1380.3359971064783</v>
      </c>
      <c r="N30" s="3" t="s">
        <v>175</v>
      </c>
      <c r="O30" s="11" t="s">
        <v>919</v>
      </c>
      <c r="P30" s="11" t="s">
        <v>917</v>
      </c>
      <c r="Q30" s="39" t="s">
        <v>646</v>
      </c>
      <c r="R30" s="5" t="s">
        <v>471</v>
      </c>
      <c r="S30" s="8" t="s">
        <v>969</v>
      </c>
      <c r="T30" s="3" t="s">
        <v>184</v>
      </c>
      <c r="U30" s="76" t="s">
        <v>460</v>
      </c>
      <c r="V30" s="208">
        <v>5100</v>
      </c>
      <c r="W30" s="76"/>
      <c r="X30" s="141"/>
      <c r="Y30" s="76" t="s">
        <v>1196</v>
      </c>
      <c r="Z30" s="168">
        <f t="shared" si="4"/>
        <v>5225.4500000000007</v>
      </c>
      <c r="AA30" s="146"/>
      <c r="AB30" s="146"/>
      <c r="AC30" s="146"/>
      <c r="AD30" s="146"/>
      <c r="AE30" s="146"/>
      <c r="AF30" s="146"/>
      <c r="AG30" s="146"/>
      <c r="AH30" s="146">
        <v>3526.6900000000005</v>
      </c>
      <c r="AI30" s="146"/>
      <c r="AJ30" s="146">
        <v>866.05</v>
      </c>
      <c r="AK30" s="146"/>
      <c r="AL30" s="146">
        <v>832.71</v>
      </c>
      <c r="AM30" s="256">
        <f t="shared" si="6"/>
        <v>0</v>
      </c>
      <c r="AN30" s="255"/>
      <c r="AO30" s="286"/>
      <c r="AP30" s="285"/>
      <c r="AQ30" s="255"/>
      <c r="AR30" s="255">
        <v>-5225.45</v>
      </c>
      <c r="AS30" s="255"/>
      <c r="AT30" s="132"/>
      <c r="AU30" s="190"/>
      <c r="AV30" s="166">
        <v>5211.3999999999996</v>
      </c>
      <c r="AW30" s="166">
        <v>5225.45</v>
      </c>
      <c r="AX30" s="166">
        <v>0</v>
      </c>
      <c r="AY30" s="166">
        <v>0</v>
      </c>
      <c r="AZ30" s="166">
        <v>5225.45</v>
      </c>
      <c r="BA30" s="166">
        <v>-14.05</v>
      </c>
      <c r="BB30" s="208">
        <f t="shared" si="5"/>
        <v>-14.050000000001091</v>
      </c>
      <c r="BC30" s="208"/>
      <c r="BD30" s="208"/>
      <c r="BE30" s="47"/>
    </row>
    <row r="31" spans="1:57" s="21" customFormat="1" ht="28.5" customHeight="1">
      <c r="A31" s="16"/>
      <c r="B31" s="2">
        <v>25</v>
      </c>
      <c r="C31" s="78" t="s">
        <v>970</v>
      </c>
      <c r="D31" s="79">
        <v>10611</v>
      </c>
      <c r="E31" s="79"/>
      <c r="F31" s="5" t="s">
        <v>597</v>
      </c>
      <c r="G31" s="8" t="s">
        <v>1252</v>
      </c>
      <c r="H31" s="5" t="s">
        <v>1253</v>
      </c>
      <c r="I31" s="181" t="s">
        <v>809</v>
      </c>
      <c r="J31" s="3">
        <v>2021</v>
      </c>
      <c r="K31" s="5">
        <v>44382</v>
      </c>
      <c r="L31" s="40"/>
      <c r="M31" s="13">
        <f t="shared" ca="1" si="3"/>
        <v>-1375.3359971064783</v>
      </c>
      <c r="N31" s="3" t="s">
        <v>175</v>
      </c>
      <c r="O31" s="11" t="s">
        <v>919</v>
      </c>
      <c r="P31" s="11"/>
      <c r="Q31" s="39" t="s">
        <v>973</v>
      </c>
      <c r="R31" s="5" t="s">
        <v>477</v>
      </c>
      <c r="S31" s="8" t="s">
        <v>974</v>
      </c>
      <c r="T31" s="78" t="s">
        <v>185</v>
      </c>
      <c r="U31" s="76" t="s">
        <v>460</v>
      </c>
      <c r="V31" s="208">
        <v>30000</v>
      </c>
      <c r="W31" s="76"/>
      <c r="X31" s="112"/>
      <c r="Y31" s="76"/>
      <c r="Z31" s="168">
        <f t="shared" si="4"/>
        <v>24034.809999999998</v>
      </c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>
        <v>24034.809999999998</v>
      </c>
      <c r="AL31" s="146"/>
      <c r="AM31" s="256">
        <f t="shared" si="6"/>
        <v>0</v>
      </c>
      <c r="AN31" s="255"/>
      <c r="AO31" s="286"/>
      <c r="AP31" s="285"/>
      <c r="AQ31" s="255"/>
      <c r="AR31" s="255"/>
      <c r="AS31" s="255"/>
      <c r="AT31" s="132"/>
      <c r="AU31" s="190"/>
      <c r="AV31" s="166">
        <v>24034.81</v>
      </c>
      <c r="AW31" s="166">
        <v>24034.81</v>
      </c>
      <c r="AX31" s="166">
        <v>0</v>
      </c>
      <c r="AY31" s="166">
        <v>0</v>
      </c>
      <c r="AZ31" s="166">
        <v>24034.81</v>
      </c>
      <c r="BA31" s="166">
        <v>0</v>
      </c>
      <c r="BB31" s="208">
        <f t="shared" si="5"/>
        <v>0</v>
      </c>
      <c r="BC31" s="208"/>
      <c r="BD31" s="208"/>
      <c r="BE31" s="47"/>
    </row>
    <row r="32" spans="1:57" s="21" customFormat="1" ht="28.5" customHeight="1">
      <c r="A32" s="16"/>
      <c r="B32" s="2">
        <v>26</v>
      </c>
      <c r="C32" s="78" t="s">
        <v>971</v>
      </c>
      <c r="D32" s="79">
        <v>3278</v>
      </c>
      <c r="E32" s="79"/>
      <c r="F32" s="5" t="s">
        <v>597</v>
      </c>
      <c r="G32" s="8" t="s">
        <v>1252</v>
      </c>
      <c r="H32" s="5" t="s">
        <v>1253</v>
      </c>
      <c r="I32" s="181" t="s">
        <v>809</v>
      </c>
      <c r="J32" s="3">
        <v>2021</v>
      </c>
      <c r="K32" s="5">
        <v>44382</v>
      </c>
      <c r="L32" s="40"/>
      <c r="M32" s="13">
        <f t="shared" ca="1" si="3"/>
        <v>-1375.3359971064783</v>
      </c>
      <c r="N32" s="3" t="s">
        <v>175</v>
      </c>
      <c r="O32" s="11" t="s">
        <v>221</v>
      </c>
      <c r="P32" s="11" t="s">
        <v>916</v>
      </c>
      <c r="Q32" s="39" t="s">
        <v>976</v>
      </c>
      <c r="R32" s="5" t="s">
        <v>471</v>
      </c>
      <c r="S32" s="8" t="s">
        <v>975</v>
      </c>
      <c r="T32" s="79" t="s">
        <v>315</v>
      </c>
      <c r="U32" s="76" t="s">
        <v>460</v>
      </c>
      <c r="V32" s="208">
        <v>21830</v>
      </c>
      <c r="W32" s="76"/>
      <c r="X32" s="141" t="s">
        <v>1395</v>
      </c>
      <c r="Y32" s="141"/>
      <c r="Z32" s="168">
        <f t="shared" si="4"/>
        <v>15337.99</v>
      </c>
      <c r="AA32" s="146"/>
      <c r="AB32" s="146"/>
      <c r="AC32" s="146"/>
      <c r="AD32" s="146"/>
      <c r="AE32" s="146"/>
      <c r="AF32" s="146"/>
      <c r="AG32" s="146"/>
      <c r="AH32" s="146"/>
      <c r="AI32" s="146"/>
      <c r="AJ32" s="146">
        <v>2392.6799999999998</v>
      </c>
      <c r="AK32" s="146"/>
      <c r="AL32" s="146">
        <v>12945.31</v>
      </c>
      <c r="AM32" s="256">
        <f t="shared" si="6"/>
        <v>4.2919600000000004</v>
      </c>
      <c r="AN32" s="255">
        <v>4817.38</v>
      </c>
      <c r="AO32" s="286">
        <v>4.2919600000000004</v>
      </c>
      <c r="AP32" s="285">
        <v>4.2919600000000004</v>
      </c>
      <c r="AQ32" s="255"/>
      <c r="AR32" s="255"/>
      <c r="AS32" s="255"/>
      <c r="AT32" s="132"/>
      <c r="AU32" s="229" t="s">
        <v>1188</v>
      </c>
      <c r="AV32" s="166">
        <v>19903.439999999999</v>
      </c>
      <c r="AW32" s="166">
        <v>19629.95</v>
      </c>
      <c r="AX32" s="166">
        <v>0</v>
      </c>
      <c r="AY32" s="166">
        <v>0</v>
      </c>
      <c r="AZ32" s="166">
        <v>19629.95</v>
      </c>
      <c r="BA32" s="166">
        <v>273.49</v>
      </c>
      <c r="BB32" s="208">
        <f t="shared" si="5"/>
        <v>4561.1580399999984</v>
      </c>
      <c r="BC32" s="208"/>
      <c r="BD32" s="208"/>
      <c r="BE32" s="47"/>
    </row>
    <row r="33" spans="1:57" s="21" customFormat="1" ht="28.5" customHeight="1">
      <c r="A33" s="16"/>
      <c r="B33" s="2">
        <v>27</v>
      </c>
      <c r="C33" s="78" t="s">
        <v>972</v>
      </c>
      <c r="D33" s="79">
        <v>14440</v>
      </c>
      <c r="E33" s="79"/>
      <c r="F33" s="5" t="s">
        <v>597</v>
      </c>
      <c r="G33" s="141" t="s">
        <v>1252</v>
      </c>
      <c r="H33" s="5" t="s">
        <v>1253</v>
      </c>
      <c r="I33" s="181" t="s">
        <v>809</v>
      </c>
      <c r="J33" s="3">
        <v>2021</v>
      </c>
      <c r="K33" s="5">
        <v>44382</v>
      </c>
      <c r="L33" s="40"/>
      <c r="M33" s="13">
        <f t="shared" ca="1" si="3"/>
        <v>-1375.3359971064783</v>
      </c>
      <c r="N33" s="3" t="s">
        <v>175</v>
      </c>
      <c r="O33" s="11" t="s">
        <v>4</v>
      </c>
      <c r="P33" s="11"/>
      <c r="Q33" s="39" t="s">
        <v>726</v>
      </c>
      <c r="R33" s="5" t="s">
        <v>477</v>
      </c>
      <c r="S33" s="8" t="s">
        <v>977</v>
      </c>
      <c r="T33" s="79" t="s">
        <v>185</v>
      </c>
      <c r="U33" s="76" t="s">
        <v>460</v>
      </c>
      <c r="V33" s="208">
        <v>15200</v>
      </c>
      <c r="W33" s="76"/>
      <c r="X33" s="141"/>
      <c r="Y33" s="141"/>
      <c r="Z33" s="168">
        <f t="shared" si="4"/>
        <v>14568.22</v>
      </c>
      <c r="AA33" s="146"/>
      <c r="AB33" s="146"/>
      <c r="AC33" s="146"/>
      <c r="AD33" s="146"/>
      <c r="AE33" s="146"/>
      <c r="AF33" s="146"/>
      <c r="AG33" s="146"/>
      <c r="AH33" s="146"/>
      <c r="AI33" s="146">
        <v>12462.56</v>
      </c>
      <c r="AJ33" s="146"/>
      <c r="AK33" s="146"/>
      <c r="AL33" s="146">
        <v>2105.66</v>
      </c>
      <c r="AM33" s="256">
        <f t="shared" si="6"/>
        <v>0</v>
      </c>
      <c r="AN33" s="255"/>
      <c r="AO33" s="286"/>
      <c r="AP33" s="285"/>
      <c r="AQ33" s="255"/>
      <c r="AR33" s="255"/>
      <c r="AS33" s="255"/>
      <c r="AT33" s="132"/>
      <c r="AU33" s="190"/>
      <c r="AV33" s="166">
        <v>14730.87</v>
      </c>
      <c r="AW33" s="166">
        <v>14568.22</v>
      </c>
      <c r="AX33" s="166">
        <v>0</v>
      </c>
      <c r="AY33" s="166">
        <v>0</v>
      </c>
      <c r="AZ33" s="166">
        <v>14568.22</v>
      </c>
      <c r="BA33" s="166">
        <v>162.65</v>
      </c>
      <c r="BB33" s="208">
        <f t="shared" si="5"/>
        <v>162.65000000000146</v>
      </c>
      <c r="BC33" s="208"/>
      <c r="BD33" s="208"/>
      <c r="BE33" s="47"/>
    </row>
    <row r="34" spans="1:57" s="21" customFormat="1" ht="28.5" customHeight="1">
      <c r="A34" s="16"/>
      <c r="B34" s="2">
        <v>28</v>
      </c>
      <c r="C34" s="78" t="s">
        <v>1004</v>
      </c>
      <c r="D34" s="79">
        <v>18460</v>
      </c>
      <c r="E34" s="79"/>
      <c r="F34" s="5" t="s">
        <v>1248</v>
      </c>
      <c r="G34" s="141" t="s">
        <v>1249</v>
      </c>
      <c r="H34" s="5" t="s">
        <v>1250</v>
      </c>
      <c r="I34" s="181"/>
      <c r="J34" s="3">
        <v>2021</v>
      </c>
      <c r="K34" s="5">
        <v>44473</v>
      </c>
      <c r="L34" s="40"/>
      <c r="M34" s="13">
        <f t="shared" ca="1" si="3"/>
        <v>-1284.3359971064783</v>
      </c>
      <c r="N34" s="3" t="s">
        <v>175</v>
      </c>
      <c r="O34" s="11" t="s">
        <v>221</v>
      </c>
      <c r="P34" s="11" t="s">
        <v>909</v>
      </c>
      <c r="Q34" s="39" t="s">
        <v>1012</v>
      </c>
      <c r="R34" s="5" t="s">
        <v>471</v>
      </c>
      <c r="S34" s="8" t="s">
        <v>1013</v>
      </c>
      <c r="T34" s="3" t="s">
        <v>186</v>
      </c>
      <c r="U34" s="76" t="s">
        <v>460</v>
      </c>
      <c r="V34" s="208"/>
      <c r="W34" s="76"/>
      <c r="X34" s="141" t="s">
        <v>1397</v>
      </c>
      <c r="Y34" s="141"/>
      <c r="Z34" s="168">
        <f t="shared" si="4"/>
        <v>25099.81</v>
      </c>
      <c r="AA34" s="146"/>
      <c r="AB34" s="146"/>
      <c r="AC34" s="146"/>
      <c r="AD34" s="146"/>
      <c r="AE34" s="146"/>
      <c r="AF34" s="146"/>
      <c r="AG34" s="146"/>
      <c r="AH34" s="146"/>
      <c r="AI34" s="146"/>
      <c r="AJ34" s="146"/>
      <c r="AK34" s="146"/>
      <c r="AL34" s="146">
        <v>25099.81</v>
      </c>
      <c r="AM34" s="256">
        <f t="shared" si="6"/>
        <v>406.05567000000002</v>
      </c>
      <c r="AN34" s="255">
        <f>847+7300</f>
        <v>8147</v>
      </c>
      <c r="AO34" s="286">
        <v>6.0556699999999992</v>
      </c>
      <c r="AP34" s="285">
        <v>6.0556699999999992</v>
      </c>
      <c r="AQ34" s="255">
        <v>400</v>
      </c>
      <c r="AR34" s="255"/>
      <c r="AS34" s="255"/>
      <c r="AT34" s="132"/>
      <c r="AU34" s="190" t="s">
        <v>1160</v>
      </c>
      <c r="AV34" s="166">
        <v>29198.58</v>
      </c>
      <c r="AW34" s="166">
        <v>31461.61</v>
      </c>
      <c r="AX34" s="166">
        <v>160.19</v>
      </c>
      <c r="AY34" s="166">
        <v>0</v>
      </c>
      <c r="AZ34" s="166">
        <v>31621.8</v>
      </c>
      <c r="BA34" s="166">
        <v>-2423.2199999999998</v>
      </c>
      <c r="BB34" s="208">
        <f t="shared" si="5"/>
        <v>3692.7143299999989</v>
      </c>
      <c r="BC34" s="208"/>
      <c r="BD34" s="208"/>
      <c r="BE34" s="47"/>
    </row>
    <row r="35" spans="1:57" s="21" customFormat="1" ht="28.5" customHeight="1">
      <c r="A35" s="16"/>
      <c r="B35" s="2">
        <v>29</v>
      </c>
      <c r="C35" s="78" t="s">
        <v>1005</v>
      </c>
      <c r="D35" s="79"/>
      <c r="E35" s="79"/>
      <c r="F35" s="5" t="s">
        <v>1248</v>
      </c>
      <c r="G35" s="8" t="s">
        <v>1255</v>
      </c>
      <c r="H35" s="5" t="s">
        <v>1256</v>
      </c>
      <c r="I35" s="181"/>
      <c r="J35" s="3">
        <v>2021</v>
      </c>
      <c r="K35" s="5">
        <v>44413</v>
      </c>
      <c r="L35" s="40"/>
      <c r="M35" s="13">
        <f t="shared" ca="1" si="3"/>
        <v>-1344.3359971064783</v>
      </c>
      <c r="N35" s="3" t="s">
        <v>175</v>
      </c>
      <c r="O35" s="11" t="s">
        <v>4</v>
      </c>
      <c r="P35" s="11" t="s">
        <v>905</v>
      </c>
      <c r="Q35" s="39"/>
      <c r="R35" s="5" t="s">
        <v>471</v>
      </c>
      <c r="S35" s="8" t="s">
        <v>1006</v>
      </c>
      <c r="T35" s="39" t="s">
        <v>182</v>
      </c>
      <c r="U35" s="76" t="s">
        <v>218</v>
      </c>
      <c r="V35" s="208"/>
      <c r="W35" s="115"/>
      <c r="X35" s="142" t="s">
        <v>1399</v>
      </c>
      <c r="Y35" s="141"/>
      <c r="Z35" s="168">
        <f t="shared" si="4"/>
        <v>18797.439999999999</v>
      </c>
      <c r="AA35" s="146"/>
      <c r="AB35" s="146"/>
      <c r="AC35" s="146"/>
      <c r="AD35" s="146"/>
      <c r="AE35" s="146"/>
      <c r="AF35" s="146"/>
      <c r="AG35" s="146"/>
      <c r="AH35" s="146"/>
      <c r="AI35" s="146"/>
      <c r="AJ35" s="146"/>
      <c r="AK35" s="146"/>
      <c r="AL35" s="146">
        <v>18797.439999999999</v>
      </c>
      <c r="AM35" s="256">
        <f t="shared" si="6"/>
        <v>20515.185300000001</v>
      </c>
      <c r="AN35" s="255">
        <v>20580</v>
      </c>
      <c r="AO35" s="286">
        <v>-5.3846999999999996</v>
      </c>
      <c r="AP35" s="285">
        <v>-5.3846999999999996</v>
      </c>
      <c r="AQ35" s="255">
        <v>20520.57</v>
      </c>
      <c r="AR35" s="255">
        <v>-537.41</v>
      </c>
      <c r="AS35" s="255">
        <v>488.48</v>
      </c>
      <c r="AT35" s="132"/>
      <c r="AU35" s="190" t="s">
        <v>1189</v>
      </c>
      <c r="AV35" s="166">
        <v>39400.550000000003</v>
      </c>
      <c r="AW35" s="166">
        <v>13412.74</v>
      </c>
      <c r="AX35" s="166">
        <v>20110.5</v>
      </c>
      <c r="AY35" s="166">
        <v>0</v>
      </c>
      <c r="AZ35" s="166">
        <v>33523.24</v>
      </c>
      <c r="BA35" s="166">
        <v>5877.31</v>
      </c>
      <c r="BB35" s="208">
        <f t="shared" si="5"/>
        <v>87.924700000003213</v>
      </c>
      <c r="BC35" s="208"/>
      <c r="BD35" s="208"/>
      <c r="BE35" s="47"/>
    </row>
    <row r="36" spans="1:57" s="21" customFormat="1" ht="28.5" customHeight="1">
      <c r="A36" s="16"/>
      <c r="B36" s="2">
        <v>30</v>
      </c>
      <c r="C36" s="78" t="s">
        <v>1193</v>
      </c>
      <c r="D36" s="79">
        <v>16080</v>
      </c>
      <c r="E36" s="79"/>
      <c r="F36" s="5" t="s">
        <v>597</v>
      </c>
      <c r="G36" s="8" t="s">
        <v>1257</v>
      </c>
      <c r="H36" s="5" t="s">
        <v>1258</v>
      </c>
      <c r="I36" s="181"/>
      <c r="J36" s="3">
        <v>2021</v>
      </c>
      <c r="K36" s="5">
        <v>44490</v>
      </c>
      <c r="L36" s="40"/>
      <c r="M36" s="13">
        <f t="shared" ca="1" si="3"/>
        <v>-1267.3359971064783</v>
      </c>
      <c r="N36" s="3" t="s">
        <v>175</v>
      </c>
      <c r="O36" s="11" t="s">
        <v>4</v>
      </c>
      <c r="P36" s="11" t="s">
        <v>905</v>
      </c>
      <c r="Q36" s="39" t="s">
        <v>735</v>
      </c>
      <c r="R36" s="5" t="s">
        <v>477</v>
      </c>
      <c r="S36" s="8" t="s">
        <v>1192</v>
      </c>
      <c r="T36" s="3" t="s">
        <v>186</v>
      </c>
      <c r="U36" s="76" t="s">
        <v>553</v>
      </c>
      <c r="V36" s="208"/>
      <c r="W36" s="115"/>
      <c r="X36" s="187"/>
      <c r="Y36" s="141"/>
      <c r="Z36" s="168">
        <f t="shared" si="4"/>
        <v>-11.730000000000018</v>
      </c>
      <c r="AA36" s="146"/>
      <c r="AB36" s="146"/>
      <c r="AC36" s="146"/>
      <c r="AD36" s="146"/>
      <c r="AE36" s="146"/>
      <c r="AF36" s="146"/>
      <c r="AG36" s="146"/>
      <c r="AH36" s="146"/>
      <c r="AI36" s="146"/>
      <c r="AJ36" s="146"/>
      <c r="AK36" s="146">
        <v>2237.4699999999998</v>
      </c>
      <c r="AL36" s="146">
        <v>-2249.1999999999998</v>
      </c>
      <c r="AM36" s="256">
        <f t="shared" si="6"/>
        <v>1.1730000000000001E-2</v>
      </c>
      <c r="AN36" s="255"/>
      <c r="AO36" s="286">
        <v>1.1730000000000001E-2</v>
      </c>
      <c r="AP36" s="285">
        <v>1.1730000000000001E-2</v>
      </c>
      <c r="AQ36" s="255"/>
      <c r="AR36" s="255"/>
      <c r="AS36" s="255"/>
      <c r="AT36" s="132"/>
      <c r="AU36" s="190"/>
      <c r="AV36" s="166">
        <v>2237.4699999999998</v>
      </c>
      <c r="AW36" s="166">
        <v>0</v>
      </c>
      <c r="AX36" s="166">
        <v>0</v>
      </c>
      <c r="AY36" s="166">
        <v>0</v>
      </c>
      <c r="AZ36" s="166">
        <v>0</v>
      </c>
      <c r="BA36" s="166">
        <v>2237.4699999999998</v>
      </c>
      <c r="BB36" s="208">
        <f t="shared" si="5"/>
        <v>2249.1882699999996</v>
      </c>
      <c r="BC36" s="208"/>
      <c r="BD36" s="208"/>
      <c r="BE36" s="47"/>
    </row>
    <row r="37" spans="1:57" s="21" customFormat="1" ht="28.5" customHeight="1">
      <c r="A37" s="16"/>
      <c r="B37" s="2">
        <v>31</v>
      </c>
      <c r="C37" s="78" t="s">
        <v>1212</v>
      </c>
      <c r="D37" s="79">
        <v>25855</v>
      </c>
      <c r="E37" s="79"/>
      <c r="F37" s="5" t="s">
        <v>1248</v>
      </c>
      <c r="G37" s="8" t="s">
        <v>1255</v>
      </c>
      <c r="H37" s="5" t="s">
        <v>480</v>
      </c>
      <c r="I37" s="181"/>
      <c r="J37" s="3">
        <v>2021</v>
      </c>
      <c r="K37" s="5">
        <v>44490</v>
      </c>
      <c r="L37" s="40"/>
      <c r="M37" s="13">
        <f t="shared" ca="1" si="3"/>
        <v>-1267.3359971064783</v>
      </c>
      <c r="N37" s="3" t="s">
        <v>175</v>
      </c>
      <c r="O37" s="11" t="s">
        <v>4</v>
      </c>
      <c r="P37" s="11" t="s">
        <v>905</v>
      </c>
      <c r="Q37" s="39" t="s">
        <v>735</v>
      </c>
      <c r="R37" s="5" t="s">
        <v>477</v>
      </c>
      <c r="S37" s="8" t="s">
        <v>1213</v>
      </c>
      <c r="T37" s="3" t="s">
        <v>186</v>
      </c>
      <c r="U37" s="76" t="s">
        <v>460</v>
      </c>
      <c r="V37" s="208"/>
      <c r="W37" s="115"/>
      <c r="X37" s="187"/>
      <c r="Y37" s="141"/>
      <c r="Z37" s="168">
        <f t="shared" si="4"/>
        <v>26688.18</v>
      </c>
      <c r="AA37" s="146"/>
      <c r="AB37" s="146"/>
      <c r="AC37" s="146"/>
      <c r="AD37" s="146"/>
      <c r="AE37" s="146"/>
      <c r="AF37" s="146"/>
      <c r="AG37" s="146"/>
      <c r="AH37" s="146"/>
      <c r="AI37" s="146"/>
      <c r="AJ37" s="146"/>
      <c r="AK37" s="146">
        <v>11327.31</v>
      </c>
      <c r="AL37" s="146">
        <v>15360.87</v>
      </c>
      <c r="AM37" s="256">
        <f t="shared" si="6"/>
        <v>0</v>
      </c>
      <c r="AN37" s="255"/>
      <c r="AO37" s="286"/>
      <c r="AP37" s="285"/>
      <c r="AQ37" s="255"/>
      <c r="AR37" s="255"/>
      <c r="AS37" s="255"/>
      <c r="AT37" s="132"/>
      <c r="AU37" s="190"/>
      <c r="AV37" s="166">
        <v>30204.57</v>
      </c>
      <c r="AW37" s="166">
        <v>26688.18</v>
      </c>
      <c r="AX37" s="166">
        <v>0</v>
      </c>
      <c r="AY37" s="166">
        <v>0</v>
      </c>
      <c r="AZ37" s="166">
        <v>26688.18</v>
      </c>
      <c r="BA37" s="166">
        <v>3516.39</v>
      </c>
      <c r="BB37" s="208">
        <f t="shared" si="5"/>
        <v>3516.3899999999994</v>
      </c>
      <c r="BC37" s="208"/>
      <c r="BD37" s="208"/>
      <c r="BE37" s="47"/>
    </row>
    <row r="38" spans="1:57" s="21" customFormat="1" ht="28.5" customHeight="1">
      <c r="A38" s="16"/>
      <c r="B38" s="2">
        <v>32</v>
      </c>
      <c r="C38" s="78" t="s">
        <v>1261</v>
      </c>
      <c r="D38" s="79">
        <v>705</v>
      </c>
      <c r="E38" s="79"/>
      <c r="F38" s="5" t="s">
        <v>1248</v>
      </c>
      <c r="G38" s="141" t="s">
        <v>1249</v>
      </c>
      <c r="H38" s="5" t="s">
        <v>1250</v>
      </c>
      <c r="I38" s="181"/>
      <c r="J38" s="3">
        <v>2021</v>
      </c>
      <c r="K38" s="5">
        <v>44539</v>
      </c>
      <c r="L38" s="40"/>
      <c r="M38" s="13">
        <f t="shared" ca="1" si="3"/>
        <v>-1220.3359971064783</v>
      </c>
      <c r="N38" s="3" t="s">
        <v>175</v>
      </c>
      <c r="O38" s="11" t="s">
        <v>223</v>
      </c>
      <c r="P38" s="11" t="s">
        <v>907</v>
      </c>
      <c r="Q38" s="39" t="s">
        <v>647</v>
      </c>
      <c r="R38" s="5" t="s">
        <v>1031</v>
      </c>
      <c r="S38" s="8" t="s">
        <v>1262</v>
      </c>
      <c r="T38" s="3" t="s">
        <v>186</v>
      </c>
      <c r="U38" s="76" t="s">
        <v>460</v>
      </c>
      <c r="V38" s="208"/>
      <c r="W38" s="115"/>
      <c r="X38" s="187"/>
      <c r="Y38" s="141"/>
      <c r="Z38" s="168">
        <f t="shared" si="4"/>
        <v>19614.099999999999</v>
      </c>
      <c r="AA38" s="146"/>
      <c r="AB38" s="146"/>
      <c r="AC38" s="146"/>
      <c r="AD38" s="146"/>
      <c r="AE38" s="146"/>
      <c r="AF38" s="146"/>
      <c r="AG38" s="146"/>
      <c r="AH38" s="146"/>
      <c r="AI38" s="146"/>
      <c r="AJ38" s="146"/>
      <c r="AK38" s="146"/>
      <c r="AL38" s="146">
        <v>19614.099999999999</v>
      </c>
      <c r="AM38" s="256">
        <f t="shared" si="6"/>
        <v>-0.41820999999999997</v>
      </c>
      <c r="AN38" s="255"/>
      <c r="AO38" s="286">
        <v>-0.41820999999999997</v>
      </c>
      <c r="AP38" s="285">
        <v>-0.41820999999999997</v>
      </c>
      <c r="AQ38" s="255"/>
      <c r="AR38" s="255">
        <v>1319.11</v>
      </c>
      <c r="AS38" s="255"/>
      <c r="AT38" s="132"/>
      <c r="AU38" s="190"/>
      <c r="AV38" s="166">
        <v>22522.39</v>
      </c>
      <c r="AW38" s="166">
        <v>18885.689999999999</v>
      </c>
      <c r="AX38" s="166">
        <v>0</v>
      </c>
      <c r="AY38" s="166">
        <v>0</v>
      </c>
      <c r="AZ38" s="166">
        <v>18885.689999999999</v>
      </c>
      <c r="BA38" s="166">
        <v>3636.7</v>
      </c>
      <c r="BB38" s="208">
        <f t="shared" si="5"/>
        <v>2908.7082100000007</v>
      </c>
      <c r="BC38" s="208"/>
      <c r="BD38" s="208"/>
      <c r="BE38" s="47"/>
    </row>
    <row r="39" spans="1:57" ht="8.9" customHeight="1"/>
  </sheetData>
  <autoFilter ref="A6:BD38" xr:uid="{CD74446D-A8F5-450A-AD8F-C28C300BF54D}"/>
  <mergeCells count="4">
    <mergeCell ref="AA4:AC4"/>
    <mergeCell ref="AD4:AF4"/>
    <mergeCell ref="AG4:AI4"/>
    <mergeCell ref="AJ4:AL4"/>
  </mergeCells>
  <phoneticPr fontId="26" type="noConversion"/>
  <conditionalFormatting sqref="M7:M38">
    <cfRule type="cellIs" dxfId="206" priority="121" operator="greaterThan">
      <formula>365</formula>
    </cfRule>
    <cfRule type="cellIs" dxfId="205" priority="122" operator="lessThan">
      <formula>-1</formula>
    </cfRule>
    <cfRule type="cellIs" dxfId="204" priority="123" operator="between">
      <formula>1</formula>
      <formula>365</formula>
    </cfRule>
  </conditionalFormatting>
  <conditionalFormatting sqref="U7:U38">
    <cfRule type="cellIs" dxfId="203" priority="1" operator="equal">
      <formula>"ENCERRADO"</formula>
    </cfRule>
    <cfRule type="cellIs" dxfId="202" priority="2" operator="equal">
      <formula>"EM EXECUÇÃO"</formula>
    </cfRule>
    <cfRule type="cellIs" dxfId="201" priority="3" operator="equal">
      <formula>"CANCELADO"</formula>
    </cfRule>
    <cfRule type="cellIs" dxfId="200" priority="4" operator="equal">
      <formula>"EM APROVAÇÃO"</formula>
    </cfRule>
    <cfRule type="cellIs" dxfId="199" priority="5" operator="equal">
      <formula>"EM ESTUDO"</formula>
    </cfRule>
    <cfRule type="cellIs" dxfId="198" priority="8" operator="equal">
      <formula>"CLSD"</formula>
    </cfRule>
    <cfRule type="cellIs" dxfId="197" priority="9" operator="equal">
      <formula>"TECO"</formula>
    </cfRule>
  </conditionalFormatting>
  <conditionalFormatting sqref="W7:W38">
    <cfRule type="cellIs" dxfId="196" priority="54" operator="equal">
      <formula>"ENCERRADO"</formula>
    </cfRule>
    <cfRule type="cellIs" dxfId="195" priority="55" operator="equal">
      <formula>"EM EXECUÇÃO"</formula>
    </cfRule>
    <cfRule type="cellIs" dxfId="194" priority="56" operator="equal">
      <formula>"CANCELADO"</formula>
    </cfRule>
    <cfRule type="cellIs" dxfId="193" priority="57" operator="equal">
      <formula>"EM APROVAÇÃO"</formula>
    </cfRule>
    <cfRule type="cellIs" dxfId="192" priority="58" operator="equal">
      <formula>"EM ESTUDO"</formula>
    </cfRule>
    <cfRule type="cellIs" dxfId="191" priority="61" operator="equal">
      <formula>"CLSD"</formula>
    </cfRule>
    <cfRule type="cellIs" dxfId="190" priority="62" operator="equal">
      <formula>"TECO"</formula>
    </cfRule>
  </conditionalFormatting>
  <conditionalFormatting sqref="X8:X38">
    <cfRule type="cellIs" dxfId="189" priority="37" operator="equal">
      <formula>"Behind Schedule"</formula>
    </cfRule>
    <cfRule type="cellIs" dxfId="188" priority="38" operator="equal">
      <formula>"TBD"</formula>
    </cfRule>
    <cfRule type="cellIs" dxfId="187" priority="39" operator="equal">
      <formula>"In Progress"</formula>
    </cfRule>
    <cfRule type="cellIs" dxfId="186" priority="40" operator="equal">
      <formula>"Completed"</formula>
    </cfRule>
  </conditionalFormatting>
  <conditionalFormatting sqref="X7:Y7">
    <cfRule type="cellIs" dxfId="185" priority="570" operator="equal">
      <formula>"Behind Schedule"</formula>
    </cfRule>
    <cfRule type="cellIs" dxfId="184" priority="571" operator="equal">
      <formula>"TBD"</formula>
    </cfRule>
    <cfRule type="cellIs" dxfId="183" priority="572" operator="equal">
      <formula>"In Progress"</formula>
    </cfRule>
    <cfRule type="cellIs" dxfId="182" priority="573" operator="equal">
      <formula>"Completed"</formula>
    </cfRule>
  </conditionalFormatting>
  <conditionalFormatting sqref="Y8:Y11 Y13:Y25 Y27:Y29">
    <cfRule type="cellIs" dxfId="181" priority="124" operator="equal">
      <formula>"Behind Schedule"</formula>
    </cfRule>
    <cfRule type="cellIs" dxfId="180" priority="125" operator="equal">
      <formula>"TBD"</formula>
    </cfRule>
    <cfRule type="cellIs" dxfId="179" priority="126" operator="equal">
      <formula>"In Progress"</formula>
    </cfRule>
    <cfRule type="cellIs" dxfId="178" priority="127" operator="equal">
      <formula>"Completed"</formula>
    </cfRule>
  </conditionalFormatting>
  <conditionalFormatting sqref="Y32:Y38">
    <cfRule type="cellIs" dxfId="177" priority="41" operator="equal">
      <formula>"Behind Schedule"</formula>
    </cfRule>
    <cfRule type="cellIs" dxfId="176" priority="42" operator="equal">
      <formula>"TBD"</formula>
    </cfRule>
    <cfRule type="cellIs" dxfId="175" priority="43" operator="equal">
      <formula>"In Progress"</formula>
    </cfRule>
    <cfRule type="cellIs" dxfId="174" priority="44" operator="equal">
      <formula>"Completed"</formula>
    </cfRule>
  </conditionalFormatting>
  <dataValidations count="2">
    <dataValidation type="list" allowBlank="1" showInputMessage="1" showErrorMessage="1" sqref="U7:U38" xr:uid="{E2060E46-6B7D-4739-B234-7E47D48B9B6D}">
      <formula1>"EM ESTUDO, EM APROVAÇÃO, CANCELADO, EM EXECUÇÃO, ENCERRADO"</formula1>
    </dataValidation>
    <dataValidation type="list" allowBlank="1" showInputMessage="1" showErrorMessage="1" sqref="O7:O38" xr:uid="{0547E6D0-A13B-4DC1-BE39-1B5C258A1B62}">
      <formula1>"A,B1,B2,UTIL,FACIL,STAFF,"</formula1>
    </dataValidation>
  </dataValidations>
  <printOptions horizontalCentered="1" verticalCentered="1"/>
  <pageMargins left="0.25" right="0.25" top="0.75" bottom="0.75" header="0.3" footer="0.3"/>
  <pageSetup paperSize="256" scale="95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64" stopIfTrue="1" operator="containsText" id="{B3CB88BC-618B-4580-B69C-4844A9AB95BE}">
            <xm:f>NOT(ISERROR(SEARCH(#REF!,C2)))</xm:f>
            <xm:f>#REF!</xm:f>
            <x14:dxf>
              <font>
                <b/>
                <i val="0"/>
              </font>
              <fill>
                <patternFill>
                  <bgColor theme="0" tint="-0.24994659260841701"/>
                </patternFill>
              </fill>
            </x14:dxf>
          </x14:cfRule>
          <x14:cfRule type="containsText" priority="265" stopIfTrue="1" operator="containsText" id="{F0522B1C-0049-4396-9701-05179718E0A0}">
            <xm:f>NOT(ISERROR(SEARCH(#REF!,C2)))</xm:f>
            <xm:f>#REF!</xm:f>
            <x14:dxf>
              <font>
                <b/>
                <i val="0"/>
                <color theme="0"/>
              </font>
              <fill>
                <patternFill>
                  <bgColor theme="1" tint="0.24994659260841701"/>
                </patternFill>
              </fill>
            </x14:dxf>
          </x14:cfRule>
          <x14:cfRule type="containsText" priority="266" stopIfTrue="1" operator="containsText" id="{D57BF65A-B37B-4CBA-9B1F-936BD88A541A}">
            <xm:f>NOT(ISERROR(SEARCH(#REF!,C2)))</xm:f>
            <xm:f>#REF!</xm:f>
            <x14:dxf>
              <font>
                <b/>
                <i val="0"/>
              </font>
              <fill>
                <patternFill>
                  <bgColor theme="2" tint="-0.499984740745262"/>
                </patternFill>
              </fill>
            </x14:dxf>
          </x14:cfRule>
          <x14:cfRule type="containsText" priority="267" operator="containsText" id="{859725C2-9A8E-44CD-8513-F5E7D96C1133}">
            <xm:f>NOT(ISERROR(SEARCH(#REF!,C2)))</xm:f>
            <xm:f>#REF!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14:cfRule type="containsText" priority="268" operator="containsText" id="{70FC0ECE-F315-42D0-8B37-9EF0A8416CCA}">
            <xm:f>NOT(ISERROR(SEARCH(#REF!,C2)))</xm:f>
            <xm:f>#REF!</xm:f>
            <x14:dxf>
              <font>
                <b/>
                <i val="0"/>
              </font>
              <fill>
                <patternFill>
                  <bgColor theme="5" tint="0.39994506668294322"/>
                </patternFill>
              </fill>
            </x14:dxf>
          </x14:cfRule>
          <x14:cfRule type="containsText" priority="269" operator="containsText" id="{5BAAA468-0E70-4891-8855-7A4EC30C7477}">
            <xm:f>NOT(ISERROR(SEARCH(#REF!,C2)))</xm:f>
            <xm:f>#REF!</xm:f>
            <x14:dxf>
              <font>
                <b/>
                <i val="0"/>
              </font>
              <fill>
                <patternFill>
                  <bgColor theme="6" tint="0.39994506668294322"/>
                </patternFill>
              </fill>
            </x14:dxf>
          </x14:cfRule>
          <x14:cfRule type="containsText" priority="270" operator="containsText" id="{14F6D46D-F4CF-4B9C-BE51-D433F84650A8}">
            <xm:f>NOT(ISERROR(SEARCH(#REF!,C2)))</xm:f>
            <xm:f>#REF!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271" operator="containsText" id="{1B55A65C-DE5F-4076-83C8-6E82DFEA9D1C}">
            <xm:f>NOT(ISERROR(SEARCH(#REF!,C2)))</xm:f>
            <xm:f>#REF!</xm:f>
            <x14:dxf>
              <font>
                <b/>
                <i val="0"/>
              </font>
              <fill>
                <patternFill>
                  <bgColor theme="8" tint="0.39994506668294322"/>
                </patternFill>
              </fill>
            </x14:dxf>
          </x14:cfRule>
          <x14:cfRule type="containsText" priority="272" operator="containsText" id="{8C7AD2F9-10BD-4361-83C5-A5F52E3F422E}">
            <xm:f>NOT(ISERROR(SEARCH(#REF!,C2)))</xm:f>
            <xm:f>#REF!</xm:f>
            <x14:dxf>
              <font>
                <b/>
                <i val="0"/>
              </font>
              <fill>
                <patternFill>
                  <bgColor theme="9" tint="0.39994506668294322"/>
                </patternFill>
              </fill>
            </x14:dxf>
          </x14:cfRule>
          <xm:sqref>C2 C4:C5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9FC5A0E-9D2C-4C6D-AEEC-6DDCFF07B5BD}">
          <x14:formula1>
            <xm:f>#REF!</xm:f>
          </x14:formula1>
          <xm:sqref>P7:P38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E66F2-7951-4433-A646-5DFD2D41681E}">
  <sheetPr codeName="Planilha2">
    <tabColor rgb="FF00B050"/>
    <outlinePr summaryBelow="0"/>
    <pageSetUpPr fitToPage="1"/>
  </sheetPr>
  <dimension ref="A1:EK409"/>
  <sheetViews>
    <sheetView showGridLines="0" tabSelected="1" zoomScale="70" zoomScaleNormal="70" zoomScaleSheetLayoutView="50" workbookViewId="0">
      <pane xSplit="6" ySplit="4" topLeftCell="G5" activePane="bottomRight" state="frozen"/>
      <selection pane="topRight" activeCell="AZ1" sqref="AZ1"/>
      <selection pane="bottomLeft" activeCell="A5" sqref="A5"/>
      <selection pane="bottomRight" activeCell="J6" sqref="J6"/>
    </sheetView>
  </sheetViews>
  <sheetFormatPr defaultColWidth="9.453125" defaultRowHeight="13"/>
  <cols>
    <col min="1" max="1" width="13" style="29" customWidth="1"/>
    <col min="2" max="2" width="49" style="29" customWidth="1"/>
    <col min="3" max="3" width="12.26953125" style="29" hidden="1" customWidth="1"/>
    <col min="4" max="5" width="13.7265625" style="29" hidden="1" customWidth="1"/>
    <col min="6" max="6" width="14.1796875" style="29" hidden="1" customWidth="1"/>
    <col min="7" max="16384" width="9.453125" style="29"/>
  </cols>
  <sheetData>
    <row r="1" spans="1:6" s="15" customFormat="1" ht="30.65" customHeight="1">
      <c r="A1" s="55"/>
      <c r="B1" s="289"/>
    </row>
    <row r="2" spans="1:6" s="21" customFormat="1" ht="28.5" customHeight="1">
      <c r="A2" s="304"/>
      <c r="B2" s="298"/>
      <c r="C2" s="295"/>
      <c r="D2" s="25"/>
      <c r="E2" s="25"/>
      <c r="F2" s="290"/>
    </row>
    <row r="3" spans="1:6" s="21" customFormat="1" ht="32.5" customHeight="1" thickBot="1">
      <c r="A3" s="34"/>
      <c r="B3" s="317"/>
      <c r="C3" s="25"/>
      <c r="D3" s="25"/>
      <c r="E3" s="25"/>
      <c r="F3" s="26"/>
    </row>
    <row r="4" spans="1:6" s="28" customFormat="1" ht="71.150000000000006" customHeight="1" thickBot="1">
      <c r="A4" s="300" t="s">
        <v>1749</v>
      </c>
      <c r="B4" s="300" t="s">
        <v>1488</v>
      </c>
      <c r="C4" s="300" t="s">
        <v>189</v>
      </c>
      <c r="D4" s="300" t="s">
        <v>1800</v>
      </c>
      <c r="E4" s="300" t="s">
        <v>1801</v>
      </c>
      <c r="F4" s="300" t="s">
        <v>1802</v>
      </c>
    </row>
    <row r="5" spans="1:6" s="21" customFormat="1" ht="24" customHeight="1">
      <c r="A5" s="292" t="s">
        <v>1525</v>
      </c>
      <c r="B5" s="288" t="s">
        <v>1710</v>
      </c>
      <c r="C5" s="318" t="s">
        <v>182</v>
      </c>
      <c r="D5" s="6" t="s">
        <v>1768</v>
      </c>
      <c r="E5" s="6" t="e">
        <f>IF(D5&lt;&gt;#REF!,"DIFERENTE","IGUAL")</f>
        <v>#REF!</v>
      </c>
      <c r="F5" s="141" t="str">
        <f>IFERROR(IF(LEFT(A5,3)="LCP",VLOOKUP(A5,#REF!,2,FALSE),VLOOKUP(A5,#REF!,2,FALSE)),"NO BUDGET")</f>
        <v>NO BUDGET</v>
      </c>
    </row>
    <row r="6" spans="1:6" s="21" customFormat="1" ht="24" customHeight="1">
      <c r="A6" s="303" t="s">
        <v>1808</v>
      </c>
      <c r="B6" s="315" t="s">
        <v>1805</v>
      </c>
      <c r="C6" s="318" t="s">
        <v>811</v>
      </c>
      <c r="D6" s="6" t="s">
        <v>1768</v>
      </c>
      <c r="E6" s="6" t="e">
        <f>IF(D6&lt;&gt;#REF!,"DIFERENTE","IGUAL")</f>
        <v>#REF!</v>
      </c>
      <c r="F6" s="141" t="str">
        <f>IFERROR(IF(LEFT(A6,3)="LCP",VLOOKUP(A6,#REF!,2,FALSE),VLOOKUP(A6,#REF!,2,FALSE)),"NO BUDGET")</f>
        <v>NO BUDGET</v>
      </c>
    </row>
    <row r="7" spans="1:6" s="21" customFormat="1" ht="24" customHeight="1">
      <c r="A7" s="293" t="s">
        <v>1490</v>
      </c>
      <c r="B7" s="288" t="s">
        <v>1700</v>
      </c>
      <c r="C7" s="318" t="s">
        <v>185</v>
      </c>
      <c r="D7" s="6" t="s">
        <v>1768</v>
      </c>
      <c r="E7" s="6" t="e">
        <f>IF(D7&lt;&gt;#REF!,"DIFERENTE","IGUAL")</f>
        <v>#REF!</v>
      </c>
      <c r="F7" s="141" t="str">
        <f>IFERROR(IF(LEFT(A7,3)="LCP",VLOOKUP(A7,#REF!,2,FALSE),VLOOKUP(A7,#REF!,2,FALSE)),"NO BUDGET")</f>
        <v>NO BUDGET</v>
      </c>
    </row>
    <row r="8" spans="1:6" s="21" customFormat="1" ht="24" customHeight="1">
      <c r="A8" s="288" t="s">
        <v>1767</v>
      </c>
      <c r="B8" s="288" t="s">
        <v>1756</v>
      </c>
      <c r="C8" s="294" t="s">
        <v>187</v>
      </c>
      <c r="D8" s="6" t="s">
        <v>1768</v>
      </c>
      <c r="E8" s="6" t="e">
        <f>IF(D8&lt;&gt;#REF!,"DIFERENTE","IGUAL")</f>
        <v>#REF!</v>
      </c>
      <c r="F8" s="141" t="str">
        <f>IFERROR(IF(LEFT(A8,3)="LCP",VLOOKUP(A8,#REF!,2,FALSE),VLOOKUP(A8,#REF!,2,FALSE)),"NO BUDGET")</f>
        <v>NO BUDGET</v>
      </c>
    </row>
    <row r="9" spans="1:6" s="21" customFormat="1" ht="24" customHeight="1">
      <c r="A9" s="288" t="s">
        <v>1830</v>
      </c>
      <c r="B9" s="287" t="s">
        <v>1829</v>
      </c>
      <c r="C9" s="287" t="s">
        <v>1492</v>
      </c>
      <c r="D9" s="6" t="s">
        <v>1768</v>
      </c>
      <c r="E9" s="6" t="e">
        <f>IF(D9&lt;&gt;#REF!,"DIFERENTE","IGUAL")</f>
        <v>#REF!</v>
      </c>
      <c r="F9" s="141" t="str">
        <f>IFERROR(IF(LEFT(A9,3)="LCP",VLOOKUP(A9,#REF!,2,FALSE),VLOOKUP(A9,#REF!,2,FALSE)),"NO BUDGET")</f>
        <v>NO BUDGET</v>
      </c>
    </row>
    <row r="10" spans="1:6" s="21" customFormat="1" ht="24" customHeight="1">
      <c r="A10" s="301" t="s">
        <v>679</v>
      </c>
      <c r="B10" s="288" t="s">
        <v>1314</v>
      </c>
      <c r="C10" s="287" t="s">
        <v>182</v>
      </c>
      <c r="D10" s="6" t="s">
        <v>1768</v>
      </c>
      <c r="E10" s="6" t="e">
        <f>IF(D10&lt;&gt;#REF!,"DIFERENTE","IGUAL")</f>
        <v>#REF!</v>
      </c>
      <c r="F10" s="141" t="str">
        <f>IFERROR(IF(LEFT(A10,3)="LCP",VLOOKUP(A10,#REF!,2,FALSE),VLOOKUP(A10,#REF!,2,FALSE)),"NO BUDGET")</f>
        <v>NO BUDGET</v>
      </c>
    </row>
    <row r="11" spans="1:6" s="21" customFormat="1" ht="24" customHeight="1">
      <c r="A11" s="77" t="s">
        <v>547</v>
      </c>
      <c r="B11" s="288" t="s">
        <v>1329</v>
      </c>
      <c r="C11" s="287" t="s">
        <v>1492</v>
      </c>
      <c r="D11" s="6" t="s">
        <v>1768</v>
      </c>
      <c r="E11" s="6" t="e">
        <f>IF(D11&lt;&gt;#REF!,"DIFERENTE","IGUAL")</f>
        <v>#REF!</v>
      </c>
      <c r="F11" s="141" t="str">
        <f>IFERROR(IF(LEFT(A11,3)="LCP",VLOOKUP(A11,#REF!,2,FALSE),VLOOKUP(A11,#REF!,2,FALSE)),"NO BUDGET")</f>
        <v>NO BUDGET</v>
      </c>
    </row>
    <row r="12" spans="1:6" s="21" customFormat="1" ht="24" customHeight="1">
      <c r="A12" s="288" t="s">
        <v>1847</v>
      </c>
      <c r="B12" s="288" t="s">
        <v>1816</v>
      </c>
      <c r="C12" s="294" t="s">
        <v>187</v>
      </c>
      <c r="D12" s="6" t="s">
        <v>699</v>
      </c>
      <c r="E12" s="6" t="e">
        <f>IF(D12&lt;&gt;#REF!,"DIFERENTE","IGUAL")</f>
        <v>#REF!</v>
      </c>
      <c r="F12" s="141" t="str">
        <f>IFERROR(IF(LEFT(A12,3)="LCP",VLOOKUP(A12,#REF!,2,FALSE),VLOOKUP(A12,#REF!,2,FALSE)),"NO BUDGET")</f>
        <v>NO BUDGET</v>
      </c>
    </row>
    <row r="13" spans="1:6" s="21" customFormat="1" ht="24" customHeight="1">
      <c r="A13" s="288" t="s">
        <v>1834</v>
      </c>
      <c r="B13" s="288" t="s">
        <v>1835</v>
      </c>
      <c r="C13" s="287" t="s">
        <v>1492</v>
      </c>
      <c r="D13" s="6" t="s">
        <v>699</v>
      </c>
      <c r="E13" s="6" t="e">
        <f>IF(D13&lt;&gt;#REF!,"DIFERENTE","IGUAL")</f>
        <v>#REF!</v>
      </c>
      <c r="F13" s="141" t="str">
        <f>IFERROR(IF(LEFT(A13,3)="LCP",VLOOKUP(A13,#REF!,2,FALSE),VLOOKUP(A13,#REF!,2,FALSE)),"NO BUDGET")</f>
        <v>NO BUDGET</v>
      </c>
    </row>
    <row r="14" spans="1:6" s="21" customFormat="1" ht="24" customHeight="1">
      <c r="A14" s="288" t="s">
        <v>1845</v>
      </c>
      <c r="B14" s="288" t="s">
        <v>1843</v>
      </c>
      <c r="C14" s="287" t="s">
        <v>187</v>
      </c>
      <c r="D14" s="6" t="s">
        <v>699</v>
      </c>
      <c r="E14" s="6" t="e">
        <f>IF(D14&lt;&gt;#REF!,"DIFERENTE","IGUAL")</f>
        <v>#REF!</v>
      </c>
      <c r="F14" s="141" t="str">
        <f>IFERROR(IF(LEFT(A14,3)="LCP",VLOOKUP(A14,#REF!,2,FALSE),VLOOKUP(A14,#REF!,2,FALSE)),"NO BUDGET")</f>
        <v>NO BUDGET</v>
      </c>
    </row>
    <row r="15" spans="1:6" s="21" customFormat="1" ht="24" customHeight="1">
      <c r="A15" s="77" t="s">
        <v>1238</v>
      </c>
      <c r="B15" s="288" t="s">
        <v>1324</v>
      </c>
      <c r="C15" s="287" t="s">
        <v>1492</v>
      </c>
      <c r="D15" s="6" t="s">
        <v>1768</v>
      </c>
      <c r="E15" s="6" t="e">
        <f>IF(D15&lt;&gt;#REF!,"DIFERENTE","IGUAL")</f>
        <v>#REF!</v>
      </c>
      <c r="F15" s="141" t="str">
        <f>IFERROR(IF(LEFT(A15,3)="LCP",VLOOKUP(A15,#REF!,2,FALSE),VLOOKUP(A15,#REF!,2,FALSE)),"NO BUDGET")</f>
        <v>NO BUDGET</v>
      </c>
    </row>
    <row r="16" spans="1:6" s="21" customFormat="1" ht="24" customHeight="1">
      <c r="A16" s="288" t="s">
        <v>1846</v>
      </c>
      <c r="B16" s="288" t="s">
        <v>1844</v>
      </c>
      <c r="C16" s="294" t="s">
        <v>187</v>
      </c>
      <c r="D16" s="6" t="s">
        <v>1768</v>
      </c>
      <c r="E16" s="6" t="e">
        <f>IF(D16&lt;&gt;#REF!,"DIFERENTE","IGUAL")</f>
        <v>#REF!</v>
      </c>
      <c r="F16" s="141" t="str">
        <f>IFERROR(IF(LEFT(A16,3)="LCP",VLOOKUP(A16,#REF!,2,FALSE),VLOOKUP(A16,#REF!,2,FALSE)),"NO BUDGET")</f>
        <v>NO BUDGET</v>
      </c>
    </row>
    <row r="17" spans="1:6" s="21" customFormat="1" ht="24" customHeight="1">
      <c r="A17" s="287" t="s">
        <v>954</v>
      </c>
      <c r="B17" s="288" t="s">
        <v>1783</v>
      </c>
      <c r="C17" s="294" t="s">
        <v>185</v>
      </c>
      <c r="D17" s="6" t="s">
        <v>1768</v>
      </c>
      <c r="E17" s="6" t="e">
        <f>IF(D17&lt;&gt;#REF!,"DIFERENTE","IGUAL")</f>
        <v>#REF!</v>
      </c>
      <c r="F17" s="141" t="str">
        <f>IFERROR(IF(LEFT(A17,3)="LCP",VLOOKUP(A17,#REF!,2,FALSE),VLOOKUP(A17,#REF!,2,FALSE)),"NO BUDGET")</f>
        <v>NO BUDGET</v>
      </c>
    </row>
    <row r="18" spans="1:6" s="21" customFormat="1" ht="23.25" customHeight="1">
      <c r="A18" s="77" t="s">
        <v>771</v>
      </c>
      <c r="B18" s="288" t="s">
        <v>1774</v>
      </c>
      <c r="C18" s="294" t="s">
        <v>315</v>
      </c>
      <c r="D18" s="6" t="s">
        <v>1768</v>
      </c>
      <c r="E18" s="6" t="e">
        <f>IF(D18&lt;&gt;#REF!,"DIFERENTE","IGUAL")</f>
        <v>#REF!</v>
      </c>
      <c r="F18" s="141" t="str">
        <f>IFERROR(IF(LEFT(A18,3)="LCP",VLOOKUP(A18,#REF!,2,FALSE),VLOOKUP(A18,#REF!,2,FALSE)),"NO BUDGET")</f>
        <v>NO BUDGET</v>
      </c>
    </row>
    <row r="19" spans="1:6" s="21" customFormat="1" ht="23.25" customHeight="1">
      <c r="A19" s="302" t="s">
        <v>1596</v>
      </c>
      <c r="B19" s="288" t="s">
        <v>1775</v>
      </c>
      <c r="C19" s="287" t="s">
        <v>1492</v>
      </c>
      <c r="D19" s="6" t="s">
        <v>1768</v>
      </c>
      <c r="E19" s="6" t="e">
        <f>IF(D19&lt;&gt;#REF!,"DIFERENTE","IGUAL")</f>
        <v>#REF!</v>
      </c>
      <c r="F19" s="141" t="str">
        <f>IFERROR(IF(LEFT(A19,3)="LCP",VLOOKUP(A19,#REF!,2,FALSE),VLOOKUP(A19,#REF!,2,FALSE)),"NO BUDGET")</f>
        <v>NO BUDGET</v>
      </c>
    </row>
    <row r="20" spans="1:6" s="21" customFormat="1" ht="24" customHeight="1">
      <c r="A20" s="77" t="s">
        <v>946</v>
      </c>
      <c r="B20" s="288" t="s">
        <v>964</v>
      </c>
      <c r="C20" s="287" t="s">
        <v>185</v>
      </c>
      <c r="D20" s="6" t="s">
        <v>1768</v>
      </c>
      <c r="E20" s="6" t="e">
        <f>IF(D20&lt;&gt;#REF!,"DIFERENTE","IGUAL")</f>
        <v>#REF!</v>
      </c>
      <c r="F20" s="141" t="str">
        <f>IFERROR(IF(LEFT(A20,3)="LCP",VLOOKUP(A20,#REF!,2,FALSE),VLOOKUP(A20,#REF!,2,FALSE)),"NO BUDGET")</f>
        <v>NO BUDGET</v>
      </c>
    </row>
    <row r="21" spans="1:6" s="21" customFormat="1" ht="24" customHeight="1">
      <c r="A21" s="287" t="s">
        <v>1713</v>
      </c>
      <c r="B21" s="288" t="s">
        <v>1527</v>
      </c>
      <c r="C21" s="287" t="s">
        <v>315</v>
      </c>
      <c r="D21" s="6" t="s">
        <v>1768</v>
      </c>
      <c r="E21" s="6" t="e">
        <f>IF(D21&lt;&gt;#REF!,"DIFERENTE","IGUAL")</f>
        <v>#REF!</v>
      </c>
      <c r="F21" s="141" t="str">
        <f>IFERROR(IF(LEFT(A21,3)="LCP",VLOOKUP(A21,#REF!,2,FALSE),VLOOKUP(A21,#REF!,2,FALSE)),"NO BUDGET")</f>
        <v>NO BUDGET</v>
      </c>
    </row>
    <row r="22" spans="1:6" s="21" customFormat="1" ht="24" customHeight="1">
      <c r="A22" s="288" t="s">
        <v>1887</v>
      </c>
      <c r="B22" s="288" t="s">
        <v>1890</v>
      </c>
      <c r="C22" s="287" t="s">
        <v>1492</v>
      </c>
      <c r="D22" s="6" t="s">
        <v>1842</v>
      </c>
      <c r="E22" s="6" t="e">
        <f>IF(D22&lt;&gt;#REF!,"DIFERENTE","IGUAL")</f>
        <v>#REF!</v>
      </c>
      <c r="F22" s="141" t="str">
        <f>IFERROR(IF(LEFT(A22,3)="LCP",VLOOKUP(A22,#REF!,2,FALSE),VLOOKUP(A22,#REF!,2,FALSE)),"NO BUDGET")</f>
        <v>NO BUDGET</v>
      </c>
    </row>
    <row r="23" spans="1:6" s="21" customFormat="1" ht="24" customHeight="1">
      <c r="A23" s="287" t="s">
        <v>1772</v>
      </c>
      <c r="B23" s="288" t="s">
        <v>1770</v>
      </c>
      <c r="C23" s="294" t="s">
        <v>1492</v>
      </c>
      <c r="D23" s="6" t="s">
        <v>1768</v>
      </c>
      <c r="E23" s="6" t="e">
        <f>IF(D23&lt;&gt;#REF!,"DIFERENTE","IGUAL")</f>
        <v>#REF!</v>
      </c>
      <c r="F23" s="141" t="str">
        <f>IFERROR(IF(LEFT(A23,3)="LCP",VLOOKUP(A23,#REF!,2,FALSE),VLOOKUP(A23,#REF!,2,FALSE)),"NO BUDGET")</f>
        <v>NO BUDGET</v>
      </c>
    </row>
    <row r="24" spans="1:6" s="21" customFormat="1" ht="24" customHeight="1">
      <c r="A24" s="302" t="s">
        <v>1605</v>
      </c>
      <c r="B24" s="288" t="s">
        <v>1775</v>
      </c>
      <c r="C24" s="294" t="s">
        <v>1492</v>
      </c>
      <c r="D24" s="6" t="s">
        <v>1768</v>
      </c>
      <c r="E24" s="6" t="e">
        <f>IF(D24&lt;&gt;#REF!,"DIFERENTE","IGUAL")</f>
        <v>#REF!</v>
      </c>
      <c r="F24" s="141" t="str">
        <f>IFERROR(IF(LEFT(A24,3)="LCP",VLOOKUP(A24,#REF!,2,FALSE),VLOOKUP(A24,#REF!,2,FALSE)),"NO BUDGET")</f>
        <v>NO BUDGET</v>
      </c>
    </row>
    <row r="25" spans="1:6" s="21" customFormat="1" ht="24" customHeight="1">
      <c r="A25" s="288" t="s">
        <v>1819</v>
      </c>
      <c r="B25" s="288" t="s">
        <v>1821</v>
      </c>
      <c r="C25" s="294" t="s">
        <v>187</v>
      </c>
      <c r="D25" s="6" t="s">
        <v>1768</v>
      </c>
      <c r="E25" s="6" t="e">
        <f>IF(D25&lt;&gt;#REF!,"DIFERENTE","IGUAL")</f>
        <v>#REF!</v>
      </c>
      <c r="F25" s="141" t="str">
        <f>IFERROR(IF(LEFT(A25,3)="LCP",VLOOKUP(A25,#REF!,2,FALSE),VLOOKUP(A25,#REF!,2,FALSE)),"NO BUDGET")</f>
        <v>NO BUDGET</v>
      </c>
    </row>
    <row r="26" spans="1:6" s="21" customFormat="1" ht="24" customHeight="1">
      <c r="A26" s="77" t="s">
        <v>1026</v>
      </c>
      <c r="B26" s="288" t="s">
        <v>1765</v>
      </c>
      <c r="C26" s="294" t="s">
        <v>1492</v>
      </c>
      <c r="D26" s="6" t="s">
        <v>1768</v>
      </c>
      <c r="E26" s="6" t="e">
        <f>IF(D26&lt;&gt;#REF!,"DIFERENTE","IGUAL")</f>
        <v>#REF!</v>
      </c>
      <c r="F26" s="141" t="str">
        <f>IFERROR(IF(LEFT(A26,3)="LCP",VLOOKUP(A26,#REF!,2,FALSE),VLOOKUP(A26,#REF!,2,FALSE)),"NO BUDGET")</f>
        <v>NO BUDGET</v>
      </c>
    </row>
    <row r="27" spans="1:6" s="21" customFormat="1" ht="24" customHeight="1">
      <c r="A27" s="288" t="s">
        <v>1889</v>
      </c>
      <c r="B27" s="288" t="s">
        <v>1888</v>
      </c>
      <c r="C27" s="287" t="s">
        <v>187</v>
      </c>
      <c r="D27" s="6" t="s">
        <v>699</v>
      </c>
      <c r="E27" s="6" t="e">
        <f>IF(D27&lt;&gt;#REF!,"DIFERENTE","IGUAL")</f>
        <v>#REF!</v>
      </c>
      <c r="F27" s="141" t="str">
        <f>IFERROR(IF(LEFT(A27,3)="LCP",VLOOKUP(A27,#REF!,2,FALSE),VLOOKUP(A27,#REF!,2,FALSE)),"NO BUDGET")</f>
        <v>NO BUDGET</v>
      </c>
    </row>
    <row r="28" spans="1:6" s="21" customFormat="1" ht="24" customHeight="1">
      <c r="A28" s="77" t="s">
        <v>1526</v>
      </c>
      <c r="B28" s="288" t="s">
        <v>1527</v>
      </c>
      <c r="C28" s="287" t="s">
        <v>315</v>
      </c>
      <c r="D28" s="6" t="s">
        <v>1768</v>
      </c>
      <c r="E28" s="6" t="e">
        <f>IF(D28&lt;&gt;#REF!,"DIFERENTE","IGUAL")</f>
        <v>#REF!</v>
      </c>
      <c r="F28" s="141" t="str">
        <f>IFERROR(IF(LEFT(A28,3)="LCP",VLOOKUP(A28,#REF!,2,FALSE),VLOOKUP(A28,#REF!,2,FALSE)),"NO BUDGET")</f>
        <v>NO BUDGET</v>
      </c>
    </row>
    <row r="29" spans="1:6" s="21" customFormat="1" ht="24" customHeight="1">
      <c r="A29" s="296" t="s">
        <v>652</v>
      </c>
      <c r="B29" s="288" t="s">
        <v>1663</v>
      </c>
      <c r="C29" s="294" t="s">
        <v>1492</v>
      </c>
      <c r="D29" s="6" t="s">
        <v>217</v>
      </c>
      <c r="E29" s="6" t="e">
        <f>IF(D29&lt;&gt;#REF!,"DIFERENTE","IGUAL")</f>
        <v>#REF!</v>
      </c>
      <c r="F29" s="141" t="str">
        <f>IFERROR(IF(LEFT(A29,3)="LCP",VLOOKUP(A29,#REF!,2,FALSE),VLOOKUP(A29,#REF!,2,FALSE)),"NO BUDGET")</f>
        <v>NO BUDGET</v>
      </c>
    </row>
    <row r="30" spans="1:6" s="21" customFormat="1" ht="24" customHeight="1">
      <c r="A30" s="287" t="s">
        <v>653</v>
      </c>
      <c r="B30" s="288" t="s">
        <v>1281</v>
      </c>
      <c r="C30" s="287" t="s">
        <v>1492</v>
      </c>
      <c r="D30" s="6" t="s">
        <v>217</v>
      </c>
      <c r="E30" s="6" t="e">
        <f>IF(D30&lt;&gt;#REF!,"DIFERENTE","IGUAL")</f>
        <v>#REF!</v>
      </c>
      <c r="F30" s="141" t="str">
        <f>IFERROR(IF(LEFT(A30,3)="LCP",VLOOKUP(A30,#REF!,2,FALSE),VLOOKUP(A30,#REF!,2,FALSE)),"NO BUDGET")</f>
        <v>NO BUDGET</v>
      </c>
    </row>
    <row r="31" spans="1:6" s="21" customFormat="1" ht="24" customHeight="1">
      <c r="A31" s="287" t="s">
        <v>654</v>
      </c>
      <c r="B31" s="288" t="s">
        <v>29</v>
      </c>
      <c r="C31" s="294" t="s">
        <v>1492</v>
      </c>
      <c r="D31" s="6" t="s">
        <v>217</v>
      </c>
      <c r="E31" s="6" t="e">
        <f>IF(D31&lt;&gt;#REF!,"DIFERENTE","IGUAL")</f>
        <v>#REF!</v>
      </c>
      <c r="F31" s="141" t="str">
        <f>IFERROR(IF(LEFT(A31,3)="LCP",VLOOKUP(A31,#REF!,2,FALSE),VLOOKUP(A31,#REF!,2,FALSE)),"NO BUDGET")</f>
        <v>NO BUDGET</v>
      </c>
    </row>
    <row r="32" spans="1:6" s="21" customFormat="1" ht="24" customHeight="1">
      <c r="A32" s="287" t="s">
        <v>655</v>
      </c>
      <c r="B32" s="288" t="s">
        <v>1664</v>
      </c>
      <c r="C32" s="294" t="s">
        <v>1492</v>
      </c>
      <c r="D32" s="6" t="s">
        <v>217</v>
      </c>
      <c r="E32" s="6" t="e">
        <f>IF(D32&lt;&gt;#REF!,"DIFERENTE","IGUAL")</f>
        <v>#REF!</v>
      </c>
      <c r="F32" s="141" t="str">
        <f>IFERROR(IF(LEFT(A32,3)="LCP",VLOOKUP(A32,#REF!,2,FALSE),VLOOKUP(A32,#REF!,2,FALSE)),"NO BUDGET")</f>
        <v>NO BUDGET</v>
      </c>
    </row>
    <row r="33" spans="1:6" s="21" customFormat="1" ht="24" customHeight="1">
      <c r="A33" s="287" t="s">
        <v>661</v>
      </c>
      <c r="B33" s="288" t="s">
        <v>1665</v>
      </c>
      <c r="C33" s="294" t="s">
        <v>187</v>
      </c>
      <c r="D33" s="6" t="s">
        <v>217</v>
      </c>
      <c r="E33" s="6" t="e">
        <f>IF(D33&lt;&gt;#REF!,"DIFERENTE","IGUAL")</f>
        <v>#REF!</v>
      </c>
      <c r="F33" s="141" t="str">
        <f>IFERROR(IF(LEFT(A33,3)="LCP",VLOOKUP(A33,#REF!,2,FALSE),VLOOKUP(A33,#REF!,2,FALSE)),"NO BUDGET")</f>
        <v>NO BUDGET</v>
      </c>
    </row>
    <row r="34" spans="1:6" s="21" customFormat="1" ht="24" customHeight="1">
      <c r="A34" s="287" t="s">
        <v>649</v>
      </c>
      <c r="B34" s="288" t="s">
        <v>1666</v>
      </c>
      <c r="C34" s="287" t="s">
        <v>182</v>
      </c>
      <c r="D34" s="6" t="s">
        <v>217</v>
      </c>
      <c r="E34" s="6" t="e">
        <f>IF(D34&lt;&gt;#REF!,"DIFERENTE","IGUAL")</f>
        <v>#REF!</v>
      </c>
      <c r="F34" s="141" t="str">
        <f>IFERROR(IF(LEFT(A34,3)="LCP",VLOOKUP(A34,#REF!,2,FALSE),VLOOKUP(A34,#REF!,2,FALSE)),"NO BUDGET")</f>
        <v>NO BUDGET</v>
      </c>
    </row>
    <row r="35" spans="1:6" s="21" customFormat="1" ht="24" customHeight="1">
      <c r="A35" s="287" t="s">
        <v>650</v>
      </c>
      <c r="B35" s="288" t="s">
        <v>1286</v>
      </c>
      <c r="C35" s="287" t="s">
        <v>182</v>
      </c>
      <c r="D35" s="6" t="s">
        <v>217</v>
      </c>
      <c r="E35" s="6" t="e">
        <f>IF(D35&lt;&gt;#REF!,"DIFERENTE","IGUAL")</f>
        <v>#REF!</v>
      </c>
      <c r="F35" s="141" t="str">
        <f>IFERROR(IF(LEFT(A35,3)="LCP",VLOOKUP(A35,#REF!,2,FALSE),VLOOKUP(A35,#REF!,2,FALSE)),"NO BUDGET")</f>
        <v>NO BUDGET</v>
      </c>
    </row>
    <row r="36" spans="1:6" s="21" customFormat="1" ht="24" customHeight="1">
      <c r="A36" s="287" t="s">
        <v>656</v>
      </c>
      <c r="B36" s="288" t="s">
        <v>1287</v>
      </c>
      <c r="C36" s="294" t="s">
        <v>1492</v>
      </c>
      <c r="D36" s="6" t="s">
        <v>217</v>
      </c>
      <c r="E36" s="6" t="e">
        <f>IF(D36&lt;&gt;#REF!,"DIFERENTE","IGUAL")</f>
        <v>#REF!</v>
      </c>
      <c r="F36" s="141" t="str">
        <f>IFERROR(IF(LEFT(A36,3)="LCP",VLOOKUP(A36,#REF!,2,FALSE),VLOOKUP(A36,#REF!,2,FALSE)),"NO BUDGET")</f>
        <v>NO BUDGET</v>
      </c>
    </row>
    <row r="37" spans="1:6" s="21" customFormat="1" ht="24" customHeight="1">
      <c r="A37" s="287" t="s">
        <v>662</v>
      </c>
      <c r="B37" s="288" t="s">
        <v>1667</v>
      </c>
      <c r="C37" s="287" t="s">
        <v>187</v>
      </c>
      <c r="D37" s="6" t="s">
        <v>217</v>
      </c>
      <c r="E37" s="6" t="e">
        <f>IF(D37&lt;&gt;#REF!,"DIFERENTE","IGUAL")</f>
        <v>#REF!</v>
      </c>
      <c r="F37" s="141" t="str">
        <f>IFERROR(IF(LEFT(A37,3)="LCP",VLOOKUP(A37,#REF!,2,FALSE),VLOOKUP(A37,#REF!,2,FALSE)),"NO BUDGET")</f>
        <v>NO BUDGET</v>
      </c>
    </row>
    <row r="38" spans="1:6" s="21" customFormat="1" ht="24" customHeight="1">
      <c r="A38" s="287" t="s">
        <v>651</v>
      </c>
      <c r="B38" s="288" t="s">
        <v>1668</v>
      </c>
      <c r="C38" s="287" t="s">
        <v>184</v>
      </c>
      <c r="D38" s="6" t="s">
        <v>217</v>
      </c>
      <c r="E38" s="6" t="e">
        <f>IF(D38&lt;&gt;#REF!,"DIFERENTE","IGUAL")</f>
        <v>#REF!</v>
      </c>
      <c r="F38" s="141" t="str">
        <f>IFERROR(IF(LEFT(A38,3)="LCP",VLOOKUP(A38,#REF!,2,FALSE),VLOOKUP(A38,#REF!,2,FALSE)),"NO BUDGET")</f>
        <v>NO BUDGET</v>
      </c>
    </row>
    <row r="39" spans="1:6" s="21" customFormat="1" ht="24" customHeight="1">
      <c r="A39" s="287" t="s">
        <v>668</v>
      </c>
      <c r="B39" s="288" t="s">
        <v>1669</v>
      </c>
      <c r="C39" s="294" t="s">
        <v>187</v>
      </c>
      <c r="D39" s="6" t="s">
        <v>217</v>
      </c>
      <c r="E39" s="6" t="e">
        <f>IF(D39&lt;&gt;#REF!,"DIFERENTE","IGUAL")</f>
        <v>#REF!</v>
      </c>
      <c r="F39" s="141" t="str">
        <f>IFERROR(IF(LEFT(A39,3)="LCP",VLOOKUP(A39,#REF!,2,FALSE),VLOOKUP(A39,#REF!,2,FALSE)),"NO BUDGET")</f>
        <v>NO BUDGET</v>
      </c>
    </row>
    <row r="40" spans="1:6" s="21" customFormat="1" ht="30.75" customHeight="1">
      <c r="A40" s="287" t="s">
        <v>657</v>
      </c>
      <c r="B40" s="288" t="s">
        <v>1670</v>
      </c>
      <c r="C40" s="294" t="s">
        <v>1492</v>
      </c>
      <c r="D40" s="6" t="s">
        <v>217</v>
      </c>
      <c r="E40" s="6" t="e">
        <f>IF(D40&lt;&gt;#REF!,"DIFERENTE","IGUAL")</f>
        <v>#REF!</v>
      </c>
      <c r="F40" s="141" t="str">
        <f>IFERROR(IF(LEFT(A40,3)="LCP",VLOOKUP(A40,#REF!,2,FALSE),VLOOKUP(A40,#REF!,2,FALSE)),"NO BUDGET")</f>
        <v>NO BUDGET</v>
      </c>
    </row>
    <row r="41" spans="1:6" s="21" customFormat="1" ht="24" customHeight="1">
      <c r="A41" s="287" t="s">
        <v>658</v>
      </c>
      <c r="B41" s="288" t="s">
        <v>1671</v>
      </c>
      <c r="C41" s="294" t="s">
        <v>1492</v>
      </c>
      <c r="D41" s="6" t="s">
        <v>217</v>
      </c>
      <c r="E41" s="6" t="e">
        <f>IF(D41&lt;&gt;#REF!,"DIFERENTE","IGUAL")</f>
        <v>#REF!</v>
      </c>
      <c r="F41" s="141" t="str">
        <f>IFERROR(IF(LEFT(A41,3)="LCP",VLOOKUP(A41,#REF!,2,FALSE),VLOOKUP(A41,#REF!,2,FALSE)),"NO BUDGET")</f>
        <v>NO BUDGET</v>
      </c>
    </row>
    <row r="42" spans="1:6" s="21" customFormat="1" ht="24" customHeight="1">
      <c r="A42" s="287" t="s">
        <v>659</v>
      </c>
      <c r="B42" s="288" t="s">
        <v>1672</v>
      </c>
      <c r="C42" s="294" t="s">
        <v>1492</v>
      </c>
      <c r="D42" s="6" t="s">
        <v>217</v>
      </c>
      <c r="E42" s="6" t="e">
        <f>IF(D42&lt;&gt;#REF!,"DIFERENTE","IGUAL")</f>
        <v>#REF!</v>
      </c>
      <c r="F42" s="141" t="str">
        <f>IFERROR(IF(LEFT(A42,3)="LCP",VLOOKUP(A42,#REF!,2,FALSE),VLOOKUP(A42,#REF!,2,FALSE)),"NO BUDGET")</f>
        <v>NO BUDGET</v>
      </c>
    </row>
    <row r="43" spans="1:6" s="21" customFormat="1" ht="24" customHeight="1">
      <c r="A43" s="287" t="s">
        <v>666</v>
      </c>
      <c r="B43" s="288" t="s">
        <v>1762</v>
      </c>
      <c r="C43" s="294" t="s">
        <v>187</v>
      </c>
      <c r="D43" s="6" t="s">
        <v>217</v>
      </c>
      <c r="E43" s="6" t="e">
        <f>IF(D43&lt;&gt;#REF!,"DIFERENTE","IGUAL")</f>
        <v>#REF!</v>
      </c>
      <c r="F43" s="141" t="str">
        <f>IFERROR(IF(LEFT(A43,3)="LCP",VLOOKUP(A43,#REF!,2,FALSE),VLOOKUP(A43,#REF!,2,FALSE)),"NO BUDGET")</f>
        <v>NO BUDGET</v>
      </c>
    </row>
    <row r="44" spans="1:6" s="21" customFormat="1" ht="24" customHeight="1">
      <c r="A44" s="287" t="s">
        <v>660</v>
      </c>
      <c r="B44" s="288" t="s">
        <v>1296</v>
      </c>
      <c r="C44" s="294" t="s">
        <v>315</v>
      </c>
      <c r="D44" s="6" t="s">
        <v>217</v>
      </c>
      <c r="E44" s="6" t="e">
        <f>IF(D44&lt;&gt;#REF!,"DIFERENTE","IGUAL")</f>
        <v>#REF!</v>
      </c>
      <c r="F44" s="141" t="str">
        <f>IFERROR(IF(LEFT(A44,3)="LCP",VLOOKUP(A44,#REF!,2,FALSE),VLOOKUP(A44,#REF!,2,FALSE)),"NO BUDGET")</f>
        <v>NO BUDGET</v>
      </c>
    </row>
    <row r="45" spans="1:6" s="21" customFormat="1" ht="24" customHeight="1">
      <c r="A45" s="287" t="s">
        <v>663</v>
      </c>
      <c r="B45" s="288" t="s">
        <v>1297</v>
      </c>
      <c r="C45" s="294" t="s">
        <v>315</v>
      </c>
      <c r="D45" s="6" t="s">
        <v>217</v>
      </c>
      <c r="E45" s="6" t="e">
        <f>IF(D45&lt;&gt;#REF!,"DIFERENTE","IGUAL")</f>
        <v>#REF!</v>
      </c>
      <c r="F45" s="141" t="str">
        <f>IFERROR(IF(LEFT(A45,3)="LCP",VLOOKUP(A45,#REF!,2,FALSE),VLOOKUP(A45,#REF!,2,FALSE)),"NO BUDGET")</f>
        <v>NO BUDGET</v>
      </c>
    </row>
    <row r="46" spans="1:6" s="21" customFormat="1" ht="24" customHeight="1">
      <c r="A46" s="287" t="s">
        <v>664</v>
      </c>
      <c r="B46" s="288" t="s">
        <v>1298</v>
      </c>
      <c r="C46" s="287" t="s">
        <v>315</v>
      </c>
      <c r="D46" s="6" t="s">
        <v>217</v>
      </c>
      <c r="E46" s="6" t="e">
        <f>IF(D46&lt;&gt;#REF!,"DIFERENTE","IGUAL")</f>
        <v>#REF!</v>
      </c>
      <c r="F46" s="141" t="str">
        <f>IFERROR(IF(LEFT(A46,3)="LCP",VLOOKUP(A46,#REF!,2,FALSE),VLOOKUP(A46,#REF!,2,FALSE)),"NO BUDGET")</f>
        <v>NO BUDGET</v>
      </c>
    </row>
    <row r="47" spans="1:6" s="21" customFormat="1" ht="24" customHeight="1">
      <c r="A47" s="287" t="s">
        <v>665</v>
      </c>
      <c r="B47" s="288" t="s">
        <v>1299</v>
      </c>
      <c r="C47" s="294" t="s">
        <v>1492</v>
      </c>
      <c r="D47" s="6" t="s">
        <v>217</v>
      </c>
      <c r="E47" s="6" t="e">
        <f>IF(D47&lt;&gt;#REF!,"DIFERENTE","IGUAL")</f>
        <v>#REF!</v>
      </c>
      <c r="F47" s="141" t="str">
        <f>IFERROR(IF(LEFT(A47,3)="LCP",VLOOKUP(A47,#REF!,2,FALSE),VLOOKUP(A47,#REF!,2,FALSE)),"NO BUDGET")</f>
        <v>NO BUDGET</v>
      </c>
    </row>
    <row r="48" spans="1:6" s="21" customFormat="1" ht="24" customHeight="1">
      <c r="A48" s="287" t="s">
        <v>669</v>
      </c>
      <c r="B48" s="288" t="s">
        <v>1300</v>
      </c>
      <c r="C48" s="287" t="s">
        <v>1492</v>
      </c>
      <c r="D48" s="6" t="s">
        <v>217</v>
      </c>
      <c r="E48" s="6" t="e">
        <f>IF(D48&lt;&gt;#REF!,"DIFERENTE","IGUAL")</f>
        <v>#REF!</v>
      </c>
      <c r="F48" s="141" t="str">
        <f>IFERROR(IF(LEFT(A48,3)="LCP",VLOOKUP(A48,#REF!,2,FALSE),VLOOKUP(A48,#REF!,2,FALSE)),"NO BUDGET")</f>
        <v>NO BUDGET</v>
      </c>
    </row>
    <row r="49" spans="1:6" s="21" customFormat="1" ht="24" customHeight="1">
      <c r="A49" s="287" t="s">
        <v>670</v>
      </c>
      <c r="B49" s="288" t="s">
        <v>1301</v>
      </c>
      <c r="C49" s="294" t="s">
        <v>1492</v>
      </c>
      <c r="D49" s="6" t="s">
        <v>217</v>
      </c>
      <c r="E49" s="6" t="e">
        <f>IF(D49&lt;&gt;#REF!,"DIFERENTE","IGUAL")</f>
        <v>#REF!</v>
      </c>
      <c r="F49" s="141" t="str">
        <f>IFERROR(IF(LEFT(A49,3)="LCP",VLOOKUP(A49,#REF!,2,FALSE),VLOOKUP(A49,#REF!,2,FALSE)),"NO BUDGET")</f>
        <v>NO BUDGET</v>
      </c>
    </row>
    <row r="50" spans="1:6" s="21" customFormat="1" ht="24" customHeight="1">
      <c r="A50" s="287" t="s">
        <v>680</v>
      </c>
      <c r="B50" s="288" t="s">
        <v>1673</v>
      </c>
      <c r="C50" s="287" t="s">
        <v>1492</v>
      </c>
      <c r="D50" s="6" t="s">
        <v>217</v>
      </c>
      <c r="E50" s="6" t="e">
        <f>IF(D50&lt;&gt;#REF!,"DIFERENTE","IGUAL")</f>
        <v>#REF!</v>
      </c>
      <c r="F50" s="141" t="str">
        <f>IFERROR(IF(LEFT(A50,3)="LCP",VLOOKUP(A50,#REF!,2,FALSE),VLOOKUP(A50,#REF!,2,FALSE)),"NO BUDGET")</f>
        <v>NO BUDGET</v>
      </c>
    </row>
    <row r="51" spans="1:6" s="21" customFormat="1" ht="24" customHeight="1">
      <c r="A51" s="287" t="s">
        <v>671</v>
      </c>
      <c r="B51" s="288" t="s">
        <v>1303</v>
      </c>
      <c r="C51" s="294" t="s">
        <v>182</v>
      </c>
      <c r="D51" s="6" t="s">
        <v>1768</v>
      </c>
      <c r="E51" s="6" t="e">
        <f>IF(D51&lt;&gt;#REF!,"DIFERENTE","IGUAL")</f>
        <v>#REF!</v>
      </c>
      <c r="F51" s="141" t="str">
        <f>IFERROR(IF(LEFT(A51,3)="LCP",VLOOKUP(A51,#REF!,2,FALSE),VLOOKUP(A51,#REF!,2,FALSE)),"NO BUDGET")</f>
        <v>NO BUDGET</v>
      </c>
    </row>
    <row r="52" spans="1:6" s="21" customFormat="1" ht="24" customHeight="1">
      <c r="A52" s="287" t="s">
        <v>938</v>
      </c>
      <c r="B52" s="288" t="s">
        <v>1674</v>
      </c>
      <c r="C52" s="294" t="s">
        <v>1492</v>
      </c>
      <c r="D52" s="6" t="s">
        <v>217</v>
      </c>
      <c r="E52" s="6" t="e">
        <f>IF(D52&lt;&gt;#REF!,"DIFERENTE","IGUAL")</f>
        <v>#REF!</v>
      </c>
      <c r="F52" s="141" t="str">
        <f>IFERROR(IF(LEFT(A52,3)="LCP",VLOOKUP(A52,#REF!,2,FALSE),VLOOKUP(A52,#REF!,2,FALSE)),"NO BUDGET")</f>
        <v>NO BUDGET</v>
      </c>
    </row>
    <row r="53" spans="1:6" s="21" customFormat="1" ht="24" customHeight="1">
      <c r="A53" s="287" t="s">
        <v>806</v>
      </c>
      <c r="B53" s="288" t="s">
        <v>483</v>
      </c>
      <c r="C53" s="287" t="s">
        <v>1492</v>
      </c>
      <c r="D53" s="6" t="s">
        <v>1768</v>
      </c>
      <c r="E53" s="6" t="e">
        <f>IF(D53&lt;&gt;#REF!,"DIFERENTE","IGUAL")</f>
        <v>#REF!</v>
      </c>
      <c r="F53" s="141" t="str">
        <f>IFERROR(IF(LEFT(A53,3)="LCP",VLOOKUP(A53,#REF!,2,FALSE),VLOOKUP(A53,#REF!,2,FALSE)),"NO BUDGET")</f>
        <v>NO BUDGET</v>
      </c>
    </row>
    <row r="54" spans="1:6" s="21" customFormat="1" ht="24" customHeight="1">
      <c r="A54" s="287" t="s">
        <v>772</v>
      </c>
      <c r="B54" s="288" t="s">
        <v>1307</v>
      </c>
      <c r="C54" s="287" t="s">
        <v>1492</v>
      </c>
      <c r="D54" s="6" t="s">
        <v>217</v>
      </c>
      <c r="E54" s="6" t="e">
        <f>IF(D54&lt;&gt;#REF!,"DIFERENTE","IGUAL")</f>
        <v>#REF!</v>
      </c>
      <c r="F54" s="141" t="str">
        <f>IFERROR(IF(LEFT(A54,3)="LCP",VLOOKUP(A54,#REF!,2,FALSE),VLOOKUP(A54,#REF!,2,FALSE)),"NO BUDGET")</f>
        <v>NO BUDGET</v>
      </c>
    </row>
    <row r="55" spans="1:6" s="21" customFormat="1" ht="24" customHeight="1">
      <c r="A55" s="287" t="s">
        <v>1023</v>
      </c>
      <c r="B55" s="288" t="s">
        <v>1809</v>
      </c>
      <c r="C55" s="287" t="s">
        <v>1492</v>
      </c>
      <c r="D55" s="6" t="s">
        <v>1768</v>
      </c>
      <c r="E55" s="6" t="e">
        <f>IF(D55&lt;&gt;#REF!,"DIFERENTE","IGUAL")</f>
        <v>#REF!</v>
      </c>
      <c r="F55" s="141" t="str">
        <f>IFERROR(IF(LEFT(A55,3)="LCP",VLOOKUP(A55,#REF!,2,FALSE),VLOOKUP(A55,#REF!,2,FALSE)),"NO BUDGET")</f>
        <v>NO BUDGET</v>
      </c>
    </row>
    <row r="56" spans="1:6" s="21" customFormat="1" ht="24" customHeight="1">
      <c r="A56" s="287" t="s">
        <v>952</v>
      </c>
      <c r="B56" s="288" t="s">
        <v>1675</v>
      </c>
      <c r="C56" s="287" t="s">
        <v>182</v>
      </c>
      <c r="D56" s="6" t="s">
        <v>1768</v>
      </c>
      <c r="E56" s="6" t="e">
        <f>IF(D56&lt;&gt;#REF!,"DIFERENTE","IGUAL")</f>
        <v>#REF!</v>
      </c>
      <c r="F56" s="141" t="str">
        <f>IFERROR(IF(LEFT(A56,3)="LCP",VLOOKUP(A56,#REF!,2,FALSE),VLOOKUP(A56,#REF!,2,FALSE)),"NO BUDGET")</f>
        <v>NO BUDGET</v>
      </c>
    </row>
    <row r="57" spans="1:6" s="21" customFormat="1" ht="24" customHeight="1">
      <c r="A57" s="287" t="s">
        <v>1024</v>
      </c>
      <c r="B57" s="288" t="s">
        <v>1676</v>
      </c>
      <c r="C57" s="287" t="s">
        <v>1492</v>
      </c>
      <c r="D57" s="6" t="s">
        <v>217</v>
      </c>
      <c r="E57" s="6" t="e">
        <f>IF(D57&lt;&gt;#REF!,"DIFERENTE","IGUAL")</f>
        <v>#REF!</v>
      </c>
      <c r="F57" s="141" t="str">
        <f>IFERROR(IF(LEFT(A57,3)="LCP",VLOOKUP(A57,#REF!,2,FALSE),VLOOKUP(A57,#REF!,2,FALSE)),"NO BUDGET")</f>
        <v>NO BUDGET</v>
      </c>
    </row>
    <row r="58" spans="1:6" s="21" customFormat="1" ht="24" customHeight="1">
      <c r="A58" s="287" t="s">
        <v>1375</v>
      </c>
      <c r="B58" s="288" t="s">
        <v>1677</v>
      </c>
      <c r="C58" s="294" t="s">
        <v>182</v>
      </c>
      <c r="D58" s="6" t="s">
        <v>1768</v>
      </c>
      <c r="E58" s="6" t="e">
        <f>IF(D58&lt;&gt;#REF!,"DIFERENTE","IGUAL")</f>
        <v>#REF!</v>
      </c>
      <c r="F58" s="141" t="str">
        <f>IFERROR(IF(LEFT(A58,3)="LCP",VLOOKUP(A58,#REF!,2,FALSE),VLOOKUP(A58,#REF!,2,FALSE)),"NO BUDGET")</f>
        <v>NO BUDGET</v>
      </c>
    </row>
    <row r="59" spans="1:6" s="21" customFormat="1" ht="24" customHeight="1">
      <c r="A59" s="287" t="s">
        <v>1201</v>
      </c>
      <c r="B59" s="288" t="s">
        <v>1678</v>
      </c>
      <c r="C59" s="294" t="s">
        <v>315</v>
      </c>
      <c r="D59" s="6" t="s">
        <v>1768</v>
      </c>
      <c r="E59" s="6" t="e">
        <f>IF(D59&lt;&gt;#REF!,"DIFERENTE","IGUAL")</f>
        <v>#REF!</v>
      </c>
      <c r="F59" s="141" t="str">
        <f>IFERROR(IF(LEFT(A59,3)="LCP",VLOOKUP(A59,#REF!,2,FALSE),VLOOKUP(A59,#REF!,2,FALSE)),"NO BUDGET")</f>
        <v>NO BUDGET</v>
      </c>
    </row>
    <row r="60" spans="1:6" s="21" customFormat="1" ht="24" customHeight="1">
      <c r="A60" s="287" t="s">
        <v>1377</v>
      </c>
      <c r="B60" s="288" t="s">
        <v>1679</v>
      </c>
      <c r="C60" s="294" t="s">
        <v>1492</v>
      </c>
      <c r="D60" s="6" t="s">
        <v>217</v>
      </c>
      <c r="E60" s="6" t="e">
        <f>IF(D60&lt;&gt;#REF!,"DIFERENTE","IGUAL")</f>
        <v>#REF!</v>
      </c>
      <c r="F60" s="141" t="str">
        <f>IFERROR(IF(LEFT(A60,3)="LCP",VLOOKUP(A60,#REF!,2,FALSE),VLOOKUP(A60,#REF!,2,FALSE)),"NO BUDGET")</f>
        <v>NO BUDGET</v>
      </c>
    </row>
    <row r="61" spans="1:6" s="21" customFormat="1" ht="24" customHeight="1">
      <c r="A61" s="287" t="s">
        <v>1373</v>
      </c>
      <c r="B61" s="288" t="s">
        <v>1374</v>
      </c>
      <c r="C61" s="294" t="s">
        <v>1492</v>
      </c>
      <c r="D61" s="6" t="s">
        <v>1768</v>
      </c>
      <c r="E61" s="6" t="e">
        <f>IF(D61&lt;&gt;#REF!,"DIFERENTE","IGUAL")</f>
        <v>#REF!</v>
      </c>
      <c r="F61" s="141" t="str">
        <f>IFERROR(IF(LEFT(A61,3)="LCP",VLOOKUP(A61,#REF!,2,FALSE),VLOOKUP(A61,#REF!,2,FALSE)),"NO BUDGET")</f>
        <v>NO BUDGET</v>
      </c>
    </row>
    <row r="62" spans="1:6" s="21" customFormat="1" ht="24" customHeight="1">
      <c r="A62" s="287" t="s">
        <v>1583</v>
      </c>
      <c r="B62" s="288" t="s">
        <v>1680</v>
      </c>
      <c r="C62" s="294" t="s">
        <v>1492</v>
      </c>
      <c r="D62" s="6" t="s">
        <v>1768</v>
      </c>
      <c r="E62" s="6" t="e">
        <f>IF(D62&lt;&gt;#REF!,"DIFERENTE","IGUAL")</f>
        <v>#REF!</v>
      </c>
      <c r="F62" s="141" t="str">
        <f>IFERROR(IF(LEFT(A62,3)="LCP",VLOOKUP(A62,#REF!,2,FALSE),VLOOKUP(A62,#REF!,2,FALSE)),"NO BUDGET")</f>
        <v>NO BUDGET</v>
      </c>
    </row>
    <row r="63" spans="1:6" s="21" customFormat="1" ht="24" customHeight="1">
      <c r="A63" s="287" t="s">
        <v>1589</v>
      </c>
      <c r="B63" s="288" t="s">
        <v>1681</v>
      </c>
      <c r="C63" s="287" t="s">
        <v>1492</v>
      </c>
      <c r="D63" s="6" t="s">
        <v>1768</v>
      </c>
      <c r="E63" s="6" t="e">
        <f>IF(D63&lt;&gt;#REF!,"DIFERENTE","IGUAL")</f>
        <v>#REF!</v>
      </c>
      <c r="F63" s="141" t="str">
        <f>IFERROR(IF(LEFT(A63,3)="LCP",VLOOKUP(A63,#REF!,2,FALSE),VLOOKUP(A63,#REF!,2,FALSE)),"NO BUDGET")</f>
        <v>NO BUDGET</v>
      </c>
    </row>
    <row r="64" spans="1:6" s="21" customFormat="1" ht="24" customHeight="1">
      <c r="A64" s="287" t="s">
        <v>1587</v>
      </c>
      <c r="B64" s="288" t="s">
        <v>1448</v>
      </c>
      <c r="C64" s="287" t="s">
        <v>1492</v>
      </c>
      <c r="D64" s="6" t="s">
        <v>217</v>
      </c>
      <c r="E64" s="6" t="e">
        <f>IF(D64&lt;&gt;#REF!,"DIFERENTE","IGUAL")</f>
        <v>#REF!</v>
      </c>
      <c r="F64" s="141" t="str">
        <f>IFERROR(IF(LEFT(A64,3)="LCP",VLOOKUP(A64,#REF!,2,FALSE),VLOOKUP(A64,#REF!,2,FALSE)),"NO BUDGET")</f>
        <v>NO BUDGET</v>
      </c>
    </row>
    <row r="65" spans="1:6" s="21" customFormat="1" ht="22.5" customHeight="1">
      <c r="A65" s="287" t="s">
        <v>1586</v>
      </c>
      <c r="B65" s="288" t="s">
        <v>1500</v>
      </c>
      <c r="C65" s="287" t="s">
        <v>1492</v>
      </c>
      <c r="D65" s="6" t="s">
        <v>217</v>
      </c>
      <c r="E65" s="6" t="e">
        <f>IF(D65&lt;&gt;#REF!,"DIFERENTE","IGUAL")</f>
        <v>#REF!</v>
      </c>
      <c r="F65" s="141" t="str">
        <f>IFERROR(IF(LEFT(A65,3)="LCP",VLOOKUP(A65,#REF!,2,FALSE),VLOOKUP(A65,#REF!,2,FALSE)),"NO BUDGET")</f>
        <v>NO BUDGET</v>
      </c>
    </row>
    <row r="66" spans="1:6" s="21" customFormat="1" ht="24" customHeight="1">
      <c r="A66" s="287" t="s">
        <v>1588</v>
      </c>
      <c r="B66" s="288" t="s">
        <v>1061</v>
      </c>
      <c r="C66" s="287" t="s">
        <v>1492</v>
      </c>
      <c r="D66" s="6" t="s">
        <v>1768</v>
      </c>
      <c r="E66" s="6" t="e">
        <f>IF(D66&lt;&gt;#REF!,"DIFERENTE","IGUAL")</f>
        <v>#REF!</v>
      </c>
      <c r="F66" s="141" t="str">
        <f>IFERROR(IF(LEFT(A66,3)="LCP",VLOOKUP(A66,#REF!,2,FALSE),VLOOKUP(A66,#REF!,2,FALSE)),"NO BUDGET")</f>
        <v>NO BUDGET</v>
      </c>
    </row>
    <row r="67" spans="1:6" s="21" customFormat="1" ht="24" customHeight="1">
      <c r="A67" s="287" t="s">
        <v>1491</v>
      </c>
      <c r="B67" s="288" t="s">
        <v>1682</v>
      </c>
      <c r="C67" s="287" t="s">
        <v>1492</v>
      </c>
      <c r="D67" s="6" t="s">
        <v>1768</v>
      </c>
      <c r="E67" s="6" t="e">
        <f>IF(D67&lt;&gt;#REF!,"DIFERENTE","IGUAL")</f>
        <v>#REF!</v>
      </c>
      <c r="F67" s="141" t="str">
        <f>IFERROR(IF(LEFT(A67,3)="LCP",VLOOKUP(A67,#REF!,2,FALSE),VLOOKUP(A67,#REF!,2,FALSE)),"NO BUDGET")</f>
        <v>NO BUDGET</v>
      </c>
    </row>
    <row r="68" spans="1:6" s="21" customFormat="1" ht="24" customHeight="1">
      <c r="A68" s="287" t="s">
        <v>1584</v>
      </c>
      <c r="B68" s="288" t="s">
        <v>1684</v>
      </c>
      <c r="C68" s="287" t="s">
        <v>182</v>
      </c>
      <c r="D68" s="6" t="s">
        <v>1768</v>
      </c>
      <c r="E68" s="6" t="e">
        <f>IF(D68&lt;&gt;#REF!,"DIFERENTE","IGUAL")</f>
        <v>#REF!</v>
      </c>
      <c r="F68" s="141" t="str">
        <f>IFERROR(IF(LEFT(A68,3)="LCP",VLOOKUP(A68,#REF!,2,FALSE),VLOOKUP(A68,#REF!,2,FALSE)),"NO BUDGET")</f>
        <v>NO BUDGET</v>
      </c>
    </row>
    <row r="69" spans="1:6" s="21" customFormat="1" ht="24" customHeight="1">
      <c r="A69" s="287" t="s">
        <v>1603</v>
      </c>
      <c r="B69" s="288" t="s">
        <v>1518</v>
      </c>
      <c r="C69" s="294" t="s">
        <v>1492</v>
      </c>
      <c r="D69" s="6" t="s">
        <v>1768</v>
      </c>
      <c r="E69" s="6" t="e">
        <f>IF(D69&lt;&gt;#REF!,"DIFERENTE","IGUAL")</f>
        <v>#REF!</v>
      </c>
      <c r="F69" s="141" t="str">
        <f>IFERROR(IF(LEFT(A69,3)="LCP",VLOOKUP(A69,#REF!,2,FALSE),VLOOKUP(A69,#REF!,2,FALSE)),"NO BUDGET")</f>
        <v>NO BUDGET</v>
      </c>
    </row>
    <row r="70" spans="1:6" s="21" customFormat="1" ht="24" customHeight="1">
      <c r="A70" s="287" t="s">
        <v>1773</v>
      </c>
      <c r="B70" s="288" t="s">
        <v>1452</v>
      </c>
      <c r="C70" s="287" t="s">
        <v>1492</v>
      </c>
      <c r="D70" s="6" t="s">
        <v>1768</v>
      </c>
      <c r="E70" s="6" t="e">
        <f>IF(D70&lt;&gt;#REF!,"DIFERENTE","IGUAL")</f>
        <v>#REF!</v>
      </c>
      <c r="F70" s="141" t="str">
        <f>IFERROR(IF(LEFT(A70,3)="LCP",VLOOKUP(A70,#REF!,2,FALSE),VLOOKUP(A70,#REF!,2,FALSE)),"NO BUDGET")</f>
        <v>NO BUDGET</v>
      </c>
    </row>
    <row r="71" spans="1:6" s="21" customFormat="1" ht="24" customHeight="1">
      <c r="A71" s="287" t="s">
        <v>1803</v>
      </c>
      <c r="B71" s="288" t="s">
        <v>1804</v>
      </c>
      <c r="C71" s="287" t="s">
        <v>1492</v>
      </c>
      <c r="D71" s="6" t="s">
        <v>1768</v>
      </c>
      <c r="E71" s="6" t="e">
        <f>IF(D71&lt;&gt;#REF!,"DIFERENTE","IGUAL")</f>
        <v>#REF!</v>
      </c>
      <c r="F71" s="141" t="str">
        <f>IFERROR(IF(LEFT(A71,3)="LCP",VLOOKUP(A71,#REF!,2,FALSE),VLOOKUP(A71,#REF!,2,FALSE)),"NO BUDGET")</f>
        <v>NO BUDGET</v>
      </c>
    </row>
    <row r="72" spans="1:6" s="21" customFormat="1" ht="24" customHeight="1">
      <c r="A72" s="77" t="s">
        <v>11</v>
      </c>
      <c r="B72" s="288" t="s">
        <v>12</v>
      </c>
      <c r="C72" s="287" t="s">
        <v>184</v>
      </c>
      <c r="D72" s="6" t="s">
        <v>217</v>
      </c>
      <c r="E72" s="6" t="e">
        <f>IF(D72&lt;&gt;#REF!,"DIFERENTE","IGUAL")</f>
        <v>#REF!</v>
      </c>
      <c r="F72" s="141" t="str">
        <f>IFERROR(IF(LEFT(A72,3)="LCP",VLOOKUP(A72,#REF!,2,FALSE),VLOOKUP(A72,#REF!,2,FALSE)),"NO BUDGET")</f>
        <v>NO BUDGET</v>
      </c>
    </row>
    <row r="73" spans="1:6" s="21" customFormat="1" ht="24" customHeight="1">
      <c r="A73" s="77" t="s">
        <v>13</v>
      </c>
      <c r="B73" s="288" t="s">
        <v>10</v>
      </c>
      <c r="C73" s="294" t="s">
        <v>182</v>
      </c>
      <c r="D73" s="6" t="s">
        <v>217</v>
      </c>
      <c r="E73" s="6" t="e">
        <f>IF(D73&lt;&gt;#REF!,"DIFERENTE","IGUAL")</f>
        <v>#REF!</v>
      </c>
      <c r="F73" s="141" t="str">
        <f>IFERROR(IF(LEFT(A73,3)="LCP",VLOOKUP(A73,#REF!,2,FALSE),VLOOKUP(A73,#REF!,2,FALSE)),"NO BUDGET")</f>
        <v>NO BUDGET</v>
      </c>
    </row>
    <row r="74" spans="1:6" s="21" customFormat="1" ht="24" customHeight="1">
      <c r="A74" s="77" t="s">
        <v>14</v>
      </c>
      <c r="B74" s="288" t="s">
        <v>15</v>
      </c>
      <c r="C74" s="287" t="s">
        <v>186</v>
      </c>
      <c r="D74" s="6" t="s">
        <v>217</v>
      </c>
      <c r="E74" s="6" t="e">
        <f>IF(D74&lt;&gt;#REF!,"DIFERENTE","IGUAL")</f>
        <v>#REF!</v>
      </c>
      <c r="F74" s="141" t="str">
        <f>IFERROR(IF(LEFT(A74,3)="LCP",VLOOKUP(A74,#REF!,2,FALSE),VLOOKUP(A74,#REF!,2,FALSE)),"NO BUDGET")</f>
        <v>NO BUDGET</v>
      </c>
    </row>
    <row r="75" spans="1:6" s="21" customFormat="1" ht="24" customHeight="1">
      <c r="A75" s="77" t="s">
        <v>16</v>
      </c>
      <c r="B75" s="288" t="s">
        <v>1793</v>
      </c>
      <c r="C75" s="287" t="s">
        <v>185</v>
      </c>
      <c r="D75" s="6" t="s">
        <v>217</v>
      </c>
      <c r="E75" s="6" t="e">
        <f>IF(D75&lt;&gt;#REF!,"DIFERENTE","IGUAL")</f>
        <v>#REF!</v>
      </c>
      <c r="F75" s="141" t="str">
        <f>IFERROR(IF(LEFT(A75,3)="LCP",VLOOKUP(A75,#REF!,2,FALSE),VLOOKUP(A75,#REF!,2,FALSE)),"NO BUDGET")</f>
        <v>NO BUDGET</v>
      </c>
    </row>
    <row r="76" spans="1:6" s="21" customFormat="1" ht="24" customHeight="1">
      <c r="A76" s="77" t="s">
        <v>18</v>
      </c>
      <c r="B76" s="288" t="s">
        <v>19</v>
      </c>
      <c r="C76" s="287" t="s">
        <v>185</v>
      </c>
      <c r="D76" s="6" t="s">
        <v>217</v>
      </c>
      <c r="E76" s="6" t="e">
        <f>IF(D76&lt;&gt;#REF!,"DIFERENTE","IGUAL")</f>
        <v>#REF!</v>
      </c>
      <c r="F76" s="141" t="str">
        <f>IFERROR(IF(LEFT(A76,3)="LCP",VLOOKUP(A76,#REF!,2,FALSE),VLOOKUP(A76,#REF!,2,FALSE)),"NO BUDGET")</f>
        <v>NO BUDGET</v>
      </c>
    </row>
    <row r="77" spans="1:6" s="21" customFormat="1" ht="24" customHeight="1">
      <c r="A77" s="77" t="s">
        <v>20</v>
      </c>
      <c r="B77" s="288" t="s">
        <v>1723</v>
      </c>
      <c r="C77" s="287" t="s">
        <v>186</v>
      </c>
      <c r="D77" s="6" t="s">
        <v>217</v>
      </c>
      <c r="E77" s="6" t="e">
        <f>IF(D77&lt;&gt;#REF!,"DIFERENTE","IGUAL")</f>
        <v>#REF!</v>
      </c>
      <c r="F77" s="141" t="str">
        <f>IFERROR(IF(LEFT(A77,3)="LCP",VLOOKUP(A77,#REF!,2,FALSE),VLOOKUP(A77,#REF!,2,FALSE)),"NO BUDGET")</f>
        <v>NO BUDGET</v>
      </c>
    </row>
    <row r="78" spans="1:6" s="21" customFormat="1" ht="24" customHeight="1">
      <c r="A78" s="77" t="s">
        <v>22</v>
      </c>
      <c r="B78" s="288" t="s">
        <v>23</v>
      </c>
      <c r="C78" s="287" t="s">
        <v>1492</v>
      </c>
      <c r="D78" s="6" t="s">
        <v>217</v>
      </c>
      <c r="E78" s="6" t="e">
        <f>IF(D78&lt;&gt;#REF!,"DIFERENTE","IGUAL")</f>
        <v>#REF!</v>
      </c>
      <c r="F78" s="141" t="str">
        <f>IFERROR(IF(LEFT(A78,3)="LCP",VLOOKUP(A78,#REF!,2,FALSE),VLOOKUP(A78,#REF!,2,FALSE)),"NO BUDGET")</f>
        <v>NO BUDGET</v>
      </c>
    </row>
    <row r="79" spans="1:6" s="21" customFormat="1" ht="22.5" customHeight="1">
      <c r="A79" s="77" t="s">
        <v>24</v>
      </c>
      <c r="B79" s="288" t="s">
        <v>1724</v>
      </c>
      <c r="C79" s="287" t="s">
        <v>185</v>
      </c>
      <c r="D79" s="6" t="s">
        <v>217</v>
      </c>
      <c r="E79" s="6" t="e">
        <f>IF(D79&lt;&gt;#REF!,"DIFERENTE","IGUAL")</f>
        <v>#REF!</v>
      </c>
      <c r="F79" s="141" t="str">
        <f>IFERROR(IF(LEFT(A79,3)="LCP",VLOOKUP(A79,#REF!,2,FALSE),VLOOKUP(A79,#REF!,2,FALSE)),"NO BUDGET")</f>
        <v>NO BUDGET</v>
      </c>
    </row>
    <row r="80" spans="1:6" s="21" customFormat="1" ht="24" customHeight="1">
      <c r="A80" s="77" t="s">
        <v>26</v>
      </c>
      <c r="B80" s="288" t="s">
        <v>27</v>
      </c>
      <c r="C80" s="287" t="s">
        <v>186</v>
      </c>
      <c r="D80" s="6" t="s">
        <v>217</v>
      </c>
      <c r="E80" s="6" t="e">
        <f>IF(D80&lt;&gt;#REF!,"DIFERENTE","IGUAL")</f>
        <v>#REF!</v>
      </c>
      <c r="F80" s="141" t="str">
        <f>IFERROR(IF(LEFT(A80,3)="LCP",VLOOKUP(A80,#REF!,2,FALSE),VLOOKUP(A80,#REF!,2,FALSE)),"NO BUDGET")</f>
        <v>NO BUDGET</v>
      </c>
    </row>
    <row r="81" spans="1:6" s="21" customFormat="1" ht="24" customHeight="1">
      <c r="A81" s="77" t="s">
        <v>28</v>
      </c>
      <c r="B81" s="288" t="s">
        <v>29</v>
      </c>
      <c r="C81" s="287" t="s">
        <v>315</v>
      </c>
      <c r="D81" s="6" t="s">
        <v>217</v>
      </c>
      <c r="E81" s="6" t="e">
        <f>IF(D81&lt;&gt;#REF!,"DIFERENTE","IGUAL")</f>
        <v>#REF!</v>
      </c>
      <c r="F81" s="141" t="str">
        <f>IFERROR(IF(LEFT(A81,3)="LCP",VLOOKUP(A81,#REF!,2,FALSE),VLOOKUP(A81,#REF!,2,FALSE)),"NO BUDGET")</f>
        <v>NO BUDGET</v>
      </c>
    </row>
    <row r="82" spans="1:6" s="21" customFormat="1" ht="24" customHeight="1">
      <c r="A82" s="77" t="s">
        <v>30</v>
      </c>
      <c r="B82" s="288" t="s">
        <v>31</v>
      </c>
      <c r="C82" s="287" t="s">
        <v>1492</v>
      </c>
      <c r="D82" s="6" t="s">
        <v>217</v>
      </c>
      <c r="E82" s="6" t="e">
        <f>IF(D82&lt;&gt;#REF!,"DIFERENTE","IGUAL")</f>
        <v>#REF!</v>
      </c>
      <c r="F82" s="141" t="str">
        <f>IFERROR(IF(LEFT(A82,3)="LCP",VLOOKUP(A82,#REF!,2,FALSE),VLOOKUP(A82,#REF!,2,FALSE)),"NO BUDGET")</f>
        <v>NO BUDGET</v>
      </c>
    </row>
    <row r="83" spans="1:6" s="21" customFormat="1" ht="24" customHeight="1">
      <c r="A83" s="77" t="s">
        <v>32</v>
      </c>
      <c r="B83" s="288" t="s">
        <v>33</v>
      </c>
      <c r="C83" s="287" t="s">
        <v>187</v>
      </c>
      <c r="D83" s="6" t="s">
        <v>217</v>
      </c>
      <c r="E83" s="6" t="e">
        <f>IF(D83&lt;&gt;#REF!,"DIFERENTE","IGUAL")</f>
        <v>#REF!</v>
      </c>
      <c r="F83" s="141" t="str">
        <f>IFERROR(IF(LEFT(A83,3)="LCP",VLOOKUP(A83,#REF!,2,FALSE),VLOOKUP(A83,#REF!,2,FALSE)),"NO BUDGET")</f>
        <v>NO BUDGET</v>
      </c>
    </row>
    <row r="84" spans="1:6" s="21" customFormat="1" ht="24" customHeight="1">
      <c r="A84" s="77" t="s">
        <v>34</v>
      </c>
      <c r="B84" s="288" t="s">
        <v>35</v>
      </c>
      <c r="C84" s="287" t="s">
        <v>186</v>
      </c>
      <c r="D84" s="6" t="s">
        <v>217</v>
      </c>
      <c r="E84" s="6" t="e">
        <f>IF(D84&lt;&gt;#REF!,"DIFERENTE","IGUAL")</f>
        <v>#REF!</v>
      </c>
      <c r="F84" s="141" t="str">
        <f>IFERROR(IF(LEFT(A84,3)="LCP",VLOOKUP(A84,#REF!,2,FALSE),VLOOKUP(A84,#REF!,2,FALSE)),"NO BUDGET")</f>
        <v>NO BUDGET</v>
      </c>
    </row>
    <row r="85" spans="1:6" s="21" customFormat="1" ht="24" customHeight="1">
      <c r="A85" s="77" t="s">
        <v>36</v>
      </c>
      <c r="B85" s="288" t="s">
        <v>37</v>
      </c>
      <c r="C85" s="294" t="s">
        <v>187</v>
      </c>
      <c r="D85" s="6" t="s">
        <v>217</v>
      </c>
      <c r="E85" s="6" t="e">
        <f>IF(D85&lt;&gt;#REF!,"DIFERENTE","IGUAL")</f>
        <v>#REF!</v>
      </c>
      <c r="F85" s="141" t="str">
        <f>IFERROR(IF(LEFT(A85,3)="LCP",VLOOKUP(A85,#REF!,2,FALSE),VLOOKUP(A85,#REF!,2,FALSE)),"NO BUDGET")</f>
        <v>NO BUDGET</v>
      </c>
    </row>
    <row r="86" spans="1:6" s="21" customFormat="1" ht="24" customHeight="1">
      <c r="A86" s="77" t="s">
        <v>38</v>
      </c>
      <c r="B86" s="288" t="s">
        <v>39</v>
      </c>
      <c r="C86" s="287" t="s">
        <v>186</v>
      </c>
      <c r="D86" s="6" t="s">
        <v>217</v>
      </c>
      <c r="E86" s="6" t="e">
        <f>IF(D86&lt;&gt;#REF!,"DIFERENTE","IGUAL")</f>
        <v>#REF!</v>
      </c>
      <c r="F86" s="141" t="str">
        <f>IFERROR(IF(LEFT(A86,3)="LCP",VLOOKUP(A86,#REF!,2,FALSE),VLOOKUP(A86,#REF!,2,FALSE)),"NO BUDGET")</f>
        <v>NO BUDGET</v>
      </c>
    </row>
    <row r="87" spans="1:6" s="21" customFormat="1" ht="24" customHeight="1">
      <c r="A87" s="77" t="s">
        <v>40</v>
      </c>
      <c r="B87" s="288" t="s">
        <v>1725</v>
      </c>
      <c r="C87" s="294" t="s">
        <v>187</v>
      </c>
      <c r="D87" s="6" t="s">
        <v>217</v>
      </c>
      <c r="E87" s="6" t="e">
        <f>IF(D87&lt;&gt;#REF!,"DIFERENTE","IGUAL")</f>
        <v>#REF!</v>
      </c>
      <c r="F87" s="141" t="str">
        <f>IFERROR(IF(LEFT(A87,3)="LCP",VLOOKUP(A87,#REF!,2,FALSE),VLOOKUP(A87,#REF!,2,FALSE)),"NO BUDGET")</f>
        <v>NO BUDGET</v>
      </c>
    </row>
    <row r="88" spans="1:6" s="21" customFormat="1" ht="24" customHeight="1">
      <c r="A88" s="77" t="s">
        <v>42</v>
      </c>
      <c r="B88" s="288" t="s">
        <v>1761</v>
      </c>
      <c r="C88" s="287" t="s">
        <v>185</v>
      </c>
      <c r="D88" s="6" t="s">
        <v>217</v>
      </c>
      <c r="E88" s="6" t="e">
        <f>IF(D88&lt;&gt;#REF!,"DIFERENTE","IGUAL")</f>
        <v>#REF!</v>
      </c>
      <c r="F88" s="141" t="str">
        <f>IFERROR(IF(LEFT(A88,3)="LCP",VLOOKUP(A88,#REF!,2,FALSE),VLOOKUP(A88,#REF!,2,FALSE)),"NO BUDGET")</f>
        <v>NO BUDGET</v>
      </c>
    </row>
    <row r="89" spans="1:6" s="21" customFormat="1" ht="24" customHeight="1">
      <c r="A89" s="77" t="s">
        <v>44</v>
      </c>
      <c r="B89" s="288" t="s">
        <v>1726</v>
      </c>
      <c r="C89" s="294" t="s">
        <v>185</v>
      </c>
      <c r="D89" s="6" t="s">
        <v>217</v>
      </c>
      <c r="E89" s="6" t="e">
        <f>IF(D89&lt;&gt;#REF!,"DIFERENTE","IGUAL")</f>
        <v>#REF!</v>
      </c>
      <c r="F89" s="141" t="str">
        <f>IFERROR(IF(LEFT(A89,3)="LCP",VLOOKUP(A89,#REF!,2,FALSE),VLOOKUP(A89,#REF!,2,FALSE)),"NO BUDGET")</f>
        <v>NO BUDGET</v>
      </c>
    </row>
    <row r="90" spans="1:6" s="21" customFormat="1" ht="24" customHeight="1">
      <c r="A90" s="77" t="s">
        <v>46</v>
      </c>
      <c r="B90" s="288" t="s">
        <v>47</v>
      </c>
      <c r="C90" s="287" t="s">
        <v>187</v>
      </c>
      <c r="D90" s="6" t="s">
        <v>217</v>
      </c>
      <c r="E90" s="6" t="e">
        <f>IF(D90&lt;&gt;#REF!,"DIFERENTE","IGUAL")</f>
        <v>#REF!</v>
      </c>
      <c r="F90" s="141" t="str">
        <f>IFERROR(IF(LEFT(A90,3)="LCP",VLOOKUP(A90,#REF!,2,FALSE),VLOOKUP(A90,#REF!,2,FALSE)),"NO BUDGET")</f>
        <v>NO BUDGET</v>
      </c>
    </row>
    <row r="91" spans="1:6" s="21" customFormat="1" ht="24" customHeight="1">
      <c r="A91" s="77" t="s">
        <v>48</v>
      </c>
      <c r="B91" s="288" t="s">
        <v>49</v>
      </c>
      <c r="C91" s="294" t="s">
        <v>186</v>
      </c>
      <c r="D91" s="6" t="s">
        <v>217</v>
      </c>
      <c r="E91" s="6" t="e">
        <f>IF(D91&lt;&gt;#REF!,"DIFERENTE","IGUAL")</f>
        <v>#REF!</v>
      </c>
      <c r="F91" s="141" t="str">
        <f>IFERROR(IF(LEFT(A91,3)="LCP",VLOOKUP(A91,#REF!,2,FALSE),VLOOKUP(A91,#REF!,2,FALSE)),"NO BUDGET")</f>
        <v>NO BUDGET</v>
      </c>
    </row>
    <row r="92" spans="1:6" s="21" customFormat="1" ht="28.5" customHeight="1">
      <c r="A92" s="77" t="s">
        <v>50</v>
      </c>
      <c r="B92" s="288" t="s">
        <v>51</v>
      </c>
      <c r="C92" s="287" t="s">
        <v>185</v>
      </c>
      <c r="D92" s="6" t="s">
        <v>217</v>
      </c>
      <c r="E92" s="6" t="e">
        <f>IF(D92&lt;&gt;#REF!,"DIFERENTE","IGUAL")</f>
        <v>#REF!</v>
      </c>
      <c r="F92" s="141" t="str">
        <f>IFERROR(IF(LEFT(A92,3)="LCP",VLOOKUP(A92,#REF!,2,FALSE),VLOOKUP(A92,#REF!,2,FALSE)),"NO BUDGET")</f>
        <v>NO BUDGET</v>
      </c>
    </row>
    <row r="93" spans="1:6" s="21" customFormat="1" ht="24" customHeight="1">
      <c r="A93" s="77" t="s">
        <v>52</v>
      </c>
      <c r="B93" s="288" t="s">
        <v>53</v>
      </c>
      <c r="C93" s="287" t="s">
        <v>182</v>
      </c>
      <c r="D93" s="6" t="s">
        <v>217</v>
      </c>
      <c r="E93" s="6" t="e">
        <f>IF(D93&lt;&gt;#REF!,"DIFERENTE","IGUAL")</f>
        <v>#REF!</v>
      </c>
      <c r="F93" s="141" t="str">
        <f>IFERROR(IF(LEFT(A93,3)="LCP",VLOOKUP(A93,#REF!,2,FALSE),VLOOKUP(A93,#REF!,2,FALSE)),"NO BUDGET")</f>
        <v>NO BUDGET</v>
      </c>
    </row>
    <row r="94" spans="1:6" s="21" customFormat="1" ht="24" customHeight="1">
      <c r="A94" s="77" t="s">
        <v>56</v>
      </c>
      <c r="B94" s="288" t="s">
        <v>57</v>
      </c>
      <c r="C94" s="287" t="s">
        <v>1492</v>
      </c>
      <c r="D94" s="6" t="s">
        <v>217</v>
      </c>
      <c r="E94" s="6" t="e">
        <f>IF(D94&lt;&gt;#REF!,"DIFERENTE","IGUAL")</f>
        <v>#REF!</v>
      </c>
      <c r="F94" s="141" t="str">
        <f>IFERROR(IF(LEFT(A94,3)="LCP",VLOOKUP(A94,#REF!,2,FALSE),VLOOKUP(A94,#REF!,2,FALSE)),"NO BUDGET")</f>
        <v>NO BUDGET</v>
      </c>
    </row>
    <row r="95" spans="1:6" s="21" customFormat="1" ht="24" customHeight="1">
      <c r="A95" s="77" t="s">
        <v>58</v>
      </c>
      <c r="B95" s="288" t="s">
        <v>59</v>
      </c>
      <c r="C95" s="287" t="s">
        <v>186</v>
      </c>
      <c r="D95" s="6" t="s">
        <v>217</v>
      </c>
      <c r="E95" s="6" t="e">
        <f>IF(D95&lt;&gt;#REF!,"DIFERENTE","IGUAL")</f>
        <v>#REF!</v>
      </c>
      <c r="F95" s="141" t="str">
        <f>IFERROR(IF(LEFT(A95,3)="LCP",VLOOKUP(A95,#REF!,2,FALSE),VLOOKUP(A95,#REF!,2,FALSE)),"NO BUDGET")</f>
        <v>NO BUDGET</v>
      </c>
    </row>
    <row r="96" spans="1:6" s="21" customFormat="1" ht="24" customHeight="1">
      <c r="A96" s="77" t="s">
        <v>60</v>
      </c>
      <c r="B96" s="288" t="s">
        <v>61</v>
      </c>
      <c r="C96" s="287" t="s">
        <v>1492</v>
      </c>
      <c r="D96" s="6" t="s">
        <v>217</v>
      </c>
      <c r="E96" s="6" t="e">
        <f>IF(D96&lt;&gt;#REF!,"DIFERENTE","IGUAL")</f>
        <v>#REF!</v>
      </c>
      <c r="F96" s="141" t="str">
        <f>IFERROR(IF(LEFT(A96,3)="LCP",VLOOKUP(A96,#REF!,2,FALSE),VLOOKUP(A96,#REF!,2,FALSE)),"NO BUDGET")</f>
        <v>NO BUDGET</v>
      </c>
    </row>
    <row r="97" spans="1:6" s="21" customFormat="1" ht="24" customHeight="1">
      <c r="A97" s="77" t="s">
        <v>107</v>
      </c>
      <c r="B97" s="288" t="s">
        <v>108</v>
      </c>
      <c r="C97" s="287" t="s">
        <v>186</v>
      </c>
      <c r="D97" s="6" t="s">
        <v>217</v>
      </c>
      <c r="E97" s="6" t="e">
        <f>IF(D97&lt;&gt;#REF!,"DIFERENTE","IGUAL")</f>
        <v>#REF!</v>
      </c>
      <c r="F97" s="141" t="str">
        <f>IFERROR(IF(LEFT(A97,3)="LCP",VLOOKUP(A97,#REF!,2,FALSE),VLOOKUP(A97,#REF!,2,FALSE)),"NO BUDGET")</f>
        <v>NO BUDGET</v>
      </c>
    </row>
    <row r="98" spans="1:6" s="21" customFormat="1" ht="24" customHeight="1">
      <c r="A98" s="77" t="s">
        <v>72</v>
      </c>
      <c r="B98" s="288" t="s">
        <v>73</v>
      </c>
      <c r="C98" s="294" t="s">
        <v>1492</v>
      </c>
      <c r="D98" s="6" t="s">
        <v>217</v>
      </c>
      <c r="E98" s="6" t="e">
        <f>IF(D98&lt;&gt;#REF!,"DIFERENTE","IGUAL")</f>
        <v>#REF!</v>
      </c>
      <c r="F98" s="141" t="str">
        <f>IFERROR(IF(LEFT(A98,3)="LCP",VLOOKUP(A98,#REF!,2,FALSE),VLOOKUP(A98,#REF!,2,FALSE)),"NO BUDGET")</f>
        <v>NO BUDGET</v>
      </c>
    </row>
    <row r="99" spans="1:6" s="21" customFormat="1" ht="24" customHeight="1">
      <c r="A99" s="77" t="s">
        <v>68</v>
      </c>
      <c r="B99" s="288" t="s">
        <v>69</v>
      </c>
      <c r="C99" s="287" t="s">
        <v>184</v>
      </c>
      <c r="D99" s="6" t="s">
        <v>217</v>
      </c>
      <c r="E99" s="6" t="e">
        <f>IF(D99&lt;&gt;#REF!,"DIFERENTE","IGUAL")</f>
        <v>#REF!</v>
      </c>
      <c r="F99" s="141" t="str">
        <f>IFERROR(IF(LEFT(A99,3)="LCP",VLOOKUP(A99,#REF!,2,FALSE),VLOOKUP(A99,#REF!,2,FALSE)),"NO BUDGET")</f>
        <v>NO BUDGET</v>
      </c>
    </row>
    <row r="100" spans="1:6" s="21" customFormat="1" ht="24" customHeight="1">
      <c r="A100" s="77" t="s">
        <v>74</v>
      </c>
      <c r="B100" s="288" t="s">
        <v>75</v>
      </c>
      <c r="C100" s="294" t="s">
        <v>1492</v>
      </c>
      <c r="D100" s="6" t="s">
        <v>217</v>
      </c>
      <c r="E100" s="6" t="e">
        <f>IF(D100&lt;&gt;#REF!,"DIFERENTE","IGUAL")</f>
        <v>#REF!</v>
      </c>
      <c r="F100" s="141" t="str">
        <f>IFERROR(IF(LEFT(A100,3)="LCP",VLOOKUP(A100,#REF!,2,FALSE),VLOOKUP(A100,#REF!,2,FALSE)),"NO BUDGET")</f>
        <v>NO BUDGET</v>
      </c>
    </row>
    <row r="101" spans="1:6" s="21" customFormat="1" ht="24" customHeight="1">
      <c r="A101" s="77" t="s">
        <v>80</v>
      </c>
      <c r="B101" s="288" t="s">
        <v>1727</v>
      </c>
      <c r="C101" s="294" t="s">
        <v>187</v>
      </c>
      <c r="D101" s="6" t="s">
        <v>217</v>
      </c>
      <c r="E101" s="6" t="e">
        <f>IF(D101&lt;&gt;#REF!,"DIFERENTE","IGUAL")</f>
        <v>#REF!</v>
      </c>
      <c r="F101" s="141" t="str">
        <f>IFERROR(IF(LEFT(A101,3)="LCP",VLOOKUP(A101,#REF!,2,FALSE),VLOOKUP(A101,#REF!,2,FALSE)),"NO BUDGET")</f>
        <v>NO BUDGET</v>
      </c>
    </row>
    <row r="102" spans="1:6" s="21" customFormat="1" ht="24" customHeight="1">
      <c r="A102" s="77" t="s">
        <v>64</v>
      </c>
      <c r="B102" s="288" t="s">
        <v>1685</v>
      </c>
      <c r="C102" s="287" t="s">
        <v>185</v>
      </c>
      <c r="D102" s="6" t="s">
        <v>217</v>
      </c>
      <c r="E102" s="6" t="e">
        <f>IF(D102&lt;&gt;#REF!,"DIFERENTE","IGUAL")</f>
        <v>#REF!</v>
      </c>
      <c r="F102" s="141" t="str">
        <f>IFERROR(IF(LEFT(A102,3)="LCP",VLOOKUP(A102,#REF!,2,FALSE),VLOOKUP(A102,#REF!,2,FALSE)),"NO BUDGET")</f>
        <v>NO BUDGET</v>
      </c>
    </row>
    <row r="103" spans="1:6" s="21" customFormat="1" ht="24" customHeight="1">
      <c r="A103" s="77" t="s">
        <v>101</v>
      </c>
      <c r="B103" s="288" t="s">
        <v>1686</v>
      </c>
      <c r="C103" s="287" t="s">
        <v>187</v>
      </c>
      <c r="D103" s="6" t="s">
        <v>217</v>
      </c>
      <c r="E103" s="6" t="e">
        <f>IF(D103&lt;&gt;#REF!,"DIFERENTE","IGUAL")</f>
        <v>#REF!</v>
      </c>
      <c r="F103" s="141" t="str">
        <f>IFERROR(IF(LEFT(A103,3)="LCP",VLOOKUP(A103,#REF!,2,FALSE),VLOOKUP(A103,#REF!,2,FALSE)),"NO BUDGET")</f>
        <v>NO BUDGET</v>
      </c>
    </row>
    <row r="104" spans="1:6" s="21" customFormat="1" ht="24" customHeight="1">
      <c r="A104" s="77" t="s">
        <v>62</v>
      </c>
      <c r="B104" s="288" t="s">
        <v>63</v>
      </c>
      <c r="C104" s="287" t="s">
        <v>182</v>
      </c>
      <c r="D104" s="6" t="s">
        <v>217</v>
      </c>
      <c r="E104" s="6" t="e">
        <f>IF(D104&lt;&gt;#REF!,"DIFERENTE","IGUAL")</f>
        <v>#REF!</v>
      </c>
      <c r="F104" s="141" t="str">
        <f>IFERROR(IF(LEFT(A104,3)="LCP",VLOOKUP(A104,#REF!,2,FALSE),VLOOKUP(A104,#REF!,2,FALSE)),"NO BUDGET")</f>
        <v>NO BUDGET</v>
      </c>
    </row>
    <row r="105" spans="1:6" s="21" customFormat="1" ht="24" customHeight="1">
      <c r="A105" s="77" t="s">
        <v>105</v>
      </c>
      <c r="B105" s="288" t="s">
        <v>106</v>
      </c>
      <c r="C105" s="294" t="s">
        <v>187</v>
      </c>
      <c r="D105" s="6" t="s">
        <v>217</v>
      </c>
      <c r="E105" s="6" t="e">
        <f>IF(D105&lt;&gt;#REF!,"DIFERENTE","IGUAL")</f>
        <v>#REF!</v>
      </c>
      <c r="F105" s="141" t="str">
        <f>IFERROR(IF(LEFT(A105,3)="LCP",VLOOKUP(A105,#REF!,2,FALSE),VLOOKUP(A105,#REF!,2,FALSE)),"NO BUDGET")</f>
        <v>NO BUDGET</v>
      </c>
    </row>
    <row r="106" spans="1:6" s="21" customFormat="1" ht="24" customHeight="1">
      <c r="A106" s="77" t="s">
        <v>103</v>
      </c>
      <c r="B106" s="288" t="s">
        <v>104</v>
      </c>
      <c r="C106" s="294" t="s">
        <v>315</v>
      </c>
      <c r="D106" s="6" t="s">
        <v>217</v>
      </c>
      <c r="E106" s="6" t="e">
        <f>IF(D106&lt;&gt;#REF!,"DIFERENTE","IGUAL")</f>
        <v>#REF!</v>
      </c>
      <c r="F106" s="141" t="str">
        <f>IFERROR(IF(LEFT(A106,3)="LCP",VLOOKUP(A106,#REF!,2,FALSE),VLOOKUP(A106,#REF!,2,FALSE)),"NO BUDGET")</f>
        <v>NO BUDGET</v>
      </c>
    </row>
    <row r="107" spans="1:6" s="21" customFormat="1" ht="24" customHeight="1">
      <c r="A107" s="77" t="s">
        <v>94</v>
      </c>
      <c r="B107" s="288" t="s">
        <v>95</v>
      </c>
      <c r="C107" s="287" t="s">
        <v>1492</v>
      </c>
      <c r="D107" s="6" t="s">
        <v>217</v>
      </c>
      <c r="E107" s="6" t="e">
        <f>IF(D107&lt;&gt;#REF!,"DIFERENTE","IGUAL")</f>
        <v>#REF!</v>
      </c>
      <c r="F107" s="141" t="str">
        <f>IFERROR(IF(LEFT(A107,3)="LCP",VLOOKUP(A107,#REF!,2,FALSE),VLOOKUP(A107,#REF!,2,FALSE)),"NO BUDGET")</f>
        <v>NO BUDGET</v>
      </c>
    </row>
    <row r="108" spans="1:6" s="21" customFormat="1" ht="24" customHeight="1">
      <c r="A108" s="77" t="s">
        <v>78</v>
      </c>
      <c r="B108" s="288" t="s">
        <v>79</v>
      </c>
      <c r="C108" s="287" t="s">
        <v>315</v>
      </c>
      <c r="D108" s="6" t="s">
        <v>217</v>
      </c>
      <c r="E108" s="6" t="e">
        <f>IF(D108&lt;&gt;#REF!,"DIFERENTE","IGUAL")</f>
        <v>#REF!</v>
      </c>
      <c r="F108" s="141" t="str">
        <f>IFERROR(IF(LEFT(A108,3)="LCP",VLOOKUP(A108,#REF!,2,FALSE),VLOOKUP(A108,#REF!,2,FALSE)),"NO BUDGET")</f>
        <v>NO BUDGET</v>
      </c>
    </row>
    <row r="109" spans="1:6" s="21" customFormat="1" ht="24" customHeight="1">
      <c r="A109" s="77" t="s">
        <v>111</v>
      </c>
      <c r="B109" s="288" t="s">
        <v>1728</v>
      </c>
      <c r="C109" s="287" t="s">
        <v>1492</v>
      </c>
      <c r="D109" s="6" t="s">
        <v>217</v>
      </c>
      <c r="E109" s="6" t="e">
        <f>IF(D109&lt;&gt;#REF!,"DIFERENTE","IGUAL")</f>
        <v>#REF!</v>
      </c>
      <c r="F109" s="141" t="str">
        <f>IFERROR(IF(LEFT(A109,3)="LCP",VLOOKUP(A109,#REF!,2,FALSE),VLOOKUP(A109,#REF!,2,FALSE)),"NO BUDGET")</f>
        <v>NO BUDGET</v>
      </c>
    </row>
    <row r="110" spans="1:6" s="21" customFormat="1" ht="24" customHeight="1">
      <c r="A110" s="77" t="s">
        <v>96</v>
      </c>
      <c r="B110" s="288" t="s">
        <v>97</v>
      </c>
      <c r="C110" s="287" t="s">
        <v>1492</v>
      </c>
      <c r="D110" s="6" t="s">
        <v>217</v>
      </c>
      <c r="E110" s="6" t="e">
        <f>IF(D110&lt;&gt;#REF!,"DIFERENTE","IGUAL")</f>
        <v>#REF!</v>
      </c>
      <c r="F110" s="141" t="str">
        <f>IFERROR(IF(LEFT(A110,3)="LCP",VLOOKUP(A110,#REF!,2,FALSE),VLOOKUP(A110,#REF!,2,FALSE)),"NO BUDGET")</f>
        <v>NO BUDGET</v>
      </c>
    </row>
    <row r="111" spans="1:6" s="21" customFormat="1" ht="24" customHeight="1">
      <c r="A111" s="77" t="s">
        <v>66</v>
      </c>
      <c r="B111" s="288" t="s">
        <v>67</v>
      </c>
      <c r="C111" s="287" t="s">
        <v>184</v>
      </c>
      <c r="D111" s="6" t="s">
        <v>217</v>
      </c>
      <c r="E111" s="6" t="e">
        <f>IF(D111&lt;&gt;#REF!,"DIFERENTE","IGUAL")</f>
        <v>#REF!</v>
      </c>
      <c r="F111" s="141" t="str">
        <f>IFERROR(IF(LEFT(A111,3)="LCP",VLOOKUP(A111,#REF!,2,FALSE),VLOOKUP(A111,#REF!,2,FALSE)),"NO BUDGET")</f>
        <v>NO BUDGET</v>
      </c>
    </row>
    <row r="112" spans="1:6" s="21" customFormat="1" ht="24" customHeight="1">
      <c r="A112" s="77" t="s">
        <v>92</v>
      </c>
      <c r="B112" s="288" t="s">
        <v>93</v>
      </c>
      <c r="C112" s="287" t="s">
        <v>185</v>
      </c>
      <c r="D112" s="6" t="s">
        <v>217</v>
      </c>
      <c r="E112" s="6" t="e">
        <f>IF(D112&lt;&gt;#REF!,"DIFERENTE","IGUAL")</f>
        <v>#REF!</v>
      </c>
      <c r="F112" s="141" t="str">
        <f>IFERROR(IF(LEFT(A112,3)="LCP",VLOOKUP(A112,#REF!,2,FALSE),VLOOKUP(A112,#REF!,2,FALSE)),"NO BUDGET")</f>
        <v>NO BUDGET</v>
      </c>
    </row>
    <row r="113" spans="1:6" s="21" customFormat="1" ht="24" customHeight="1">
      <c r="A113" s="77" t="s">
        <v>99</v>
      </c>
      <c r="B113" s="288" t="s">
        <v>1729</v>
      </c>
      <c r="C113" s="287" t="s">
        <v>187</v>
      </c>
      <c r="D113" s="6" t="s">
        <v>217</v>
      </c>
      <c r="E113" s="6" t="e">
        <f>IF(D113&lt;&gt;#REF!,"DIFERENTE","IGUAL")</f>
        <v>#REF!</v>
      </c>
      <c r="F113" s="141" t="str">
        <f>IFERROR(IF(LEFT(A113,3)="LCP",VLOOKUP(A113,#REF!,2,FALSE),VLOOKUP(A113,#REF!,2,FALSE)),"NO BUDGET")</f>
        <v>NO BUDGET</v>
      </c>
    </row>
    <row r="114" spans="1:6" s="21" customFormat="1" ht="24" customHeight="1">
      <c r="A114" s="77" t="s">
        <v>113</v>
      </c>
      <c r="B114" s="288" t="s">
        <v>465</v>
      </c>
      <c r="C114" s="287" t="s">
        <v>1492</v>
      </c>
      <c r="D114" s="6" t="s">
        <v>217</v>
      </c>
      <c r="E114" s="6" t="e">
        <f>IF(D114&lt;&gt;#REF!,"DIFERENTE","IGUAL")</f>
        <v>#REF!</v>
      </c>
      <c r="F114" s="141" t="str">
        <f>IFERROR(IF(LEFT(A114,3)="LCP",VLOOKUP(A114,#REF!,2,FALSE),VLOOKUP(A114,#REF!,2,FALSE)),"NO BUDGET")</f>
        <v>NO BUDGET</v>
      </c>
    </row>
    <row r="115" spans="1:6" s="21" customFormat="1" ht="24" customHeight="1">
      <c r="A115" s="77" t="s">
        <v>114</v>
      </c>
      <c r="B115" s="288" t="s">
        <v>115</v>
      </c>
      <c r="C115" s="287" t="s">
        <v>1492</v>
      </c>
      <c r="D115" s="6" t="s">
        <v>217</v>
      </c>
      <c r="E115" s="6" t="e">
        <f>IF(D115&lt;&gt;#REF!,"DIFERENTE","IGUAL")</f>
        <v>#REF!</v>
      </c>
      <c r="F115" s="141" t="str">
        <f>IFERROR(IF(LEFT(A115,3)="LCP",VLOOKUP(A115,#REF!,2,FALSE),VLOOKUP(A115,#REF!,2,FALSE)),"NO BUDGET")</f>
        <v>NO BUDGET</v>
      </c>
    </row>
    <row r="116" spans="1:6" s="21" customFormat="1" ht="24" customHeight="1">
      <c r="A116" s="77" t="s">
        <v>70</v>
      </c>
      <c r="B116" s="288" t="s">
        <v>71</v>
      </c>
      <c r="C116" s="287" t="s">
        <v>184</v>
      </c>
      <c r="D116" s="6" t="s">
        <v>217</v>
      </c>
      <c r="E116" s="6" t="e">
        <f>IF(D116&lt;&gt;#REF!,"DIFERENTE","IGUAL")</f>
        <v>#REF!</v>
      </c>
      <c r="F116" s="141" t="str">
        <f>IFERROR(IF(LEFT(A116,3)="LCP",VLOOKUP(A116,#REF!,2,FALSE),VLOOKUP(A116,#REF!,2,FALSE)),"NO BUDGET")</f>
        <v>NO BUDGET</v>
      </c>
    </row>
    <row r="117" spans="1:6" s="21" customFormat="1" ht="24" customHeight="1">
      <c r="A117" s="77" t="s">
        <v>116</v>
      </c>
      <c r="B117" s="288" t="s">
        <v>117</v>
      </c>
      <c r="C117" s="287" t="s">
        <v>184</v>
      </c>
      <c r="D117" s="6" t="s">
        <v>217</v>
      </c>
      <c r="E117" s="6" t="e">
        <f>IF(D117&lt;&gt;#REF!,"DIFERENTE","IGUAL")</f>
        <v>#REF!</v>
      </c>
      <c r="F117" s="141" t="str">
        <f>IFERROR(IF(LEFT(A117,3)="LCP",VLOOKUP(A117,#REF!,2,FALSE),VLOOKUP(A117,#REF!,2,FALSE)),"NO BUDGET")</f>
        <v>NO BUDGET</v>
      </c>
    </row>
    <row r="118" spans="1:6" s="21" customFormat="1" ht="24" customHeight="1">
      <c r="A118" s="77" t="s">
        <v>88</v>
      </c>
      <c r="B118" s="288" t="s">
        <v>1757</v>
      </c>
      <c r="C118" s="287" t="s">
        <v>187</v>
      </c>
      <c r="D118" s="6" t="s">
        <v>217</v>
      </c>
      <c r="E118" s="6" t="e">
        <f>IF(D118&lt;&gt;#REF!,"DIFERENTE","IGUAL")</f>
        <v>#REF!</v>
      </c>
      <c r="F118" s="141" t="str">
        <f>IFERROR(IF(LEFT(A118,3)="LCP",VLOOKUP(A118,#REF!,2,FALSE),VLOOKUP(A118,#REF!,2,FALSE)),"NO BUDGET")</f>
        <v>NO BUDGET</v>
      </c>
    </row>
    <row r="119" spans="1:6" s="21" customFormat="1" ht="24" customHeight="1">
      <c r="A119" s="77" t="s">
        <v>118</v>
      </c>
      <c r="B119" s="288" t="s">
        <v>119</v>
      </c>
      <c r="C119" s="287" t="s">
        <v>184</v>
      </c>
      <c r="D119" s="6" t="s">
        <v>217</v>
      </c>
      <c r="E119" s="6" t="e">
        <f>IF(D119&lt;&gt;#REF!,"DIFERENTE","IGUAL")</f>
        <v>#REF!</v>
      </c>
      <c r="F119" s="141" t="str">
        <f>IFERROR(IF(LEFT(A119,3)="LCP",VLOOKUP(A119,#REF!,2,FALSE),VLOOKUP(A119,#REF!,2,FALSE)),"NO BUDGET")</f>
        <v>NO BUDGET</v>
      </c>
    </row>
    <row r="120" spans="1:6" s="21" customFormat="1" ht="24" customHeight="1">
      <c r="A120" s="77" t="s">
        <v>120</v>
      </c>
      <c r="B120" s="288" t="s">
        <v>121</v>
      </c>
      <c r="C120" s="287" t="s">
        <v>184</v>
      </c>
      <c r="D120" s="6" t="s">
        <v>217</v>
      </c>
      <c r="E120" s="6" t="e">
        <f>IF(D120&lt;&gt;#REF!,"DIFERENTE","IGUAL")</f>
        <v>#REF!</v>
      </c>
      <c r="F120" s="141" t="str">
        <f>IFERROR(IF(LEFT(A120,3)="LCP",VLOOKUP(A120,#REF!,2,FALSE),VLOOKUP(A120,#REF!,2,FALSE)),"NO BUDGET")</f>
        <v>NO BUDGET</v>
      </c>
    </row>
    <row r="121" spans="1:6" s="21" customFormat="1" ht="24" customHeight="1">
      <c r="A121" s="77" t="s">
        <v>124</v>
      </c>
      <c r="B121" s="288" t="s">
        <v>1794</v>
      </c>
      <c r="C121" s="294" t="s">
        <v>185</v>
      </c>
      <c r="D121" s="6" t="s">
        <v>217</v>
      </c>
      <c r="E121" s="6" t="e">
        <f>IF(D121&lt;&gt;#REF!,"DIFERENTE","IGUAL")</f>
        <v>#REF!</v>
      </c>
      <c r="F121" s="141" t="str">
        <f>IFERROR(IF(LEFT(A121,3)="LCP",VLOOKUP(A121,#REF!,2,FALSE),VLOOKUP(A121,#REF!,2,FALSE)),"NO BUDGET")</f>
        <v>NO BUDGET</v>
      </c>
    </row>
    <row r="122" spans="1:6" s="21" customFormat="1" ht="24" customHeight="1">
      <c r="A122" s="77" t="s">
        <v>126</v>
      </c>
      <c r="B122" s="288" t="s">
        <v>1730</v>
      </c>
      <c r="C122" s="287" t="s">
        <v>185</v>
      </c>
      <c r="D122" s="6" t="s">
        <v>217</v>
      </c>
      <c r="E122" s="6" t="e">
        <f>IF(D122&lt;&gt;#REF!,"DIFERENTE","IGUAL")</f>
        <v>#REF!</v>
      </c>
      <c r="F122" s="141" t="str">
        <f>IFERROR(IF(LEFT(A122,3)="LCP",VLOOKUP(A122,#REF!,2,FALSE),VLOOKUP(A122,#REF!,2,FALSE)),"NO BUDGET")</f>
        <v>NO BUDGET</v>
      </c>
    </row>
    <row r="123" spans="1:6" s="21" customFormat="1" ht="24" customHeight="1">
      <c r="A123" s="77" t="s">
        <v>90</v>
      </c>
      <c r="B123" s="288" t="s">
        <v>1758</v>
      </c>
      <c r="C123" s="287" t="s">
        <v>187</v>
      </c>
      <c r="D123" s="6" t="s">
        <v>217</v>
      </c>
      <c r="E123" s="6" t="e">
        <f>IF(D123&lt;&gt;#REF!,"DIFERENTE","IGUAL")</f>
        <v>#REF!</v>
      </c>
      <c r="F123" s="141" t="str">
        <f>IFERROR(IF(LEFT(A123,3)="LCP",VLOOKUP(A123,#REF!,2,FALSE),VLOOKUP(A123,#REF!,2,FALSE)),"NO BUDGET")</f>
        <v>NO BUDGET</v>
      </c>
    </row>
    <row r="124" spans="1:6" s="21" customFormat="1" ht="24" customHeight="1">
      <c r="A124" s="77" t="s">
        <v>86</v>
      </c>
      <c r="B124" s="288" t="s">
        <v>1795</v>
      </c>
      <c r="C124" s="287" t="s">
        <v>185</v>
      </c>
      <c r="D124" s="6" t="s">
        <v>217</v>
      </c>
      <c r="E124" s="6" t="e">
        <f>IF(D124&lt;&gt;#REF!,"DIFERENTE","IGUAL")</f>
        <v>#REF!</v>
      </c>
      <c r="F124" s="141" t="str">
        <f>IFERROR(IF(LEFT(A124,3)="LCP",VLOOKUP(A124,#REF!,2,FALSE),VLOOKUP(A124,#REF!,2,FALSE)),"NO BUDGET")</f>
        <v>NO BUDGET</v>
      </c>
    </row>
    <row r="125" spans="1:6" s="21" customFormat="1" ht="24" customHeight="1">
      <c r="A125" s="77" t="s">
        <v>122</v>
      </c>
      <c r="B125" s="288" t="s">
        <v>220</v>
      </c>
      <c r="C125" s="287" t="s">
        <v>185</v>
      </c>
      <c r="D125" s="6" t="s">
        <v>217</v>
      </c>
      <c r="E125" s="6" t="e">
        <f>IF(D125&lt;&gt;#REF!,"DIFERENTE","IGUAL")</f>
        <v>#REF!</v>
      </c>
      <c r="F125" s="141" t="str">
        <f>IFERROR(IF(LEFT(A125,3)="LCP",VLOOKUP(A125,#REF!,2,FALSE),VLOOKUP(A125,#REF!,2,FALSE)),"NO BUDGET")</f>
        <v>NO BUDGET</v>
      </c>
    </row>
    <row r="126" spans="1:6" s="21" customFormat="1" ht="24" customHeight="1">
      <c r="A126" s="77" t="s">
        <v>84</v>
      </c>
      <c r="B126" s="288" t="s">
        <v>1687</v>
      </c>
      <c r="C126" s="294" t="s">
        <v>187</v>
      </c>
      <c r="D126" s="6" t="s">
        <v>217</v>
      </c>
      <c r="E126" s="6" t="e">
        <f>IF(D126&lt;&gt;#REF!,"DIFERENTE","IGUAL")</f>
        <v>#REF!</v>
      </c>
      <c r="F126" s="141" t="str">
        <f>IFERROR(IF(LEFT(A126,3)="LCP",VLOOKUP(A126,#REF!,2,FALSE),VLOOKUP(A126,#REF!,2,FALSE)),"NO BUDGET")</f>
        <v>NO BUDGET</v>
      </c>
    </row>
    <row r="127" spans="1:6" s="21" customFormat="1" ht="24" customHeight="1">
      <c r="A127" s="77" t="s">
        <v>128</v>
      </c>
      <c r="B127" s="288" t="s">
        <v>129</v>
      </c>
      <c r="C127" s="287" t="s">
        <v>315</v>
      </c>
      <c r="D127" s="6" t="s">
        <v>217</v>
      </c>
      <c r="E127" s="6" t="e">
        <f>IF(D127&lt;&gt;#REF!,"DIFERENTE","IGUAL")</f>
        <v>#REF!</v>
      </c>
      <c r="F127" s="141" t="str">
        <f>IFERROR(IF(LEFT(A127,3)="LCP",VLOOKUP(A127,#REF!,2,FALSE),VLOOKUP(A127,#REF!,2,FALSE)),"NO BUDGET")</f>
        <v>NO BUDGET</v>
      </c>
    </row>
    <row r="128" spans="1:6" s="21" customFormat="1" ht="24" customHeight="1">
      <c r="A128" s="77" t="s">
        <v>130</v>
      </c>
      <c r="B128" s="288" t="s">
        <v>131</v>
      </c>
      <c r="C128" s="287" t="s">
        <v>185</v>
      </c>
      <c r="D128" s="6" t="s">
        <v>217</v>
      </c>
      <c r="E128" s="6" t="e">
        <f>IF(D128&lt;&gt;#REF!,"DIFERENTE","IGUAL")</f>
        <v>#REF!</v>
      </c>
      <c r="F128" s="141" t="str">
        <f>IFERROR(IF(LEFT(A128,3)="LCP",VLOOKUP(A128,#REF!,2,FALSE),VLOOKUP(A128,#REF!,2,FALSE)),"NO BUDGET")</f>
        <v>NO BUDGET</v>
      </c>
    </row>
    <row r="129" spans="1:6" s="21" customFormat="1" ht="24" customHeight="1">
      <c r="A129" s="77" t="s">
        <v>132</v>
      </c>
      <c r="B129" s="288" t="s">
        <v>1731</v>
      </c>
      <c r="C129" s="294" t="s">
        <v>185</v>
      </c>
      <c r="D129" s="6" t="s">
        <v>217</v>
      </c>
      <c r="E129" s="6" t="e">
        <f>IF(D129&lt;&gt;#REF!,"DIFERENTE","IGUAL")</f>
        <v>#REF!</v>
      </c>
      <c r="F129" s="141" t="str">
        <f>IFERROR(IF(LEFT(A129,3)="LCP",VLOOKUP(A129,#REF!,2,FALSE),VLOOKUP(A129,#REF!,2,FALSE)),"NO BUDGET")</f>
        <v>NO BUDGET</v>
      </c>
    </row>
    <row r="130" spans="1:6" s="21" customFormat="1" ht="24" customHeight="1">
      <c r="A130" s="77" t="s">
        <v>134</v>
      </c>
      <c r="B130" s="288" t="s">
        <v>135</v>
      </c>
      <c r="C130" s="294" t="s">
        <v>1492</v>
      </c>
      <c r="D130" s="6" t="s">
        <v>217</v>
      </c>
      <c r="E130" s="6" t="e">
        <f>IF(D130&lt;&gt;#REF!,"DIFERENTE","IGUAL")</f>
        <v>#REF!</v>
      </c>
      <c r="F130" s="141" t="str">
        <f>IFERROR(IF(LEFT(A130,3)="LCP",VLOOKUP(A130,#REF!,2,FALSE),VLOOKUP(A130,#REF!,2,FALSE)),"NO BUDGET")</f>
        <v>NO BUDGET</v>
      </c>
    </row>
    <row r="131" spans="1:6" s="21" customFormat="1" ht="24" customHeight="1">
      <c r="A131" s="77" t="s">
        <v>136</v>
      </c>
      <c r="B131" s="288" t="s">
        <v>1732</v>
      </c>
      <c r="C131" s="287" t="s">
        <v>185</v>
      </c>
      <c r="D131" s="6" t="s">
        <v>217</v>
      </c>
      <c r="E131" s="6" t="e">
        <f>IF(D131&lt;&gt;#REF!,"DIFERENTE","IGUAL")</f>
        <v>#REF!</v>
      </c>
      <c r="F131" s="141" t="str">
        <f>IFERROR(IF(LEFT(A131,3)="LCP",VLOOKUP(A131,#REF!,2,FALSE),VLOOKUP(A131,#REF!,2,FALSE)),"NO BUDGET")</f>
        <v>NO BUDGET</v>
      </c>
    </row>
    <row r="132" spans="1:6" s="21" customFormat="1" ht="24" customHeight="1">
      <c r="A132" s="77" t="s">
        <v>82</v>
      </c>
      <c r="B132" s="288" t="s">
        <v>83</v>
      </c>
      <c r="C132" s="294" t="s">
        <v>187</v>
      </c>
      <c r="D132" s="6" t="s">
        <v>217</v>
      </c>
      <c r="E132" s="6" t="e">
        <f>IF(D132&lt;&gt;#REF!,"DIFERENTE","IGUAL")</f>
        <v>#REF!</v>
      </c>
      <c r="F132" s="141" t="str">
        <f>IFERROR(IF(LEFT(A132,3)="LCP",VLOOKUP(A132,#REF!,2,FALSE),VLOOKUP(A132,#REF!,2,FALSE)),"NO BUDGET")</f>
        <v>NO BUDGET</v>
      </c>
    </row>
    <row r="133" spans="1:6" s="21" customFormat="1" ht="24" customHeight="1">
      <c r="A133" s="77" t="s">
        <v>140</v>
      </c>
      <c r="B133" s="288" t="s">
        <v>141</v>
      </c>
      <c r="C133" s="287" t="s">
        <v>187</v>
      </c>
      <c r="D133" s="6" t="s">
        <v>217</v>
      </c>
      <c r="E133" s="6" t="e">
        <f>IF(D133&lt;&gt;#REF!,"DIFERENTE","IGUAL")</f>
        <v>#REF!</v>
      </c>
      <c r="F133" s="141" t="str">
        <f>IFERROR(IF(LEFT(A133,3)="LCP",VLOOKUP(A133,#REF!,2,FALSE),VLOOKUP(A133,#REF!,2,FALSE)),"NO BUDGET")</f>
        <v>NO BUDGET</v>
      </c>
    </row>
    <row r="134" spans="1:6" s="21" customFormat="1" ht="24" customHeight="1">
      <c r="A134" s="77" t="s">
        <v>138</v>
      </c>
      <c r="B134" s="288" t="s">
        <v>139</v>
      </c>
      <c r="C134" s="294" t="s">
        <v>315</v>
      </c>
      <c r="D134" s="6" t="s">
        <v>217</v>
      </c>
      <c r="E134" s="6" t="e">
        <f>IF(D134&lt;&gt;#REF!,"DIFERENTE","IGUAL")</f>
        <v>#REF!</v>
      </c>
      <c r="F134" s="141" t="str">
        <f>IFERROR(IF(LEFT(A134,3)="LCP",VLOOKUP(A134,#REF!,2,FALSE),VLOOKUP(A134,#REF!,2,FALSE)),"NO BUDGET")</f>
        <v>NO BUDGET</v>
      </c>
    </row>
    <row r="135" spans="1:6" s="21" customFormat="1" ht="24" customHeight="1">
      <c r="A135" s="77" t="s">
        <v>145</v>
      </c>
      <c r="B135" s="288" t="s">
        <v>73</v>
      </c>
      <c r="C135" s="287" t="s">
        <v>1492</v>
      </c>
      <c r="D135" s="6" t="s">
        <v>217</v>
      </c>
      <c r="E135" s="6" t="e">
        <f>IF(D135&lt;&gt;#REF!,"DIFERENTE","IGUAL")</f>
        <v>#REF!</v>
      </c>
      <c r="F135" s="141" t="str">
        <f>IFERROR(IF(LEFT(A135,3)="LCP",VLOOKUP(A135,#REF!,2,FALSE),VLOOKUP(A135,#REF!,2,FALSE)),"NO BUDGET")</f>
        <v>NO BUDGET</v>
      </c>
    </row>
    <row r="136" spans="1:6" s="21" customFormat="1" ht="24" customHeight="1">
      <c r="A136" s="77" t="s">
        <v>76</v>
      </c>
      <c r="B136" s="288" t="s">
        <v>77</v>
      </c>
      <c r="C136" s="294" t="s">
        <v>186</v>
      </c>
      <c r="D136" s="6" t="s">
        <v>1768</v>
      </c>
      <c r="E136" s="6" t="e">
        <f>IF(D136&lt;&gt;#REF!,"DIFERENTE","IGUAL")</f>
        <v>#REF!</v>
      </c>
      <c r="F136" s="141" t="str">
        <f>IFERROR(IF(LEFT(A136,3)="LCP",VLOOKUP(A136,#REF!,2,FALSE),VLOOKUP(A136,#REF!,2,FALSE)),"NO BUDGET")</f>
        <v>NO BUDGET</v>
      </c>
    </row>
    <row r="137" spans="1:6" s="21" customFormat="1" ht="24" customHeight="1">
      <c r="A137" s="77" t="s">
        <v>148</v>
      </c>
      <c r="B137" s="288" t="s">
        <v>149</v>
      </c>
      <c r="C137" s="287" t="s">
        <v>187</v>
      </c>
      <c r="D137" s="6" t="s">
        <v>217</v>
      </c>
      <c r="E137" s="6" t="e">
        <f>IF(D137&lt;&gt;#REF!,"DIFERENTE","IGUAL")</f>
        <v>#REF!</v>
      </c>
      <c r="F137" s="141" t="str">
        <f>IFERROR(IF(LEFT(A137,3)="LCP",VLOOKUP(A137,#REF!,2,FALSE),VLOOKUP(A137,#REF!,2,FALSE)),"NO BUDGET")</f>
        <v>NO BUDGET</v>
      </c>
    </row>
    <row r="138" spans="1:6" s="21" customFormat="1" ht="24" customHeight="1">
      <c r="A138" s="77" t="s">
        <v>146</v>
      </c>
      <c r="B138" s="288" t="s">
        <v>97</v>
      </c>
      <c r="C138" s="287" t="s">
        <v>1492</v>
      </c>
      <c r="D138" s="6" t="s">
        <v>217</v>
      </c>
      <c r="E138" s="6" t="e">
        <f>IF(D138&lt;&gt;#REF!,"DIFERENTE","IGUAL")</f>
        <v>#REF!</v>
      </c>
      <c r="F138" s="141" t="str">
        <f>IFERROR(IF(LEFT(A138,3)="LCP",VLOOKUP(A138,#REF!,2,FALSE),VLOOKUP(A138,#REF!,2,FALSE)),"NO BUDGET")</f>
        <v>NO BUDGET</v>
      </c>
    </row>
    <row r="139" spans="1:6" s="21" customFormat="1" ht="24" customHeight="1">
      <c r="A139" s="77" t="s">
        <v>154</v>
      </c>
      <c r="B139" s="288" t="s">
        <v>155</v>
      </c>
      <c r="C139" s="294" t="s">
        <v>1492</v>
      </c>
      <c r="D139" s="6" t="s">
        <v>217</v>
      </c>
      <c r="E139" s="6" t="e">
        <f>IF(D139&lt;&gt;#REF!,"DIFERENTE","IGUAL")</f>
        <v>#REF!</v>
      </c>
      <c r="F139" s="141" t="str">
        <f>IFERROR(IF(LEFT(A139,3)="LCP",VLOOKUP(A139,#REF!,2,FALSE),VLOOKUP(A139,#REF!,2,FALSE)),"NO BUDGET")</f>
        <v>NO BUDGET</v>
      </c>
    </row>
    <row r="140" spans="1:6" s="21" customFormat="1" ht="24" customHeight="1">
      <c r="A140" s="77" t="s">
        <v>156</v>
      </c>
      <c r="B140" s="288" t="s">
        <v>157</v>
      </c>
      <c r="C140" s="287" t="s">
        <v>185</v>
      </c>
      <c r="D140" s="6" t="s">
        <v>217</v>
      </c>
      <c r="E140" s="6" t="e">
        <f>IF(D140&lt;&gt;#REF!,"DIFERENTE","IGUAL")</f>
        <v>#REF!</v>
      </c>
      <c r="F140" s="141" t="str">
        <f>IFERROR(IF(LEFT(A140,3)="LCP",VLOOKUP(A140,#REF!,2,FALSE),VLOOKUP(A140,#REF!,2,FALSE)),"NO BUDGET")</f>
        <v>NO BUDGET</v>
      </c>
    </row>
    <row r="141" spans="1:6" s="21" customFormat="1" ht="24" customHeight="1">
      <c r="A141" s="77" t="s">
        <v>162</v>
      </c>
      <c r="B141" s="288" t="s">
        <v>163</v>
      </c>
      <c r="C141" s="287" t="s">
        <v>1492</v>
      </c>
      <c r="D141" s="6" t="s">
        <v>217</v>
      </c>
      <c r="E141" s="6" t="e">
        <f>IF(D141&lt;&gt;#REF!,"DIFERENTE","IGUAL")</f>
        <v>#REF!</v>
      </c>
      <c r="F141" s="141" t="str">
        <f>IFERROR(IF(LEFT(A141,3)="LCP",VLOOKUP(A141,#REF!,2,FALSE),VLOOKUP(A141,#REF!,2,FALSE)),"NO BUDGET")</f>
        <v>NO BUDGET</v>
      </c>
    </row>
    <row r="142" spans="1:6" s="21" customFormat="1" ht="24" customHeight="1">
      <c r="A142" s="77" t="s">
        <v>152</v>
      </c>
      <c r="B142" s="288" t="s">
        <v>1688</v>
      </c>
      <c r="C142" s="287" t="s">
        <v>187</v>
      </c>
      <c r="D142" s="6" t="s">
        <v>217</v>
      </c>
      <c r="E142" s="6" t="e">
        <f>IF(D142&lt;&gt;#REF!,"DIFERENTE","IGUAL")</f>
        <v>#REF!</v>
      </c>
      <c r="F142" s="141" t="str">
        <f>IFERROR(IF(LEFT(A142,3)="LCP",VLOOKUP(A142,#REF!,2,FALSE),VLOOKUP(A142,#REF!,2,FALSE)),"NO BUDGET")</f>
        <v>NO BUDGET</v>
      </c>
    </row>
    <row r="143" spans="1:6" s="21" customFormat="1" ht="24" customHeight="1">
      <c r="A143" s="77" t="s">
        <v>166</v>
      </c>
      <c r="B143" s="288" t="s">
        <v>167</v>
      </c>
      <c r="C143" s="287" t="s">
        <v>1492</v>
      </c>
      <c r="D143" s="6" t="s">
        <v>217</v>
      </c>
      <c r="E143" s="6" t="e">
        <f>IF(D143&lt;&gt;#REF!,"DIFERENTE","IGUAL")</f>
        <v>#REF!</v>
      </c>
      <c r="F143" s="141" t="str">
        <f>IFERROR(IF(LEFT(A143,3)="LCP",VLOOKUP(A143,#REF!,2,FALSE),VLOOKUP(A143,#REF!,2,FALSE)),"NO BUDGET")</f>
        <v>NO BUDGET</v>
      </c>
    </row>
    <row r="144" spans="1:6" s="21" customFormat="1" ht="24" customHeight="1">
      <c r="A144" s="77" t="s">
        <v>150</v>
      </c>
      <c r="B144" s="288" t="s">
        <v>151</v>
      </c>
      <c r="C144" s="287" t="s">
        <v>187</v>
      </c>
      <c r="D144" s="6" t="s">
        <v>217</v>
      </c>
      <c r="E144" s="6" t="e">
        <f>IF(D144&lt;&gt;#REF!,"DIFERENTE","IGUAL")</f>
        <v>#REF!</v>
      </c>
      <c r="F144" s="141" t="str">
        <f>IFERROR(IF(LEFT(A144,3)="LCP",VLOOKUP(A144,#REF!,2,FALSE),VLOOKUP(A144,#REF!,2,FALSE)),"NO BUDGET")</f>
        <v>NO BUDGET</v>
      </c>
    </row>
    <row r="145" spans="1:6" s="21" customFormat="1" ht="24" customHeight="1">
      <c r="A145" s="77" t="s">
        <v>164</v>
      </c>
      <c r="B145" s="288" t="s">
        <v>1689</v>
      </c>
      <c r="C145" s="294" t="s">
        <v>1492</v>
      </c>
      <c r="D145" s="6" t="s">
        <v>217</v>
      </c>
      <c r="E145" s="6" t="e">
        <f>IF(D145&lt;&gt;#REF!,"DIFERENTE","IGUAL")</f>
        <v>#REF!</v>
      </c>
      <c r="F145" s="141" t="str">
        <f>IFERROR(IF(LEFT(A145,3)="LCP",VLOOKUP(A145,#REF!,2,FALSE),VLOOKUP(A145,#REF!,2,FALSE)),"NO BUDGET")</f>
        <v>NO BUDGET</v>
      </c>
    </row>
    <row r="146" spans="1:6" s="21" customFormat="1" ht="24" customHeight="1">
      <c r="A146" s="77" t="s">
        <v>168</v>
      </c>
      <c r="B146" s="288" t="s">
        <v>169</v>
      </c>
      <c r="C146" s="287" t="s">
        <v>185</v>
      </c>
      <c r="D146" s="6" t="s">
        <v>217</v>
      </c>
      <c r="E146" s="6" t="e">
        <f>IF(D146&lt;&gt;#REF!,"DIFERENTE","IGUAL")</f>
        <v>#REF!</v>
      </c>
      <c r="F146" s="141" t="str">
        <f>IFERROR(IF(LEFT(A146,3)="LCP",VLOOKUP(A146,#REF!,2,FALSE),VLOOKUP(A146,#REF!,2,FALSE)),"NO BUDGET")</f>
        <v>NO BUDGET</v>
      </c>
    </row>
    <row r="147" spans="1:6" s="21" customFormat="1" ht="24" customHeight="1">
      <c r="A147" s="77" t="s">
        <v>172</v>
      </c>
      <c r="B147" s="288" t="s">
        <v>173</v>
      </c>
      <c r="C147" s="294" t="s">
        <v>315</v>
      </c>
      <c r="D147" s="6" t="s">
        <v>217</v>
      </c>
      <c r="E147" s="6" t="e">
        <f>IF(D147&lt;&gt;#REF!,"DIFERENTE","IGUAL")</f>
        <v>#REF!</v>
      </c>
      <c r="F147" s="141" t="str">
        <f>IFERROR(IF(LEFT(A147,3)="LCP",VLOOKUP(A147,#REF!,2,FALSE),VLOOKUP(A147,#REF!,2,FALSE)),"NO BUDGET")</f>
        <v>NO BUDGET</v>
      </c>
    </row>
    <row r="148" spans="1:6" s="21" customFormat="1" ht="24" customHeight="1">
      <c r="A148" s="77" t="s">
        <v>170</v>
      </c>
      <c r="B148" s="288" t="s">
        <v>171</v>
      </c>
      <c r="C148" s="294" t="s">
        <v>1492</v>
      </c>
      <c r="D148" s="6" t="s">
        <v>217</v>
      </c>
      <c r="E148" s="6" t="e">
        <f>IF(D148&lt;&gt;#REF!,"DIFERENTE","IGUAL")</f>
        <v>#REF!</v>
      </c>
      <c r="F148" s="141" t="str">
        <f>IFERROR(IF(LEFT(A148,3)="LCP",VLOOKUP(A148,#REF!,2,FALSE),VLOOKUP(A148,#REF!,2,FALSE)),"NO BUDGET")</f>
        <v>NO BUDGET</v>
      </c>
    </row>
    <row r="149" spans="1:6" s="21" customFormat="1" ht="24" customHeight="1">
      <c r="A149" s="77" t="s">
        <v>174</v>
      </c>
      <c r="B149" s="288" t="s">
        <v>123</v>
      </c>
      <c r="C149" s="287" t="s">
        <v>185</v>
      </c>
      <c r="D149" s="6" t="s">
        <v>217</v>
      </c>
      <c r="E149" s="6" t="e">
        <f>IF(D149&lt;&gt;#REF!,"DIFERENTE","IGUAL")</f>
        <v>#REF!</v>
      </c>
      <c r="F149" s="141" t="str">
        <f>IFERROR(IF(LEFT(A149,3)="LCP",VLOOKUP(A149,#REF!,2,FALSE),VLOOKUP(A149,#REF!,2,FALSE)),"NO BUDGET")</f>
        <v>NO BUDGET</v>
      </c>
    </row>
    <row r="150" spans="1:6" s="21" customFormat="1" ht="24" customHeight="1">
      <c r="A150" s="77" t="s">
        <v>207</v>
      </c>
      <c r="B150" s="288" t="s">
        <v>208</v>
      </c>
      <c r="C150" s="287" t="s">
        <v>187</v>
      </c>
      <c r="D150" s="6" t="s">
        <v>217</v>
      </c>
      <c r="E150" s="6" t="e">
        <f>IF(D150&lt;&gt;#REF!,"DIFERENTE","IGUAL")</f>
        <v>#REF!</v>
      </c>
      <c r="F150" s="141" t="str">
        <f>IFERROR(IF(LEFT(A150,3)="LCP",VLOOKUP(A150,#REF!,2,FALSE),VLOOKUP(A150,#REF!,2,FALSE)),"NO BUDGET")</f>
        <v>NO BUDGET</v>
      </c>
    </row>
    <row r="151" spans="1:6" s="21" customFormat="1" ht="24" customHeight="1">
      <c r="A151" s="77" t="s">
        <v>204</v>
      </c>
      <c r="B151" s="288" t="s">
        <v>203</v>
      </c>
      <c r="C151" s="287" t="s">
        <v>187</v>
      </c>
      <c r="D151" s="6" t="s">
        <v>217</v>
      </c>
      <c r="E151" s="6" t="e">
        <f>IF(D151&lt;&gt;#REF!,"DIFERENTE","IGUAL")</f>
        <v>#REF!</v>
      </c>
      <c r="F151" s="141" t="str">
        <f>IFERROR(IF(LEFT(A151,3)="LCP",VLOOKUP(A151,#REF!,2,FALSE),VLOOKUP(A151,#REF!,2,FALSE)),"NO BUDGET")</f>
        <v>NO BUDGET</v>
      </c>
    </row>
    <row r="152" spans="1:6" s="21" customFormat="1" ht="24" customHeight="1">
      <c r="A152" s="77" t="s">
        <v>205</v>
      </c>
      <c r="B152" s="288" t="s">
        <v>206</v>
      </c>
      <c r="C152" s="294" t="s">
        <v>187</v>
      </c>
      <c r="D152" s="6" t="s">
        <v>217</v>
      </c>
      <c r="E152" s="6" t="e">
        <f>IF(D152&lt;&gt;#REF!,"DIFERENTE","IGUAL")</f>
        <v>#REF!</v>
      </c>
      <c r="F152" s="141" t="str">
        <f>IFERROR(IF(LEFT(A152,3)="LCP",VLOOKUP(A152,#REF!,2,FALSE),VLOOKUP(A152,#REF!,2,FALSE)),"NO BUDGET")</f>
        <v>NO BUDGET</v>
      </c>
    </row>
    <row r="153" spans="1:6" s="21" customFormat="1" ht="24" customHeight="1">
      <c r="A153" s="77" t="s">
        <v>200</v>
      </c>
      <c r="B153" s="288" t="s">
        <v>1733</v>
      </c>
      <c r="C153" s="287" t="s">
        <v>315</v>
      </c>
      <c r="D153" s="6" t="s">
        <v>217</v>
      </c>
      <c r="E153" s="6" t="e">
        <f>IF(D153&lt;&gt;#REF!,"DIFERENTE","IGUAL")</f>
        <v>#REF!</v>
      </c>
      <c r="F153" s="141" t="str">
        <f>IFERROR(IF(LEFT(A153,3)="LCP",VLOOKUP(A153,#REF!,2,FALSE),VLOOKUP(A153,#REF!,2,FALSE)),"NO BUDGET")</f>
        <v>NO BUDGET</v>
      </c>
    </row>
    <row r="154" spans="1:6" s="21" customFormat="1" ht="24" customHeight="1">
      <c r="A154" s="77" t="s">
        <v>198</v>
      </c>
      <c r="B154" s="288" t="s">
        <v>197</v>
      </c>
      <c r="C154" s="287" t="s">
        <v>1492</v>
      </c>
      <c r="D154" s="6" t="s">
        <v>217</v>
      </c>
      <c r="E154" s="6" t="e">
        <f>IF(D154&lt;&gt;#REF!,"DIFERENTE","IGUAL")</f>
        <v>#REF!</v>
      </c>
      <c r="F154" s="141" t="str">
        <f>IFERROR(IF(LEFT(A154,3)="LCP",VLOOKUP(A154,#REF!,2,FALSE),VLOOKUP(A154,#REF!,2,FALSE)),"NO BUDGET")</f>
        <v>NO BUDGET</v>
      </c>
    </row>
    <row r="155" spans="1:6" s="21" customFormat="1" ht="24" customHeight="1">
      <c r="A155" s="77" t="s">
        <v>202</v>
      </c>
      <c r="B155" s="288" t="s">
        <v>201</v>
      </c>
      <c r="C155" s="287" t="s">
        <v>315</v>
      </c>
      <c r="D155" s="6" t="s">
        <v>217</v>
      </c>
      <c r="E155" s="6" t="e">
        <f>IF(D155&lt;&gt;#REF!,"DIFERENTE","IGUAL")</f>
        <v>#REF!</v>
      </c>
      <c r="F155" s="141" t="str">
        <f>IFERROR(IF(LEFT(A155,3)="LCP",VLOOKUP(A155,#REF!,2,FALSE),VLOOKUP(A155,#REF!,2,FALSE)),"NO BUDGET")</f>
        <v>NO BUDGET</v>
      </c>
    </row>
    <row r="156" spans="1:6" s="21" customFormat="1" ht="24" customHeight="1">
      <c r="A156" s="77" t="s">
        <v>209</v>
      </c>
      <c r="B156" s="288" t="s">
        <v>210</v>
      </c>
      <c r="C156" s="287" t="s">
        <v>1492</v>
      </c>
      <c r="D156" s="6" t="s">
        <v>217</v>
      </c>
      <c r="E156" s="6" t="e">
        <f>IF(D156&lt;&gt;#REF!,"DIFERENTE","IGUAL")</f>
        <v>#REF!</v>
      </c>
      <c r="F156" s="141" t="str">
        <f>IFERROR(IF(LEFT(A156,3)="LCP",VLOOKUP(A156,#REF!,2,FALSE),VLOOKUP(A156,#REF!,2,FALSE)),"NO BUDGET")</f>
        <v>NO BUDGET</v>
      </c>
    </row>
    <row r="157" spans="1:6" s="21" customFormat="1" ht="24" customHeight="1">
      <c r="A157" s="77" t="s">
        <v>214</v>
      </c>
      <c r="B157" s="288" t="s">
        <v>213</v>
      </c>
      <c r="C157" s="294" t="s">
        <v>1492</v>
      </c>
      <c r="D157" s="6" t="s">
        <v>217</v>
      </c>
      <c r="E157" s="6" t="e">
        <f>IF(D157&lt;&gt;#REF!,"DIFERENTE","IGUAL")</f>
        <v>#REF!</v>
      </c>
      <c r="F157" s="141" t="str">
        <f>IFERROR(IF(LEFT(A157,3)="LCP",VLOOKUP(A157,#REF!,2,FALSE),VLOOKUP(A157,#REF!,2,FALSE)),"NO BUDGET")</f>
        <v>NO BUDGET</v>
      </c>
    </row>
    <row r="158" spans="1:6" s="21" customFormat="1" ht="24" customHeight="1">
      <c r="A158" s="77" t="s">
        <v>211</v>
      </c>
      <c r="B158" s="288" t="s">
        <v>212</v>
      </c>
      <c r="C158" s="287" t="s">
        <v>315</v>
      </c>
      <c r="D158" s="6" t="s">
        <v>217</v>
      </c>
      <c r="E158" s="6" t="e">
        <f>IF(D158&lt;&gt;#REF!,"DIFERENTE","IGUAL")</f>
        <v>#REF!</v>
      </c>
      <c r="F158" s="141" t="str">
        <f>IFERROR(IF(LEFT(A158,3)="LCP",VLOOKUP(A158,#REF!,2,FALSE),VLOOKUP(A158,#REF!,2,FALSE)),"NO BUDGET")</f>
        <v>NO BUDGET</v>
      </c>
    </row>
    <row r="159" spans="1:6" s="21" customFormat="1" ht="24" customHeight="1">
      <c r="A159" s="77" t="s">
        <v>226</v>
      </c>
      <c r="B159" s="288" t="s">
        <v>249</v>
      </c>
      <c r="C159" s="287" t="s">
        <v>315</v>
      </c>
      <c r="D159" s="6" t="s">
        <v>217</v>
      </c>
      <c r="E159" s="6" t="e">
        <f>IF(D159&lt;&gt;#REF!,"DIFERENTE","IGUAL")</f>
        <v>#REF!</v>
      </c>
      <c r="F159" s="141" t="str">
        <f>IFERROR(IF(LEFT(A159,3)="LCP",VLOOKUP(A159,#REF!,2,FALSE),VLOOKUP(A159,#REF!,2,FALSE)),"NO BUDGET")</f>
        <v>NO BUDGET</v>
      </c>
    </row>
    <row r="160" spans="1:6" s="21" customFormat="1" ht="24" customHeight="1">
      <c r="A160" s="77" t="s">
        <v>232</v>
      </c>
      <c r="B160" s="288" t="s">
        <v>231</v>
      </c>
      <c r="C160" s="287" t="s">
        <v>187</v>
      </c>
      <c r="D160" s="6" t="s">
        <v>217</v>
      </c>
      <c r="E160" s="6" t="e">
        <f>IF(D160&lt;&gt;#REF!,"DIFERENTE","IGUAL")</f>
        <v>#REF!</v>
      </c>
      <c r="F160" s="141" t="str">
        <f>IFERROR(IF(LEFT(A160,3)="LCP",VLOOKUP(A160,#REF!,2,FALSE),VLOOKUP(A160,#REF!,2,FALSE)),"NO BUDGET")</f>
        <v>NO BUDGET</v>
      </c>
    </row>
    <row r="161" spans="1:6" s="21" customFormat="1" ht="24" customHeight="1">
      <c r="A161" s="77" t="s">
        <v>234</v>
      </c>
      <c r="B161" s="288" t="s">
        <v>233</v>
      </c>
      <c r="C161" s="287" t="s">
        <v>1492</v>
      </c>
      <c r="D161" s="6" t="s">
        <v>217</v>
      </c>
      <c r="E161" s="6" t="e">
        <f>IF(D161&lt;&gt;#REF!,"DIFERENTE","IGUAL")</f>
        <v>#REF!</v>
      </c>
      <c r="F161" s="141" t="str">
        <f>IFERROR(IF(LEFT(A161,3)="LCP",VLOOKUP(A161,#REF!,2,FALSE),VLOOKUP(A161,#REF!,2,FALSE)),"NO BUDGET")</f>
        <v>NO BUDGET</v>
      </c>
    </row>
    <row r="162" spans="1:6" s="21" customFormat="1" ht="24" customHeight="1">
      <c r="A162" s="77" t="s">
        <v>235</v>
      </c>
      <c r="B162" s="288" t="s">
        <v>230</v>
      </c>
      <c r="C162" s="287" t="s">
        <v>315</v>
      </c>
      <c r="D162" s="6" t="s">
        <v>217</v>
      </c>
      <c r="E162" s="6" t="e">
        <f>IF(D162&lt;&gt;#REF!,"DIFERENTE","IGUAL")</f>
        <v>#REF!</v>
      </c>
      <c r="F162" s="141" t="str">
        <f>IFERROR(IF(LEFT(A162,3)="LCP",VLOOKUP(A162,#REF!,2,FALSE),VLOOKUP(A162,#REF!,2,FALSE)),"NO BUDGET")</f>
        <v>NO BUDGET</v>
      </c>
    </row>
    <row r="163" spans="1:6" s="21" customFormat="1" ht="24" customHeight="1">
      <c r="A163" s="77" t="s">
        <v>236</v>
      </c>
      <c r="B163" s="288" t="s">
        <v>1759</v>
      </c>
      <c r="C163" s="294" t="s">
        <v>187</v>
      </c>
      <c r="D163" s="6" t="s">
        <v>217</v>
      </c>
      <c r="E163" s="6" t="e">
        <f>IF(D163&lt;&gt;#REF!,"DIFERENTE","IGUAL")</f>
        <v>#REF!</v>
      </c>
      <c r="F163" s="141" t="str">
        <f>IFERROR(IF(LEFT(A163,3)="LCP",VLOOKUP(A163,#REF!,2,FALSE),VLOOKUP(A163,#REF!,2,FALSE)),"NO BUDGET")</f>
        <v>NO BUDGET</v>
      </c>
    </row>
    <row r="164" spans="1:6" s="21" customFormat="1" ht="24" customHeight="1">
      <c r="A164" s="77" t="s">
        <v>239</v>
      </c>
      <c r="B164" s="288" t="s">
        <v>1760</v>
      </c>
      <c r="C164" s="294" t="s">
        <v>187</v>
      </c>
      <c r="D164" s="6" t="s">
        <v>217</v>
      </c>
      <c r="E164" s="6" t="e">
        <f>IF(D164&lt;&gt;#REF!,"DIFERENTE","IGUAL")</f>
        <v>#REF!</v>
      </c>
      <c r="F164" s="141" t="str">
        <f>IFERROR(IF(LEFT(A164,3)="LCP",VLOOKUP(A164,#REF!,2,FALSE),VLOOKUP(A164,#REF!,2,FALSE)),"NO BUDGET")</f>
        <v>NO BUDGET</v>
      </c>
    </row>
    <row r="165" spans="1:6" s="21" customFormat="1" ht="24" customHeight="1">
      <c r="A165" s="77" t="s">
        <v>248</v>
      </c>
      <c r="B165" s="288" t="s">
        <v>1734</v>
      </c>
      <c r="C165" s="294" t="s">
        <v>187</v>
      </c>
      <c r="D165" s="6" t="s">
        <v>217</v>
      </c>
      <c r="E165" s="6" t="e">
        <f>IF(D165&lt;&gt;#REF!,"DIFERENTE","IGUAL")</f>
        <v>#REF!</v>
      </c>
      <c r="F165" s="141" t="str">
        <f>IFERROR(IF(LEFT(A165,3)="LCP",VLOOKUP(A165,#REF!,2,FALSE),VLOOKUP(A165,#REF!,2,FALSE)),"NO BUDGET")</f>
        <v>NO BUDGET</v>
      </c>
    </row>
    <row r="166" spans="1:6" s="21" customFormat="1" ht="24" customHeight="1">
      <c r="A166" s="77" t="s">
        <v>251</v>
      </c>
      <c r="B166" s="288" t="s">
        <v>252</v>
      </c>
      <c r="C166" s="294" t="s">
        <v>1492</v>
      </c>
      <c r="D166" s="6" t="s">
        <v>217</v>
      </c>
      <c r="E166" s="6" t="e">
        <f>IF(D166&lt;&gt;#REF!,"DIFERENTE","IGUAL")</f>
        <v>#REF!</v>
      </c>
      <c r="F166" s="141" t="str">
        <f>IFERROR(IF(LEFT(A166,3)="LCP",VLOOKUP(A166,#REF!,2,FALSE),VLOOKUP(A166,#REF!,2,FALSE)),"NO BUDGET")</f>
        <v>NO BUDGET</v>
      </c>
    </row>
    <row r="167" spans="1:6" s="21" customFormat="1" ht="24" customHeight="1">
      <c r="A167" s="77" t="s">
        <v>254</v>
      </c>
      <c r="B167" s="288" t="s">
        <v>1598</v>
      </c>
      <c r="C167" s="294" t="s">
        <v>185</v>
      </c>
      <c r="D167" s="6" t="s">
        <v>217</v>
      </c>
      <c r="E167" s="6" t="e">
        <f>IF(D167&lt;&gt;#REF!,"DIFERENTE","IGUAL")</f>
        <v>#REF!</v>
      </c>
      <c r="F167" s="141" t="str">
        <f>IFERROR(IF(LEFT(A167,3)="LCP",VLOOKUP(A167,#REF!,2,FALSE),VLOOKUP(A167,#REF!,2,FALSE)),"NO BUDGET")</f>
        <v>NO BUDGET</v>
      </c>
    </row>
    <row r="168" spans="1:6" s="21" customFormat="1" ht="24" customHeight="1">
      <c r="A168" s="77" t="s">
        <v>255</v>
      </c>
      <c r="B168" s="288" t="s">
        <v>256</v>
      </c>
      <c r="C168" s="287" t="s">
        <v>315</v>
      </c>
      <c r="D168" s="6" t="s">
        <v>217</v>
      </c>
      <c r="E168" s="6" t="e">
        <f>IF(D168&lt;&gt;#REF!,"DIFERENTE","IGUAL")</f>
        <v>#REF!</v>
      </c>
      <c r="F168" s="141" t="str">
        <f>IFERROR(IF(LEFT(A168,3)="LCP",VLOOKUP(A168,#REF!,2,FALSE),VLOOKUP(A168,#REF!,2,FALSE)),"NO BUDGET")</f>
        <v>NO BUDGET</v>
      </c>
    </row>
    <row r="169" spans="1:6" s="21" customFormat="1" ht="24" customHeight="1">
      <c r="A169" s="77" t="s">
        <v>257</v>
      </c>
      <c r="B169" s="288" t="s">
        <v>142</v>
      </c>
      <c r="C169" s="294" t="s">
        <v>315</v>
      </c>
      <c r="D169" s="6" t="s">
        <v>217</v>
      </c>
      <c r="E169" s="6" t="e">
        <f>IF(D169&lt;&gt;#REF!,"DIFERENTE","IGUAL")</f>
        <v>#REF!</v>
      </c>
      <c r="F169" s="141" t="str">
        <f>IFERROR(IF(LEFT(A169,3)="LCP",VLOOKUP(A169,#REF!,2,FALSE),VLOOKUP(A169,#REF!,2,FALSE)),"NO BUDGET")</f>
        <v>NO BUDGET</v>
      </c>
    </row>
    <row r="170" spans="1:6" s="21" customFormat="1" ht="24" customHeight="1">
      <c r="A170" s="77" t="s">
        <v>260</v>
      </c>
      <c r="B170" s="288" t="s">
        <v>1735</v>
      </c>
      <c r="C170" s="294" t="s">
        <v>186</v>
      </c>
      <c r="D170" s="6" t="s">
        <v>217</v>
      </c>
      <c r="E170" s="6" t="e">
        <f>IF(D170&lt;&gt;#REF!,"DIFERENTE","IGUAL")</f>
        <v>#REF!</v>
      </c>
      <c r="F170" s="141" t="str">
        <f>IFERROR(IF(LEFT(A170,3)="LCP",VLOOKUP(A170,#REF!,2,FALSE),VLOOKUP(A170,#REF!,2,FALSE)),"NO BUDGET")</f>
        <v>NO BUDGET</v>
      </c>
    </row>
    <row r="171" spans="1:6" s="21" customFormat="1" ht="24" customHeight="1">
      <c r="A171" s="77" t="s">
        <v>268</v>
      </c>
      <c r="B171" s="288" t="s">
        <v>270</v>
      </c>
      <c r="C171" s="294" t="s">
        <v>1492</v>
      </c>
      <c r="D171" s="6" t="s">
        <v>217</v>
      </c>
      <c r="E171" s="6" t="e">
        <f>IF(D171&lt;&gt;#REF!,"DIFERENTE","IGUAL")</f>
        <v>#REF!</v>
      </c>
      <c r="F171" s="141" t="str">
        <f>IFERROR(IF(LEFT(A171,3)="LCP",VLOOKUP(A171,#REF!,2,FALSE),VLOOKUP(A171,#REF!,2,FALSE)),"NO BUDGET")</f>
        <v>NO BUDGET</v>
      </c>
    </row>
    <row r="172" spans="1:6" s="21" customFormat="1" ht="24" customHeight="1">
      <c r="A172" s="77" t="s">
        <v>273</v>
      </c>
      <c r="B172" s="288" t="s">
        <v>1736</v>
      </c>
      <c r="C172" s="294" t="s">
        <v>1492</v>
      </c>
      <c r="D172" s="6" t="s">
        <v>217</v>
      </c>
      <c r="E172" s="6" t="e">
        <f>IF(D172&lt;&gt;#REF!,"DIFERENTE","IGUAL")</f>
        <v>#REF!</v>
      </c>
      <c r="F172" s="141" t="str">
        <f>IFERROR(IF(LEFT(A172,3)="LCP",VLOOKUP(A172,#REF!,2,FALSE),VLOOKUP(A172,#REF!,2,FALSE)),"NO BUDGET")</f>
        <v>NO BUDGET</v>
      </c>
    </row>
    <row r="173" spans="1:6" s="21" customFormat="1" ht="24" customHeight="1">
      <c r="A173" s="77" t="s">
        <v>261</v>
      </c>
      <c r="B173" s="288" t="s">
        <v>242</v>
      </c>
      <c r="C173" s="294" t="s">
        <v>1492</v>
      </c>
      <c r="D173" s="6" t="s">
        <v>217</v>
      </c>
      <c r="E173" s="6" t="e">
        <f>IF(D173&lt;&gt;#REF!,"DIFERENTE","IGUAL")</f>
        <v>#REF!</v>
      </c>
      <c r="F173" s="141" t="str">
        <f>IFERROR(IF(LEFT(A173,3)="LCP",VLOOKUP(A173,#REF!,2,FALSE),VLOOKUP(A173,#REF!,2,FALSE)),"NO BUDGET")</f>
        <v>NO BUDGET</v>
      </c>
    </row>
    <row r="174" spans="1:6" s="21" customFormat="1" ht="24" customHeight="1">
      <c r="A174" s="77" t="s">
        <v>290</v>
      </c>
      <c r="B174" s="288" t="s">
        <v>243</v>
      </c>
      <c r="C174" s="294" t="s">
        <v>1492</v>
      </c>
      <c r="D174" s="6" t="s">
        <v>217</v>
      </c>
      <c r="E174" s="6" t="e">
        <f>IF(D174&lt;&gt;#REF!,"DIFERENTE","IGUAL")</f>
        <v>#REF!</v>
      </c>
      <c r="F174" s="141" t="str">
        <f>IFERROR(IF(LEFT(A174,3)="LCP",VLOOKUP(A174,#REF!,2,FALSE),VLOOKUP(A174,#REF!,2,FALSE)),"NO BUDGET")</f>
        <v>NO BUDGET</v>
      </c>
    </row>
    <row r="175" spans="1:6" s="21" customFormat="1" ht="24" customHeight="1">
      <c r="A175" s="77" t="s">
        <v>291</v>
      </c>
      <c r="B175" s="288" t="s">
        <v>244</v>
      </c>
      <c r="C175" s="294" t="s">
        <v>1492</v>
      </c>
      <c r="D175" s="6" t="s">
        <v>1768</v>
      </c>
      <c r="E175" s="6" t="e">
        <f>IF(D175&lt;&gt;#REF!,"DIFERENTE","IGUAL")</f>
        <v>#REF!</v>
      </c>
      <c r="F175" s="141" t="str">
        <f>IFERROR(IF(LEFT(A175,3)="LCP",VLOOKUP(A175,#REF!,2,FALSE),VLOOKUP(A175,#REF!,2,FALSE)),"NO BUDGET")</f>
        <v>NO BUDGET</v>
      </c>
    </row>
    <row r="176" spans="1:6" s="21" customFormat="1" ht="24" customHeight="1">
      <c r="A176" s="77" t="s">
        <v>292</v>
      </c>
      <c r="B176" s="288" t="s">
        <v>289</v>
      </c>
      <c r="C176" s="287" t="s">
        <v>182</v>
      </c>
      <c r="D176" s="6" t="s">
        <v>1768</v>
      </c>
      <c r="E176" s="6" t="e">
        <f>IF(D176&lt;&gt;#REF!,"DIFERENTE","IGUAL")</f>
        <v>#REF!</v>
      </c>
      <c r="F176" s="141" t="str">
        <f>IFERROR(IF(LEFT(A176,3)="LCP",VLOOKUP(A176,#REF!,2,FALSE),VLOOKUP(A176,#REF!,2,FALSE)),"NO BUDGET")</f>
        <v>NO BUDGET</v>
      </c>
    </row>
    <row r="177" spans="1:6" s="21" customFormat="1" ht="24" customHeight="1">
      <c r="A177" s="77" t="s">
        <v>308</v>
      </c>
      <c r="B177" s="288" t="s">
        <v>309</v>
      </c>
      <c r="C177" s="287" t="s">
        <v>1492</v>
      </c>
      <c r="D177" s="6" t="s">
        <v>217</v>
      </c>
      <c r="E177" s="6" t="e">
        <f>IF(D177&lt;&gt;#REF!,"DIFERENTE","IGUAL")</f>
        <v>#REF!</v>
      </c>
      <c r="F177" s="141" t="str">
        <f>IFERROR(IF(LEFT(A177,3)="LCP",VLOOKUP(A177,#REF!,2,FALSE),VLOOKUP(A177,#REF!,2,FALSE)),"NO BUDGET")</f>
        <v>NO BUDGET</v>
      </c>
    </row>
    <row r="178" spans="1:6" s="21" customFormat="1" ht="24" customHeight="1">
      <c r="A178" s="77" t="s">
        <v>310</v>
      </c>
      <c r="B178" s="288" t="s">
        <v>311</v>
      </c>
      <c r="C178" s="294" t="s">
        <v>1492</v>
      </c>
      <c r="D178" s="6" t="s">
        <v>217</v>
      </c>
      <c r="E178" s="6" t="e">
        <f>IF(D178&lt;&gt;#REF!,"DIFERENTE","IGUAL")</f>
        <v>#REF!</v>
      </c>
      <c r="F178" s="141" t="str">
        <f>IFERROR(IF(LEFT(A178,3)="LCP",VLOOKUP(A178,#REF!,2,FALSE),VLOOKUP(A178,#REF!,2,FALSE)),"NO BUDGET")</f>
        <v>NO BUDGET</v>
      </c>
    </row>
    <row r="179" spans="1:6" s="21" customFormat="1" ht="24" customHeight="1">
      <c r="A179" s="77" t="s">
        <v>314</v>
      </c>
      <c r="B179" s="288" t="s">
        <v>313</v>
      </c>
      <c r="C179" s="294" t="s">
        <v>1492</v>
      </c>
      <c r="D179" s="6" t="s">
        <v>217</v>
      </c>
      <c r="E179" s="6" t="e">
        <f>IF(D179&lt;&gt;#REF!,"DIFERENTE","IGUAL")</f>
        <v>#REF!</v>
      </c>
      <c r="F179" s="141" t="str">
        <f>IFERROR(IF(LEFT(A179,3)="LCP",VLOOKUP(A179,#REF!,2,FALSE),VLOOKUP(A179,#REF!,2,FALSE)),"NO BUDGET")</f>
        <v>NO BUDGET</v>
      </c>
    </row>
    <row r="180" spans="1:6" s="21" customFormat="1" ht="24" customHeight="1">
      <c r="A180" s="77" t="s">
        <v>318</v>
      </c>
      <c r="B180" s="288" t="s">
        <v>319</v>
      </c>
      <c r="C180" s="294" t="s">
        <v>1492</v>
      </c>
      <c r="D180" s="6" t="s">
        <v>217</v>
      </c>
      <c r="E180" s="6" t="e">
        <f>IF(D180&lt;&gt;#REF!,"DIFERENTE","IGUAL")</f>
        <v>#REF!</v>
      </c>
      <c r="F180" s="141" t="str">
        <f>IFERROR(IF(LEFT(A180,3)="LCP",VLOOKUP(A180,#REF!,2,FALSE),VLOOKUP(A180,#REF!,2,FALSE)),"NO BUDGET")</f>
        <v>NO BUDGET</v>
      </c>
    </row>
    <row r="181" spans="1:6" s="21" customFormat="1" ht="23.25" customHeight="1">
      <c r="A181" s="77" t="s">
        <v>316</v>
      </c>
      <c r="B181" s="288" t="s">
        <v>312</v>
      </c>
      <c r="C181" s="294" t="s">
        <v>1492</v>
      </c>
      <c r="D181" s="6" t="s">
        <v>217</v>
      </c>
      <c r="E181" s="6" t="e">
        <f>IF(D181&lt;&gt;#REF!,"DIFERENTE","IGUAL")</f>
        <v>#REF!</v>
      </c>
      <c r="F181" s="141" t="str">
        <f>IFERROR(IF(LEFT(A181,3)="LCP",VLOOKUP(A181,#REF!,2,FALSE),VLOOKUP(A181,#REF!,2,FALSE)),"NO BUDGET")</f>
        <v>NO BUDGET</v>
      </c>
    </row>
    <row r="182" spans="1:6" s="21" customFormat="1" ht="24" customHeight="1">
      <c r="A182" s="77" t="s">
        <v>332</v>
      </c>
      <c r="B182" s="288" t="s">
        <v>331</v>
      </c>
      <c r="C182" s="287" t="s">
        <v>1492</v>
      </c>
      <c r="D182" s="6" t="s">
        <v>217</v>
      </c>
      <c r="E182" s="6" t="e">
        <f>IF(D182&lt;&gt;#REF!,"DIFERENTE","IGUAL")</f>
        <v>#REF!</v>
      </c>
      <c r="F182" s="141" t="str">
        <f>IFERROR(IF(LEFT(A182,3)="LCP",VLOOKUP(A182,#REF!,2,FALSE),VLOOKUP(A182,#REF!,2,FALSE)),"NO BUDGET")</f>
        <v>NO BUDGET</v>
      </c>
    </row>
    <row r="183" spans="1:6" s="21" customFormat="1" ht="24" customHeight="1">
      <c r="A183" s="77" t="s">
        <v>339</v>
      </c>
      <c r="B183" s="288" t="s">
        <v>1737</v>
      </c>
      <c r="C183" s="287" t="s">
        <v>1492</v>
      </c>
      <c r="D183" s="6" t="s">
        <v>217</v>
      </c>
      <c r="E183" s="6" t="e">
        <f>IF(D183&lt;&gt;#REF!,"DIFERENTE","IGUAL")</f>
        <v>#REF!</v>
      </c>
      <c r="F183" s="141" t="str">
        <f>IFERROR(IF(LEFT(A183,3)="LCP",VLOOKUP(A183,#REF!,2,FALSE),VLOOKUP(A183,#REF!,2,FALSE)),"NO BUDGET")</f>
        <v>NO BUDGET</v>
      </c>
    </row>
    <row r="184" spans="1:6" s="21" customFormat="1" ht="24" customHeight="1">
      <c r="A184" s="77" t="s">
        <v>340</v>
      </c>
      <c r="B184" s="288" t="s">
        <v>1690</v>
      </c>
      <c r="C184" s="287" t="s">
        <v>315</v>
      </c>
      <c r="D184" s="6" t="s">
        <v>217</v>
      </c>
      <c r="E184" s="6" t="e">
        <f>IF(D184&lt;&gt;#REF!,"DIFERENTE","IGUAL")</f>
        <v>#REF!</v>
      </c>
      <c r="F184" s="141" t="str">
        <f>IFERROR(IF(LEFT(A184,3)="LCP",VLOOKUP(A184,#REF!,2,FALSE),VLOOKUP(A184,#REF!,2,FALSE)),"NO BUDGET")</f>
        <v>NO BUDGET</v>
      </c>
    </row>
    <row r="185" spans="1:6" s="21" customFormat="1" ht="24" customHeight="1">
      <c r="A185" s="77" t="s">
        <v>452</v>
      </c>
      <c r="B185" s="288" t="s">
        <v>376</v>
      </c>
      <c r="C185" s="287" t="s">
        <v>315</v>
      </c>
      <c r="D185" s="6" t="s">
        <v>217</v>
      </c>
      <c r="E185" s="6" t="e">
        <f>IF(D185&lt;&gt;#REF!,"DIFERENTE","IGUAL")</f>
        <v>#REF!</v>
      </c>
      <c r="F185" s="141" t="str">
        <f>IFERROR(IF(LEFT(A185,3)="LCP",VLOOKUP(A185,#REF!,2,FALSE),VLOOKUP(A185,#REF!,2,FALSE)),"NO BUDGET")</f>
        <v>NO BUDGET</v>
      </c>
    </row>
    <row r="186" spans="1:6" s="21" customFormat="1" ht="24" customHeight="1">
      <c r="A186" s="77" t="s">
        <v>528</v>
      </c>
      <c r="B186" s="288" t="s">
        <v>534</v>
      </c>
      <c r="C186" s="287" t="s">
        <v>1492</v>
      </c>
      <c r="D186" s="6" t="s">
        <v>217</v>
      </c>
      <c r="E186" s="6" t="e">
        <f>IF(D186&lt;&gt;#REF!,"DIFERENTE","IGUAL")</f>
        <v>#REF!</v>
      </c>
      <c r="F186" s="141" t="str">
        <f>IFERROR(IF(LEFT(A186,3)="LCP",VLOOKUP(A186,#REF!,2,FALSE),VLOOKUP(A186,#REF!,2,FALSE)),"NO BUDGET")</f>
        <v>NO BUDGET</v>
      </c>
    </row>
    <row r="187" spans="1:6" s="21" customFormat="1" ht="24" customHeight="1">
      <c r="A187" s="77" t="s">
        <v>530</v>
      </c>
      <c r="B187" s="288" t="s">
        <v>535</v>
      </c>
      <c r="C187" s="287" t="s">
        <v>1492</v>
      </c>
      <c r="D187" s="6" t="s">
        <v>217</v>
      </c>
      <c r="E187" s="6" t="e">
        <f>IF(D187&lt;&gt;#REF!,"DIFERENTE","IGUAL")</f>
        <v>#REF!</v>
      </c>
      <c r="F187" s="141" t="str">
        <f>IFERROR(IF(LEFT(A187,3)="LCP",VLOOKUP(A187,#REF!,2,FALSE),VLOOKUP(A187,#REF!,2,FALSE)),"NO BUDGET")</f>
        <v>NO BUDGET</v>
      </c>
    </row>
    <row r="188" spans="1:6" s="21" customFormat="1" ht="24" customHeight="1">
      <c r="A188" s="77" t="s">
        <v>533</v>
      </c>
      <c r="B188" s="288" t="s">
        <v>1599</v>
      </c>
      <c r="C188" s="294" t="s">
        <v>1492</v>
      </c>
      <c r="D188" s="6" t="s">
        <v>217</v>
      </c>
      <c r="E188" s="6" t="e">
        <f>IF(D188&lt;&gt;#REF!,"DIFERENTE","IGUAL")</f>
        <v>#REF!</v>
      </c>
      <c r="F188" s="141" t="str">
        <f>IFERROR(IF(LEFT(A188,3)="LCP",VLOOKUP(A188,#REF!,2,FALSE),VLOOKUP(A188,#REF!,2,FALSE)),"NO BUDGET")</f>
        <v>NO BUDGET</v>
      </c>
    </row>
    <row r="189" spans="1:6" s="21" customFormat="1" ht="24" customHeight="1">
      <c r="A189" s="77" t="s">
        <v>540</v>
      </c>
      <c r="B189" s="288" t="s">
        <v>541</v>
      </c>
      <c r="C189" s="287" t="s">
        <v>1492</v>
      </c>
      <c r="D189" s="6" t="s">
        <v>217</v>
      </c>
      <c r="E189" s="6" t="e">
        <f>IF(D189&lt;&gt;#REF!,"DIFERENTE","IGUAL")</f>
        <v>#REF!</v>
      </c>
      <c r="F189" s="141" t="str">
        <f>IFERROR(IF(LEFT(A189,3)="LCP",VLOOKUP(A189,#REF!,2,FALSE),VLOOKUP(A189,#REF!,2,FALSE)),"NO BUDGET")</f>
        <v>NO BUDGET</v>
      </c>
    </row>
    <row r="190" spans="1:6" s="21" customFormat="1" ht="24" customHeight="1">
      <c r="A190" s="77" t="s">
        <v>539</v>
      </c>
      <c r="B190" s="288" t="s">
        <v>464</v>
      </c>
      <c r="C190" s="294" t="s">
        <v>187</v>
      </c>
      <c r="D190" s="6" t="s">
        <v>217</v>
      </c>
      <c r="E190" s="6" t="e">
        <f>IF(D190&lt;&gt;#REF!,"DIFERENTE","IGUAL")</f>
        <v>#REF!</v>
      </c>
      <c r="F190" s="141" t="str">
        <f>IFERROR(IF(LEFT(A190,3)="LCP",VLOOKUP(A190,#REF!,2,FALSE),VLOOKUP(A190,#REF!,2,FALSE)),"NO BUDGET")</f>
        <v>NO BUDGET</v>
      </c>
    </row>
    <row r="191" spans="1:6" s="21" customFormat="1" ht="24" customHeight="1">
      <c r="A191" s="77" t="s">
        <v>538</v>
      </c>
      <c r="B191" s="288" t="s">
        <v>537</v>
      </c>
      <c r="C191" s="287" t="s">
        <v>186</v>
      </c>
      <c r="D191" s="6" t="s">
        <v>217</v>
      </c>
      <c r="E191" s="6" t="e">
        <f>IF(D191&lt;&gt;#REF!,"DIFERENTE","IGUAL")</f>
        <v>#REF!</v>
      </c>
      <c r="F191" s="141" t="str">
        <f>IFERROR(IF(LEFT(A191,3)="LCP",VLOOKUP(A191,#REF!,2,FALSE),VLOOKUP(A191,#REF!,2,FALSE)),"NO BUDGET")</f>
        <v>NO BUDGET</v>
      </c>
    </row>
    <row r="192" spans="1:6" s="21" customFormat="1" ht="24" customHeight="1">
      <c r="A192" s="77" t="s">
        <v>552</v>
      </c>
      <c r="B192" s="288" t="s">
        <v>544</v>
      </c>
      <c r="C192" s="287" t="s">
        <v>185</v>
      </c>
      <c r="D192" s="6" t="s">
        <v>217</v>
      </c>
      <c r="E192" s="6" t="e">
        <f>IF(D192&lt;&gt;#REF!,"DIFERENTE","IGUAL")</f>
        <v>#REF!</v>
      </c>
      <c r="F192" s="141" t="str">
        <f>IFERROR(IF(LEFT(A192,3)="LCP",VLOOKUP(A192,#REF!,2,FALSE),VLOOKUP(A192,#REF!,2,FALSE)),"NO BUDGET")</f>
        <v>NO BUDGET</v>
      </c>
    </row>
    <row r="193" spans="1:6" s="21" customFormat="1" ht="24" customHeight="1">
      <c r="A193" s="77" t="s">
        <v>551</v>
      </c>
      <c r="B193" s="288" t="s">
        <v>561</v>
      </c>
      <c r="C193" s="287" t="s">
        <v>187</v>
      </c>
      <c r="D193" s="6" t="s">
        <v>217</v>
      </c>
      <c r="E193" s="6" t="e">
        <f>IF(D193&lt;&gt;#REF!,"DIFERENTE","IGUAL")</f>
        <v>#REF!</v>
      </c>
      <c r="F193" s="141" t="str">
        <f>IFERROR(IF(LEFT(A193,3)="LCP",VLOOKUP(A193,#REF!,2,FALSE),VLOOKUP(A193,#REF!,2,FALSE)),"NO BUDGET")</f>
        <v>NO BUDGET</v>
      </c>
    </row>
    <row r="194" spans="1:6" s="21" customFormat="1" ht="24" customHeight="1">
      <c r="A194" s="77" t="s">
        <v>550</v>
      </c>
      <c r="B194" s="288" t="s">
        <v>560</v>
      </c>
      <c r="C194" s="287" t="s">
        <v>187</v>
      </c>
      <c r="D194" s="6" t="s">
        <v>217</v>
      </c>
      <c r="E194" s="6" t="e">
        <f>IF(D194&lt;&gt;#REF!,"DIFERENTE","IGUAL")</f>
        <v>#REF!</v>
      </c>
      <c r="F194" s="141" t="str">
        <f>IFERROR(IF(LEFT(A194,3)="LCP",VLOOKUP(A194,#REF!,2,FALSE),VLOOKUP(A194,#REF!,2,FALSE)),"NO BUDGET")</f>
        <v>NO BUDGET</v>
      </c>
    </row>
    <row r="195" spans="1:6" s="21" customFormat="1" ht="22.5" customHeight="1">
      <c r="A195" s="77" t="s">
        <v>549</v>
      </c>
      <c r="B195" s="288" t="s">
        <v>548</v>
      </c>
      <c r="C195" s="287" t="s">
        <v>185</v>
      </c>
      <c r="D195" s="6" t="s">
        <v>217</v>
      </c>
      <c r="E195" s="6" t="e">
        <f>IF(D195&lt;&gt;#REF!,"DIFERENTE","IGUAL")</f>
        <v>#REF!</v>
      </c>
      <c r="F195" s="141" t="str">
        <f>IFERROR(IF(LEFT(A195,3)="LCP",VLOOKUP(A195,#REF!,2,FALSE),VLOOKUP(A195,#REF!,2,FALSE)),"NO BUDGET")</f>
        <v>NO BUDGET</v>
      </c>
    </row>
    <row r="196" spans="1:6" s="21" customFormat="1" ht="24" customHeight="1">
      <c r="A196" s="77" t="s">
        <v>546</v>
      </c>
      <c r="B196" s="288" t="s">
        <v>545</v>
      </c>
      <c r="C196" s="294" t="s">
        <v>186</v>
      </c>
      <c r="D196" s="6" t="s">
        <v>217</v>
      </c>
      <c r="E196" s="6" t="e">
        <f>IF(D196&lt;&gt;#REF!,"DIFERENTE","IGUAL")</f>
        <v>#REF!</v>
      </c>
      <c r="F196" s="141" t="str">
        <f>IFERROR(IF(LEFT(A196,3)="LCP",VLOOKUP(A196,#REF!,2,FALSE),VLOOKUP(A196,#REF!,2,FALSE)),"NO BUDGET")</f>
        <v>NO BUDGET</v>
      </c>
    </row>
    <row r="197" spans="1:6" s="21" customFormat="1" ht="24" customHeight="1">
      <c r="A197" s="77" t="s">
        <v>556</v>
      </c>
      <c r="B197" s="288" t="s">
        <v>555</v>
      </c>
      <c r="C197" s="287" t="s">
        <v>1492</v>
      </c>
      <c r="D197" s="6" t="s">
        <v>217</v>
      </c>
      <c r="E197" s="6" t="e">
        <f>IF(D197&lt;&gt;#REF!,"DIFERENTE","IGUAL")</f>
        <v>#REF!</v>
      </c>
      <c r="F197" s="141" t="str">
        <f>IFERROR(IF(LEFT(A197,3)="LCP",VLOOKUP(A197,#REF!,2,FALSE),VLOOKUP(A197,#REF!,2,FALSE)),"NO BUDGET")</f>
        <v>NO BUDGET</v>
      </c>
    </row>
    <row r="198" spans="1:6" s="21" customFormat="1" ht="24" customHeight="1">
      <c r="A198" s="77" t="s">
        <v>554</v>
      </c>
      <c r="B198" s="288" t="s">
        <v>559</v>
      </c>
      <c r="C198" s="287" t="s">
        <v>187</v>
      </c>
      <c r="D198" s="6" t="s">
        <v>217</v>
      </c>
      <c r="E198" s="6" t="e">
        <f>IF(D198&lt;&gt;#REF!,"DIFERENTE","IGUAL")</f>
        <v>#REF!</v>
      </c>
      <c r="F198" s="141" t="str">
        <f>IFERROR(IF(LEFT(A198,3)="LCP",VLOOKUP(A198,#REF!,2,FALSE),VLOOKUP(A198,#REF!,2,FALSE)),"NO BUDGET")</f>
        <v>NO BUDGET</v>
      </c>
    </row>
    <row r="199" spans="1:6" s="21" customFormat="1" ht="24" customHeight="1">
      <c r="A199" s="77" t="s">
        <v>558</v>
      </c>
      <c r="B199" s="288" t="s">
        <v>1738</v>
      </c>
      <c r="C199" s="287" t="s">
        <v>186</v>
      </c>
      <c r="D199" s="6" t="s">
        <v>217</v>
      </c>
      <c r="E199" s="6" t="e">
        <f>IF(D199&lt;&gt;#REF!,"DIFERENTE","IGUAL")</f>
        <v>#REF!</v>
      </c>
      <c r="F199" s="141" t="str">
        <f>IFERROR(IF(LEFT(A199,3)="LCP",VLOOKUP(A199,#REF!,2,FALSE),VLOOKUP(A199,#REF!,2,FALSE)),"NO BUDGET")</f>
        <v>NO BUDGET</v>
      </c>
    </row>
    <row r="200" spans="1:6" s="21" customFormat="1" ht="24" customHeight="1">
      <c r="A200" s="77" t="s">
        <v>582</v>
      </c>
      <c r="B200" s="288" t="s">
        <v>630</v>
      </c>
      <c r="C200" s="294" t="s">
        <v>185</v>
      </c>
      <c r="D200" s="6" t="s">
        <v>217</v>
      </c>
      <c r="E200" s="6" t="e">
        <f>IF(D200&lt;&gt;#REF!,"DIFERENTE","IGUAL")</f>
        <v>#REF!</v>
      </c>
      <c r="F200" s="141" t="str">
        <f>IFERROR(IF(LEFT(A200,3)="LCP",VLOOKUP(A200,#REF!,2,FALSE),VLOOKUP(A200,#REF!,2,FALSE)),"NO BUDGET")</f>
        <v>NO BUDGET</v>
      </c>
    </row>
    <row r="201" spans="1:6" s="21" customFormat="1" ht="24" customHeight="1">
      <c r="A201" s="77" t="s">
        <v>686</v>
      </c>
      <c r="B201" s="288" t="s">
        <v>1739</v>
      </c>
      <c r="C201" s="294" t="s">
        <v>187</v>
      </c>
      <c r="D201" s="6" t="s">
        <v>217</v>
      </c>
      <c r="E201" s="6" t="e">
        <f>IF(D201&lt;&gt;#REF!,"DIFERENTE","IGUAL")</f>
        <v>#REF!</v>
      </c>
      <c r="F201" s="141" t="str">
        <f>IFERROR(IF(LEFT(A201,3)="LCP",VLOOKUP(A201,#REF!,2,FALSE),VLOOKUP(A201,#REF!,2,FALSE)),"NO BUDGET")</f>
        <v>NO BUDGET</v>
      </c>
    </row>
    <row r="202" spans="1:6" s="21" customFormat="1" ht="24" customHeight="1">
      <c r="A202" s="77" t="s">
        <v>637</v>
      </c>
      <c r="B202" s="288" t="s">
        <v>676</v>
      </c>
      <c r="C202" s="287" t="s">
        <v>185</v>
      </c>
      <c r="D202" s="6" t="s">
        <v>217</v>
      </c>
      <c r="E202" s="6" t="e">
        <f>IF(D202&lt;&gt;#REF!,"DIFERENTE","IGUAL")</f>
        <v>#REF!</v>
      </c>
      <c r="F202" s="141" t="str">
        <f>IFERROR(IF(LEFT(A202,3)="LCP",VLOOKUP(A202,#REF!,2,FALSE),VLOOKUP(A202,#REF!,2,FALSE)),"NO BUDGET")</f>
        <v>NO BUDGET</v>
      </c>
    </row>
    <row r="203" spans="1:6" s="21" customFormat="1" ht="24.75" customHeight="1">
      <c r="A203" s="77" t="s">
        <v>641</v>
      </c>
      <c r="B203" s="288" t="s">
        <v>483</v>
      </c>
      <c r="C203" s="294" t="s">
        <v>1492</v>
      </c>
      <c r="D203" s="6" t="s">
        <v>1768</v>
      </c>
      <c r="E203" s="6" t="e">
        <f>IF(D203&lt;&gt;#REF!,"DIFERENTE","IGUAL")</f>
        <v>#REF!</v>
      </c>
      <c r="F203" s="141" t="str">
        <f>IFERROR(IF(LEFT(A203,3)="LCP",VLOOKUP(A203,#REF!,2,FALSE),VLOOKUP(A203,#REF!,2,FALSE)),"NO BUDGET")</f>
        <v>NO BUDGET</v>
      </c>
    </row>
    <row r="204" spans="1:6" s="21" customFormat="1" ht="24" customHeight="1">
      <c r="A204" s="77" t="s">
        <v>677</v>
      </c>
      <c r="B204" s="288" t="s">
        <v>678</v>
      </c>
      <c r="C204" s="287" t="s">
        <v>187</v>
      </c>
      <c r="D204" s="6" t="s">
        <v>217</v>
      </c>
      <c r="E204" s="6" t="e">
        <f>IF(D204&lt;&gt;#REF!,"DIFERENTE","IGUAL")</f>
        <v>#REF!</v>
      </c>
      <c r="F204" s="141" t="str">
        <f>IFERROR(IF(LEFT(A204,3)="LCP",VLOOKUP(A204,#REF!,2,FALSE),VLOOKUP(A204,#REF!,2,FALSE)),"NO BUDGET")</f>
        <v>NO BUDGET</v>
      </c>
    </row>
    <row r="205" spans="1:6" s="21" customFormat="1" ht="24" customHeight="1">
      <c r="A205" s="77" t="s">
        <v>642</v>
      </c>
      <c r="B205" s="288" t="s">
        <v>643</v>
      </c>
      <c r="C205" s="294" t="s">
        <v>187</v>
      </c>
      <c r="D205" s="6" t="s">
        <v>217</v>
      </c>
      <c r="E205" s="6" t="e">
        <f>IF(D205&lt;&gt;#REF!,"DIFERENTE","IGUAL")</f>
        <v>#REF!</v>
      </c>
      <c r="F205" s="141" t="str">
        <f>IFERROR(IF(LEFT(A205,3)="LCP",VLOOKUP(A205,#REF!,2,FALSE),VLOOKUP(A205,#REF!,2,FALSE)),"NO BUDGET")</f>
        <v>NO BUDGET</v>
      </c>
    </row>
    <row r="206" spans="1:6" s="21" customFormat="1" ht="24" customHeight="1">
      <c r="A206" s="77" t="s">
        <v>706</v>
      </c>
      <c r="B206" s="288" t="s">
        <v>700</v>
      </c>
      <c r="C206" s="294" t="s">
        <v>1492</v>
      </c>
      <c r="D206" s="6" t="s">
        <v>217</v>
      </c>
      <c r="E206" s="6" t="e">
        <f>IF(D206&lt;&gt;#REF!,"DIFERENTE","IGUAL")</f>
        <v>#REF!</v>
      </c>
      <c r="F206" s="141" t="str">
        <f>IFERROR(IF(LEFT(A206,3)="LCP",VLOOKUP(A206,#REF!,2,FALSE),VLOOKUP(A206,#REF!,2,FALSE)),"NO BUDGET")</f>
        <v>NO BUDGET</v>
      </c>
    </row>
    <row r="207" spans="1:6" s="21" customFormat="1" ht="24" customHeight="1">
      <c r="A207" s="77" t="s">
        <v>705</v>
      </c>
      <c r="B207" s="288" t="s">
        <v>695</v>
      </c>
      <c r="C207" s="287" t="s">
        <v>1492</v>
      </c>
      <c r="D207" s="6" t="s">
        <v>217</v>
      </c>
      <c r="E207" s="6" t="e">
        <f>IF(D207&lt;&gt;#REF!,"DIFERENTE","IGUAL")</f>
        <v>#REF!</v>
      </c>
      <c r="F207" s="141" t="str">
        <f>IFERROR(IF(LEFT(A207,3)="LCP",VLOOKUP(A207,#REF!,2,FALSE),VLOOKUP(A207,#REF!,2,FALSE)),"NO BUDGET")</f>
        <v>NO BUDGET</v>
      </c>
    </row>
    <row r="208" spans="1:6" s="21" customFormat="1" ht="24" customHeight="1">
      <c r="A208" s="77" t="s">
        <v>704</v>
      </c>
      <c r="B208" s="288" t="s">
        <v>701</v>
      </c>
      <c r="C208" s="294" t="s">
        <v>185</v>
      </c>
      <c r="D208" s="6" t="s">
        <v>217</v>
      </c>
      <c r="E208" s="6" t="e">
        <f>IF(D208&lt;&gt;#REF!,"DIFERENTE","IGUAL")</f>
        <v>#REF!</v>
      </c>
      <c r="F208" s="141" t="str">
        <f>IFERROR(IF(LEFT(A208,3)="LCP",VLOOKUP(A208,#REF!,2,FALSE),VLOOKUP(A208,#REF!,2,FALSE)),"NO BUDGET")</f>
        <v>NO BUDGET</v>
      </c>
    </row>
    <row r="209" spans="1:6" s="21" customFormat="1" ht="24" customHeight="1">
      <c r="A209" s="77" t="s">
        <v>712</v>
      </c>
      <c r="B209" s="288" t="s">
        <v>696</v>
      </c>
      <c r="C209" s="287" t="s">
        <v>1492</v>
      </c>
      <c r="D209" s="6" t="s">
        <v>217</v>
      </c>
      <c r="E209" s="6" t="e">
        <f>IF(D209&lt;&gt;#REF!,"DIFERENTE","IGUAL")</f>
        <v>#REF!</v>
      </c>
      <c r="F209" s="141" t="str">
        <f>IFERROR(IF(LEFT(A209,3)="LCP",VLOOKUP(A209,#REF!,2,FALSE),VLOOKUP(A209,#REF!,2,FALSE)),"NO BUDGET")</f>
        <v>NO BUDGET</v>
      </c>
    </row>
    <row r="210" spans="1:6" s="21" customFormat="1" ht="24" customHeight="1">
      <c r="A210" s="77" t="s">
        <v>714</v>
      </c>
      <c r="B210" s="288" t="s">
        <v>698</v>
      </c>
      <c r="C210" s="294" t="s">
        <v>315</v>
      </c>
      <c r="D210" s="6" t="s">
        <v>217</v>
      </c>
      <c r="E210" s="6" t="e">
        <f>IF(D210&lt;&gt;#REF!,"DIFERENTE","IGUAL")</f>
        <v>#REF!</v>
      </c>
      <c r="F210" s="141" t="str">
        <f>IFERROR(IF(LEFT(A210,3)="LCP",VLOOKUP(A210,#REF!,2,FALSE),VLOOKUP(A210,#REF!,2,FALSE)),"NO BUDGET")</f>
        <v>NO BUDGET</v>
      </c>
    </row>
    <row r="211" spans="1:6" s="21" customFormat="1" ht="24" customHeight="1">
      <c r="A211" s="77" t="s">
        <v>711</v>
      </c>
      <c r="B211" s="288" t="s">
        <v>694</v>
      </c>
      <c r="C211" s="287" t="s">
        <v>1492</v>
      </c>
      <c r="D211" s="6" t="s">
        <v>1768</v>
      </c>
      <c r="E211" s="6" t="e">
        <f>IF(D211&lt;&gt;#REF!,"DIFERENTE","IGUAL")</f>
        <v>#REF!</v>
      </c>
      <c r="F211" s="141" t="str">
        <f>IFERROR(IF(LEFT(A211,3)="LCP",VLOOKUP(A211,#REF!,2,FALSE),VLOOKUP(A211,#REF!,2,FALSE)),"NO BUDGET")</f>
        <v>NO BUDGET</v>
      </c>
    </row>
    <row r="212" spans="1:6" s="21" customFormat="1" ht="24" customHeight="1">
      <c r="A212" s="77" t="s">
        <v>687</v>
      </c>
      <c r="B212" s="288" t="s">
        <v>689</v>
      </c>
      <c r="C212" s="287" t="s">
        <v>187</v>
      </c>
      <c r="D212" s="6" t="s">
        <v>217</v>
      </c>
      <c r="E212" s="6" t="e">
        <f>IF(D212&lt;&gt;#REF!,"DIFERENTE","IGUAL")</f>
        <v>#REF!</v>
      </c>
      <c r="F212" s="141" t="str">
        <f>IFERROR(IF(LEFT(A212,3)="LCP",VLOOKUP(A212,#REF!,2,FALSE),VLOOKUP(A212,#REF!,2,FALSE)),"NO BUDGET")</f>
        <v>NO BUDGET</v>
      </c>
    </row>
    <row r="213" spans="1:6" s="21" customFormat="1" ht="24" customHeight="1">
      <c r="A213" s="77" t="s">
        <v>713</v>
      </c>
      <c r="B213" s="288" t="s">
        <v>1740</v>
      </c>
      <c r="C213" s="287" t="s">
        <v>1492</v>
      </c>
      <c r="D213" s="6" t="s">
        <v>217</v>
      </c>
      <c r="E213" s="6" t="e">
        <f>IF(D213&lt;&gt;#REF!,"DIFERENTE","IGUAL")</f>
        <v>#REF!</v>
      </c>
      <c r="F213" s="141" t="str">
        <f>IFERROR(IF(LEFT(A213,3)="LCP",VLOOKUP(A213,#REF!,2,FALSE),VLOOKUP(A213,#REF!,2,FALSE)),"NO BUDGET")</f>
        <v>NO BUDGET</v>
      </c>
    </row>
    <row r="214" spans="1:6" s="21" customFormat="1" ht="24.75" customHeight="1">
      <c r="A214" s="77" t="s">
        <v>716</v>
      </c>
      <c r="B214" s="288" t="s">
        <v>703</v>
      </c>
      <c r="C214" s="287" t="s">
        <v>185</v>
      </c>
      <c r="D214" s="6" t="s">
        <v>1768</v>
      </c>
      <c r="E214" s="6" t="e">
        <f>IF(D214&lt;&gt;#REF!,"DIFERENTE","IGUAL")</f>
        <v>#REF!</v>
      </c>
      <c r="F214" s="141" t="str">
        <f>IFERROR(IF(LEFT(A214,3)="LCP",VLOOKUP(A214,#REF!,2,FALSE),VLOOKUP(A214,#REF!,2,FALSE)),"NO BUDGET")</f>
        <v>NO BUDGET</v>
      </c>
    </row>
    <row r="215" spans="1:6" s="21" customFormat="1" ht="24" customHeight="1">
      <c r="A215" s="77" t="s">
        <v>715</v>
      </c>
      <c r="B215" s="288" t="s">
        <v>707</v>
      </c>
      <c r="C215" s="287" t="s">
        <v>1492</v>
      </c>
      <c r="D215" s="6" t="s">
        <v>217</v>
      </c>
      <c r="E215" s="6" t="e">
        <f>IF(D215&lt;&gt;#REF!,"DIFERENTE","IGUAL")</f>
        <v>#REF!</v>
      </c>
      <c r="F215" s="141" t="str">
        <f>IFERROR(IF(LEFT(A215,3)="LCP",VLOOKUP(A215,#REF!,2,FALSE),VLOOKUP(A215,#REF!,2,FALSE)),"NO BUDGET")</f>
        <v>NO BUDGET</v>
      </c>
    </row>
    <row r="216" spans="1:6" s="21" customFormat="1" ht="24" customHeight="1">
      <c r="A216" s="77" t="s">
        <v>717</v>
      </c>
      <c r="B216" s="288" t="s">
        <v>1809</v>
      </c>
      <c r="C216" s="287" t="s">
        <v>186</v>
      </c>
      <c r="D216" s="6" t="s">
        <v>1768</v>
      </c>
      <c r="E216" s="6" t="e">
        <f>IF(D216&lt;&gt;#REF!,"DIFERENTE","IGUAL")</f>
        <v>#REF!</v>
      </c>
      <c r="F216" s="141" t="str">
        <f>IFERROR(IF(LEFT(A216,3)="LCP",VLOOKUP(A216,#REF!,2,FALSE),VLOOKUP(A216,#REF!,2,FALSE)),"NO BUDGET")</f>
        <v>NO BUDGET</v>
      </c>
    </row>
    <row r="217" spans="1:6" s="21" customFormat="1" ht="24" customHeight="1">
      <c r="A217" s="77" t="s">
        <v>718</v>
      </c>
      <c r="B217" s="288" t="s">
        <v>761</v>
      </c>
      <c r="C217" s="294" t="s">
        <v>185</v>
      </c>
      <c r="D217" s="6" t="s">
        <v>217</v>
      </c>
      <c r="E217" s="6" t="e">
        <f>IF(D217&lt;&gt;#REF!,"DIFERENTE","IGUAL")</f>
        <v>#REF!</v>
      </c>
      <c r="F217" s="141" t="str">
        <f>IFERROR(IF(LEFT(A217,3)="LCP",VLOOKUP(A217,#REF!,2,FALSE),VLOOKUP(A217,#REF!,2,FALSE)),"NO BUDGET")</f>
        <v>NO BUDGET</v>
      </c>
    </row>
    <row r="218" spans="1:6" s="21" customFormat="1" ht="24" customHeight="1">
      <c r="A218" s="77" t="s">
        <v>742</v>
      </c>
      <c r="B218" s="288" t="s">
        <v>991</v>
      </c>
      <c r="C218" s="294" t="s">
        <v>185</v>
      </c>
      <c r="D218" s="6" t="s">
        <v>1768</v>
      </c>
      <c r="E218" s="6" t="e">
        <f>IF(D218&lt;&gt;#REF!,"DIFERENTE","IGUAL")</f>
        <v>#REF!</v>
      </c>
      <c r="F218" s="141" t="str">
        <f>IFERROR(IF(LEFT(A218,3)="LCP",VLOOKUP(A218,#REF!,2,FALSE),VLOOKUP(A218,#REF!,2,FALSE)),"NO BUDGET")</f>
        <v>NO BUDGET</v>
      </c>
    </row>
    <row r="219" spans="1:6" s="21" customFormat="1" ht="24" customHeight="1">
      <c r="A219" s="77" t="s">
        <v>766</v>
      </c>
      <c r="B219" s="288" t="s">
        <v>767</v>
      </c>
      <c r="C219" s="287" t="s">
        <v>185</v>
      </c>
      <c r="D219" s="6" t="s">
        <v>217</v>
      </c>
      <c r="E219" s="6" t="e">
        <f>IF(D219&lt;&gt;#REF!,"DIFERENTE","IGUAL")</f>
        <v>#REF!</v>
      </c>
      <c r="F219" s="141" t="str">
        <f>IFERROR(IF(LEFT(A219,3)="LCP",VLOOKUP(A219,#REF!,2,FALSE),VLOOKUP(A219,#REF!,2,FALSE)),"NO BUDGET")</f>
        <v>NO BUDGET</v>
      </c>
    </row>
    <row r="220" spans="1:6" s="21" customFormat="1" ht="24" customHeight="1">
      <c r="A220" s="77" t="s">
        <v>768</v>
      </c>
      <c r="B220" s="288" t="s">
        <v>810</v>
      </c>
      <c r="C220" s="294" t="s">
        <v>315</v>
      </c>
      <c r="D220" s="6" t="s">
        <v>1768</v>
      </c>
      <c r="E220" s="6" t="e">
        <f>IF(D220&lt;&gt;#REF!,"DIFERENTE","IGUAL")</f>
        <v>#REF!</v>
      </c>
      <c r="F220" s="141" t="str">
        <f>IFERROR(IF(LEFT(A220,3)="LCP",VLOOKUP(A220,#REF!,2,FALSE),VLOOKUP(A220,#REF!,2,FALSE)),"NO BUDGET")</f>
        <v>NO BUDGET</v>
      </c>
    </row>
    <row r="221" spans="1:6" s="21" customFormat="1" ht="24" customHeight="1">
      <c r="A221" s="77" t="s">
        <v>797</v>
      </c>
      <c r="B221" s="288" t="s">
        <v>796</v>
      </c>
      <c r="C221" s="287" t="s">
        <v>811</v>
      </c>
      <c r="D221" s="6" t="s">
        <v>217</v>
      </c>
      <c r="E221" s="6" t="e">
        <f>IF(D221&lt;&gt;#REF!,"DIFERENTE","IGUAL")</f>
        <v>#REF!</v>
      </c>
      <c r="F221" s="141" t="str">
        <f>IFERROR(IF(LEFT(A221,3)="LCP",VLOOKUP(A221,#REF!,2,FALSE),VLOOKUP(A221,#REF!,2,FALSE)),"NO BUDGET")</f>
        <v>NO BUDGET</v>
      </c>
    </row>
    <row r="222" spans="1:6" s="21" customFormat="1" ht="24" customHeight="1">
      <c r="A222" s="77" t="s">
        <v>801</v>
      </c>
      <c r="B222" s="288" t="s">
        <v>800</v>
      </c>
      <c r="C222" s="287" t="s">
        <v>1492</v>
      </c>
      <c r="D222" s="6" t="s">
        <v>217</v>
      </c>
      <c r="E222" s="6" t="e">
        <f>IF(D222&lt;&gt;#REF!,"DIFERENTE","IGUAL")</f>
        <v>#REF!</v>
      </c>
      <c r="F222" s="141" t="str">
        <f>IFERROR(IF(LEFT(A222,3)="LCP",VLOOKUP(A222,#REF!,2,FALSE),VLOOKUP(A222,#REF!,2,FALSE)),"NO BUDGET")</f>
        <v>NO BUDGET</v>
      </c>
    </row>
    <row r="223" spans="1:6" s="21" customFormat="1" ht="24" customHeight="1">
      <c r="A223" s="77" t="s">
        <v>803</v>
      </c>
      <c r="B223" s="288" t="s">
        <v>802</v>
      </c>
      <c r="C223" s="287" t="s">
        <v>1492</v>
      </c>
      <c r="D223" s="6" t="s">
        <v>217</v>
      </c>
      <c r="E223" s="6" t="e">
        <f>IF(D223&lt;&gt;#REF!,"DIFERENTE","IGUAL")</f>
        <v>#REF!</v>
      </c>
      <c r="F223" s="141" t="str">
        <f>IFERROR(IF(LEFT(A223,3)="LCP",VLOOKUP(A223,#REF!,2,FALSE),VLOOKUP(A223,#REF!,2,FALSE)),"NO BUDGET")</f>
        <v>NO BUDGET</v>
      </c>
    </row>
    <row r="224" spans="1:6" s="21" customFormat="1" ht="24" customHeight="1">
      <c r="A224" s="143" t="s">
        <v>804</v>
      </c>
      <c r="B224" s="288" t="s">
        <v>993</v>
      </c>
      <c r="C224" s="287" t="s">
        <v>315</v>
      </c>
      <c r="D224" s="6" t="s">
        <v>1768</v>
      </c>
      <c r="E224" s="6" t="e">
        <f>IF(D224&lt;&gt;#REF!,"DIFERENTE","IGUAL")</f>
        <v>#REF!</v>
      </c>
      <c r="F224" s="141" t="str">
        <f>IFERROR(IF(LEFT(A224,3)="LCP",VLOOKUP(A224,#REF!,2,FALSE),VLOOKUP(A224,#REF!,2,FALSE)),"NO BUDGET")</f>
        <v>NO BUDGET</v>
      </c>
    </row>
    <row r="225" spans="1:6" s="21" customFormat="1" ht="24" customHeight="1">
      <c r="A225" s="77" t="s">
        <v>807</v>
      </c>
      <c r="B225" s="288" t="s">
        <v>808</v>
      </c>
      <c r="C225" s="287" t="s">
        <v>1492</v>
      </c>
      <c r="D225" s="6" t="s">
        <v>217</v>
      </c>
      <c r="E225" s="6" t="e">
        <f>IF(D225&lt;&gt;#REF!,"DIFERENTE","IGUAL")</f>
        <v>#REF!</v>
      </c>
      <c r="F225" s="141" t="str">
        <f>IFERROR(IF(LEFT(A225,3)="LCP",VLOOKUP(A225,#REF!,2,FALSE),VLOOKUP(A225,#REF!,2,FALSE)),"NO BUDGET")</f>
        <v>NO BUDGET</v>
      </c>
    </row>
    <row r="226" spans="1:6" s="21" customFormat="1" ht="24" customHeight="1">
      <c r="A226" s="77" t="s">
        <v>812</v>
      </c>
      <c r="B226" s="288" t="s">
        <v>1691</v>
      </c>
      <c r="C226" s="294" t="s">
        <v>182</v>
      </c>
      <c r="D226" s="6" t="s">
        <v>1768</v>
      </c>
      <c r="E226" s="6" t="e">
        <f>IF(D226&lt;&gt;#REF!,"DIFERENTE","IGUAL")</f>
        <v>#REF!</v>
      </c>
      <c r="F226" s="141" t="str">
        <f>IFERROR(IF(LEFT(A226,3)="LCP",VLOOKUP(A226,#REF!,2,FALSE),VLOOKUP(A226,#REF!,2,FALSE)),"NO BUDGET")</f>
        <v>NO BUDGET</v>
      </c>
    </row>
    <row r="227" spans="1:6" s="21" customFormat="1" ht="24" customHeight="1">
      <c r="A227" s="77" t="s">
        <v>814</v>
      </c>
      <c r="B227" s="288" t="s">
        <v>813</v>
      </c>
      <c r="C227" s="294" t="s">
        <v>185</v>
      </c>
      <c r="D227" s="6" t="s">
        <v>217</v>
      </c>
      <c r="E227" s="6" t="e">
        <f>IF(D227&lt;&gt;#REF!,"DIFERENTE","IGUAL")</f>
        <v>#REF!</v>
      </c>
      <c r="F227" s="141" t="str">
        <f>IFERROR(IF(LEFT(A227,3)="LCP",VLOOKUP(A227,#REF!,2,FALSE),VLOOKUP(A227,#REF!,2,FALSE)),"NO BUDGET")</f>
        <v>NO BUDGET</v>
      </c>
    </row>
    <row r="228" spans="1:6" s="21" customFormat="1" ht="24" customHeight="1">
      <c r="A228" s="77" t="s">
        <v>897</v>
      </c>
      <c r="B228" s="288" t="s">
        <v>1796</v>
      </c>
      <c r="C228" s="287" t="s">
        <v>185</v>
      </c>
      <c r="D228" s="6" t="s">
        <v>217</v>
      </c>
      <c r="E228" s="6" t="e">
        <f>IF(D228&lt;&gt;#REF!,"DIFERENTE","IGUAL")</f>
        <v>#REF!</v>
      </c>
      <c r="F228" s="141" t="str">
        <f>IFERROR(IF(LEFT(A228,3)="LCP",VLOOKUP(A228,#REF!,2,FALSE),VLOOKUP(A228,#REF!,2,FALSE)),"NO BUDGET")</f>
        <v>NO BUDGET</v>
      </c>
    </row>
    <row r="229" spans="1:6" s="21" customFormat="1" ht="24" customHeight="1">
      <c r="A229" s="77" t="s">
        <v>899</v>
      </c>
      <c r="B229" s="288" t="s">
        <v>1797</v>
      </c>
      <c r="C229" s="287" t="s">
        <v>185</v>
      </c>
      <c r="D229" s="6" t="s">
        <v>217</v>
      </c>
      <c r="E229" s="6" t="e">
        <f>IF(D229&lt;&gt;#REF!,"DIFERENTE","IGUAL")</f>
        <v>#REF!</v>
      </c>
      <c r="F229" s="141" t="str">
        <f>IFERROR(IF(LEFT(A229,3)="LCP",VLOOKUP(A229,#REF!,2,FALSE),VLOOKUP(A229,#REF!,2,FALSE)),"NO BUDGET")</f>
        <v>NO BUDGET</v>
      </c>
    </row>
    <row r="230" spans="1:6" s="21" customFormat="1" ht="24" customHeight="1">
      <c r="A230" s="77" t="s">
        <v>900</v>
      </c>
      <c r="B230" s="288" t="s">
        <v>998</v>
      </c>
      <c r="C230" s="294" t="s">
        <v>185</v>
      </c>
      <c r="D230" s="6" t="s">
        <v>217</v>
      </c>
      <c r="E230" s="6" t="e">
        <f>IF(D230&lt;&gt;#REF!,"DIFERENTE","IGUAL")</f>
        <v>#REF!</v>
      </c>
      <c r="F230" s="141" t="str">
        <f>IFERROR(IF(LEFT(A230,3)="LCP",VLOOKUP(A230,#REF!,2,FALSE),VLOOKUP(A230,#REF!,2,FALSE)),"NO BUDGET")</f>
        <v>NO BUDGET</v>
      </c>
    </row>
    <row r="231" spans="1:6" s="21" customFormat="1" ht="24" customHeight="1">
      <c r="A231" s="77" t="s">
        <v>925</v>
      </c>
      <c r="B231" s="288" t="s">
        <v>902</v>
      </c>
      <c r="C231" s="294" t="s">
        <v>1492</v>
      </c>
      <c r="D231" s="6" t="s">
        <v>217</v>
      </c>
      <c r="E231" s="6" t="e">
        <f>IF(D231&lt;&gt;#REF!,"DIFERENTE","IGUAL")</f>
        <v>#REF!</v>
      </c>
      <c r="F231" s="141" t="str">
        <f>IFERROR(IF(LEFT(A231,3)="LCP",VLOOKUP(A231,#REF!,2,FALSE),VLOOKUP(A231,#REF!,2,FALSE)),"NO BUDGET")</f>
        <v>NO BUDGET</v>
      </c>
    </row>
    <row r="232" spans="1:6" s="21" customFormat="1" ht="24" customHeight="1">
      <c r="A232" s="77" t="s">
        <v>926</v>
      </c>
      <c r="B232" s="288" t="s">
        <v>720</v>
      </c>
      <c r="C232" s="287" t="s">
        <v>1492</v>
      </c>
      <c r="D232" s="6" t="s">
        <v>1768</v>
      </c>
      <c r="E232" s="6" t="e">
        <f>IF(D232&lt;&gt;#REF!,"DIFERENTE","IGUAL")</f>
        <v>#REF!</v>
      </c>
      <c r="F232" s="141" t="str">
        <f>IFERROR(IF(LEFT(A232,3)="LCP",VLOOKUP(A232,#REF!,2,FALSE),VLOOKUP(A232,#REF!,2,FALSE)),"NO BUDGET")</f>
        <v>NO BUDGET</v>
      </c>
    </row>
    <row r="233" spans="1:6" s="21" customFormat="1" ht="24" customHeight="1">
      <c r="A233" s="77" t="s">
        <v>927</v>
      </c>
      <c r="B233" s="288" t="s">
        <v>1317</v>
      </c>
      <c r="C233" s="294" t="s">
        <v>187</v>
      </c>
      <c r="D233" s="6" t="s">
        <v>217</v>
      </c>
      <c r="E233" s="6" t="e">
        <f>IF(D233&lt;&gt;#REF!,"DIFERENTE","IGUAL")</f>
        <v>#REF!</v>
      </c>
      <c r="F233" s="141" t="str">
        <f>IFERROR(IF(LEFT(A233,3)="LCP",VLOOKUP(A233,#REF!,2,FALSE),VLOOKUP(A233,#REF!,2,FALSE)),"NO BUDGET")</f>
        <v>NO BUDGET</v>
      </c>
    </row>
    <row r="234" spans="1:6" s="21" customFormat="1" ht="24" customHeight="1">
      <c r="A234" s="77" t="s">
        <v>924</v>
      </c>
      <c r="B234" s="288" t="s">
        <v>934</v>
      </c>
      <c r="C234" s="294" t="s">
        <v>182</v>
      </c>
      <c r="D234" s="6" t="s">
        <v>217</v>
      </c>
      <c r="E234" s="6" t="e">
        <f>IF(D234&lt;&gt;#REF!,"DIFERENTE","IGUAL")</f>
        <v>#REF!</v>
      </c>
      <c r="F234" s="141" t="str">
        <f>IFERROR(IF(LEFT(A234,3)="LCP",VLOOKUP(A234,#REF!,2,FALSE),VLOOKUP(A234,#REF!,2,FALSE)),"NO BUDGET")</f>
        <v>NO BUDGET</v>
      </c>
    </row>
    <row r="235" spans="1:6" s="21" customFormat="1" ht="24" customHeight="1">
      <c r="A235" s="77" t="s">
        <v>932</v>
      </c>
      <c r="B235" s="288" t="s">
        <v>929</v>
      </c>
      <c r="C235" s="294" t="s">
        <v>1492</v>
      </c>
      <c r="D235" s="6" t="s">
        <v>217</v>
      </c>
      <c r="E235" s="6" t="e">
        <f>IF(D235&lt;&gt;#REF!,"DIFERENTE","IGUAL")</f>
        <v>#REF!</v>
      </c>
      <c r="F235" s="141" t="str">
        <f>IFERROR(IF(LEFT(A235,3)="LCP",VLOOKUP(A235,#REF!,2,FALSE),VLOOKUP(A235,#REF!,2,FALSE)),"NO BUDGET")</f>
        <v>NO BUDGET</v>
      </c>
    </row>
    <row r="236" spans="1:6" s="21" customFormat="1" ht="24" customHeight="1">
      <c r="A236" s="77" t="s">
        <v>933</v>
      </c>
      <c r="B236" s="288" t="s">
        <v>928</v>
      </c>
      <c r="C236" s="287" t="s">
        <v>1492</v>
      </c>
      <c r="D236" s="6" t="s">
        <v>217</v>
      </c>
      <c r="E236" s="6" t="e">
        <f>IF(D236&lt;&gt;#REF!,"DIFERENTE","IGUAL")</f>
        <v>#REF!</v>
      </c>
      <c r="F236" s="141" t="str">
        <f>IFERROR(IF(LEFT(A236,3)="LCP",VLOOKUP(A236,#REF!,2,FALSE),VLOOKUP(A236,#REF!,2,FALSE)),"NO BUDGET")</f>
        <v>NO BUDGET</v>
      </c>
    </row>
    <row r="237" spans="1:6" s="21" customFormat="1" ht="24" customHeight="1">
      <c r="A237" s="77" t="s">
        <v>930</v>
      </c>
      <c r="B237" s="288" t="s">
        <v>992</v>
      </c>
      <c r="C237" s="287" t="s">
        <v>185</v>
      </c>
      <c r="D237" s="6" t="s">
        <v>1768</v>
      </c>
      <c r="E237" s="6" t="e">
        <f>IF(D237&lt;&gt;#REF!,"DIFERENTE","IGUAL")</f>
        <v>#REF!</v>
      </c>
      <c r="F237" s="141" t="str">
        <f>IFERROR(IF(LEFT(A237,3)="LCP",VLOOKUP(A237,#REF!,2,FALSE),VLOOKUP(A237,#REF!,2,FALSE)),"NO BUDGET")</f>
        <v>NO BUDGET</v>
      </c>
    </row>
    <row r="238" spans="1:6" s="21" customFormat="1" ht="24" customHeight="1">
      <c r="A238" s="77" t="s">
        <v>937</v>
      </c>
      <c r="B238" s="288" t="s">
        <v>936</v>
      </c>
      <c r="C238" s="287" t="s">
        <v>1492</v>
      </c>
      <c r="D238" s="6" t="s">
        <v>217</v>
      </c>
      <c r="E238" s="6" t="e">
        <f>IF(D238&lt;&gt;#REF!,"DIFERENTE","IGUAL")</f>
        <v>#REF!</v>
      </c>
      <c r="F238" s="141" t="str">
        <f>IFERROR(IF(LEFT(A238,3)="LCP",VLOOKUP(A238,#REF!,2,FALSE),VLOOKUP(A238,#REF!,2,FALSE)),"NO BUDGET")</f>
        <v>NO BUDGET</v>
      </c>
    </row>
    <row r="239" spans="1:6" s="21" customFormat="1" ht="24.75" customHeight="1">
      <c r="A239" s="77" t="s">
        <v>943</v>
      </c>
      <c r="B239" s="288" t="s">
        <v>962</v>
      </c>
      <c r="C239" s="287" t="s">
        <v>186</v>
      </c>
      <c r="D239" s="6" t="s">
        <v>217</v>
      </c>
      <c r="E239" s="6" t="e">
        <f>IF(D239&lt;&gt;#REF!,"DIFERENTE","IGUAL")</f>
        <v>#REF!</v>
      </c>
      <c r="F239" s="141" t="str">
        <f>IFERROR(IF(LEFT(A239,3)="LCP",VLOOKUP(A239,#REF!,2,FALSE),VLOOKUP(A239,#REF!,2,FALSE)),"NO BUDGET")</f>
        <v>NO BUDGET</v>
      </c>
    </row>
    <row r="240" spans="1:6" s="21" customFormat="1" ht="24" customHeight="1">
      <c r="A240" s="77" t="s">
        <v>945</v>
      </c>
      <c r="B240" s="288" t="s">
        <v>958</v>
      </c>
      <c r="C240" s="287" t="s">
        <v>185</v>
      </c>
      <c r="D240" s="6" t="s">
        <v>217</v>
      </c>
      <c r="E240" s="6" t="e">
        <f>IF(D240&lt;&gt;#REF!,"DIFERENTE","IGUAL")</f>
        <v>#REF!</v>
      </c>
      <c r="F240" s="141" t="str">
        <f>IFERROR(IF(LEFT(A240,3)="LCP",VLOOKUP(A240,#REF!,2,FALSE),VLOOKUP(A240,#REF!,2,FALSE)),"NO BUDGET")</f>
        <v>NO BUDGET</v>
      </c>
    </row>
    <row r="241" spans="1:6" s="21" customFormat="1" ht="24" customHeight="1">
      <c r="A241" s="77" t="s">
        <v>944</v>
      </c>
      <c r="B241" s="288" t="s">
        <v>1741</v>
      </c>
      <c r="C241" s="287" t="s">
        <v>185</v>
      </c>
      <c r="D241" s="6" t="s">
        <v>217</v>
      </c>
      <c r="E241" s="6" t="e">
        <f>IF(D241&lt;&gt;#REF!,"DIFERENTE","IGUAL")</f>
        <v>#REF!</v>
      </c>
      <c r="F241" s="141" t="str">
        <f>IFERROR(IF(LEFT(A241,3)="LCP",VLOOKUP(A241,#REF!,2,FALSE),VLOOKUP(A241,#REF!,2,FALSE)),"NO BUDGET")</f>
        <v>NO BUDGET</v>
      </c>
    </row>
    <row r="242" spans="1:6" s="21" customFormat="1" ht="24" customHeight="1">
      <c r="A242" s="77" t="s">
        <v>941</v>
      </c>
      <c r="B242" s="288" t="s">
        <v>966</v>
      </c>
      <c r="C242" s="294" t="s">
        <v>187</v>
      </c>
      <c r="D242" s="6" t="s">
        <v>217</v>
      </c>
      <c r="E242" s="6" t="e">
        <f>IF(D242&lt;&gt;#REF!,"DIFERENTE","IGUAL")</f>
        <v>#REF!</v>
      </c>
      <c r="F242" s="141" t="str">
        <f>IFERROR(IF(LEFT(A242,3)="LCP",VLOOKUP(A242,#REF!,2,FALSE),VLOOKUP(A242,#REF!,2,FALSE)),"NO BUDGET")</f>
        <v>NO BUDGET</v>
      </c>
    </row>
    <row r="243" spans="1:6" s="21" customFormat="1" ht="24" customHeight="1">
      <c r="A243" s="77" t="s">
        <v>940</v>
      </c>
      <c r="B243" s="288" t="s">
        <v>961</v>
      </c>
      <c r="C243" s="287" t="s">
        <v>185</v>
      </c>
      <c r="D243" s="6" t="s">
        <v>217</v>
      </c>
      <c r="E243" s="6" t="e">
        <f>IF(D243&lt;&gt;#REF!,"DIFERENTE","IGUAL")</f>
        <v>#REF!</v>
      </c>
      <c r="F243" s="141" t="str">
        <f>IFERROR(IF(LEFT(A243,3)="LCP",VLOOKUP(A243,#REF!,2,FALSE),VLOOKUP(A243,#REF!,2,FALSE)),"NO BUDGET")</f>
        <v>NO BUDGET</v>
      </c>
    </row>
    <row r="244" spans="1:6" s="21" customFormat="1" ht="24" customHeight="1">
      <c r="A244" s="77" t="s">
        <v>947</v>
      </c>
      <c r="B244" s="288" t="s">
        <v>959</v>
      </c>
      <c r="C244" s="287" t="s">
        <v>185</v>
      </c>
      <c r="D244" s="6" t="s">
        <v>217</v>
      </c>
      <c r="E244" s="6" t="e">
        <f>IF(D244&lt;&gt;#REF!,"DIFERENTE","IGUAL")</f>
        <v>#REF!</v>
      </c>
      <c r="F244" s="141" t="str">
        <f>IFERROR(IF(LEFT(A244,3)="LCP",VLOOKUP(A244,#REF!,2,FALSE),VLOOKUP(A244,#REF!,2,FALSE)),"NO BUDGET")</f>
        <v>NO BUDGET</v>
      </c>
    </row>
    <row r="245" spans="1:6" s="21" customFormat="1" ht="24" customHeight="1">
      <c r="A245" s="77" t="s">
        <v>957</v>
      </c>
      <c r="B245" s="288" t="s">
        <v>960</v>
      </c>
      <c r="C245" s="287" t="s">
        <v>186</v>
      </c>
      <c r="D245" s="6" t="s">
        <v>217</v>
      </c>
      <c r="E245" s="6" t="e">
        <f>IF(D245&lt;&gt;#REF!,"DIFERENTE","IGUAL")</f>
        <v>#REF!</v>
      </c>
      <c r="F245" s="141" t="str">
        <f>IFERROR(IF(LEFT(A245,3)="LCP",VLOOKUP(A245,#REF!,2,FALSE),VLOOKUP(A245,#REF!,2,FALSE)),"NO BUDGET")</f>
        <v>NO BUDGET</v>
      </c>
    </row>
    <row r="246" spans="1:6" s="21" customFormat="1" ht="24" customHeight="1">
      <c r="A246" s="77" t="s">
        <v>955</v>
      </c>
      <c r="B246" s="288" t="s">
        <v>1791</v>
      </c>
      <c r="C246" s="294" t="s">
        <v>185</v>
      </c>
      <c r="D246" s="6" t="s">
        <v>1768</v>
      </c>
      <c r="E246" s="6" t="e">
        <f>IF(D246&lt;&gt;#REF!,"DIFERENTE","IGUAL")</f>
        <v>#REF!</v>
      </c>
      <c r="F246" s="141" t="str">
        <f>IFERROR(IF(LEFT(A246,3)="LCP",VLOOKUP(A246,#REF!,2,FALSE),VLOOKUP(A246,#REF!,2,FALSE)),"NO BUDGET")</f>
        <v>NO BUDGET</v>
      </c>
    </row>
    <row r="247" spans="1:6" s="21" customFormat="1" ht="24" customHeight="1">
      <c r="A247" s="77" t="s">
        <v>956</v>
      </c>
      <c r="B247" s="288" t="s">
        <v>1784</v>
      </c>
      <c r="C247" s="294" t="s">
        <v>185</v>
      </c>
      <c r="D247" s="6" t="s">
        <v>1768</v>
      </c>
      <c r="E247" s="6" t="e">
        <f>IF(D247&lt;&gt;#REF!,"DIFERENTE","IGUAL")</f>
        <v>#REF!</v>
      </c>
      <c r="F247" s="141" t="str">
        <f>IFERROR(IF(LEFT(A247,3)="LCP",VLOOKUP(A247,#REF!,2,FALSE),VLOOKUP(A247,#REF!,2,FALSE)),"NO BUDGET")</f>
        <v>NO BUDGET</v>
      </c>
    </row>
    <row r="248" spans="1:6" s="21" customFormat="1" ht="24" customHeight="1">
      <c r="A248" s="77" t="s">
        <v>948</v>
      </c>
      <c r="B248" s="288" t="s">
        <v>963</v>
      </c>
      <c r="C248" s="287" t="s">
        <v>186</v>
      </c>
      <c r="D248" s="6" t="s">
        <v>1768</v>
      </c>
      <c r="E248" s="6" t="e">
        <f>IF(D248&lt;&gt;#REF!,"DIFERENTE","IGUAL")</f>
        <v>#REF!</v>
      </c>
      <c r="F248" s="141" t="str">
        <f>IFERROR(IF(LEFT(A248,3)="LCP",VLOOKUP(A248,#REF!,2,FALSE),VLOOKUP(A248,#REF!,2,FALSE)),"NO BUDGET")</f>
        <v>NO BUDGET</v>
      </c>
    </row>
    <row r="249" spans="1:6" s="21" customFormat="1" ht="24" customHeight="1">
      <c r="A249" s="77" t="s">
        <v>1016</v>
      </c>
      <c r="B249" s="288" t="s">
        <v>1400</v>
      </c>
      <c r="C249" s="294" t="s">
        <v>1492</v>
      </c>
      <c r="D249" s="6" t="s">
        <v>217</v>
      </c>
      <c r="E249" s="6" t="e">
        <f>IF(D249&lt;&gt;#REF!,"DIFERENTE","IGUAL")</f>
        <v>#REF!</v>
      </c>
      <c r="F249" s="141" t="str">
        <f>IFERROR(IF(LEFT(A249,3)="LCP",VLOOKUP(A249,#REF!,2,FALSE),VLOOKUP(A249,#REF!,2,FALSE)),"NO BUDGET")</f>
        <v>NO BUDGET</v>
      </c>
    </row>
    <row r="250" spans="1:6" s="21" customFormat="1" ht="24" customHeight="1">
      <c r="A250" s="77" t="s">
        <v>1046</v>
      </c>
      <c r="B250" s="288" t="s">
        <v>1045</v>
      </c>
      <c r="C250" s="287" t="s">
        <v>187</v>
      </c>
      <c r="D250" s="6" t="s">
        <v>217</v>
      </c>
      <c r="E250" s="6" t="e">
        <f>IF(D250&lt;&gt;#REF!,"DIFERENTE","IGUAL")</f>
        <v>#REF!</v>
      </c>
      <c r="F250" s="141" t="str">
        <f>IFERROR(IF(LEFT(A250,3)="LCP",VLOOKUP(A250,#REF!,2,FALSE),VLOOKUP(A250,#REF!,2,FALSE)),"NO BUDGET")</f>
        <v>NO BUDGET</v>
      </c>
    </row>
    <row r="251" spans="1:6" s="21" customFormat="1" ht="24" customHeight="1">
      <c r="A251" s="77" t="s">
        <v>1050</v>
      </c>
      <c r="B251" s="288" t="s">
        <v>1692</v>
      </c>
      <c r="C251" s="294" t="s">
        <v>315</v>
      </c>
      <c r="D251" s="6" t="s">
        <v>1768</v>
      </c>
      <c r="E251" s="6" t="e">
        <f>IF(D251&lt;&gt;#REF!,"DIFERENTE","IGUAL")</f>
        <v>#REF!</v>
      </c>
      <c r="F251" s="141" t="str">
        <f>IFERROR(IF(LEFT(A251,3)="LCP",VLOOKUP(A251,#REF!,2,FALSE),VLOOKUP(A251,#REF!,2,FALSE)),"NO BUDGET")</f>
        <v>NO BUDGET</v>
      </c>
    </row>
    <row r="252" spans="1:6" s="21" customFormat="1" ht="24" customHeight="1">
      <c r="A252" s="77" t="s">
        <v>1053</v>
      </c>
      <c r="B252" s="288" t="s">
        <v>1061</v>
      </c>
      <c r="C252" s="287" t="s">
        <v>1492</v>
      </c>
      <c r="D252" s="6" t="s">
        <v>1768</v>
      </c>
      <c r="E252" s="6" t="e">
        <f>IF(D252&lt;&gt;#REF!,"DIFERENTE","IGUAL")</f>
        <v>#REF!</v>
      </c>
      <c r="F252" s="141" t="str">
        <f>IFERROR(IF(LEFT(A252,3)="LCP",VLOOKUP(A252,#REF!,2,FALSE),VLOOKUP(A252,#REF!,2,FALSE)),"NO BUDGET")</f>
        <v>NO BUDGET</v>
      </c>
    </row>
    <row r="253" spans="1:6" s="21" customFormat="1" ht="24" customHeight="1">
      <c r="A253" s="77" t="s">
        <v>1054</v>
      </c>
      <c r="B253" s="288" t="s">
        <v>1062</v>
      </c>
      <c r="C253" s="294" t="s">
        <v>315</v>
      </c>
      <c r="D253" s="6" t="s">
        <v>217</v>
      </c>
      <c r="E253" s="6" t="e">
        <f>IF(D253&lt;&gt;#REF!,"DIFERENTE","IGUAL")</f>
        <v>#REF!</v>
      </c>
      <c r="F253" s="141" t="str">
        <f>IFERROR(IF(LEFT(A253,3)="LCP",VLOOKUP(A253,#REF!,2,FALSE),VLOOKUP(A253,#REF!,2,FALSE)),"NO BUDGET")</f>
        <v>NO BUDGET</v>
      </c>
    </row>
    <row r="254" spans="1:6" s="21" customFormat="1" ht="24" customHeight="1">
      <c r="A254" s="77" t="s">
        <v>1231</v>
      </c>
      <c r="B254" s="288" t="s">
        <v>1232</v>
      </c>
      <c r="C254" s="294" t="s">
        <v>1492</v>
      </c>
      <c r="D254" s="6" t="s">
        <v>1768</v>
      </c>
      <c r="E254" s="6" t="e">
        <f>IF(D254&lt;&gt;#REF!,"DIFERENTE","IGUAL")</f>
        <v>#REF!</v>
      </c>
      <c r="F254" s="141" t="str">
        <f>IFERROR(IF(LEFT(A254,3)="LCP",VLOOKUP(A254,#REF!,2,FALSE),VLOOKUP(A254,#REF!,2,FALSE)),"NO BUDGET")</f>
        <v>NO BUDGET</v>
      </c>
    </row>
    <row r="255" spans="1:6" s="21" customFormat="1" ht="24" customHeight="1">
      <c r="A255" s="77" t="s">
        <v>1173</v>
      </c>
      <c r="B255" s="288" t="s">
        <v>1693</v>
      </c>
      <c r="C255" s="294" t="s">
        <v>1492</v>
      </c>
      <c r="D255" s="6" t="s">
        <v>217</v>
      </c>
      <c r="E255" s="6" t="e">
        <f>IF(D255&lt;&gt;#REF!,"DIFERENTE","IGUAL")</f>
        <v>#REF!</v>
      </c>
      <c r="F255" s="141" t="str">
        <f>IFERROR(IF(LEFT(A255,3)="LCP",VLOOKUP(A255,#REF!,2,FALSE),VLOOKUP(A255,#REF!,2,FALSE)),"NO BUDGET")</f>
        <v>NO BUDGET</v>
      </c>
    </row>
    <row r="256" spans="1:6" s="21" customFormat="1" ht="24" customHeight="1">
      <c r="A256" s="77" t="s">
        <v>1219</v>
      </c>
      <c r="B256" s="288" t="s">
        <v>1694</v>
      </c>
      <c r="C256" s="287" t="s">
        <v>1492</v>
      </c>
      <c r="D256" s="6" t="s">
        <v>217</v>
      </c>
      <c r="E256" s="6" t="e">
        <f>IF(D256&lt;&gt;#REF!,"DIFERENTE","IGUAL")</f>
        <v>#REF!</v>
      </c>
      <c r="F256" s="141" t="str">
        <f>IFERROR(IF(LEFT(A256,3)="LCP",VLOOKUP(A256,#REF!,2,FALSE),VLOOKUP(A256,#REF!,2,FALSE)),"NO BUDGET")</f>
        <v>NO BUDGET</v>
      </c>
    </row>
    <row r="257" spans="1:6" s="21" customFormat="1" ht="24" customHeight="1">
      <c r="A257" s="77" t="s">
        <v>1239</v>
      </c>
      <c r="B257" s="288" t="s">
        <v>1320</v>
      </c>
      <c r="C257" s="287" t="s">
        <v>185</v>
      </c>
      <c r="D257" s="6" t="s">
        <v>217</v>
      </c>
      <c r="E257" s="6" t="e">
        <f>IF(D257&lt;&gt;#REF!,"DIFERENTE","IGUAL")</f>
        <v>#REF!</v>
      </c>
      <c r="F257" s="141" t="str">
        <f>IFERROR(IF(LEFT(A257,3)="LCP",VLOOKUP(A257,#REF!,2,FALSE),VLOOKUP(A257,#REF!,2,FALSE)),"NO BUDGET")</f>
        <v>NO BUDGET</v>
      </c>
    </row>
    <row r="258" spans="1:6" s="21" customFormat="1" ht="24" customHeight="1">
      <c r="A258" s="288" t="s">
        <v>1271</v>
      </c>
      <c r="B258" s="288" t="s">
        <v>1278</v>
      </c>
      <c r="C258" s="287" t="s">
        <v>187</v>
      </c>
      <c r="D258" s="6" t="s">
        <v>217</v>
      </c>
      <c r="E258" s="6" t="e">
        <f>IF(D258&lt;&gt;#REF!,"DIFERENTE","IGUAL")</f>
        <v>#REF!</v>
      </c>
      <c r="F258" s="141" t="str">
        <f>IFERROR(IF(LEFT(A258,3)="LCP",VLOOKUP(A258,#REF!,2,FALSE),VLOOKUP(A258,#REF!,2,FALSE)),"NO BUDGET")</f>
        <v>NO BUDGET</v>
      </c>
    </row>
    <row r="259" spans="1:6" s="21" customFormat="1" ht="24" customHeight="1">
      <c r="A259" s="77" t="s">
        <v>1233</v>
      </c>
      <c r="B259" s="288" t="s">
        <v>1321</v>
      </c>
      <c r="C259" s="287" t="s">
        <v>187</v>
      </c>
      <c r="D259" s="6" t="s">
        <v>217</v>
      </c>
      <c r="E259" s="6" t="e">
        <f>IF(D259&lt;&gt;#REF!,"DIFERENTE","IGUAL")</f>
        <v>#REF!</v>
      </c>
      <c r="F259" s="141" t="str">
        <f>IFERROR(IF(LEFT(A259,3)="LCP",VLOOKUP(A259,#REF!,2,FALSE),VLOOKUP(A259,#REF!,2,FALSE)),"NO BUDGET")</f>
        <v>NO BUDGET</v>
      </c>
    </row>
    <row r="260" spans="1:6" s="21" customFormat="1" ht="24" customHeight="1">
      <c r="A260" s="77" t="s">
        <v>1234</v>
      </c>
      <c r="B260" s="288" t="s">
        <v>1322</v>
      </c>
      <c r="C260" s="294" t="s">
        <v>1492</v>
      </c>
      <c r="D260" s="6" t="s">
        <v>217</v>
      </c>
      <c r="E260" s="6" t="e">
        <f>IF(D260&lt;&gt;#REF!,"DIFERENTE","IGUAL")</f>
        <v>#REF!</v>
      </c>
      <c r="F260" s="141" t="str">
        <f>IFERROR(IF(LEFT(A260,3)="LCP",VLOOKUP(A260,#REF!,2,FALSE),VLOOKUP(A260,#REF!,2,FALSE)),"NO BUDGET")</f>
        <v>NO BUDGET</v>
      </c>
    </row>
    <row r="261" spans="1:6" s="21" customFormat="1" ht="24" customHeight="1">
      <c r="A261" s="77" t="s">
        <v>1237</v>
      </c>
      <c r="B261" s="288" t="s">
        <v>1323</v>
      </c>
      <c r="C261" s="294" t="s">
        <v>1492</v>
      </c>
      <c r="D261" s="6" t="s">
        <v>1768</v>
      </c>
      <c r="E261" s="6" t="e">
        <f>IF(D261&lt;&gt;#REF!,"DIFERENTE","IGUAL")</f>
        <v>#REF!</v>
      </c>
      <c r="F261" s="141" t="str">
        <f>IFERROR(IF(LEFT(A261,3)="LCP",VLOOKUP(A261,#REF!,2,FALSE),VLOOKUP(A261,#REF!,2,FALSE)),"NO BUDGET")</f>
        <v>NO BUDGET</v>
      </c>
    </row>
    <row r="262" spans="1:6" s="21" customFormat="1" ht="24" customHeight="1">
      <c r="A262" s="77" t="s">
        <v>1424</v>
      </c>
      <c r="B262" s="288" t="s">
        <v>1408</v>
      </c>
      <c r="C262" s="294" t="s">
        <v>1492</v>
      </c>
      <c r="D262" s="6" t="s">
        <v>217</v>
      </c>
      <c r="E262" s="6" t="e">
        <f>IF(D262&lt;&gt;#REF!,"DIFERENTE","IGUAL")</f>
        <v>#REF!</v>
      </c>
      <c r="F262" s="141" t="str">
        <f>IFERROR(IF(LEFT(A262,3)="LCP",VLOOKUP(A262,#REF!,2,FALSE),VLOOKUP(A262,#REF!,2,FALSE)),"NO BUDGET")</f>
        <v>NO BUDGET</v>
      </c>
    </row>
    <row r="263" spans="1:6" s="21" customFormat="1" ht="24" customHeight="1">
      <c r="A263" s="77" t="s">
        <v>1422</v>
      </c>
      <c r="B263" s="288" t="s">
        <v>1418</v>
      </c>
      <c r="C263" s="294" t="s">
        <v>1492</v>
      </c>
      <c r="D263" s="6" t="s">
        <v>217</v>
      </c>
      <c r="E263" s="6" t="e">
        <f>IF(D263&lt;&gt;#REF!,"DIFERENTE","IGUAL")</f>
        <v>#REF!</v>
      </c>
      <c r="F263" s="141" t="str">
        <f>IFERROR(IF(LEFT(A263,3)="LCP",VLOOKUP(A263,#REF!,2,FALSE),VLOOKUP(A263,#REF!,2,FALSE)),"NO BUDGET")</f>
        <v>NO BUDGET</v>
      </c>
    </row>
    <row r="264" spans="1:6" s="21" customFormat="1" ht="24" customHeight="1">
      <c r="A264" s="77" t="s">
        <v>1380</v>
      </c>
      <c r="B264" s="288" t="s">
        <v>1695</v>
      </c>
      <c r="C264" s="294" t="s">
        <v>315</v>
      </c>
      <c r="D264" s="6" t="s">
        <v>217</v>
      </c>
      <c r="E264" s="6" t="e">
        <f>IF(D264&lt;&gt;#REF!,"DIFERENTE","IGUAL")</f>
        <v>#REF!</v>
      </c>
      <c r="F264" s="141" t="str">
        <f>IFERROR(IF(LEFT(A264,3)="LCP",VLOOKUP(A264,#REF!,2,FALSE),VLOOKUP(A264,#REF!,2,FALSE)),"NO BUDGET")</f>
        <v>NO BUDGET</v>
      </c>
    </row>
    <row r="265" spans="1:6" s="21" customFormat="1" ht="24" customHeight="1">
      <c r="A265" s="77" t="s">
        <v>1406</v>
      </c>
      <c r="B265" s="288" t="s">
        <v>1326</v>
      </c>
      <c r="C265" s="294" t="s">
        <v>1492</v>
      </c>
      <c r="D265" s="6" t="s">
        <v>217</v>
      </c>
      <c r="E265" s="6" t="e">
        <f>IF(D265&lt;&gt;#REF!,"DIFERENTE","IGUAL")</f>
        <v>#REF!</v>
      </c>
      <c r="F265" s="141" t="str">
        <f>IFERROR(IF(LEFT(A265,3)="LCP",VLOOKUP(A265,#REF!,2,FALSE),VLOOKUP(A265,#REF!,2,FALSE)),"NO BUDGET")</f>
        <v>NO BUDGET</v>
      </c>
    </row>
    <row r="266" spans="1:6" s="21" customFormat="1" ht="24" customHeight="1">
      <c r="A266" s="77" t="s">
        <v>1421</v>
      </c>
      <c r="B266" s="288" t="s">
        <v>1781</v>
      </c>
      <c r="C266" s="287" t="s">
        <v>185</v>
      </c>
      <c r="D266" s="6" t="s">
        <v>1768</v>
      </c>
      <c r="E266" s="6" t="e">
        <f>IF(D266&lt;&gt;#REF!,"DIFERENTE","IGUAL")</f>
        <v>#REF!</v>
      </c>
      <c r="F266" s="141" t="str">
        <f>IFERROR(IF(LEFT(A266,3)="LCP",VLOOKUP(A266,#REF!,2,FALSE),VLOOKUP(A266,#REF!,2,FALSE)),"NO BUDGET")</f>
        <v>NO BUDGET</v>
      </c>
    </row>
    <row r="267" spans="1:6" s="21" customFormat="1" ht="24" customHeight="1">
      <c r="A267" s="77" t="s">
        <v>1419</v>
      </c>
      <c r="B267" s="288" t="s">
        <v>1696</v>
      </c>
      <c r="C267" s="294" t="s">
        <v>187</v>
      </c>
      <c r="D267" s="6" t="s">
        <v>217</v>
      </c>
      <c r="E267" s="6" t="e">
        <f>IF(D267&lt;&gt;#REF!,"DIFERENTE","IGUAL")</f>
        <v>#REF!</v>
      </c>
      <c r="F267" s="141" t="str">
        <f>IFERROR(IF(LEFT(A267,3)="LCP",VLOOKUP(A267,#REF!,2,FALSE),VLOOKUP(A267,#REF!,2,FALSE)),"NO BUDGET")</f>
        <v>NO BUDGET</v>
      </c>
    </row>
    <row r="268" spans="1:6" s="21" customFormat="1" ht="24" customHeight="1">
      <c r="A268" s="77" t="s">
        <v>1407</v>
      </c>
      <c r="B268" s="288" t="s">
        <v>1409</v>
      </c>
      <c r="C268" s="287" t="s">
        <v>1492</v>
      </c>
      <c r="D268" s="6" t="s">
        <v>217</v>
      </c>
      <c r="E268" s="6" t="e">
        <f>IF(D268&lt;&gt;#REF!,"DIFERENTE","IGUAL")</f>
        <v>#REF!</v>
      </c>
      <c r="F268" s="141" t="str">
        <f>IFERROR(IF(LEFT(A268,3)="LCP",VLOOKUP(A268,#REF!,2,FALSE),VLOOKUP(A268,#REF!,2,FALSE)),"NO BUDGET")</f>
        <v>NO BUDGET</v>
      </c>
    </row>
    <row r="269" spans="1:6" s="21" customFormat="1" ht="23.25" customHeight="1">
      <c r="A269" s="77" t="s">
        <v>1423</v>
      </c>
      <c r="B269" s="288" t="s">
        <v>1410</v>
      </c>
      <c r="C269" s="287" t="s">
        <v>1492</v>
      </c>
      <c r="D269" s="6" t="s">
        <v>217</v>
      </c>
      <c r="E269" s="6" t="e">
        <f>IF(D269&lt;&gt;#REF!,"DIFERENTE","IGUAL")</f>
        <v>#REF!</v>
      </c>
      <c r="F269" s="141" t="str">
        <f>IFERROR(IF(LEFT(A269,3)="LCP",VLOOKUP(A269,#REF!,2,FALSE),VLOOKUP(A269,#REF!,2,FALSE)),"NO BUDGET")</f>
        <v>NO BUDGET</v>
      </c>
    </row>
    <row r="270" spans="1:6" s="21" customFormat="1" ht="24" customHeight="1">
      <c r="A270" s="77" t="s">
        <v>1429</v>
      </c>
      <c r="B270" s="288" t="s">
        <v>1412</v>
      </c>
      <c r="C270" s="294" t="s">
        <v>1492</v>
      </c>
      <c r="D270" s="6" t="s">
        <v>217</v>
      </c>
      <c r="E270" s="6" t="e">
        <f>IF(D270&lt;&gt;#REF!,"DIFERENTE","IGUAL")</f>
        <v>#REF!</v>
      </c>
      <c r="F270" s="141" t="str">
        <f>IFERROR(IF(LEFT(A270,3)="LCP",VLOOKUP(A270,#REF!,2,FALSE),VLOOKUP(A270,#REF!,2,FALSE)),"NO BUDGET")</f>
        <v>NO BUDGET</v>
      </c>
    </row>
    <row r="271" spans="1:6" s="21" customFormat="1" ht="24" customHeight="1">
      <c r="A271" s="77" t="s">
        <v>1428</v>
      </c>
      <c r="B271" s="288" t="s">
        <v>1413</v>
      </c>
      <c r="C271" s="294" t="s">
        <v>1492</v>
      </c>
      <c r="D271" s="6" t="s">
        <v>217</v>
      </c>
      <c r="E271" s="6" t="e">
        <f>IF(D271&lt;&gt;#REF!,"DIFERENTE","IGUAL")</f>
        <v>#REF!</v>
      </c>
      <c r="F271" s="141" t="str">
        <f>IFERROR(IF(LEFT(A271,3)="LCP",VLOOKUP(A271,#REF!,2,FALSE),VLOOKUP(A271,#REF!,2,FALSE)),"NO BUDGET")</f>
        <v>NO BUDGET</v>
      </c>
    </row>
    <row r="272" spans="1:6" s="21" customFormat="1" ht="24" customHeight="1">
      <c r="A272" s="77" t="s">
        <v>1427</v>
      </c>
      <c r="B272" s="288" t="s">
        <v>1416</v>
      </c>
      <c r="C272" s="294" t="s">
        <v>1492</v>
      </c>
      <c r="D272" s="6" t="s">
        <v>217</v>
      </c>
      <c r="E272" s="6" t="e">
        <f>IF(D272&lt;&gt;#REF!,"DIFERENTE","IGUAL")</f>
        <v>#REF!</v>
      </c>
      <c r="F272" s="141" t="str">
        <f>IFERROR(IF(LEFT(A272,3)="LCP",VLOOKUP(A272,#REF!,2,FALSE),VLOOKUP(A272,#REF!,2,FALSE)),"NO BUDGET")</f>
        <v>NO BUDGET</v>
      </c>
    </row>
    <row r="273" spans="1:6" s="21" customFormat="1" ht="24" customHeight="1">
      <c r="A273" s="77" t="s">
        <v>1426</v>
      </c>
      <c r="B273" s="288" t="s">
        <v>1425</v>
      </c>
      <c r="C273" s="294" t="s">
        <v>185</v>
      </c>
      <c r="D273" s="6" t="s">
        <v>217</v>
      </c>
      <c r="E273" s="6" t="e">
        <f>IF(D273&lt;&gt;#REF!,"DIFERENTE","IGUAL")</f>
        <v>#REF!</v>
      </c>
      <c r="F273" s="141" t="str">
        <f>IFERROR(IF(LEFT(A273,3)="LCP",VLOOKUP(A273,#REF!,2,FALSE),VLOOKUP(A273,#REF!,2,FALSE)),"NO BUDGET")</f>
        <v>NO BUDGET</v>
      </c>
    </row>
    <row r="274" spans="1:6" s="21" customFormat="1" ht="24" customHeight="1">
      <c r="A274" s="77" t="s">
        <v>1430</v>
      </c>
      <c r="B274" s="288" t="s">
        <v>1697</v>
      </c>
      <c r="C274" s="294" t="s">
        <v>185</v>
      </c>
      <c r="D274" s="6" t="s">
        <v>217</v>
      </c>
      <c r="E274" s="6" t="e">
        <f>IF(D274&lt;&gt;#REF!,"DIFERENTE","IGUAL")</f>
        <v>#REF!</v>
      </c>
      <c r="F274" s="141" t="str">
        <f>IFERROR(IF(LEFT(A274,3)="LCP",VLOOKUP(A274,#REF!,2,FALSE),VLOOKUP(A274,#REF!,2,FALSE)),"NO BUDGET")</f>
        <v>NO BUDGET</v>
      </c>
    </row>
    <row r="275" spans="1:6" s="21" customFormat="1" ht="24" customHeight="1">
      <c r="A275" s="77" t="s">
        <v>1434</v>
      </c>
      <c r="B275" s="288" t="s">
        <v>1620</v>
      </c>
      <c r="C275" s="294" t="s">
        <v>1492</v>
      </c>
      <c r="D275" s="6" t="s">
        <v>1768</v>
      </c>
      <c r="E275" s="6" t="e">
        <f>IF(D275&lt;&gt;#REF!,"DIFERENTE","IGUAL")</f>
        <v>#REF!</v>
      </c>
      <c r="F275" s="141" t="str">
        <f>IFERROR(IF(LEFT(A275,3)="LCP",VLOOKUP(A275,#REF!,2,FALSE),VLOOKUP(A275,#REF!,2,FALSE)),"NO BUDGET")</f>
        <v>NO BUDGET</v>
      </c>
    </row>
    <row r="276" spans="1:6" s="21" customFormat="1" ht="24" customHeight="1">
      <c r="A276" s="77" t="s">
        <v>1431</v>
      </c>
      <c r="B276" s="288" t="s">
        <v>1414</v>
      </c>
      <c r="C276" s="294" t="s">
        <v>187</v>
      </c>
      <c r="D276" s="6" t="s">
        <v>217</v>
      </c>
      <c r="E276" s="6" t="e">
        <f>IF(D276&lt;&gt;#REF!,"DIFERENTE","IGUAL")</f>
        <v>#REF!</v>
      </c>
      <c r="F276" s="141" t="str">
        <f>IFERROR(IF(LEFT(A276,3)="LCP",VLOOKUP(A276,#REF!,2,FALSE),VLOOKUP(A276,#REF!,2,FALSE)),"NO BUDGET")</f>
        <v>NO BUDGET</v>
      </c>
    </row>
    <row r="277" spans="1:6" s="21" customFormat="1" ht="24" customHeight="1">
      <c r="A277" s="77" t="s">
        <v>1435</v>
      </c>
      <c r="B277" s="288" t="s">
        <v>1436</v>
      </c>
      <c r="C277" s="294" t="s">
        <v>1492</v>
      </c>
      <c r="D277" s="6" t="s">
        <v>217</v>
      </c>
      <c r="E277" s="6" t="e">
        <f>IF(D277&lt;&gt;#REF!,"DIFERENTE","IGUAL")</f>
        <v>#REF!</v>
      </c>
      <c r="F277" s="141" t="str">
        <f>IFERROR(IF(LEFT(A277,3)="LCP",VLOOKUP(A277,#REF!,2,FALSE),VLOOKUP(A277,#REF!,2,FALSE)),"NO BUDGET")</f>
        <v>NO BUDGET</v>
      </c>
    </row>
    <row r="278" spans="1:6" s="21" customFormat="1" ht="24" customHeight="1">
      <c r="A278" s="288" t="s">
        <v>1494</v>
      </c>
      <c r="B278" s="288" t="s">
        <v>1449</v>
      </c>
      <c r="C278" s="294" t="s">
        <v>187</v>
      </c>
      <c r="D278" s="6" t="s">
        <v>1768</v>
      </c>
      <c r="E278" s="6" t="e">
        <f>IF(D278&lt;&gt;#REF!,"DIFERENTE","IGUAL")</f>
        <v>#REF!</v>
      </c>
      <c r="F278" s="141" t="str">
        <f>IFERROR(IF(LEFT(A278,3)="LCP",VLOOKUP(A278,#REF!,2,FALSE),VLOOKUP(A278,#REF!,2,FALSE)),"NO BUDGET")</f>
        <v>NO BUDGET</v>
      </c>
    </row>
    <row r="279" spans="1:6" s="21" customFormat="1" ht="24" customHeight="1">
      <c r="A279" s="77" t="s">
        <v>1438</v>
      </c>
      <c r="B279" s="288" t="s">
        <v>1437</v>
      </c>
      <c r="C279" s="287" t="s">
        <v>187</v>
      </c>
      <c r="D279" s="6" t="s">
        <v>217</v>
      </c>
      <c r="E279" s="6" t="e">
        <f>IF(D279&lt;&gt;#REF!,"DIFERENTE","IGUAL")</f>
        <v>#REF!</v>
      </c>
      <c r="F279" s="141" t="str">
        <f>IFERROR(IF(LEFT(A279,3)="LCP",VLOOKUP(A279,#REF!,2,FALSE),VLOOKUP(A279,#REF!,2,FALSE)),"NO BUDGET")</f>
        <v>NO BUDGET</v>
      </c>
    </row>
    <row r="280" spans="1:6" s="21" customFormat="1" ht="24" customHeight="1">
      <c r="A280" s="77" t="s">
        <v>1439</v>
      </c>
      <c r="B280" s="288" t="s">
        <v>1682</v>
      </c>
      <c r="C280" s="294" t="s">
        <v>1492</v>
      </c>
      <c r="D280" s="6" t="s">
        <v>1768</v>
      </c>
      <c r="E280" s="6" t="e">
        <f>IF(D280&lt;&gt;#REF!,"DIFERENTE","IGUAL")</f>
        <v>#REF!</v>
      </c>
      <c r="F280" s="141" t="str">
        <f>IFERROR(IF(LEFT(A280,3)="LCP",VLOOKUP(A280,#REF!,2,FALSE),VLOOKUP(A280,#REF!,2,FALSE)),"NO BUDGET")</f>
        <v>NO BUDGET</v>
      </c>
    </row>
    <row r="281" spans="1:6" s="21" customFormat="1" ht="24" customHeight="1">
      <c r="A281" s="77" t="s">
        <v>1443</v>
      </c>
      <c r="B281" s="288" t="s">
        <v>1417</v>
      </c>
      <c r="C281" s="287" t="s">
        <v>185</v>
      </c>
      <c r="D281" s="6" t="s">
        <v>217</v>
      </c>
      <c r="E281" s="6" t="e">
        <f>IF(D281&lt;&gt;#REF!,"DIFERENTE","IGUAL")</f>
        <v>#REF!</v>
      </c>
      <c r="F281" s="141" t="str">
        <f>IFERROR(IF(LEFT(A281,3)="LCP",VLOOKUP(A281,#REF!,2,FALSE),VLOOKUP(A281,#REF!,2,FALSE)),"NO BUDGET")</f>
        <v>NO BUDGET</v>
      </c>
    </row>
    <row r="282" spans="1:6" s="21" customFormat="1" ht="24" customHeight="1">
      <c r="A282" s="77" t="s">
        <v>1441</v>
      </c>
      <c r="B282" s="288" t="s">
        <v>1618</v>
      </c>
      <c r="C282" s="287" t="s">
        <v>187</v>
      </c>
      <c r="D282" s="6" t="s">
        <v>217</v>
      </c>
      <c r="E282" s="6" t="e">
        <f>IF(D282&lt;&gt;#REF!,"DIFERENTE","IGUAL")</f>
        <v>#REF!</v>
      </c>
      <c r="F282" s="141" t="str">
        <f>IFERROR(IF(LEFT(A282,3)="LCP",VLOOKUP(A282,#REF!,2,FALSE),VLOOKUP(A282,#REF!,2,FALSE)),"NO BUDGET")</f>
        <v>NO BUDGET</v>
      </c>
    </row>
    <row r="283" spans="1:6" s="21" customFormat="1" ht="24" customHeight="1">
      <c r="A283" s="288" t="s">
        <v>1442</v>
      </c>
      <c r="B283" s="288" t="s">
        <v>1440</v>
      </c>
      <c r="C283" s="294" t="s">
        <v>187</v>
      </c>
      <c r="D283" s="6" t="s">
        <v>217</v>
      </c>
      <c r="E283" s="6" t="e">
        <f>IF(D283&lt;&gt;#REF!,"DIFERENTE","IGUAL")</f>
        <v>#REF!</v>
      </c>
      <c r="F283" s="141" t="str">
        <f>IFERROR(IF(LEFT(A283,3)="LCP",VLOOKUP(A283,#REF!,2,FALSE),VLOOKUP(A283,#REF!,2,FALSE)),"NO BUDGET")</f>
        <v>NO BUDGET</v>
      </c>
    </row>
    <row r="284" spans="1:6" s="21" customFormat="1" ht="24" customHeight="1">
      <c r="A284" s="77" t="s">
        <v>1444</v>
      </c>
      <c r="B284" s="288" t="s">
        <v>1445</v>
      </c>
      <c r="C284" s="294" t="s">
        <v>1492</v>
      </c>
      <c r="D284" s="6" t="s">
        <v>217</v>
      </c>
      <c r="E284" s="6" t="e">
        <f>IF(D284&lt;&gt;#REF!,"DIFERENTE","IGUAL")</f>
        <v>#REF!</v>
      </c>
      <c r="F284" s="141" t="str">
        <f>IFERROR(IF(LEFT(A284,3)="LCP",VLOOKUP(A284,#REF!,2,FALSE),VLOOKUP(A284,#REF!,2,FALSE)),"NO BUDGET")</f>
        <v>NO BUDGET</v>
      </c>
    </row>
    <row r="285" spans="1:6" s="21" customFormat="1" ht="24" customHeight="1">
      <c r="A285" s="77" t="s">
        <v>1446</v>
      </c>
      <c r="B285" s="288" t="s">
        <v>1447</v>
      </c>
      <c r="C285" s="287" t="s">
        <v>185</v>
      </c>
      <c r="D285" s="6" t="s">
        <v>217</v>
      </c>
      <c r="E285" s="6" t="e">
        <f>IF(D285&lt;&gt;#REF!,"DIFERENTE","IGUAL")</f>
        <v>#REF!</v>
      </c>
      <c r="F285" s="141" t="str">
        <f>IFERROR(IF(LEFT(A285,3)="LCP",VLOOKUP(A285,#REF!,2,FALSE),VLOOKUP(A285,#REF!,2,FALSE)),"NO BUDGET")</f>
        <v>NO BUDGET</v>
      </c>
    </row>
    <row r="286" spans="1:6" s="21" customFormat="1" ht="24" customHeight="1">
      <c r="A286" s="77" t="s">
        <v>1495</v>
      </c>
      <c r="B286" s="288" t="s">
        <v>1496</v>
      </c>
      <c r="C286" s="287" t="s">
        <v>1492</v>
      </c>
      <c r="D286" s="6" t="s">
        <v>217</v>
      </c>
      <c r="E286" s="6" t="e">
        <f>IF(D286&lt;&gt;#REF!,"DIFERENTE","IGUAL")</f>
        <v>#REF!</v>
      </c>
      <c r="F286" s="141" t="str">
        <f>IFERROR(IF(LEFT(A286,3)="LCP",VLOOKUP(A286,#REF!,2,FALSE),VLOOKUP(A286,#REF!,2,FALSE)),"NO BUDGET")</f>
        <v>NO BUDGET</v>
      </c>
    </row>
    <row r="287" spans="1:6" s="21" customFormat="1" ht="24" customHeight="1">
      <c r="A287" s="77" t="s">
        <v>1497</v>
      </c>
      <c r="B287" s="288" t="s">
        <v>1498</v>
      </c>
      <c r="C287" s="294" t="s">
        <v>1492</v>
      </c>
      <c r="D287" s="6" t="s">
        <v>217</v>
      </c>
      <c r="E287" s="6" t="e">
        <f>IF(D287&lt;&gt;#REF!,"DIFERENTE","IGUAL")</f>
        <v>#REF!</v>
      </c>
      <c r="F287" s="141" t="str">
        <f>IFERROR(IF(LEFT(A287,3)="LCP",VLOOKUP(A287,#REF!,2,FALSE),VLOOKUP(A287,#REF!,2,FALSE)),"NO BUDGET")</f>
        <v>NO BUDGET</v>
      </c>
    </row>
    <row r="288" spans="1:6" s="21" customFormat="1" ht="24" customHeight="1">
      <c r="A288" s="77" t="s">
        <v>1499</v>
      </c>
      <c r="B288" s="288" t="s">
        <v>1500</v>
      </c>
      <c r="C288" s="294" t="s">
        <v>1492</v>
      </c>
      <c r="D288" s="6" t="s">
        <v>217</v>
      </c>
      <c r="E288" s="6" t="e">
        <f>IF(D288&lt;&gt;#REF!,"DIFERENTE","IGUAL")</f>
        <v>#REF!</v>
      </c>
      <c r="F288" s="141" t="str">
        <f>IFERROR(IF(LEFT(A288,3)="LCP",VLOOKUP(A288,#REF!,2,FALSE),VLOOKUP(A288,#REF!,2,FALSE)),"NO BUDGET")</f>
        <v>NO BUDGET</v>
      </c>
    </row>
    <row r="289" spans="1:6" s="21" customFormat="1" ht="24" customHeight="1">
      <c r="A289" s="77" t="s">
        <v>1501</v>
      </c>
      <c r="B289" s="288" t="s">
        <v>1615</v>
      </c>
      <c r="C289" s="294" t="s">
        <v>1492</v>
      </c>
      <c r="D289" s="6" t="s">
        <v>217</v>
      </c>
      <c r="E289" s="6" t="e">
        <f>IF(D289&lt;&gt;#REF!,"DIFERENTE","IGUAL")</f>
        <v>#REF!</v>
      </c>
      <c r="F289" s="141" t="str">
        <f>IFERROR(IF(LEFT(A289,3)="LCP",VLOOKUP(A289,#REF!,2,FALSE),VLOOKUP(A289,#REF!,2,FALSE)),"NO BUDGET")</f>
        <v>NO BUDGET</v>
      </c>
    </row>
    <row r="290" spans="1:6" s="21" customFormat="1" ht="24" customHeight="1">
      <c r="A290" s="77" t="s">
        <v>1502</v>
      </c>
      <c r="B290" s="288" t="s">
        <v>1698</v>
      </c>
      <c r="C290" s="294" t="s">
        <v>187</v>
      </c>
      <c r="D290" s="6" t="s">
        <v>217</v>
      </c>
      <c r="E290" s="6" t="e">
        <f>IF(D290&lt;&gt;#REF!,"DIFERENTE","IGUAL")</f>
        <v>#REF!</v>
      </c>
      <c r="F290" s="141" t="str">
        <f>IFERROR(IF(LEFT(A290,3)="LCP",VLOOKUP(A290,#REF!,2,FALSE),VLOOKUP(A290,#REF!,2,FALSE)),"NO BUDGET")</f>
        <v>NO BUDGET</v>
      </c>
    </row>
    <row r="291" spans="1:6" s="21" customFormat="1" ht="24" customHeight="1">
      <c r="A291" s="77" t="s">
        <v>1503</v>
      </c>
      <c r="B291" s="288" t="s">
        <v>1742</v>
      </c>
      <c r="C291" s="294" t="s">
        <v>1492</v>
      </c>
      <c r="D291" s="6" t="s">
        <v>217</v>
      </c>
      <c r="E291" s="6" t="e">
        <f>IF(D291&lt;&gt;#REF!,"DIFERENTE","IGUAL")</f>
        <v>#REF!</v>
      </c>
      <c r="F291" s="141" t="str">
        <f>IFERROR(IF(LEFT(A291,3)="LCP",VLOOKUP(A291,#REF!,2,FALSE),VLOOKUP(A291,#REF!,2,FALSE)),"NO BUDGET")</f>
        <v>NO BUDGET</v>
      </c>
    </row>
    <row r="292" spans="1:6" s="21" customFormat="1" ht="24" customHeight="1">
      <c r="A292" s="77" t="s">
        <v>1504</v>
      </c>
      <c r="B292" s="288" t="s">
        <v>1505</v>
      </c>
      <c r="C292" s="294" t="s">
        <v>1492</v>
      </c>
      <c r="D292" s="6" t="s">
        <v>217</v>
      </c>
      <c r="E292" s="6" t="e">
        <f>IF(D292&lt;&gt;#REF!,"DIFERENTE","IGUAL")</f>
        <v>#REF!</v>
      </c>
      <c r="F292" s="141" t="str">
        <f>IFERROR(IF(LEFT(A292,3)="LCP",VLOOKUP(A292,#REF!,2,FALSE),VLOOKUP(A292,#REF!,2,FALSE)),"NO BUDGET")</f>
        <v>NO BUDGET</v>
      </c>
    </row>
    <row r="293" spans="1:6" s="21" customFormat="1" ht="24" customHeight="1">
      <c r="A293" s="287" t="s">
        <v>1506</v>
      </c>
      <c r="B293" s="288" t="s">
        <v>1507</v>
      </c>
      <c r="C293" s="287" t="s">
        <v>315</v>
      </c>
      <c r="D293" s="6" t="s">
        <v>217</v>
      </c>
      <c r="E293" s="6" t="e">
        <f>IF(D293&lt;&gt;#REF!,"DIFERENTE","IGUAL")</f>
        <v>#REF!</v>
      </c>
      <c r="F293" s="141" t="str">
        <f>IFERROR(IF(LEFT(A293,3)="LCP",VLOOKUP(A293,#REF!,2,FALSE),VLOOKUP(A293,#REF!,2,FALSE)),"NO BUDGET")</f>
        <v>NO BUDGET</v>
      </c>
    </row>
    <row r="294" spans="1:6" s="21" customFormat="1" ht="24" customHeight="1">
      <c r="A294" s="77" t="s">
        <v>1508</v>
      </c>
      <c r="B294" s="288" t="s">
        <v>1509</v>
      </c>
      <c r="C294" s="294" t="s">
        <v>187</v>
      </c>
      <c r="D294" s="6" t="s">
        <v>217</v>
      </c>
      <c r="E294" s="6" t="e">
        <f>IF(D294&lt;&gt;#REF!,"DIFERENTE","IGUAL")</f>
        <v>#REF!</v>
      </c>
      <c r="F294" s="141" t="str">
        <f>IFERROR(IF(LEFT(A294,3)="LCP",VLOOKUP(A294,#REF!,2,FALSE),VLOOKUP(A294,#REF!,2,FALSE)),"NO BUDGET")</f>
        <v>NO BUDGET</v>
      </c>
    </row>
    <row r="295" spans="1:6" s="21" customFormat="1" ht="24" customHeight="1">
      <c r="A295" s="77" t="s">
        <v>1510</v>
      </c>
      <c r="B295" s="288" t="s">
        <v>1807</v>
      </c>
      <c r="C295" s="294" t="s">
        <v>182</v>
      </c>
      <c r="D295" s="6" t="s">
        <v>1768</v>
      </c>
      <c r="E295" s="6" t="e">
        <f>IF(D295&lt;&gt;#REF!,"DIFERENTE","IGUAL")</f>
        <v>#REF!</v>
      </c>
      <c r="F295" s="141" t="str">
        <f>IFERROR(IF(LEFT(A295,3)="LCP",VLOOKUP(A295,#REF!,2,FALSE),VLOOKUP(A295,#REF!,2,FALSE)),"NO BUDGET")</f>
        <v>NO BUDGET</v>
      </c>
    </row>
    <row r="296" spans="1:6" s="21" customFormat="1" ht="24" customHeight="1">
      <c r="A296" s="77" t="s">
        <v>1511</v>
      </c>
      <c r="B296" s="288" t="s">
        <v>1450</v>
      </c>
      <c r="C296" s="287" t="s">
        <v>1492</v>
      </c>
      <c r="D296" s="6" t="s">
        <v>217</v>
      </c>
      <c r="E296" s="6" t="e">
        <f>IF(D296&lt;&gt;#REF!,"DIFERENTE","IGUAL")</f>
        <v>#REF!</v>
      </c>
      <c r="F296" s="141" t="str">
        <f>IFERROR(IF(LEFT(A296,3)="LCP",VLOOKUP(A296,#REF!,2,FALSE),VLOOKUP(A296,#REF!,2,FALSE)),"NO BUDGET")</f>
        <v>NO BUDGET</v>
      </c>
    </row>
    <row r="297" spans="1:6" s="21" customFormat="1" ht="24" customHeight="1">
      <c r="A297" s="77" t="s">
        <v>1512</v>
      </c>
      <c r="B297" s="288" t="s">
        <v>1699</v>
      </c>
      <c r="C297" s="287" t="s">
        <v>315</v>
      </c>
      <c r="D297" s="6" t="s">
        <v>217</v>
      </c>
      <c r="E297" s="6" t="e">
        <f>IF(D297&lt;&gt;#REF!,"DIFERENTE","IGUAL")</f>
        <v>#REF!</v>
      </c>
      <c r="F297" s="141" t="str">
        <f>IFERROR(IF(LEFT(A297,3)="LCP",VLOOKUP(A297,#REF!,2,FALSE),VLOOKUP(A297,#REF!,2,FALSE)),"NO BUDGET")</f>
        <v>NO BUDGET</v>
      </c>
    </row>
    <row r="298" spans="1:6" s="21" customFormat="1" ht="24" customHeight="1">
      <c r="A298" s="77" t="s">
        <v>1513</v>
      </c>
      <c r="B298" s="288" t="s">
        <v>1514</v>
      </c>
      <c r="C298" s="294" t="s">
        <v>185</v>
      </c>
      <c r="D298" s="6" t="s">
        <v>217</v>
      </c>
      <c r="E298" s="6" t="e">
        <f>IF(D298&lt;&gt;#REF!,"DIFERENTE","IGUAL")</f>
        <v>#REF!</v>
      </c>
      <c r="F298" s="141" t="str">
        <f>IFERROR(IF(LEFT(A298,3)="LCP",VLOOKUP(A298,#REF!,2,FALSE),VLOOKUP(A298,#REF!,2,FALSE)),"NO BUDGET")</f>
        <v>NO BUDGET</v>
      </c>
    </row>
    <row r="299" spans="1:6" s="21" customFormat="1" ht="22.5" customHeight="1">
      <c r="A299" s="77" t="s">
        <v>1516</v>
      </c>
      <c r="B299" s="288" t="s">
        <v>1806</v>
      </c>
      <c r="C299" s="294" t="s">
        <v>1492</v>
      </c>
      <c r="D299" s="6" t="s">
        <v>1768</v>
      </c>
      <c r="E299" s="6" t="e">
        <f>IF(D299&lt;&gt;#REF!,"DIFERENTE","IGUAL")</f>
        <v>#REF!</v>
      </c>
      <c r="F299" s="141" t="str">
        <f>IFERROR(IF(LEFT(A299,3)="LCP",VLOOKUP(A299,#REF!,2,FALSE),VLOOKUP(A299,#REF!,2,FALSE)),"NO BUDGET")</f>
        <v>NO BUDGET</v>
      </c>
    </row>
    <row r="300" spans="1:6" s="21" customFormat="1" ht="24" customHeight="1">
      <c r="A300" s="77" t="s">
        <v>1519</v>
      </c>
      <c r="B300" s="288" t="s">
        <v>1701</v>
      </c>
      <c r="C300" s="287" t="s">
        <v>1492</v>
      </c>
      <c r="D300" s="6" t="s">
        <v>1768</v>
      </c>
      <c r="E300" s="6" t="e">
        <f>IF(D300&lt;&gt;#REF!,"DIFERENTE","IGUAL")</f>
        <v>#REF!</v>
      </c>
      <c r="F300" s="141" t="str">
        <f>IFERROR(IF(LEFT(A300,3)="LCP",VLOOKUP(A300,#REF!,2,FALSE),VLOOKUP(A300,#REF!,2,FALSE)),"NO BUDGET")</f>
        <v>NO BUDGET</v>
      </c>
    </row>
    <row r="301" spans="1:6" s="21" customFormat="1" ht="24" customHeight="1">
      <c r="A301" s="77" t="s">
        <v>1520</v>
      </c>
      <c r="B301" s="288" t="s">
        <v>1702</v>
      </c>
      <c r="C301" s="294" t="s">
        <v>1492</v>
      </c>
      <c r="D301" s="6" t="s">
        <v>1768</v>
      </c>
      <c r="E301" s="6" t="e">
        <f>IF(D301&lt;&gt;#REF!,"DIFERENTE","IGUAL")</f>
        <v>#REF!</v>
      </c>
      <c r="F301" s="141" t="str">
        <f>IFERROR(IF(LEFT(A301,3)="LCP",VLOOKUP(A301,#REF!,2,FALSE),VLOOKUP(A301,#REF!,2,FALSE)),"NO BUDGET")</f>
        <v>NO BUDGET</v>
      </c>
    </row>
    <row r="302" spans="1:6" s="21" customFormat="1" ht="24" customHeight="1">
      <c r="A302" s="77" t="s">
        <v>1521</v>
      </c>
      <c r="B302" s="288" t="s">
        <v>1703</v>
      </c>
      <c r="C302" s="294" t="s">
        <v>315</v>
      </c>
      <c r="D302" s="6" t="s">
        <v>1768</v>
      </c>
      <c r="E302" s="6" t="e">
        <f>IF(D302&lt;&gt;#REF!,"DIFERENTE","IGUAL")</f>
        <v>#REF!</v>
      </c>
      <c r="F302" s="141" t="str">
        <f>IFERROR(IF(LEFT(A302,3)="LCP",VLOOKUP(A302,#REF!,2,FALSE),VLOOKUP(A302,#REF!,2,FALSE)),"NO BUDGET")</f>
        <v>NO BUDGET</v>
      </c>
    </row>
    <row r="303" spans="1:6" s="21" customFormat="1" ht="24" customHeight="1">
      <c r="A303" s="77" t="s">
        <v>1522</v>
      </c>
      <c r="B303" s="288" t="s">
        <v>1763</v>
      </c>
      <c r="C303" s="294" t="s">
        <v>1492</v>
      </c>
      <c r="D303" s="6" t="s">
        <v>1768</v>
      </c>
      <c r="E303" s="6" t="e">
        <f>IF(D303&lt;&gt;#REF!,"DIFERENTE","IGUAL")</f>
        <v>#REF!</v>
      </c>
      <c r="F303" s="141" t="str">
        <f>IFERROR(IF(LEFT(A303,3)="LCP",VLOOKUP(A303,#REF!,2,FALSE),VLOOKUP(A303,#REF!,2,FALSE)),"NO BUDGET")</f>
        <v>NO BUDGET</v>
      </c>
    </row>
    <row r="304" spans="1:6" s="21" customFormat="1" ht="24" customHeight="1">
      <c r="A304" s="77" t="s">
        <v>1523</v>
      </c>
      <c r="B304" s="287" t="s">
        <v>1601</v>
      </c>
      <c r="C304" s="294" t="s">
        <v>315</v>
      </c>
      <c r="D304" s="6" t="s">
        <v>1768</v>
      </c>
      <c r="E304" s="6" t="e">
        <f>IF(D304&lt;&gt;#REF!,"DIFERENTE","IGUAL")</f>
        <v>#REF!</v>
      </c>
      <c r="F304" s="141" t="str">
        <f>IFERROR(IF(LEFT(A304,3)="LCP",VLOOKUP(A304,#REF!,2,FALSE),VLOOKUP(A304,#REF!,2,FALSE)),"NO BUDGET")</f>
        <v>NO BUDGET</v>
      </c>
    </row>
    <row r="305" spans="1:6" s="21" customFormat="1" ht="24" customHeight="1">
      <c r="A305" s="77" t="s">
        <v>1524</v>
      </c>
      <c r="B305" s="288" t="s">
        <v>1704</v>
      </c>
      <c r="C305" s="294" t="s">
        <v>187</v>
      </c>
      <c r="D305" s="6" t="s">
        <v>217</v>
      </c>
      <c r="E305" s="6" t="e">
        <f>IF(D305&lt;&gt;#REF!,"DIFERENTE","IGUAL")</f>
        <v>#REF!</v>
      </c>
      <c r="F305" s="141" t="str">
        <f>IFERROR(IF(LEFT(A305,3)="LCP",VLOOKUP(A305,#REF!,2,FALSE),VLOOKUP(A305,#REF!,2,FALSE)),"NO BUDGET")</f>
        <v>NO BUDGET</v>
      </c>
    </row>
    <row r="306" spans="1:6" s="21" customFormat="1" ht="24" customHeight="1">
      <c r="A306" s="77" t="s">
        <v>1528</v>
      </c>
      <c r="B306" s="287" t="s">
        <v>1529</v>
      </c>
      <c r="C306" s="294" t="s">
        <v>1492</v>
      </c>
      <c r="D306" s="6" t="s">
        <v>1768</v>
      </c>
      <c r="E306" s="6" t="e">
        <f>IF(D306&lt;&gt;#REF!,"DIFERENTE","IGUAL")</f>
        <v>#REF!</v>
      </c>
      <c r="F306" s="141" t="str">
        <f>IFERROR(IF(LEFT(A306,3)="LCP",VLOOKUP(A306,#REF!,2,FALSE),VLOOKUP(A306,#REF!,2,FALSE)),"NO BUDGET")</f>
        <v>NO BUDGET</v>
      </c>
    </row>
    <row r="307" spans="1:6" s="21" customFormat="1" ht="24" customHeight="1">
      <c r="A307" s="288" t="s">
        <v>1530</v>
      </c>
      <c r="B307" s="288" t="s">
        <v>1531</v>
      </c>
      <c r="C307" s="294" t="s">
        <v>187</v>
      </c>
      <c r="D307" s="6" t="s">
        <v>217</v>
      </c>
      <c r="E307" s="6" t="e">
        <f>IF(D307&lt;&gt;#REF!,"DIFERENTE","IGUAL")</f>
        <v>#REF!</v>
      </c>
      <c r="F307" s="141" t="str">
        <f>IFERROR(IF(LEFT(A307,3)="LCP",VLOOKUP(A307,#REF!,2,FALSE),VLOOKUP(A307,#REF!,2,FALSE)),"NO BUDGET")</f>
        <v>NO BUDGET</v>
      </c>
    </row>
    <row r="308" spans="1:6" s="21" customFormat="1" ht="24" customHeight="1">
      <c r="A308" s="77" t="s">
        <v>1532</v>
      </c>
      <c r="B308" s="288" t="s">
        <v>1616</v>
      </c>
      <c r="C308" s="287" t="s">
        <v>1492</v>
      </c>
      <c r="D308" s="6" t="s">
        <v>217</v>
      </c>
      <c r="E308" s="6" t="e">
        <f>IF(D308&lt;&gt;#REF!,"DIFERENTE","IGUAL")</f>
        <v>#REF!</v>
      </c>
      <c r="F308" s="141" t="str">
        <f>IFERROR(IF(LEFT(A308,3)="LCP",VLOOKUP(A308,#REF!,2,FALSE),VLOOKUP(A308,#REF!,2,FALSE)),"NO BUDGET")</f>
        <v>NO BUDGET</v>
      </c>
    </row>
    <row r="309" spans="1:6" s="21" customFormat="1" ht="24" customHeight="1">
      <c r="A309" s="288" t="s">
        <v>1533</v>
      </c>
      <c r="B309" s="288" t="s">
        <v>1705</v>
      </c>
      <c r="C309" s="294" t="s">
        <v>187</v>
      </c>
      <c r="D309" s="6" t="s">
        <v>1768</v>
      </c>
      <c r="E309" s="6" t="e">
        <f>IF(D309&lt;&gt;#REF!,"DIFERENTE","IGUAL")</f>
        <v>#REF!</v>
      </c>
      <c r="F309" s="141" t="str">
        <f>IFERROR(IF(LEFT(A309,3)="LCP",VLOOKUP(A309,#REF!,2,FALSE),VLOOKUP(A309,#REF!,2,FALSE)),"NO BUDGET")</f>
        <v>NO BUDGET</v>
      </c>
    </row>
    <row r="310" spans="1:6" s="21" customFormat="1" ht="24" customHeight="1">
      <c r="A310" s="77" t="s">
        <v>1534</v>
      </c>
      <c r="B310" s="288" t="s">
        <v>1535</v>
      </c>
      <c r="C310" s="287" t="s">
        <v>1492</v>
      </c>
      <c r="D310" s="6" t="s">
        <v>217</v>
      </c>
      <c r="E310" s="6" t="e">
        <f>IF(D310&lt;&gt;#REF!,"DIFERENTE","IGUAL")</f>
        <v>#REF!</v>
      </c>
      <c r="F310" s="141" t="str">
        <f>IFERROR(IF(LEFT(A310,3)="LCP",VLOOKUP(A310,#REF!,2,FALSE),VLOOKUP(A310,#REF!,2,FALSE)),"NO BUDGET")</f>
        <v>NO BUDGET</v>
      </c>
    </row>
    <row r="311" spans="1:6" s="21" customFormat="1" ht="24" customHeight="1">
      <c r="A311" s="288" t="s">
        <v>1536</v>
      </c>
      <c r="B311" s="288" t="s">
        <v>1537</v>
      </c>
      <c r="C311" s="287" t="s">
        <v>315</v>
      </c>
      <c r="D311" s="6" t="s">
        <v>217</v>
      </c>
      <c r="E311" s="6" t="e">
        <f>IF(D311&lt;&gt;#REF!,"DIFERENTE","IGUAL")</f>
        <v>#REF!</v>
      </c>
      <c r="F311" s="141" t="str">
        <f>IFERROR(IF(LEFT(A311,3)="LCP",VLOOKUP(A311,#REF!,2,FALSE),VLOOKUP(A311,#REF!,2,FALSE)),"NO BUDGET")</f>
        <v>NO BUDGET</v>
      </c>
    </row>
    <row r="312" spans="1:6" s="21" customFormat="1" ht="24" customHeight="1">
      <c r="A312" s="77" t="s">
        <v>1538</v>
      </c>
      <c r="B312" s="288" t="s">
        <v>1539</v>
      </c>
      <c r="C312" s="294" t="s">
        <v>187</v>
      </c>
      <c r="D312" s="6" t="s">
        <v>217</v>
      </c>
      <c r="E312" s="6" t="e">
        <f>IF(D312&lt;&gt;#REF!,"DIFERENTE","IGUAL")</f>
        <v>#REF!</v>
      </c>
      <c r="F312" s="141" t="str">
        <f>IFERROR(IF(LEFT(A312,3)="LCP",VLOOKUP(A312,#REF!,2,FALSE),VLOOKUP(A312,#REF!,2,FALSE)),"NO BUDGET")</f>
        <v>NO BUDGET</v>
      </c>
    </row>
    <row r="313" spans="1:6" s="21" customFormat="1" ht="24" customHeight="1">
      <c r="A313" s="287" t="s">
        <v>1540</v>
      </c>
      <c r="B313" s="288" t="s">
        <v>1415</v>
      </c>
      <c r="C313" s="287" t="s">
        <v>315</v>
      </c>
      <c r="D313" s="6" t="s">
        <v>1768</v>
      </c>
      <c r="E313" s="6" t="e">
        <f>IF(D313&lt;&gt;#REF!,"DIFERENTE","IGUAL")</f>
        <v>#REF!</v>
      </c>
      <c r="F313" s="141" t="str">
        <f>IFERROR(IF(LEFT(A313,3)="LCP",VLOOKUP(A313,#REF!,2,FALSE),VLOOKUP(A313,#REF!,2,FALSE)),"NO BUDGET")</f>
        <v>NO BUDGET</v>
      </c>
    </row>
    <row r="314" spans="1:6" s="21" customFormat="1" ht="24" customHeight="1">
      <c r="A314" s="77" t="s">
        <v>1541</v>
      </c>
      <c r="B314" s="288" t="s">
        <v>1743</v>
      </c>
      <c r="C314" s="294" t="s">
        <v>187</v>
      </c>
      <c r="D314" s="6" t="s">
        <v>217</v>
      </c>
      <c r="E314" s="6" t="e">
        <f>IF(D314&lt;&gt;#REF!,"DIFERENTE","IGUAL")</f>
        <v>#REF!</v>
      </c>
      <c r="F314" s="141" t="str">
        <f>IFERROR(IF(LEFT(A314,3)="LCP",VLOOKUP(A314,#REF!,2,FALSE),VLOOKUP(A314,#REF!,2,FALSE)),"NO BUDGET")</f>
        <v>NO BUDGET</v>
      </c>
    </row>
    <row r="315" spans="1:6" s="21" customFormat="1" ht="24" customHeight="1">
      <c r="A315" s="77" t="s">
        <v>1542</v>
      </c>
      <c r="B315" s="288" t="s">
        <v>1543</v>
      </c>
      <c r="C315" s="287" t="s">
        <v>187</v>
      </c>
      <c r="D315" s="6" t="s">
        <v>217</v>
      </c>
      <c r="E315" s="6" t="e">
        <f>IF(D315&lt;&gt;#REF!,"DIFERENTE","IGUAL")</f>
        <v>#REF!</v>
      </c>
      <c r="F315" s="141" t="str">
        <f>IFERROR(IF(LEFT(A315,3)="LCP",VLOOKUP(A315,#REF!,2,FALSE),VLOOKUP(A315,#REF!,2,FALSE)),"NO BUDGET")</f>
        <v>NO BUDGET</v>
      </c>
    </row>
    <row r="316" spans="1:6" s="21" customFormat="1" ht="24" customHeight="1">
      <c r="A316" s="77" t="s">
        <v>1544</v>
      </c>
      <c r="B316" s="288" t="s">
        <v>1744</v>
      </c>
      <c r="C316" s="294" t="s">
        <v>187</v>
      </c>
      <c r="D316" s="6" t="s">
        <v>217</v>
      </c>
      <c r="E316" s="6" t="e">
        <f>IF(D316&lt;&gt;#REF!,"DIFERENTE","IGUAL")</f>
        <v>#REF!</v>
      </c>
      <c r="F316" s="141" t="str">
        <f>IFERROR(IF(LEFT(A316,3)="LCP",VLOOKUP(A316,#REF!,2,FALSE),VLOOKUP(A316,#REF!,2,FALSE)),"NO BUDGET")</f>
        <v>NO BUDGET</v>
      </c>
    </row>
    <row r="317" spans="1:6" s="21" customFormat="1" ht="24" customHeight="1">
      <c r="A317" s="77" t="s">
        <v>1545</v>
      </c>
      <c r="B317" s="288" t="s">
        <v>1792</v>
      </c>
      <c r="C317" s="287" t="s">
        <v>187</v>
      </c>
      <c r="D317" s="6" t="s">
        <v>1768</v>
      </c>
      <c r="E317" s="6" t="e">
        <f>IF(D317&lt;&gt;#REF!,"DIFERENTE","IGUAL")</f>
        <v>#REF!</v>
      </c>
      <c r="F317" s="141" t="str">
        <f>IFERROR(IF(LEFT(A317,3)="LCP",VLOOKUP(A317,#REF!,2,FALSE),VLOOKUP(A317,#REF!,2,FALSE)),"NO BUDGET")</f>
        <v>NO BUDGET</v>
      </c>
    </row>
    <row r="318" spans="1:6" s="21" customFormat="1" ht="24" customHeight="1">
      <c r="A318" s="77" t="s">
        <v>1547</v>
      </c>
      <c r="B318" s="288" t="s">
        <v>1745</v>
      </c>
      <c r="C318" s="294" t="s">
        <v>1492</v>
      </c>
      <c r="D318" s="6" t="s">
        <v>217</v>
      </c>
      <c r="E318" s="6" t="e">
        <f>IF(D318&lt;&gt;#REF!,"DIFERENTE","IGUAL")</f>
        <v>#REF!</v>
      </c>
      <c r="F318" s="141" t="str">
        <f>IFERROR(IF(LEFT(A318,3)="LCP",VLOOKUP(A318,#REF!,2,FALSE),VLOOKUP(A318,#REF!,2,FALSE)),"NO BUDGET")</f>
        <v>NO BUDGET</v>
      </c>
    </row>
    <row r="319" spans="1:6" s="21" customFormat="1" ht="24" customHeight="1">
      <c r="A319" s="77" t="s">
        <v>1548</v>
      </c>
      <c r="B319" s="288" t="s">
        <v>1549</v>
      </c>
      <c r="C319" s="287" t="s">
        <v>1492</v>
      </c>
      <c r="D319" s="6" t="s">
        <v>217</v>
      </c>
      <c r="E319" s="6" t="e">
        <f>IF(D319&lt;&gt;#REF!,"DIFERENTE","IGUAL")</f>
        <v>#REF!</v>
      </c>
      <c r="F319" s="141" t="str">
        <f>IFERROR(IF(LEFT(A319,3)="LCP",VLOOKUP(A319,#REF!,2,FALSE),VLOOKUP(A319,#REF!,2,FALSE)),"NO BUDGET")</f>
        <v>NO BUDGET</v>
      </c>
    </row>
    <row r="320" spans="1:6" s="21" customFormat="1" ht="24" customHeight="1">
      <c r="A320" s="77" t="s">
        <v>1552</v>
      </c>
      <c r="B320" s="288" t="s">
        <v>1553</v>
      </c>
      <c r="C320" s="287" t="s">
        <v>1492</v>
      </c>
      <c r="D320" s="6" t="s">
        <v>217</v>
      </c>
      <c r="E320" s="6" t="e">
        <f>IF(D320&lt;&gt;#REF!,"DIFERENTE","IGUAL")</f>
        <v>#REF!</v>
      </c>
      <c r="F320" s="141" t="str">
        <f>IFERROR(IF(LEFT(A320,3)="LCP",VLOOKUP(A320,#REF!,2,FALSE),VLOOKUP(A320,#REF!,2,FALSE)),"NO BUDGET")</f>
        <v>NO BUDGET</v>
      </c>
    </row>
    <row r="321" spans="1:6" s="21" customFormat="1" ht="24" customHeight="1">
      <c r="A321" s="288" t="s">
        <v>1554</v>
      </c>
      <c r="B321" s="288" t="s">
        <v>1555</v>
      </c>
      <c r="C321" s="287" t="s">
        <v>187</v>
      </c>
      <c r="D321" s="6" t="s">
        <v>217</v>
      </c>
      <c r="E321" s="6" t="e">
        <f>IF(D321&lt;&gt;#REF!,"DIFERENTE","IGUAL")</f>
        <v>#REF!</v>
      </c>
      <c r="F321" s="141" t="str">
        <f>IFERROR(IF(LEFT(A321,3)="LCP",VLOOKUP(A321,#REF!,2,FALSE),VLOOKUP(A321,#REF!,2,FALSE)),"NO BUDGET")</f>
        <v>NO BUDGET</v>
      </c>
    </row>
    <row r="322" spans="1:6" s="21" customFormat="1" ht="24" customHeight="1">
      <c r="A322" s="288" t="s">
        <v>1559</v>
      </c>
      <c r="B322" s="288" t="s">
        <v>1879</v>
      </c>
      <c r="C322" s="287" t="s">
        <v>185</v>
      </c>
      <c r="D322" s="6" t="s">
        <v>1768</v>
      </c>
      <c r="E322" s="6" t="e">
        <f>IF(D322&lt;&gt;#REF!,"DIFERENTE","IGUAL")</f>
        <v>#REF!</v>
      </c>
      <c r="F322" s="141" t="str">
        <f>IFERROR(IF(LEFT(A322,3)="LCP",VLOOKUP(A322,#REF!,2,FALSE),VLOOKUP(A322,#REF!,2,FALSE)),"NO BUDGET")</f>
        <v>NO BUDGET</v>
      </c>
    </row>
    <row r="323" spans="1:6" s="21" customFormat="1" ht="24" customHeight="1">
      <c r="A323" s="287" t="s">
        <v>1561</v>
      </c>
      <c r="B323" s="288" t="s">
        <v>1562</v>
      </c>
      <c r="C323" s="287" t="s">
        <v>315</v>
      </c>
      <c r="D323" s="6" t="s">
        <v>1768</v>
      </c>
      <c r="E323" s="6" t="e">
        <f>IF(D323&lt;&gt;#REF!,"DIFERENTE","IGUAL")</f>
        <v>#REF!</v>
      </c>
      <c r="F323" s="141" t="str">
        <f>IFERROR(IF(LEFT(A323,3)="LCP",VLOOKUP(A323,#REF!,2,FALSE),VLOOKUP(A323,#REF!,2,FALSE)),"NO BUDGET")</f>
        <v>NO BUDGET</v>
      </c>
    </row>
    <row r="324" spans="1:6" s="21" customFormat="1" ht="24" customHeight="1">
      <c r="A324" s="77" t="s">
        <v>1563</v>
      </c>
      <c r="B324" s="288" t="s">
        <v>1564</v>
      </c>
      <c r="C324" s="287" t="s">
        <v>315</v>
      </c>
      <c r="D324" s="6" t="s">
        <v>1768</v>
      </c>
      <c r="E324" s="6" t="e">
        <f>IF(D324&lt;&gt;#REF!,"DIFERENTE","IGUAL")</f>
        <v>#REF!</v>
      </c>
      <c r="F324" s="141" t="str">
        <f>IFERROR(IF(LEFT(A324,3)="LCP",VLOOKUP(A324,#REF!,2,FALSE),VLOOKUP(A324,#REF!,2,FALSE)),"NO BUDGET")</f>
        <v>NO BUDGET</v>
      </c>
    </row>
    <row r="325" spans="1:6" s="21" customFormat="1" ht="24" customHeight="1">
      <c r="A325" s="77" t="s">
        <v>1565</v>
      </c>
      <c r="B325" s="288" t="s">
        <v>1566</v>
      </c>
      <c r="C325" s="287" t="s">
        <v>1492</v>
      </c>
      <c r="D325" s="6" t="s">
        <v>217</v>
      </c>
      <c r="E325" s="6" t="e">
        <f>IF(D325&lt;&gt;#REF!,"DIFERENTE","IGUAL")</f>
        <v>#REF!</v>
      </c>
      <c r="F325" s="141" t="str">
        <f>IFERROR(IF(LEFT(A325,3)="LCP",VLOOKUP(A325,#REF!,2,FALSE),VLOOKUP(A325,#REF!,2,FALSE)),"NO BUDGET")</f>
        <v>NO BUDGET</v>
      </c>
    </row>
    <row r="326" spans="1:6" s="21" customFormat="1" ht="24.75" customHeight="1">
      <c r="A326" s="77" t="s">
        <v>1567</v>
      </c>
      <c r="B326" s="288" t="s">
        <v>1568</v>
      </c>
      <c r="C326" s="294" t="s">
        <v>1492</v>
      </c>
      <c r="D326" s="6" t="s">
        <v>217</v>
      </c>
      <c r="E326" s="6" t="e">
        <f>IF(D326&lt;&gt;#REF!,"DIFERENTE","IGUAL")</f>
        <v>#REF!</v>
      </c>
      <c r="F326" s="141" t="str">
        <f>IFERROR(IF(LEFT(A326,3)="LCP",VLOOKUP(A326,#REF!,2,FALSE),VLOOKUP(A326,#REF!,2,FALSE)),"NO BUDGET")</f>
        <v>NO BUDGET</v>
      </c>
    </row>
    <row r="327" spans="1:6" s="21" customFormat="1" ht="24" customHeight="1">
      <c r="A327" s="77" t="s">
        <v>1569</v>
      </c>
      <c r="B327" s="288" t="s">
        <v>1570</v>
      </c>
      <c r="C327" s="294" t="s">
        <v>1492</v>
      </c>
      <c r="D327" s="6" t="s">
        <v>217</v>
      </c>
      <c r="E327" s="6" t="e">
        <f>IF(D327&lt;&gt;#REF!,"DIFERENTE","IGUAL")</f>
        <v>#REF!</v>
      </c>
      <c r="F327" s="141" t="str">
        <f>IFERROR(IF(LEFT(A327,3)="LCP",VLOOKUP(A327,#REF!,2,FALSE),VLOOKUP(A327,#REF!,2,FALSE)),"NO BUDGET")</f>
        <v>NO BUDGET</v>
      </c>
    </row>
    <row r="328" spans="1:6" s="21" customFormat="1" ht="24" customHeight="1">
      <c r="A328" s="287" t="s">
        <v>1571</v>
      </c>
      <c r="B328" s="288" t="s">
        <v>1467</v>
      </c>
      <c r="C328" s="294" t="s">
        <v>187</v>
      </c>
      <c r="D328" s="6" t="s">
        <v>1768</v>
      </c>
      <c r="E328" s="6" t="e">
        <f>IF(D328&lt;&gt;#REF!,"DIFERENTE","IGUAL")</f>
        <v>#REF!</v>
      </c>
      <c r="F328" s="141" t="str">
        <f>IFERROR(IF(LEFT(A328,3)="LCP",VLOOKUP(A328,#REF!,2,FALSE),VLOOKUP(A328,#REF!,2,FALSE)),"NO BUDGET")</f>
        <v>NO BUDGET</v>
      </c>
    </row>
    <row r="329" spans="1:6" s="21" customFormat="1" ht="31.5" customHeight="1">
      <c r="A329" s="287" t="s">
        <v>1572</v>
      </c>
      <c r="B329" s="288" t="s">
        <v>1777</v>
      </c>
      <c r="C329" s="294" t="s">
        <v>1492</v>
      </c>
      <c r="D329" s="6" t="s">
        <v>194</v>
      </c>
      <c r="E329" s="6" t="e">
        <f>IF(D329&lt;&gt;#REF!,"DIFERENTE","IGUAL")</f>
        <v>#REF!</v>
      </c>
      <c r="F329" s="141" t="str">
        <f>IFERROR(IF(LEFT(A329,3)="LCP",VLOOKUP(A329,#REF!,2,FALSE),VLOOKUP(A329,#REF!,2,FALSE)),"NO BUDGET")</f>
        <v>NO BUDGET</v>
      </c>
    </row>
    <row r="330" spans="1:6" s="21" customFormat="1" ht="26.25" customHeight="1">
      <c r="A330" s="287" t="s">
        <v>1578</v>
      </c>
      <c r="B330" s="288" t="s">
        <v>1606</v>
      </c>
      <c r="C330" s="287" t="s">
        <v>185</v>
      </c>
      <c r="D330" s="6" t="s">
        <v>217</v>
      </c>
      <c r="E330" s="6" t="e">
        <f>IF(D330&lt;&gt;#REF!,"DIFERENTE","IGUAL")</f>
        <v>#REF!</v>
      </c>
      <c r="F330" s="141" t="str">
        <f>IFERROR(IF(LEFT(A330,3)="LCP",VLOOKUP(A330,#REF!,2,FALSE),VLOOKUP(A330,#REF!,2,FALSE)),"NO BUDGET")</f>
        <v>NO BUDGET</v>
      </c>
    </row>
    <row r="331" spans="1:6" s="21" customFormat="1" ht="24" customHeight="1">
      <c r="A331" s="287" t="s">
        <v>1581</v>
      </c>
      <c r="B331" s="287" t="s">
        <v>1715</v>
      </c>
      <c r="C331" s="294" t="s">
        <v>1492</v>
      </c>
      <c r="D331" s="6" t="s">
        <v>1768</v>
      </c>
      <c r="E331" s="6" t="e">
        <f>IF(D331&lt;&gt;#REF!,"DIFERENTE","IGUAL")</f>
        <v>#REF!</v>
      </c>
      <c r="F331" s="141" t="str">
        <f>IFERROR(IF(LEFT(A331,3)="LCP",VLOOKUP(A331,#REF!,2,FALSE),VLOOKUP(A331,#REF!,2,FALSE)),"NO BUDGET")</f>
        <v>NO BUDGET</v>
      </c>
    </row>
    <row r="332" spans="1:6" s="21" customFormat="1" ht="23.5" customHeight="1">
      <c r="A332" s="77" t="s">
        <v>1595</v>
      </c>
      <c r="B332" s="288" t="s">
        <v>1707</v>
      </c>
      <c r="C332" s="294" t="s">
        <v>187</v>
      </c>
      <c r="D332" s="6" t="s">
        <v>1768</v>
      </c>
      <c r="E332" s="6" t="e">
        <f>IF(D332&lt;&gt;#REF!,"DIFERENTE","IGUAL")</f>
        <v>#REF!</v>
      </c>
      <c r="F332" s="141" t="str">
        <f>IFERROR(IF(LEFT(A332,3)="LCP",VLOOKUP(A332,#REF!,2,FALSE),VLOOKUP(A332,#REF!,2,FALSE)),"NO BUDGET")</f>
        <v>NO BUDGET</v>
      </c>
    </row>
    <row r="333" spans="1:6" s="21" customFormat="1" ht="24" customHeight="1">
      <c r="A333" s="288" t="s">
        <v>1602</v>
      </c>
      <c r="B333" s="287" t="s">
        <v>1546</v>
      </c>
      <c r="C333" s="294" t="s">
        <v>187</v>
      </c>
      <c r="D333" s="6" t="s">
        <v>217</v>
      </c>
      <c r="E333" s="6" t="e">
        <f>IF(D333&lt;&gt;#REF!,"DIFERENTE","IGUAL")</f>
        <v>#REF!</v>
      </c>
      <c r="F333" s="141" t="str">
        <f>IFERROR(IF(LEFT(A333,3)="LCP",VLOOKUP(A333,#REF!,2,FALSE),VLOOKUP(A333,#REF!,2,FALSE)),"NO BUDGET")</f>
        <v>NO BUDGET</v>
      </c>
    </row>
    <row r="334" spans="1:6" s="21" customFormat="1" ht="24" customHeight="1">
      <c r="A334" s="77" t="s">
        <v>1617</v>
      </c>
      <c r="B334" s="288" t="s">
        <v>1600</v>
      </c>
      <c r="C334" s="294" t="s">
        <v>1492</v>
      </c>
      <c r="D334" s="6" t="s">
        <v>1768</v>
      </c>
      <c r="E334" s="6" t="e">
        <f>IF(D334&lt;&gt;#REF!,"DIFERENTE","IGUAL")</f>
        <v>#REF!</v>
      </c>
      <c r="F334" s="141" t="str">
        <f>IFERROR(IF(LEFT(A334,3)="LCP",VLOOKUP(A334,#REF!,2,FALSE),VLOOKUP(A334,#REF!,2,FALSE)),"NO BUDGET")</f>
        <v>NO BUDGET</v>
      </c>
    </row>
    <row r="335" spans="1:6" s="21" customFormat="1" ht="24" customHeight="1">
      <c r="A335" s="77" t="s">
        <v>1624</v>
      </c>
      <c r="B335" s="287" t="s">
        <v>1582</v>
      </c>
      <c r="C335" s="294" t="s">
        <v>185</v>
      </c>
      <c r="D335" s="6" t="s">
        <v>1768</v>
      </c>
      <c r="E335" s="6" t="e">
        <f>IF(D335&lt;&gt;#REF!,"DIFERENTE","IGUAL")</f>
        <v>#REF!</v>
      </c>
      <c r="F335" s="141" t="str">
        <f>IFERROR(IF(LEFT(A335,3)="LCP",VLOOKUP(A335,#REF!,2,FALSE),VLOOKUP(A335,#REF!,2,FALSE)),"NO BUDGET")</f>
        <v>NO BUDGET</v>
      </c>
    </row>
    <row r="336" spans="1:6" s="21" customFormat="1" ht="24" customHeight="1">
      <c r="A336" s="77" t="s">
        <v>1627</v>
      </c>
      <c r="B336" s="288" t="s">
        <v>1628</v>
      </c>
      <c r="C336" s="287" t="s">
        <v>315</v>
      </c>
      <c r="D336" s="6" t="s">
        <v>1768</v>
      </c>
      <c r="E336" s="6" t="e">
        <f>IF(D336&lt;&gt;#REF!,"DIFERENTE","IGUAL")</f>
        <v>#REF!</v>
      </c>
      <c r="F336" s="141" t="str">
        <f>IFERROR(IF(LEFT(A336,3)="LCP",VLOOKUP(A336,#REF!,2,FALSE),VLOOKUP(A336,#REF!,2,FALSE)),"NO BUDGET")</f>
        <v>NO BUDGET</v>
      </c>
    </row>
    <row r="337" spans="1:6" s="21" customFormat="1" ht="24" customHeight="1">
      <c r="A337" s="77" t="s">
        <v>1625</v>
      </c>
      <c r="B337" s="288" t="s">
        <v>1607</v>
      </c>
      <c r="C337" s="287" t="s">
        <v>1492</v>
      </c>
      <c r="D337" s="6" t="s">
        <v>1768</v>
      </c>
      <c r="E337" s="6" t="e">
        <f>IF(D337&lt;&gt;#REF!,"DIFERENTE","IGUAL")</f>
        <v>#REF!</v>
      </c>
      <c r="F337" s="141" t="str">
        <f>IFERROR(IF(LEFT(A337,3)="LCP",VLOOKUP(A337,#REF!,2,FALSE),VLOOKUP(A337,#REF!,2,FALSE)),"NO BUDGET")</f>
        <v>NO BUDGET</v>
      </c>
    </row>
    <row r="338" spans="1:6" s="21" customFormat="1" ht="24" customHeight="1">
      <c r="A338" s="77" t="s">
        <v>1626</v>
      </c>
      <c r="B338" s="288" t="s">
        <v>1750</v>
      </c>
      <c r="C338" s="294" t="s">
        <v>1492</v>
      </c>
      <c r="D338" s="6" t="s">
        <v>1768</v>
      </c>
      <c r="E338" s="6" t="e">
        <f>IF(D338&lt;&gt;#REF!,"DIFERENTE","IGUAL")</f>
        <v>#REF!</v>
      </c>
      <c r="F338" s="141" t="str">
        <f>IFERROR(IF(LEFT(A338,3)="LCP",VLOOKUP(A338,#REF!,2,FALSE),VLOOKUP(A338,#REF!,2,FALSE)),"NO BUDGET")</f>
        <v>NO BUDGET</v>
      </c>
    </row>
    <row r="339" spans="1:6" s="21" customFormat="1" ht="24" customHeight="1">
      <c r="A339" s="77" t="s">
        <v>1629</v>
      </c>
      <c r="B339" s="288" t="s">
        <v>1622</v>
      </c>
      <c r="C339" s="294" t="s">
        <v>1492</v>
      </c>
      <c r="D339" s="6" t="s">
        <v>1768</v>
      </c>
      <c r="E339" s="6" t="e">
        <f>IF(D339&lt;&gt;#REF!,"DIFERENTE","IGUAL")</f>
        <v>#REF!</v>
      </c>
      <c r="F339" s="141" t="str">
        <f>IFERROR(IF(LEFT(A339,3)="LCP",VLOOKUP(A339,#REF!,2,FALSE),VLOOKUP(A339,#REF!,2,FALSE)),"NO BUDGET")</f>
        <v>NO BUDGET</v>
      </c>
    </row>
    <row r="340" spans="1:6" s="21" customFormat="1" ht="24" customHeight="1">
      <c r="A340" s="77" t="s">
        <v>1630</v>
      </c>
      <c r="B340" s="287" t="s">
        <v>1708</v>
      </c>
      <c r="C340" s="294" t="s">
        <v>187</v>
      </c>
      <c r="D340" s="6" t="s">
        <v>1768</v>
      </c>
      <c r="E340" s="6" t="e">
        <f>IF(D340&lt;&gt;#REF!,"DIFERENTE","IGUAL")</f>
        <v>#REF!</v>
      </c>
      <c r="F340" s="141" t="str">
        <f>IFERROR(IF(LEFT(A340,3)="LCP",VLOOKUP(A340,#REF!,2,FALSE),VLOOKUP(A340,#REF!,2,FALSE)),"NO BUDGET")</f>
        <v>NO BUDGET</v>
      </c>
    </row>
    <row r="341" spans="1:6" s="21" customFormat="1" ht="24" customHeight="1">
      <c r="A341" s="77" t="s">
        <v>1634</v>
      </c>
      <c r="B341" s="288" t="s">
        <v>1764</v>
      </c>
      <c r="C341" s="287" t="s">
        <v>1492</v>
      </c>
      <c r="D341" s="6" t="s">
        <v>1768</v>
      </c>
      <c r="E341" s="6" t="e">
        <f>IF(D341&lt;&gt;#REF!,"DIFERENTE","IGUAL")</f>
        <v>#REF!</v>
      </c>
      <c r="F341" s="141" t="str">
        <f>IFERROR(IF(LEFT(A341,3)="LCP",VLOOKUP(A341,#REF!,2,FALSE),VLOOKUP(A341,#REF!,2,FALSE)),"NO BUDGET")</f>
        <v>NO BUDGET</v>
      </c>
    </row>
    <row r="342" spans="1:6" s="21" customFormat="1" ht="24" customHeight="1">
      <c r="A342" s="288" t="s">
        <v>1635</v>
      </c>
      <c r="B342" s="288" t="s">
        <v>1610</v>
      </c>
      <c r="C342" s="294" t="s">
        <v>187</v>
      </c>
      <c r="D342" s="6" t="s">
        <v>217</v>
      </c>
      <c r="E342" s="6" t="e">
        <f>IF(D342&lt;&gt;#REF!,"DIFERENTE","IGUAL")</f>
        <v>#REF!</v>
      </c>
      <c r="F342" s="141" t="str">
        <f>IFERROR(IF(LEFT(A342,3)="LCP",VLOOKUP(A342,#REF!,2,FALSE),VLOOKUP(A342,#REF!,2,FALSE)),"NO BUDGET")</f>
        <v>NO BUDGET</v>
      </c>
    </row>
    <row r="343" spans="1:6" s="21" customFormat="1" ht="24" customHeight="1">
      <c r="A343" s="77" t="s">
        <v>1641</v>
      </c>
      <c r="B343" s="287" t="s">
        <v>1642</v>
      </c>
      <c r="C343" s="294" t="s">
        <v>187</v>
      </c>
      <c r="D343" s="6" t="s">
        <v>217</v>
      </c>
      <c r="E343" s="6" t="e">
        <f>IF(D343&lt;&gt;#REF!,"DIFERENTE","IGUAL")</f>
        <v>#REF!</v>
      </c>
      <c r="F343" s="141" t="str">
        <f>IFERROR(IF(LEFT(A343,3)="LCP",VLOOKUP(A343,#REF!,2,FALSE),VLOOKUP(A343,#REF!,2,FALSE)),"NO BUDGET")</f>
        <v>NO BUDGET</v>
      </c>
    </row>
    <row r="344" spans="1:6" s="21" customFormat="1" ht="24" customHeight="1">
      <c r="A344" s="77" t="s">
        <v>1637</v>
      </c>
      <c r="B344" s="287" t="s">
        <v>1640</v>
      </c>
      <c r="C344" s="294" t="s">
        <v>1492</v>
      </c>
      <c r="D344" s="6" t="s">
        <v>217</v>
      </c>
      <c r="E344" s="6" t="e">
        <f>IF(D344&lt;&gt;#REF!,"DIFERENTE","IGUAL")</f>
        <v>#REF!</v>
      </c>
      <c r="F344" s="141" t="str">
        <f>IFERROR(IF(LEFT(A344,3)="LCP",VLOOKUP(A344,#REF!,2,FALSE),VLOOKUP(A344,#REF!,2,FALSE)),"NO BUDGET")</f>
        <v>NO BUDGET</v>
      </c>
    </row>
    <row r="345" spans="1:6" s="21" customFormat="1" ht="24" customHeight="1">
      <c r="A345" s="77" t="s">
        <v>1638</v>
      </c>
      <c r="B345" s="316" t="s">
        <v>1659</v>
      </c>
      <c r="C345" s="287" t="s">
        <v>1492</v>
      </c>
      <c r="D345" s="6" t="s">
        <v>1768</v>
      </c>
      <c r="E345" s="6" t="e">
        <f>IF(D345&lt;&gt;#REF!,"DIFERENTE","IGUAL")</f>
        <v>#REF!</v>
      </c>
      <c r="F345" s="141" t="str">
        <f>IFERROR(IF(LEFT(A345,3)="LCP",VLOOKUP(A345,#REF!,2,FALSE),VLOOKUP(A345,#REF!,2,FALSE)),"NO BUDGET")</f>
        <v>NO BUDGET</v>
      </c>
    </row>
    <row r="346" spans="1:6" s="21" customFormat="1" ht="24" customHeight="1">
      <c r="A346" s="77" t="s">
        <v>1639</v>
      </c>
      <c r="B346" s="288" t="s">
        <v>1658</v>
      </c>
      <c r="C346" s="294" t="s">
        <v>1492</v>
      </c>
      <c r="D346" s="6" t="s">
        <v>1768</v>
      </c>
      <c r="E346" s="6" t="e">
        <f>IF(D346&lt;&gt;#REF!,"DIFERENTE","IGUAL")</f>
        <v>#REF!</v>
      </c>
      <c r="F346" s="141" t="str">
        <f>IFERROR(IF(LEFT(A346,3)="LCP",VLOOKUP(A346,#REF!,2,FALSE),VLOOKUP(A346,#REF!,2,FALSE)),"NO BUDGET")</f>
        <v>NO BUDGET</v>
      </c>
    </row>
    <row r="347" spans="1:6" s="21" customFormat="1" ht="24" customHeight="1">
      <c r="A347" s="77" t="s">
        <v>1644</v>
      </c>
      <c r="B347" s="288" t="s">
        <v>1661</v>
      </c>
      <c r="C347" s="294" t="s">
        <v>182</v>
      </c>
      <c r="D347" s="6" t="s">
        <v>1768</v>
      </c>
      <c r="E347" s="6" t="e">
        <f>IF(D347&lt;&gt;#REF!,"DIFERENTE","IGUAL")</f>
        <v>#REF!</v>
      </c>
      <c r="F347" s="141" t="str">
        <f>IFERROR(IF(LEFT(A347,3)="LCP",VLOOKUP(A347,#REF!,2,FALSE),VLOOKUP(A347,#REF!,2,FALSE)),"NO BUDGET")</f>
        <v>NO BUDGET</v>
      </c>
    </row>
    <row r="348" spans="1:6" s="21" customFormat="1" ht="24" customHeight="1">
      <c r="A348" s="77" t="s">
        <v>1655</v>
      </c>
      <c r="B348" s="288" t="s">
        <v>1656</v>
      </c>
      <c r="C348" s="294" t="s">
        <v>187</v>
      </c>
      <c r="D348" s="6" t="s">
        <v>1768</v>
      </c>
      <c r="E348" s="6" t="e">
        <f>IF(D348&lt;&gt;#REF!,"DIFERENTE","IGUAL")</f>
        <v>#REF!</v>
      </c>
      <c r="F348" s="141" t="str">
        <f>IFERROR(IF(LEFT(A348,3)="LCP",VLOOKUP(A348,#REF!,2,FALSE),VLOOKUP(A348,#REF!,2,FALSE)),"NO BUDGET")</f>
        <v>NO BUDGET</v>
      </c>
    </row>
    <row r="349" spans="1:6" s="21" customFormat="1" ht="24" customHeight="1">
      <c r="A349" s="288" t="s">
        <v>1657</v>
      </c>
      <c r="B349" s="288" t="s">
        <v>1608</v>
      </c>
      <c r="C349" s="294" t="s">
        <v>187</v>
      </c>
      <c r="D349" s="6" t="s">
        <v>217</v>
      </c>
      <c r="E349" s="6" t="e">
        <f>IF(D349&lt;&gt;#REF!,"DIFERENTE","IGUAL")</f>
        <v>#REF!</v>
      </c>
      <c r="F349" s="141" t="str">
        <f>IFERROR(IF(LEFT(A349,3)="LCP",VLOOKUP(A349,#REF!,2,FALSE),VLOOKUP(A349,#REF!,2,FALSE)),"NO BUDGET")</f>
        <v>NO BUDGET</v>
      </c>
    </row>
    <row r="350" spans="1:6" s="21" customFormat="1" ht="24" customHeight="1">
      <c r="A350" s="303" t="s">
        <v>1662</v>
      </c>
      <c r="B350" s="315" t="s">
        <v>1805</v>
      </c>
      <c r="C350" s="319" t="s">
        <v>811</v>
      </c>
      <c r="D350" s="6" t="s">
        <v>1768</v>
      </c>
      <c r="E350" s="6" t="e">
        <f>IF(D350&lt;&gt;#REF!,"DIFERENTE","IGUAL")</f>
        <v>#REF!</v>
      </c>
      <c r="F350" s="141" t="str">
        <f>IFERROR(IF(LEFT(A350,3)="LCP",VLOOKUP(A350,#REF!,2,FALSE),VLOOKUP(A350,#REF!,2,FALSE)),"NO BUDGET")</f>
        <v>NO BUDGET</v>
      </c>
    </row>
    <row r="351" spans="1:6" s="21" customFormat="1" ht="24" customHeight="1">
      <c r="A351" s="287" t="s">
        <v>1717</v>
      </c>
      <c r="B351" s="287" t="s">
        <v>1719</v>
      </c>
      <c r="C351" s="294" t="s">
        <v>1492</v>
      </c>
      <c r="D351" s="6" t="s">
        <v>1768</v>
      </c>
      <c r="E351" s="6" t="e">
        <f>IF(D351&lt;&gt;#REF!,"DIFERENTE","IGUAL")</f>
        <v>#REF!</v>
      </c>
      <c r="F351" s="141" t="str">
        <f>IFERROR(IF(LEFT(A351,3)="LCP",VLOOKUP(A351,#REF!,2,FALSE),VLOOKUP(A351,#REF!,2,FALSE)),"NO BUDGET")</f>
        <v>NO BUDGET</v>
      </c>
    </row>
    <row r="352" spans="1:6" s="21" customFormat="1" ht="24" customHeight="1">
      <c r="A352" s="288" t="s">
        <v>1720</v>
      </c>
      <c r="B352" s="288" t="s">
        <v>1722</v>
      </c>
      <c r="C352" s="287" t="s">
        <v>315</v>
      </c>
      <c r="D352" s="6" t="s">
        <v>217</v>
      </c>
      <c r="E352" s="6" t="e">
        <f>IF(D352&lt;&gt;#REF!,"DIFERENTE","IGUAL")</f>
        <v>#REF!</v>
      </c>
      <c r="F352" s="141" t="str">
        <f>IFERROR(IF(LEFT(A352,3)="LCP",VLOOKUP(A352,#REF!,2,FALSE),VLOOKUP(A352,#REF!,2,FALSE)),"NO BUDGET")</f>
        <v>NO BUDGET</v>
      </c>
    </row>
    <row r="353" spans="1:6" s="21" customFormat="1" ht="24" customHeight="1">
      <c r="A353" s="288" t="s">
        <v>1721</v>
      </c>
      <c r="B353" s="288" t="s">
        <v>1746</v>
      </c>
      <c r="C353" s="294" t="s">
        <v>182</v>
      </c>
      <c r="D353" s="6" t="s">
        <v>217</v>
      </c>
      <c r="E353" s="6" t="e">
        <f>IF(D353&lt;&gt;#REF!,"DIFERENTE","IGUAL")</f>
        <v>#REF!</v>
      </c>
      <c r="F353" s="141" t="str">
        <f>IFERROR(IF(LEFT(A353,3)="LCP",VLOOKUP(A353,#REF!,2,FALSE),VLOOKUP(A353,#REF!,2,FALSE)),"NO BUDGET")</f>
        <v>NO BUDGET</v>
      </c>
    </row>
    <row r="354" spans="1:6" s="21" customFormat="1" ht="24" customHeight="1">
      <c r="A354" s="288" t="s">
        <v>1839</v>
      </c>
      <c r="B354" s="288" t="s">
        <v>1840</v>
      </c>
      <c r="C354" s="294" t="s">
        <v>315</v>
      </c>
      <c r="D354" s="6" t="s">
        <v>1768</v>
      </c>
      <c r="E354" s="6" t="e">
        <f>IF(D354&lt;&gt;#REF!,"DIFERENTE","IGUAL")</f>
        <v>#REF!</v>
      </c>
      <c r="F354" s="141" t="str">
        <f>IFERROR(IF(LEFT(A354,3)="LCP",VLOOKUP(A354,#REF!,2,FALSE),VLOOKUP(A354,#REF!,2,FALSE)),"NO BUDGET")</f>
        <v>NO BUDGET</v>
      </c>
    </row>
    <row r="355" spans="1:6" s="21" customFormat="1" ht="24" customHeight="1">
      <c r="A355" s="288" t="s">
        <v>1778</v>
      </c>
      <c r="B355" s="288" t="s">
        <v>1790</v>
      </c>
      <c r="C355" s="294" t="s">
        <v>185</v>
      </c>
      <c r="D355" s="6" t="s">
        <v>1768</v>
      </c>
      <c r="E355" s="6" t="e">
        <f>IF(D355&lt;&gt;#REF!,"DIFERENTE","IGUAL")</f>
        <v>#REF!</v>
      </c>
      <c r="F355" s="141" t="str">
        <f>IFERROR(IF(LEFT(A355,3)="LCP",VLOOKUP(A355,#REF!,2,FALSE),VLOOKUP(A355,#REF!,2,FALSE)),"NO BUDGET")</f>
        <v>NO BUDGET</v>
      </c>
    </row>
    <row r="356" spans="1:6" s="21" customFormat="1" ht="24" customHeight="1">
      <c r="A356" s="288" t="s">
        <v>1820</v>
      </c>
      <c r="B356" s="288" t="s">
        <v>1822</v>
      </c>
      <c r="C356" s="294" t="s">
        <v>187</v>
      </c>
      <c r="D356" s="6" t="s">
        <v>1768</v>
      </c>
      <c r="E356" s="6" t="e">
        <f>IF(D356&lt;&gt;#REF!,"DIFERENTE","IGUAL")</f>
        <v>#REF!</v>
      </c>
      <c r="F356" s="141" t="str">
        <f>IFERROR(IF(LEFT(A356,3)="LCP",VLOOKUP(A356,#REF!,2,FALSE),VLOOKUP(A356,#REF!,2,FALSE)),"NO BUDGET")</f>
        <v>NO BUDGET</v>
      </c>
    </row>
    <row r="357" spans="1:6" s="21" customFormat="1" ht="24" customHeight="1">
      <c r="A357" s="288" t="s">
        <v>1836</v>
      </c>
      <c r="B357" s="288" t="s">
        <v>1831</v>
      </c>
      <c r="C357" s="294" t="s">
        <v>1492</v>
      </c>
      <c r="D357" s="6" t="s">
        <v>1768</v>
      </c>
      <c r="E357" s="6" t="e">
        <f>IF(D357&lt;&gt;#REF!,"DIFERENTE","IGUAL")</f>
        <v>#REF!</v>
      </c>
      <c r="F357" s="141" t="str">
        <f>IFERROR(IF(LEFT(A357,3)="LCP",VLOOKUP(A357,#REF!,2,FALSE),VLOOKUP(A357,#REF!,2,FALSE)),"NO BUDGET")</f>
        <v>NO BUDGET</v>
      </c>
    </row>
    <row r="358" spans="1:6" s="21" customFormat="1" ht="24" customHeight="1">
      <c r="A358" s="288" t="s">
        <v>1864</v>
      </c>
      <c r="B358" s="288" t="s">
        <v>1861</v>
      </c>
      <c r="C358" s="294" t="s">
        <v>187</v>
      </c>
      <c r="D358" s="6" t="s">
        <v>1768</v>
      </c>
      <c r="E358" s="6" t="e">
        <f>IF(D358&lt;&gt;#REF!,"DIFERENTE","IGUAL")</f>
        <v>#REF!</v>
      </c>
      <c r="F358" s="141" t="str">
        <f>IFERROR(IF(LEFT(A358,3)="LCP",VLOOKUP(A358,#REF!,2,FALSE),VLOOKUP(A358,#REF!,2,FALSE)),"NO BUDGET")</f>
        <v>NO BUDGET</v>
      </c>
    </row>
    <row r="359" spans="1:6" s="21" customFormat="1" ht="24" customHeight="1">
      <c r="A359" s="288" t="s">
        <v>1859</v>
      </c>
      <c r="B359" s="288" t="s">
        <v>1826</v>
      </c>
      <c r="C359" s="294" t="s">
        <v>1492</v>
      </c>
      <c r="D359" s="6" t="s">
        <v>699</v>
      </c>
      <c r="E359" s="6" t="e">
        <f>IF(D359&lt;&gt;#REF!,"DIFERENTE","IGUAL")</f>
        <v>#REF!</v>
      </c>
      <c r="F359" s="141" t="str">
        <f>IFERROR(IF(LEFT(A359,3)="LCP",VLOOKUP(A359,#REF!,2,FALSE),VLOOKUP(A359,#REF!,2,FALSE)),"NO BUDGET")</f>
        <v>NO BUDGET</v>
      </c>
    </row>
    <row r="360" spans="1:6" s="21" customFormat="1" ht="24" customHeight="1">
      <c r="A360" s="288" t="s">
        <v>1848</v>
      </c>
      <c r="B360" s="288" t="s">
        <v>1813</v>
      </c>
      <c r="C360" s="287" t="s">
        <v>1492</v>
      </c>
      <c r="D360" s="6" t="s">
        <v>1768</v>
      </c>
      <c r="E360" s="6" t="e">
        <f>IF(D360&lt;&gt;#REF!,"DIFERENTE","IGUAL")</f>
        <v>#REF!</v>
      </c>
      <c r="F360" s="141" t="str">
        <f>IFERROR(IF(LEFT(A360,3)="LCP",VLOOKUP(A360,#REF!,2,FALSE),VLOOKUP(A360,#REF!,2,FALSE)),"NO BUDGET")</f>
        <v>NO BUDGET</v>
      </c>
    </row>
    <row r="361" spans="1:6" s="21" customFormat="1" ht="24" customHeight="1">
      <c r="A361" s="288" t="s">
        <v>1860</v>
      </c>
      <c r="B361" s="288" t="s">
        <v>1814</v>
      </c>
      <c r="C361" s="294" t="s">
        <v>1492</v>
      </c>
      <c r="D361" s="6" t="s">
        <v>699</v>
      </c>
      <c r="E361" s="6" t="e">
        <f>IF(D361&lt;&gt;#REF!,"DIFERENTE","IGUAL")</f>
        <v>#REF!</v>
      </c>
      <c r="F361" s="141" t="str">
        <f>IFERROR(IF(LEFT(A361,3)="LCP",VLOOKUP(A361,#REF!,2,FALSE),VLOOKUP(A361,#REF!,2,FALSE)),"NO BUDGET")</f>
        <v>NO BUDGET</v>
      </c>
    </row>
    <row r="362" spans="1:6" s="21" customFormat="1" ht="24" customHeight="1">
      <c r="A362" s="288" t="s">
        <v>1868</v>
      </c>
      <c r="B362" s="288" t="s">
        <v>1869</v>
      </c>
      <c r="C362" s="294" t="s">
        <v>1492</v>
      </c>
      <c r="D362" s="6" t="s">
        <v>699</v>
      </c>
      <c r="E362" s="6" t="e">
        <f>IF(D362&lt;&gt;#REF!,"DIFERENTE","IGUAL")</f>
        <v>#REF!</v>
      </c>
      <c r="F362" s="141" t="str">
        <f>IFERROR(IF(LEFT(A362,3)="LCP",VLOOKUP(A362,#REF!,2,FALSE),VLOOKUP(A362,#REF!,2,FALSE)),"NO BUDGET")</f>
        <v>NO BUDGET</v>
      </c>
    </row>
    <row r="363" spans="1:6" s="21" customFormat="1" ht="24" customHeight="1">
      <c r="A363" s="288" t="s">
        <v>1882</v>
      </c>
      <c r="B363" s="288" t="s">
        <v>1883</v>
      </c>
      <c r="C363" s="287" t="s">
        <v>1492</v>
      </c>
      <c r="D363" s="6" t="s">
        <v>699</v>
      </c>
      <c r="E363" s="6" t="e">
        <f>IF(D363&lt;&gt;#REF!,"DIFERENTE","IGUAL")</f>
        <v>#REF!</v>
      </c>
      <c r="F363" s="141" t="str">
        <f>IFERROR(IF(LEFT(A363,3)="LCP",VLOOKUP(A363,#REF!,2,FALSE),VLOOKUP(A363,#REF!,2,FALSE)),"NO BUDGET")</f>
        <v>NO BUDGET</v>
      </c>
    </row>
    <row r="364" spans="1:6" s="21" customFormat="1" ht="24" customHeight="1">
      <c r="A364" s="288" t="s">
        <v>1878</v>
      </c>
      <c r="B364" s="288" t="s">
        <v>1825</v>
      </c>
      <c r="C364" s="287" t="s">
        <v>1492</v>
      </c>
      <c r="D364" s="6" t="s">
        <v>699</v>
      </c>
      <c r="E364" s="6" t="e">
        <f>IF(D364&lt;&gt;#REF!,"DIFERENTE","IGUAL")</f>
        <v>#REF!</v>
      </c>
      <c r="F364" s="141" t="str">
        <f>IFERROR(IF(LEFT(A364,3)="LCP",VLOOKUP(A364,#REF!,2,FALSE),VLOOKUP(A364,#REF!,2,FALSE)),"NO BUDGET")</f>
        <v>NO BUDGET</v>
      </c>
    </row>
    <row r="365" spans="1:6" s="21" customFormat="1" ht="24" customHeight="1">
      <c r="A365" s="288" t="s">
        <v>1880</v>
      </c>
      <c r="B365" s="288" t="s">
        <v>1827</v>
      </c>
      <c r="C365" s="294" t="s">
        <v>1492</v>
      </c>
      <c r="D365" s="6" t="s">
        <v>1768</v>
      </c>
      <c r="E365" s="6" t="e">
        <f>IF(D365&lt;&gt;#REF!,"DIFERENTE","IGUAL")</f>
        <v>#REF!</v>
      </c>
      <c r="F365" s="141" t="str">
        <f>IFERROR(IF(LEFT(A365,3)="LCP",VLOOKUP(A365,#REF!,2,FALSE),VLOOKUP(A365,#REF!,2,FALSE)),"NO BUDGET")</f>
        <v>NO BUDGET</v>
      </c>
    </row>
    <row r="366" spans="1:6" s="21" customFormat="1" ht="24" customHeight="1">
      <c r="A366" s="320" t="s">
        <v>1886</v>
      </c>
      <c r="B366" s="288" t="s">
        <v>1885</v>
      </c>
      <c r="C366" s="294" t="s">
        <v>185</v>
      </c>
      <c r="D366" s="6" t="s">
        <v>699</v>
      </c>
      <c r="E366" s="6" t="e">
        <f>IF(D366&lt;&gt;#REF!,"DIFERENTE","IGUAL")</f>
        <v>#REF!</v>
      </c>
      <c r="F366" s="141" t="str">
        <f>IFERROR(IF(LEFT(A366,3)="LCP",VLOOKUP(A366,#REF!,2,FALSE),VLOOKUP(A366,#REF!,2,FALSE)),"NO BUDGET")</f>
        <v>NO BUDGET</v>
      </c>
    </row>
    <row r="367" spans="1:6" s="21" customFormat="1" ht="24" customHeight="1">
      <c r="A367" s="288" t="s">
        <v>1874</v>
      </c>
      <c r="B367" s="288" t="s">
        <v>1815</v>
      </c>
      <c r="C367" s="294" t="s">
        <v>186</v>
      </c>
      <c r="D367" s="6" t="s">
        <v>1842</v>
      </c>
      <c r="E367" s="6" t="e">
        <f>IF(D367&lt;&gt;#REF!,"DIFERENTE","IGUAL")</f>
        <v>#REF!</v>
      </c>
      <c r="F367" s="141" t="str">
        <f>IFERROR(IF(LEFT(A367,3)="LCP",VLOOKUP(A367,#REF!,2,FALSE),VLOOKUP(A367,#REF!,2,FALSE)),"NO BUDGET")</f>
        <v>NO BUDGET</v>
      </c>
    </row>
    <row r="368" spans="1:6" s="21" customFormat="1" ht="24" customHeight="1">
      <c r="A368" s="288" t="s">
        <v>1875</v>
      </c>
      <c r="B368" s="288" t="s">
        <v>1818</v>
      </c>
      <c r="C368" s="294" t="s">
        <v>182</v>
      </c>
      <c r="D368" s="6" t="s">
        <v>1842</v>
      </c>
      <c r="E368" s="6" t="e">
        <f>IF(D368&lt;&gt;#REF!,"DIFERENTE","IGUAL")</f>
        <v>#REF!</v>
      </c>
      <c r="F368" s="141" t="str">
        <f>IFERROR(IF(LEFT(A368,3)="LCP",VLOOKUP(A368,#REF!,2,FALSE),VLOOKUP(A368,#REF!,2,FALSE)),"NO BUDGET")</f>
        <v>NO BUDGET</v>
      </c>
    </row>
    <row r="369" spans="1:6" s="21" customFormat="1" ht="24" customHeight="1">
      <c r="A369" s="288" t="s">
        <v>644</v>
      </c>
      <c r="B369" s="288" t="s">
        <v>9</v>
      </c>
      <c r="C369" s="287" t="s">
        <v>1613</v>
      </c>
      <c r="D369" s="6" t="s">
        <v>1842</v>
      </c>
      <c r="E369" s="6" t="e">
        <f>IF(D369&lt;&gt;#REF!,"DIFERENTE","IGUAL")</f>
        <v>#REF!</v>
      </c>
      <c r="F369" s="141" t="str">
        <f>IFERROR(IF(LEFT(A369,3)="LCP",VLOOKUP(A369,#REF!,2,FALSE),VLOOKUP(A369,#REF!,2,FALSE)),"NO BUDGET")</f>
        <v>NO BUDGET</v>
      </c>
    </row>
    <row r="370" spans="1:6" s="21" customFormat="1" ht="24" customHeight="1">
      <c r="A370" s="288" t="s">
        <v>645</v>
      </c>
      <c r="B370" s="288" t="s">
        <v>1709</v>
      </c>
      <c r="C370" s="287" t="s">
        <v>1613</v>
      </c>
      <c r="D370" s="6" t="s">
        <v>1842</v>
      </c>
      <c r="E370" s="6" t="e">
        <f>IF(D370&lt;&gt;#REF!,"DIFERENTE","IGUAL")</f>
        <v>#REF!</v>
      </c>
      <c r="F370" s="141" t="str">
        <f>IFERROR(IF(LEFT(A370,3)="LCP",VLOOKUP(A370,#REF!,2,FALSE),VLOOKUP(A370,#REF!,2,FALSE)),"NO BUDGET")</f>
        <v>NO BUDGET</v>
      </c>
    </row>
    <row r="371" spans="1:6" s="21" customFormat="1" ht="24" customHeight="1">
      <c r="A371" s="288" t="s">
        <v>1621</v>
      </c>
      <c r="B371" s="288" t="s">
        <v>1328</v>
      </c>
      <c r="C371" s="294" t="s">
        <v>1612</v>
      </c>
      <c r="D371" s="6" t="s">
        <v>1842</v>
      </c>
      <c r="E371" s="6" t="e">
        <f>IF(D371&lt;&gt;#REF!,"DIFERENTE","IGUAL")</f>
        <v>#REF!</v>
      </c>
      <c r="F371" s="141" t="str">
        <f>IFERROR(IF(LEFT(A371,3)="LCP",VLOOKUP(A371,#REF!,2,FALSE),VLOOKUP(A371,#REF!,2,FALSE)),"NO BUDGET")</f>
        <v>NO BUDGET</v>
      </c>
    </row>
    <row r="372" spans="1:6" s="21" customFormat="1" ht="24" customHeight="1">
      <c r="A372" s="288" t="s">
        <v>1832</v>
      </c>
      <c r="B372" s="288" t="s">
        <v>1828</v>
      </c>
      <c r="C372" s="294" t="s">
        <v>1492</v>
      </c>
      <c r="D372" s="6" t="s">
        <v>1842</v>
      </c>
      <c r="E372" s="6" t="e">
        <f>IF(D372&lt;&gt;#REF!,"DIFERENTE","IGUAL")</f>
        <v>#REF!</v>
      </c>
      <c r="F372" s="141" t="str">
        <f>IFERROR(IF(LEFT(A372,3)="LCP",VLOOKUP(A372,#REF!,2,FALSE),VLOOKUP(A372,#REF!,2,FALSE)),"NO BUDGET")</f>
        <v>NO BUDGET</v>
      </c>
    </row>
    <row r="373" spans="1:6" s="21" customFormat="1" ht="24" customHeight="1">
      <c r="A373" s="143" t="s">
        <v>1010</v>
      </c>
      <c r="B373" s="288" t="s">
        <v>993</v>
      </c>
      <c r="C373" s="294" t="s">
        <v>315</v>
      </c>
      <c r="D373" s="6" t="s">
        <v>1768</v>
      </c>
      <c r="E373" s="6" t="e">
        <f>IF(D373&lt;&gt;#REF!,"DIFERENTE","IGUAL")</f>
        <v>#REF!</v>
      </c>
      <c r="F373" s="141" t="str">
        <f>IFERROR(IF(LEFT(A373,3)="LCP",VLOOKUP(A373,#REF!,2,FALSE),VLOOKUP(A373,#REF!,2,FALSE)),"NO BUDGET")</f>
        <v>NO BUDGET</v>
      </c>
    </row>
    <row r="374" spans="1:6" s="21" customFormat="1" ht="24" customHeight="1">
      <c r="A374" s="287" t="s">
        <v>1493</v>
      </c>
      <c r="B374" s="288" t="s">
        <v>1683</v>
      </c>
      <c r="C374" s="294" t="s">
        <v>185</v>
      </c>
      <c r="D374" s="6" t="s">
        <v>1768</v>
      </c>
      <c r="E374" s="6" t="e">
        <f>IF(D374&lt;&gt;#REF!,"DIFERENTE","IGUAL")</f>
        <v>#REF!</v>
      </c>
      <c r="F374" s="141" t="str">
        <f>IFERROR(IF(LEFT(A374,3)="LCP",VLOOKUP(A374,#REF!,2,FALSE),VLOOKUP(A374,#REF!,2,FALSE)),"NO BUDGET")</f>
        <v>NO BUDGET</v>
      </c>
    </row>
    <row r="375" spans="1:6" s="21" customFormat="1" ht="24" customHeight="1">
      <c r="A375" s="297" t="s">
        <v>1623</v>
      </c>
      <c r="B375" s="288" t="s">
        <v>1782</v>
      </c>
      <c r="C375" s="294" t="s">
        <v>185</v>
      </c>
      <c r="D375" s="6" t="s">
        <v>1768</v>
      </c>
      <c r="E375" s="6" t="e">
        <f>IF(D375&lt;&gt;#REF!,"DIFERENTE","IGUAL")</f>
        <v>#REF!</v>
      </c>
      <c r="F375" s="141" t="str">
        <f>IFERROR(IF(LEFT(A375,3)="LCP",VLOOKUP(A375,#REF!,2,FALSE),VLOOKUP(A375,#REF!,2,FALSE)),"NO BUDGET")</f>
        <v>NO BUDGET</v>
      </c>
    </row>
    <row r="376" spans="1:6" s="21" customFormat="1" ht="24" customHeight="1">
      <c r="A376" s="288" t="s">
        <v>1876</v>
      </c>
      <c r="B376" s="288" t="s">
        <v>1817</v>
      </c>
      <c r="C376" s="287" t="s">
        <v>187</v>
      </c>
      <c r="D376" s="6" t="s">
        <v>1842</v>
      </c>
      <c r="E376" s="6" t="e">
        <f>IF(D376&lt;&gt;#REF!,"DIFERENTE","IGUAL")</f>
        <v>#REF!</v>
      </c>
      <c r="F376" s="141" t="str">
        <f>IFERROR(IF(LEFT(A376,3)="LCP",VLOOKUP(A376,#REF!,2,FALSE),VLOOKUP(A376,#REF!,2,FALSE)),"NO BUDGET")</f>
        <v>NO BUDGET</v>
      </c>
    </row>
    <row r="377" spans="1:6" s="21" customFormat="1" ht="24" customHeight="1">
      <c r="A377" s="288" t="s">
        <v>1838</v>
      </c>
      <c r="B377" s="288" t="s">
        <v>1837</v>
      </c>
      <c r="C377" s="287" t="s">
        <v>187</v>
      </c>
      <c r="D377" s="6" t="s">
        <v>699</v>
      </c>
      <c r="E377" s="6" t="e">
        <f>IF(D377&lt;&gt;#REF!,"DIFERENTE","IGUAL")</f>
        <v>#REF!</v>
      </c>
      <c r="F377" s="141" t="str">
        <f>IFERROR(IF(LEFT(A377,3)="LCP",VLOOKUP(A377,#REF!,2,FALSE),VLOOKUP(A377,#REF!,2,FALSE)),"NO BUDGET")</f>
        <v>NO BUDGET</v>
      </c>
    </row>
    <row r="378" spans="1:6" s="21" customFormat="1" ht="24" customHeight="1">
      <c r="A378" s="288" t="s">
        <v>1754</v>
      </c>
      <c r="B378" s="288" t="s">
        <v>1753</v>
      </c>
      <c r="C378" s="287" t="s">
        <v>315</v>
      </c>
      <c r="D378" s="6" t="s">
        <v>1768</v>
      </c>
      <c r="E378" s="6" t="e">
        <f>IF(D378&lt;&gt;#REF!,"DIFERENTE","IGUAL")</f>
        <v>#REF!</v>
      </c>
      <c r="F378" s="141" t="str">
        <f>IFERROR(IF(LEFT(A378,3)="LCP",VLOOKUP(A378,#REF!,2,FALSE),VLOOKUP(A378,#REF!,2,FALSE)),"NO BUDGET")</f>
        <v>NO BUDGET</v>
      </c>
    </row>
    <row r="379" spans="1:6" s="21" customFormat="1" ht="24" customHeight="1">
      <c r="A379" s="288" t="s">
        <v>1751</v>
      </c>
      <c r="B379" s="288" t="s">
        <v>1752</v>
      </c>
      <c r="C379" s="294" t="s">
        <v>315</v>
      </c>
      <c r="D379" s="6" t="s">
        <v>1768</v>
      </c>
      <c r="E379" s="6" t="e">
        <f>IF(D379&lt;&gt;#REF!,"DIFERENTE","IGUAL")</f>
        <v>#REF!</v>
      </c>
      <c r="F379" s="141" t="str">
        <f>IFERROR(IF(LEFT(A379,3)="LCP",VLOOKUP(A379,#REF!,2,FALSE),VLOOKUP(A379,#REF!,2,FALSE)),"NO BUDGET")</f>
        <v>NO BUDGET</v>
      </c>
    </row>
    <row r="380" spans="1:6" s="21" customFormat="1" ht="24" customHeight="1">
      <c r="A380" s="297" t="s">
        <v>1580</v>
      </c>
      <c r="B380" s="288" t="s">
        <v>1782</v>
      </c>
      <c r="C380" s="294" t="s">
        <v>185</v>
      </c>
      <c r="D380" s="6" t="s">
        <v>1768</v>
      </c>
      <c r="E380" s="6" t="e">
        <f>IF(D380&lt;&gt;#REF!,"DIFERENTE","IGUAL")</f>
        <v>#REF!</v>
      </c>
      <c r="F380" s="141" t="str">
        <f>IFERROR(IF(LEFT(A380,3)="LCP",VLOOKUP(A380,#REF!,2,FALSE),VLOOKUP(A380,#REF!,2,FALSE)),"NO BUDGET")</f>
        <v>NO BUDGET</v>
      </c>
    </row>
    <row r="381" spans="1:6" s="21" customFormat="1" ht="24" customHeight="1">
      <c r="A381" s="287" t="s">
        <v>1611</v>
      </c>
      <c r="B381" s="287" t="s">
        <v>1614</v>
      </c>
      <c r="C381" s="294" t="s">
        <v>1492</v>
      </c>
      <c r="D381" s="6" t="s">
        <v>1768</v>
      </c>
      <c r="E381" s="6" t="e">
        <f>IF(D381&lt;&gt;#REF!,"DIFERENTE","IGUAL")</f>
        <v>#REF!</v>
      </c>
      <c r="F381" s="141" t="str">
        <f>IFERROR(IF(LEFT(A381,3)="LCP",VLOOKUP(A381,#REF!,2,FALSE),VLOOKUP(A381,#REF!,2,FALSE)),"NO BUDGET")</f>
        <v>NO BUDGET</v>
      </c>
    </row>
    <row r="382" spans="1:6" s="21" customFormat="1" ht="24" customHeight="1">
      <c r="A382" s="288" t="s">
        <v>1560</v>
      </c>
      <c r="B382" s="288" t="s">
        <v>1788</v>
      </c>
      <c r="C382" s="294" t="s">
        <v>185</v>
      </c>
      <c r="D382" s="6" t="s">
        <v>1768</v>
      </c>
      <c r="E382" s="6" t="e">
        <f>IF(D382&lt;&gt;#REF!,"DIFERENTE","IGUAL")</f>
        <v>#REF!</v>
      </c>
      <c r="F382" s="141" t="str">
        <f>IFERROR(IF(LEFT(A382,3)="LCP",VLOOKUP(A382,#REF!,2,FALSE),VLOOKUP(A382,#REF!,2,FALSE)),"NO BUDGET")</f>
        <v>NO BUDGET</v>
      </c>
    </row>
    <row r="383" spans="1:6" s="21" customFormat="1" ht="24" customHeight="1">
      <c r="A383" s="287" t="s">
        <v>1718</v>
      </c>
      <c r="B383" s="288" t="s">
        <v>1770</v>
      </c>
      <c r="C383" s="294" t="s">
        <v>1492</v>
      </c>
      <c r="D383" s="6" t="s">
        <v>1768</v>
      </c>
      <c r="E383" s="6" t="e">
        <f>IF(D383&lt;&gt;#REF!,"DIFERENTE","IGUAL")</f>
        <v>#REF!</v>
      </c>
      <c r="F383" s="141" t="str">
        <f>IFERROR(IF(LEFT(A383,3)="LCP",VLOOKUP(A383,#REF!,2,FALSE),VLOOKUP(A383,#REF!,2,FALSE)),"NO BUDGET")</f>
        <v>NO BUDGET</v>
      </c>
    </row>
    <row r="384" spans="1:6" s="21" customFormat="1" ht="24" customHeight="1">
      <c r="A384" s="77" t="s">
        <v>1515</v>
      </c>
      <c r="B384" s="288" t="s">
        <v>1452</v>
      </c>
      <c r="C384" s="294" t="s">
        <v>1492</v>
      </c>
      <c r="D384" s="6" t="s">
        <v>1768</v>
      </c>
      <c r="E384" s="6" t="e">
        <f>IF(D384&lt;&gt;#REF!,"DIFERENTE","IGUAL")</f>
        <v>#REF!</v>
      </c>
      <c r="F384" s="141" t="str">
        <f>IFERROR(IF(LEFT(A384,3)="LCP",VLOOKUP(A384,#REF!,2,FALSE),VLOOKUP(A384,#REF!,2,FALSE)),"NO BUDGET")</f>
        <v>NO BUDGET</v>
      </c>
    </row>
    <row r="385" spans="1:6" s="21" customFormat="1" ht="24" customHeight="1">
      <c r="A385" s="288" t="s">
        <v>1202</v>
      </c>
      <c r="B385" s="288" t="s">
        <v>1154</v>
      </c>
      <c r="C385" s="294" t="s">
        <v>187</v>
      </c>
      <c r="D385" s="6" t="s">
        <v>1768</v>
      </c>
      <c r="E385" s="6" t="e">
        <f>IF(D385&lt;&gt;#REF!,"DIFERENTE","IGUAL")</f>
        <v>#REF!</v>
      </c>
      <c r="F385" s="141" t="str">
        <f>IFERROR(IF(LEFT(A385,3)="LCP",VLOOKUP(A385,#REF!,2,FALSE),VLOOKUP(A385,#REF!,2,FALSE)),"NO BUDGET")</f>
        <v>NO BUDGET</v>
      </c>
    </row>
    <row r="386" spans="1:6" s="21" customFormat="1" ht="24" customHeight="1">
      <c r="A386" s="77" t="s">
        <v>1057</v>
      </c>
      <c r="B386" s="288" t="s">
        <v>1060</v>
      </c>
      <c r="C386" s="294" t="s">
        <v>1492</v>
      </c>
      <c r="D386" s="6" t="s">
        <v>1768</v>
      </c>
      <c r="E386" s="6" t="e">
        <f>IF(D386&lt;&gt;#REF!,"DIFERENTE","IGUAL")</f>
        <v>#REF!</v>
      </c>
      <c r="F386" s="141" t="str">
        <f>IFERROR(IF(LEFT(A386,3)="LCP",VLOOKUP(A386,#REF!,2,FALSE),VLOOKUP(A386,#REF!,2,FALSE)),"NO BUDGET")</f>
        <v>NO BUDGET</v>
      </c>
    </row>
    <row r="387" spans="1:6" s="21" customFormat="1" ht="24" customHeight="1">
      <c r="A387" s="77" t="s">
        <v>1433</v>
      </c>
      <c r="B387" s="288" t="s">
        <v>1411</v>
      </c>
      <c r="C387" s="294" t="s">
        <v>1492</v>
      </c>
      <c r="D387" s="6" t="s">
        <v>1768</v>
      </c>
      <c r="E387" s="6" t="e">
        <f>IF(D387&lt;&gt;#REF!,"DIFERENTE","IGUAL")</f>
        <v>#REF!</v>
      </c>
      <c r="F387" s="141" t="str">
        <f>IFERROR(IF(LEFT(A387,3)="LCP",VLOOKUP(A387,#REF!,2,FALSE),VLOOKUP(A387,#REF!,2,FALSE)),"NO BUDGET")</f>
        <v>NO BUDGET</v>
      </c>
    </row>
    <row r="388" spans="1:6" s="21" customFormat="1" ht="24" customHeight="1">
      <c r="A388" s="77" t="s">
        <v>1550</v>
      </c>
      <c r="B388" s="288" t="s">
        <v>1551</v>
      </c>
      <c r="C388" s="294" t="s">
        <v>1492</v>
      </c>
      <c r="D388" s="6" t="s">
        <v>1768</v>
      </c>
      <c r="E388" s="6" t="e">
        <f>IF(D388&lt;&gt;#REF!,"DIFERENTE","IGUAL")</f>
        <v>#REF!</v>
      </c>
      <c r="F388" s="141" t="str">
        <f>IFERROR(IF(LEFT(A388,3)="LCP",VLOOKUP(A388,#REF!,2,FALSE),VLOOKUP(A388,#REF!,2,FALSE)),"NO BUDGET")</f>
        <v>NO BUDGET</v>
      </c>
    </row>
    <row r="389" spans="1:6" s="21" customFormat="1" ht="24" customHeight="1">
      <c r="A389" s="77" t="s">
        <v>1517</v>
      </c>
      <c r="B389" s="288" t="s">
        <v>1518</v>
      </c>
      <c r="C389" s="294" t="s">
        <v>1492</v>
      </c>
      <c r="D389" s="6" t="s">
        <v>1768</v>
      </c>
      <c r="E389" s="6" t="e">
        <f>IF(D389&lt;&gt;#REF!,"DIFERENTE","IGUAL")</f>
        <v>#REF!</v>
      </c>
      <c r="F389" s="141" t="str">
        <f>IFERROR(IF(LEFT(A389,3)="LCP",VLOOKUP(A389,#REF!,2,FALSE),VLOOKUP(A389,#REF!,2,FALSE)),"NO BUDGET")</f>
        <v>NO BUDGET</v>
      </c>
    </row>
    <row r="390" spans="1:6" s="21" customFormat="1" ht="24" customHeight="1">
      <c r="A390" s="293" t="s">
        <v>1489</v>
      </c>
      <c r="B390" s="314" t="s">
        <v>1700</v>
      </c>
      <c r="C390" s="319" t="s">
        <v>185</v>
      </c>
      <c r="D390" s="6" t="s">
        <v>1768</v>
      </c>
      <c r="E390" s="6" t="e">
        <f>IF(D390&lt;&gt;#REF!,"DIFERENTE","IGUAL")</f>
        <v>#REF!</v>
      </c>
      <c r="F390" s="141" t="str">
        <f>IFERROR(IF(LEFT(A390,3)="LCP",VLOOKUP(A390,#REF!,2,FALSE),VLOOKUP(A390,#REF!,2,FALSE)),"NO BUDGET")</f>
        <v>NO BUDGET</v>
      </c>
    </row>
    <row r="391" spans="1:6" s="21" customFormat="1" ht="24" customHeight="1">
      <c r="A391" s="77" t="s">
        <v>719</v>
      </c>
      <c r="B391" s="288" t="s">
        <v>1812</v>
      </c>
      <c r="C391" s="294" t="s">
        <v>1492</v>
      </c>
      <c r="D391" s="6" t="s">
        <v>1768</v>
      </c>
      <c r="E391" s="6" t="e">
        <f>IF(D391&lt;&gt;#REF!,"DIFERENTE","IGUAL")</f>
        <v>#REF!</v>
      </c>
      <c r="F391" s="141" t="str">
        <f>IFERROR(IF(LEFT(A391,3)="LCP",VLOOKUP(A391,#REF!,2,FALSE),VLOOKUP(A391,#REF!,2,FALSE)),"NO BUDGET")</f>
        <v>NO BUDGET</v>
      </c>
    </row>
    <row r="392" spans="1:6" s="21" customFormat="1" ht="24" customHeight="1">
      <c r="A392" s="77" t="s">
        <v>1574</v>
      </c>
      <c r="B392" s="288" t="s">
        <v>1575</v>
      </c>
      <c r="C392" s="294" t="s">
        <v>1492</v>
      </c>
      <c r="D392" s="6" t="s">
        <v>1768</v>
      </c>
      <c r="E392" s="6" t="e">
        <f>IF(D392&lt;&gt;#REF!,"DIFERENTE","IGUAL")</f>
        <v>#REF!</v>
      </c>
      <c r="F392" s="141" t="str">
        <f>IFERROR(IF(LEFT(A392,3)="LCP",VLOOKUP(A392,#REF!,2,FALSE),VLOOKUP(A392,#REF!,2,FALSE)),"NO BUDGET")</f>
        <v>NO BUDGET</v>
      </c>
    </row>
    <row r="393" spans="1:6" s="21" customFormat="1" ht="24" customHeight="1">
      <c r="A393" s="288" t="s">
        <v>1557</v>
      </c>
      <c r="B393" s="288" t="s">
        <v>1786</v>
      </c>
      <c r="C393" s="294" t="s">
        <v>185</v>
      </c>
      <c r="D393" s="6" t="s">
        <v>1768</v>
      </c>
      <c r="E393" s="6" t="e">
        <f>IF(D393&lt;&gt;#REF!,"DIFERENTE","IGUAL")</f>
        <v>#REF!</v>
      </c>
      <c r="F393" s="141" t="str">
        <f>IFERROR(IF(LEFT(A393,3)="LCP",VLOOKUP(A393,#REF!,2,FALSE),VLOOKUP(A393,#REF!,2,FALSE)),"NO BUDGET")</f>
        <v>NO BUDGET</v>
      </c>
    </row>
    <row r="394" spans="1:6" s="21" customFormat="1" ht="24" customHeight="1">
      <c r="A394" s="301" t="s">
        <v>673</v>
      </c>
      <c r="B394" s="288" t="s">
        <v>1314</v>
      </c>
      <c r="C394" s="294" t="s">
        <v>182</v>
      </c>
      <c r="D394" s="6" t="s">
        <v>1768</v>
      </c>
      <c r="E394" s="6" t="e">
        <f>IF(D394&lt;&gt;#REF!,"DIFERENTE","IGUAL")</f>
        <v>#REF!</v>
      </c>
      <c r="F394" s="141" t="str">
        <f>IFERROR(IF(LEFT(A394,3)="LCP",VLOOKUP(A394,#REF!,2,FALSE),VLOOKUP(A394,#REF!,2,FALSE)),"NO BUDGET")</f>
        <v>NO BUDGET</v>
      </c>
    </row>
    <row r="395" spans="1:6" s="21" customFormat="1" ht="24" customHeight="1">
      <c r="A395" s="292" t="s">
        <v>1585</v>
      </c>
      <c r="B395" s="314" t="s">
        <v>1710</v>
      </c>
      <c r="C395" s="318" t="s">
        <v>182</v>
      </c>
      <c r="D395" s="6" t="s">
        <v>1768</v>
      </c>
      <c r="E395" s="6" t="e">
        <f>IF(D395&lt;&gt;#REF!,"DIFERENTE","IGUAL")</f>
        <v>#REF!</v>
      </c>
      <c r="F395" s="141" t="str">
        <f>IFERROR(IF(LEFT(A395,3)="LCP",VLOOKUP(A395,#REF!,2,FALSE),VLOOKUP(A395,#REF!,2,FALSE)),"NO BUDGET")</f>
        <v>NO BUDGET</v>
      </c>
    </row>
    <row r="396" spans="1:6" s="21" customFormat="1" ht="24" customHeight="1">
      <c r="A396" s="288" t="s">
        <v>1573</v>
      </c>
      <c r="B396" s="288" t="s">
        <v>1789</v>
      </c>
      <c r="C396" s="294" t="s">
        <v>185</v>
      </c>
      <c r="D396" s="6" t="s">
        <v>1768</v>
      </c>
      <c r="E396" s="6" t="e">
        <f>IF(D396&lt;&gt;#REF!,"DIFERENTE","IGUAL")</f>
        <v>#REF!</v>
      </c>
      <c r="F396" s="141" t="str">
        <f>IFERROR(IF(LEFT(A396,3)="LCP",VLOOKUP(A396,#REF!,2,FALSE),VLOOKUP(A396,#REF!,2,FALSE)),"NO BUDGET")</f>
        <v>NO BUDGET</v>
      </c>
    </row>
    <row r="397" spans="1:6" s="21" customFormat="1" ht="24" customHeight="1">
      <c r="A397" s="288" t="s">
        <v>1755</v>
      </c>
      <c r="B397" s="288" t="s">
        <v>1747</v>
      </c>
      <c r="C397" s="294" t="s">
        <v>187</v>
      </c>
      <c r="D397" s="6" t="s">
        <v>1768</v>
      </c>
      <c r="E397" s="6" t="e">
        <f>IF(D397&lt;&gt;#REF!,"DIFERENTE","IGUAL")</f>
        <v>#REF!</v>
      </c>
      <c r="F397" s="141" t="str">
        <f>IFERROR(IF(LEFT(A397,3)="LCP",VLOOKUP(A397,#REF!,2,FALSE),VLOOKUP(A397,#REF!,2,FALSE)),"NO BUDGET")</f>
        <v>NO BUDGET</v>
      </c>
    </row>
    <row r="398" spans="1:6" s="21" customFormat="1" ht="24" customHeight="1">
      <c r="A398" s="77" t="s">
        <v>1576</v>
      </c>
      <c r="B398" s="288" t="s">
        <v>1577</v>
      </c>
      <c r="C398" s="294" t="s">
        <v>315</v>
      </c>
      <c r="D398" s="6" t="s">
        <v>194</v>
      </c>
      <c r="E398" s="6" t="e">
        <f>IF(D398&lt;&gt;#REF!,"DIFERENTE","IGUAL")</f>
        <v>#REF!</v>
      </c>
      <c r="F398" s="141" t="str">
        <f>IFERROR(IF(LEFT(A398,3)="LCP",VLOOKUP(A398,#REF!,2,FALSE),VLOOKUP(A398,#REF!,2,FALSE)),"NO BUDGET")</f>
        <v>NO BUDGET</v>
      </c>
    </row>
    <row r="399" spans="1:6" s="21" customFormat="1" ht="24" customHeight="1">
      <c r="A399" s="287" t="s">
        <v>262</v>
      </c>
      <c r="B399" s="288" t="s">
        <v>1774</v>
      </c>
      <c r="C399" s="294" t="s">
        <v>315</v>
      </c>
      <c r="D399" s="6" t="s">
        <v>1768</v>
      </c>
      <c r="E399" s="6" t="e">
        <f>IF(D399&lt;&gt;#REF!,"DIFERENTE","IGUAL")</f>
        <v>#REF!</v>
      </c>
      <c r="F399" s="141" t="str">
        <f>IFERROR(IF(LEFT(A399,3)="LCP",VLOOKUP(A399,#REF!,2,FALSE),VLOOKUP(A399,#REF!,2,FALSE)),"NO BUDGET")</f>
        <v>NO BUDGET</v>
      </c>
    </row>
    <row r="400" spans="1:6" s="21" customFormat="1" ht="24" customHeight="1">
      <c r="A400" s="288" t="s">
        <v>1558</v>
      </c>
      <c r="B400" s="288" t="s">
        <v>1787</v>
      </c>
      <c r="C400" s="294" t="s">
        <v>185</v>
      </c>
      <c r="D400" s="6" t="s">
        <v>1768</v>
      </c>
      <c r="E400" s="6" t="e">
        <f>IF(D400&lt;&gt;#REF!,"DIFERENTE","IGUAL")</f>
        <v>#REF!</v>
      </c>
      <c r="F400" s="141" t="str">
        <f>IFERROR(IF(LEFT(A400,3)="LCP",VLOOKUP(A400,#REF!,2,FALSE),VLOOKUP(A400,#REF!,2,FALSE)),"NO BUDGET")</f>
        <v>NO BUDGET</v>
      </c>
    </row>
    <row r="401" spans="1:6" s="21" customFormat="1" ht="24" customHeight="1">
      <c r="A401" s="287" t="s">
        <v>1579</v>
      </c>
      <c r="B401" s="288" t="s">
        <v>1706</v>
      </c>
      <c r="C401" s="294" t="s">
        <v>1492</v>
      </c>
      <c r="D401" s="6" t="s">
        <v>1768</v>
      </c>
      <c r="E401" s="6" t="e">
        <f>IF(D401&lt;&gt;#REF!,"DIFERENTE","IGUAL")</f>
        <v>#REF!</v>
      </c>
      <c r="F401" s="141" t="str">
        <f>IFERROR(IF(LEFT(A401,3)="LCP",VLOOKUP(A401,#REF!,2,FALSE),VLOOKUP(A401,#REF!,2,FALSE)),"NO BUDGET")</f>
        <v>NO BUDGET</v>
      </c>
    </row>
    <row r="402" spans="1:6" s="21" customFormat="1" ht="24" customHeight="1">
      <c r="A402" s="287" t="s">
        <v>1556</v>
      </c>
      <c r="B402" s="288" t="s">
        <v>1785</v>
      </c>
      <c r="C402" s="287" t="s">
        <v>185</v>
      </c>
      <c r="D402" s="6" t="s">
        <v>1768</v>
      </c>
      <c r="E402" s="6" t="e">
        <f>IF(D402&lt;&gt;#REF!,"DIFERENTE","IGUAL")</f>
        <v>#REF!</v>
      </c>
      <c r="F402" s="141" t="str">
        <f>IFERROR(IF(LEFT(A402,3)="LCP",VLOOKUP(A402,#REF!,2,FALSE),VLOOKUP(A402,#REF!,2,FALSE)),"NO BUDGET")</f>
        <v>NO BUDGET</v>
      </c>
    </row>
    <row r="403" spans="1:6" s="21" customFormat="1" ht="24" customHeight="1">
      <c r="A403" s="77" t="s">
        <v>1643</v>
      </c>
      <c r="B403" s="288" t="s">
        <v>1660</v>
      </c>
      <c r="C403" s="294" t="s">
        <v>182</v>
      </c>
      <c r="D403" s="6" t="s">
        <v>1768</v>
      </c>
      <c r="E403" s="6" t="e">
        <f>IF(D403&lt;&gt;#REF!,"DIFERENTE","IGUAL")</f>
        <v>#REF!</v>
      </c>
      <c r="F403" s="141" t="str">
        <f>IFERROR(IF(LEFT(A403,3)="LCP",VLOOKUP(A403,#REF!,2,FALSE),VLOOKUP(A403,#REF!,2,FALSE)),"NO BUDGET")</f>
        <v>NO BUDGET</v>
      </c>
    </row>
    <row r="404" spans="1:6" s="21" customFormat="1" ht="24" customHeight="1">
      <c r="A404" s="77" t="s">
        <v>1420</v>
      </c>
      <c r="B404" s="288" t="s">
        <v>1015</v>
      </c>
      <c r="C404" s="287" t="s">
        <v>1492</v>
      </c>
      <c r="D404" s="6" t="s">
        <v>1768</v>
      </c>
      <c r="E404" s="6" t="e">
        <f>IF(D404&lt;&gt;#REF!,"DIFERENTE","IGUAL")</f>
        <v>#REF!</v>
      </c>
      <c r="F404" s="141" t="str">
        <f>IFERROR(IF(LEFT(A404,3)="LCP",VLOOKUP(A404,#REF!,2,FALSE),VLOOKUP(A404,#REF!,2,FALSE)),"NO BUDGET")</f>
        <v>NO BUDGET</v>
      </c>
    </row>
    <row r="405" spans="1:6" s="21" customFormat="1" ht="24" customHeight="1">
      <c r="A405" s="288" t="s">
        <v>1823</v>
      </c>
      <c r="B405" s="288" t="s">
        <v>1824</v>
      </c>
      <c r="C405" s="294" t="s">
        <v>1492</v>
      </c>
      <c r="D405" s="6" t="s">
        <v>1768</v>
      </c>
      <c r="E405" s="6" t="e">
        <f>IF(D405&lt;&gt;#REF!,"DIFERENTE","IGUAL")</f>
        <v>#REF!</v>
      </c>
      <c r="F405" s="141" t="str">
        <f>IFERROR(IF(LEFT(A405,3)="LCP",VLOOKUP(A405,#REF!,2,FALSE),VLOOKUP(A405,#REF!,2,FALSE)),"NO BUDGET")</f>
        <v>NO BUDGET</v>
      </c>
    </row>
    <row r="406" spans="1:6" s="21" customFormat="1" ht="24" customHeight="1">
      <c r="A406" s="287" t="s">
        <v>1771</v>
      </c>
      <c r="B406" s="288" t="s">
        <v>1719</v>
      </c>
      <c r="C406" s="287" t="s">
        <v>1492</v>
      </c>
      <c r="D406" s="6" t="s">
        <v>1768</v>
      </c>
      <c r="E406" s="6" t="e">
        <f>IF(D406&lt;&gt;#REF!,"DIFERENTE","IGUAL")</f>
        <v>#REF!</v>
      </c>
      <c r="F406" s="141" t="str">
        <f>IFERROR(IF(LEFT(A406,3)="LCP",VLOOKUP(A406,#REF!,2,FALSE),VLOOKUP(A406,#REF!,2,FALSE)),"NO BUDGET")</f>
        <v>NO BUDGET</v>
      </c>
    </row>
    <row r="407" spans="1:6" s="21" customFormat="1" ht="24" customHeight="1">
      <c r="A407" s="287" t="s">
        <v>1650</v>
      </c>
      <c r="B407" s="288" t="s">
        <v>1646</v>
      </c>
      <c r="C407" s="294" t="s">
        <v>182</v>
      </c>
      <c r="D407" s="6" t="s">
        <v>1768</v>
      </c>
      <c r="E407" s="6" t="e">
        <f>IF(D407&lt;&gt;#REF!,"DIFERENTE","IGUAL")</f>
        <v>#REF!</v>
      </c>
      <c r="F407" s="141" t="str">
        <f>IFERROR(IF(LEFT(A407,3)="LCP",VLOOKUP(A407,#REF!,2,FALSE),VLOOKUP(A407,#REF!,2,FALSE)),"NO BUDGET")</f>
        <v>NO BUDGET</v>
      </c>
    </row>
    <row r="408" spans="1:6" s="21" customFormat="1" ht="24" customHeight="1">
      <c r="A408" s="287" t="s">
        <v>1636</v>
      </c>
      <c r="B408" s="288" t="s">
        <v>1628</v>
      </c>
      <c r="C408" s="294" t="s">
        <v>315</v>
      </c>
      <c r="D408" s="6" t="s">
        <v>1768</v>
      </c>
      <c r="E408" s="6" t="e">
        <f>IF(D408&lt;&gt;#REF!,"DIFERENTE","IGUAL")</f>
        <v>#REF!</v>
      </c>
      <c r="F408" s="141" t="str">
        <f>IFERROR(IF(LEFT(A408,3)="LCP",VLOOKUP(A408,#REF!,2,FALSE),VLOOKUP(A408,#REF!,2,FALSE)),"NO BUDGET")</f>
        <v>NO BUDGET</v>
      </c>
    </row>
    <row r="409" spans="1:6" s="21" customFormat="1" ht="24" customHeight="1">
      <c r="A409" s="287" t="s">
        <v>1649</v>
      </c>
      <c r="B409" s="288" t="s">
        <v>1645</v>
      </c>
      <c r="C409" s="294" t="s">
        <v>182</v>
      </c>
      <c r="D409" s="6" t="s">
        <v>1768</v>
      </c>
      <c r="E409" s="6" t="e">
        <f>IF(D409&lt;&gt;#REF!,"DIFERENTE","IGUAL")</f>
        <v>#REF!</v>
      </c>
      <c r="F409" s="141" t="str">
        <f>IFERROR(IF(LEFT(A409,3)="LCP",VLOOKUP(A409,#REF!,2,FALSE),VLOOKUP(A409,#REF!,2,FALSE)),"NO BUDGET")</f>
        <v>NO BUDGET</v>
      </c>
    </row>
  </sheetData>
  <autoFilter ref="A4:F409" xr:uid="{AB6E66F2-7951-4433-A646-5DFD2D41681E}"/>
  <phoneticPr fontId="26" type="noConversion"/>
  <conditionalFormatting sqref="D5:E409">
    <cfRule type="cellIs" dxfId="172" priority="885" operator="equal">
      <formula>"CLSD"</formula>
    </cfRule>
    <cfRule type="cellIs" dxfId="171" priority="886" operator="equal">
      <formula>"TECO"</formula>
    </cfRule>
    <cfRule type="cellIs" dxfId="170" priority="887" operator="equal">
      <formula>"REL "</formula>
    </cfRule>
    <cfRule type="cellIs" dxfId="169" priority="888" operator="equal">
      <formula>"CRTD"</formula>
    </cfRule>
  </conditionalFormatting>
  <printOptions horizontalCentered="1" verticalCentered="1"/>
  <pageMargins left="0.25" right="0.25" top="0.75" bottom="0.75" header="0.3" footer="0.3"/>
  <pageSetup scale="31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74" operator="containsText" id="{CBA71B64-8DF2-4D7A-A793-003A2C8F9564}">
            <xm:f>NOT(ISERROR(SEARCH("NO BUDGET",D1)))</xm:f>
            <xm:f>"NO BUDGET"</xm:f>
            <x14:dxf>
              <fill>
                <patternFill>
                  <bgColor theme="0" tint="-0.14996795556505021"/>
                </patternFill>
              </fill>
            </x14:dxf>
          </x14:cfRule>
          <xm:sqref>D1:D3 D5:D1048576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C6F81-DB84-4D8F-BF12-DEEB240F47A1}">
  <sheetPr codeName="Planilha18">
    <tabColor rgb="FF0070C0"/>
    <pageSetUpPr fitToPage="1"/>
  </sheetPr>
  <dimension ref="A1:CM44"/>
  <sheetViews>
    <sheetView showGridLines="0" zoomScale="70" zoomScaleNormal="70" zoomScaleSheetLayoutView="25" workbookViewId="0">
      <pane xSplit="6" ySplit="4" topLeftCell="G5" activePane="bottomRight" state="frozen"/>
      <selection pane="topRight" activeCell="W1" sqref="W1"/>
      <selection pane="bottomLeft" activeCell="A5" sqref="A5"/>
      <selection pane="bottomRight" activeCell="B19" sqref="B19"/>
    </sheetView>
  </sheetViews>
  <sheetFormatPr defaultColWidth="9.453125" defaultRowHeight="13"/>
  <cols>
    <col min="1" max="1" width="17.6328125" style="305" customWidth="1"/>
    <col min="2" max="2" width="57.81640625" style="305" customWidth="1"/>
    <col min="3" max="3" width="23.26953125" style="305" hidden="1" customWidth="1"/>
    <col min="4" max="4" width="17" style="305" hidden="1" customWidth="1"/>
    <col min="5" max="6" width="23.26953125" style="305" hidden="1" customWidth="1"/>
    <col min="7" max="15" width="13.7265625" style="305" hidden="1" customWidth="1"/>
    <col min="16" max="16" width="21" style="305" hidden="1" customWidth="1"/>
    <col min="17" max="17" width="15.54296875" style="306" hidden="1" customWidth="1"/>
    <col min="18" max="16384" width="9.453125" style="305"/>
  </cols>
  <sheetData>
    <row r="1" spans="1:17" s="310" customFormat="1" ht="24" customHeight="1">
      <c r="H1" s="313">
        <f t="shared" ref="H1:Q1" si="0">SUBTOTAL(9,H5:H2048)</f>
        <v>483.38335999999993</v>
      </c>
      <c r="I1" s="313">
        <f t="shared" si="0"/>
        <v>709.85182999999995</v>
      </c>
      <c r="J1" s="313" t="e">
        <f t="shared" si="0"/>
        <v>#REF!</v>
      </c>
      <c r="K1" s="313">
        <f t="shared" si="0"/>
        <v>0</v>
      </c>
      <c r="L1" s="313">
        <f t="shared" si="0"/>
        <v>0</v>
      </c>
      <c r="M1" s="313">
        <f t="shared" si="0"/>
        <v>0</v>
      </c>
      <c r="N1" s="313">
        <f t="shared" si="0"/>
        <v>0</v>
      </c>
      <c r="O1" s="313">
        <f t="shared" si="0"/>
        <v>0</v>
      </c>
      <c r="P1" s="313">
        <f t="shared" si="0"/>
        <v>1893.7150500000002</v>
      </c>
      <c r="Q1" s="313">
        <f t="shared" si="0"/>
        <v>517.81610000000001</v>
      </c>
    </row>
    <row r="2" spans="1:17" ht="42.75" customHeight="1">
      <c r="A2" s="312" t="s">
        <v>1867</v>
      </c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09"/>
      <c r="Q2" s="311"/>
    </row>
    <row r="3" spans="1:17" ht="18" customHeight="1" thickBot="1">
      <c r="A3" s="310"/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09"/>
      <c r="Q3" s="308"/>
    </row>
    <row r="4" spans="1:17" s="28" customFormat="1" ht="71.150000000000006" customHeight="1" thickBot="1">
      <c r="A4" s="300" t="s">
        <v>1749</v>
      </c>
      <c r="B4" s="300" t="s">
        <v>1488</v>
      </c>
      <c r="C4" s="300" t="s">
        <v>189</v>
      </c>
      <c r="D4" s="300" t="s">
        <v>1800</v>
      </c>
      <c r="E4" s="300" t="s">
        <v>1801</v>
      </c>
      <c r="F4" s="300" t="s">
        <v>1802</v>
      </c>
      <c r="G4" s="300" t="s">
        <v>1833</v>
      </c>
      <c r="H4" s="1" t="s">
        <v>1451</v>
      </c>
      <c r="I4" s="1" t="s">
        <v>1648</v>
      </c>
      <c r="J4" s="1" t="s">
        <v>1798</v>
      </c>
      <c r="K4" s="1" t="s">
        <v>1799</v>
      </c>
      <c r="L4" s="1" t="s">
        <v>1811</v>
      </c>
      <c r="M4" s="1" t="s">
        <v>1849</v>
      </c>
      <c r="N4" s="1" t="s">
        <v>1866</v>
      </c>
      <c r="O4" s="1" t="s">
        <v>1865</v>
      </c>
      <c r="P4" s="1" t="s">
        <v>1870</v>
      </c>
      <c r="Q4" s="299" t="s">
        <v>1810</v>
      </c>
    </row>
    <row r="5" spans="1:17" s="21" customFormat="1" ht="30" customHeight="1">
      <c r="A5" s="78" t="s">
        <v>1453</v>
      </c>
      <c r="B5" s="141" t="s">
        <v>1461</v>
      </c>
      <c r="C5" s="3" t="s">
        <v>185</v>
      </c>
      <c r="D5" s="6" t="s">
        <v>217</v>
      </c>
      <c r="E5" s="6" t="e">
        <f>IF(D5&lt;&gt;#REF!,"DIFERENTE","IGUAL")</f>
        <v>#REF!</v>
      </c>
      <c r="F5" s="141" t="str">
        <f>IFERROR(VLOOKUP(A5,#REF!,2,FALSE),"NO BUDGET")</f>
        <v>NO BUDGET</v>
      </c>
      <c r="G5" s="78"/>
      <c r="H5" s="291">
        <v>0</v>
      </c>
      <c r="I5" s="207">
        <v>88.186050000000009</v>
      </c>
      <c r="J5" s="291" t="e">
        <f>#REF!</f>
        <v>#REF!</v>
      </c>
      <c r="K5" s="207"/>
      <c r="L5" s="291"/>
      <c r="M5" s="207"/>
      <c r="N5" s="291"/>
      <c r="O5" s="207"/>
      <c r="P5" s="307">
        <v>89.3</v>
      </c>
      <c r="Q5" s="207"/>
    </row>
    <row r="6" spans="1:17" s="21" customFormat="1" ht="30" customHeight="1">
      <c r="A6" s="78" t="s">
        <v>1454</v>
      </c>
      <c r="B6" s="141" t="s">
        <v>1619</v>
      </c>
      <c r="C6" s="3" t="s">
        <v>1492</v>
      </c>
      <c r="D6" s="6" t="s">
        <v>217</v>
      </c>
      <c r="E6" s="6" t="e">
        <f>IF(D6&lt;&gt;#REF!,"DIFERENTE","IGUAL")</f>
        <v>#REF!</v>
      </c>
      <c r="F6" s="141" t="str">
        <f>IFERROR(VLOOKUP(A6,#REF!,2,FALSE),"NO BUDGET")</f>
        <v>NO BUDGET</v>
      </c>
      <c r="G6" s="78"/>
      <c r="H6" s="291">
        <v>0</v>
      </c>
      <c r="I6" s="207">
        <v>43.244689999999999</v>
      </c>
      <c r="J6" s="291" t="e">
        <f>#REF!</f>
        <v>#REF!</v>
      </c>
      <c r="K6" s="207"/>
      <c r="L6" s="291"/>
      <c r="M6" s="207"/>
      <c r="N6" s="291"/>
      <c r="O6" s="207"/>
      <c r="P6" s="307">
        <v>75</v>
      </c>
      <c r="Q6" s="207"/>
    </row>
    <row r="7" spans="1:17" s="21" customFormat="1" ht="30" customHeight="1">
      <c r="A7" s="78" t="s">
        <v>1455</v>
      </c>
      <c r="B7" s="8" t="s">
        <v>1458</v>
      </c>
      <c r="C7" s="3" t="s">
        <v>315</v>
      </c>
      <c r="D7" s="6" t="s">
        <v>1768</v>
      </c>
      <c r="E7" s="6" t="e">
        <f>IF(D7&lt;&gt;#REF!,"DIFERENTE","IGUAL")</f>
        <v>#REF!</v>
      </c>
      <c r="F7" s="141" t="str">
        <f>IFERROR(VLOOKUP(A7,#REF!,2,FALSE),"NO BUDGET")</f>
        <v>NO BUDGET</v>
      </c>
      <c r="G7" s="78"/>
      <c r="H7" s="291">
        <v>7.15585</v>
      </c>
      <c r="I7" s="207">
        <v>77.38776</v>
      </c>
      <c r="J7" s="291" t="e">
        <f>#REF!</f>
        <v>#REF!</v>
      </c>
      <c r="K7" s="207"/>
      <c r="L7" s="291"/>
      <c r="M7" s="207"/>
      <c r="N7" s="291"/>
      <c r="O7" s="207"/>
      <c r="P7" s="307">
        <v>50</v>
      </c>
      <c r="Q7" s="207"/>
    </row>
    <row r="8" spans="1:17" s="21" customFormat="1" ht="30" customHeight="1">
      <c r="A8" s="78" t="s">
        <v>1456</v>
      </c>
      <c r="B8" s="141" t="s">
        <v>1459</v>
      </c>
      <c r="C8" s="3" t="s">
        <v>1492</v>
      </c>
      <c r="D8" s="6" t="s">
        <v>217</v>
      </c>
      <c r="E8" s="6" t="e">
        <f>IF(D8&lt;&gt;#REF!,"DIFERENTE","IGUAL")</f>
        <v>#REF!</v>
      </c>
      <c r="F8" s="141" t="str">
        <f>IFERROR(VLOOKUP(A8,#REF!,2,FALSE),"NO BUDGET")</f>
        <v>NO BUDGET</v>
      </c>
      <c r="G8" s="78"/>
      <c r="H8" s="291">
        <v>35.448880000000003</v>
      </c>
      <c r="I8" s="207">
        <v>11.95533</v>
      </c>
      <c r="J8" s="291" t="e">
        <f>#REF!</f>
        <v>#REF!</v>
      </c>
      <c r="K8" s="207"/>
      <c r="L8" s="291"/>
      <c r="M8" s="207"/>
      <c r="N8" s="291"/>
      <c r="O8" s="207"/>
      <c r="P8" s="307">
        <v>32</v>
      </c>
      <c r="Q8" s="207"/>
    </row>
    <row r="9" spans="1:17" s="21" customFormat="1" ht="30" customHeight="1">
      <c r="A9" s="78" t="s">
        <v>1457</v>
      </c>
      <c r="B9" s="8" t="s">
        <v>1460</v>
      </c>
      <c r="C9" s="3" t="s">
        <v>315</v>
      </c>
      <c r="D9" s="6" t="s">
        <v>217</v>
      </c>
      <c r="E9" s="6" t="e">
        <f>IF(D9&lt;&gt;#REF!,"DIFERENTE","IGUAL")</f>
        <v>#REF!</v>
      </c>
      <c r="F9" s="141" t="str">
        <f>IFERROR(VLOOKUP(A9,#REF!,2,FALSE),"NO BUDGET")</f>
        <v>NO BUDGET</v>
      </c>
      <c r="G9" s="78"/>
      <c r="H9" s="291">
        <v>27.720129999999997</v>
      </c>
      <c r="I9" s="207">
        <v>1.6426699999999999</v>
      </c>
      <c r="J9" s="291" t="e">
        <f>#REF!</f>
        <v>#REF!</v>
      </c>
      <c r="K9" s="207"/>
      <c r="L9" s="291"/>
      <c r="M9" s="207"/>
      <c r="N9" s="291"/>
      <c r="O9" s="207"/>
      <c r="P9" s="307">
        <v>25</v>
      </c>
      <c r="Q9" s="207"/>
    </row>
    <row r="10" spans="1:17" s="21" customFormat="1" ht="30" customHeight="1">
      <c r="A10" s="78" t="s">
        <v>1468</v>
      </c>
      <c r="B10" s="8" t="s">
        <v>1462</v>
      </c>
      <c r="C10" s="3" t="s">
        <v>315</v>
      </c>
      <c r="D10" s="6" t="s">
        <v>217</v>
      </c>
      <c r="E10" s="6" t="e">
        <f>IF(D10&lt;&gt;#REF!,"DIFERENTE","IGUAL")</f>
        <v>#REF!</v>
      </c>
      <c r="F10" s="141" t="str">
        <f>IFERROR(VLOOKUP(A10,#REF!,2,FALSE),"NO BUDGET")</f>
        <v>NO BUDGET</v>
      </c>
      <c r="G10" s="78"/>
      <c r="H10" s="291">
        <v>47.694849999999995</v>
      </c>
      <c r="I10" s="207">
        <v>0.54834000000000005</v>
      </c>
      <c r="J10" s="291" t="e">
        <f>#REF!</f>
        <v>#REF!</v>
      </c>
      <c r="K10" s="207"/>
      <c r="L10" s="291"/>
      <c r="M10" s="207"/>
      <c r="N10" s="291"/>
      <c r="O10" s="207"/>
      <c r="P10" s="307">
        <v>67</v>
      </c>
      <c r="Q10" s="207"/>
    </row>
    <row r="11" spans="1:17" s="21" customFormat="1" ht="30" customHeight="1">
      <c r="A11" s="78" t="s">
        <v>1469</v>
      </c>
      <c r="B11" s="8" t="s">
        <v>1465</v>
      </c>
      <c r="C11" s="3" t="s">
        <v>1492</v>
      </c>
      <c r="D11" s="6" t="s">
        <v>217</v>
      </c>
      <c r="E11" s="6" t="e">
        <f>IF(D11&lt;&gt;#REF!,"DIFERENTE","IGUAL")</f>
        <v>#REF!</v>
      </c>
      <c r="F11" s="141" t="str">
        <f>IFERROR(VLOOKUP(A11,#REF!,2,FALSE),"NO BUDGET")</f>
        <v>NO BUDGET</v>
      </c>
      <c r="G11" s="78"/>
      <c r="H11" s="291">
        <v>1.5659399999999999</v>
      </c>
      <c r="I11" s="207">
        <v>27.681609999999999</v>
      </c>
      <c r="J11" s="291" t="e">
        <f>#REF!</f>
        <v>#REF!</v>
      </c>
      <c r="K11" s="207"/>
      <c r="L11" s="291"/>
      <c r="M11" s="207"/>
      <c r="N11" s="291"/>
      <c r="O11" s="207"/>
      <c r="P11" s="307">
        <v>71.5</v>
      </c>
      <c r="Q11" s="207"/>
    </row>
    <row r="12" spans="1:17" s="21" customFormat="1" ht="30" customHeight="1">
      <c r="A12" s="78" t="s">
        <v>1470</v>
      </c>
      <c r="B12" s="8" t="s">
        <v>1466</v>
      </c>
      <c r="C12" s="3" t="s">
        <v>1492</v>
      </c>
      <c r="D12" s="6" t="s">
        <v>217</v>
      </c>
      <c r="E12" s="6" t="e">
        <f>IF(D12&lt;&gt;#REF!,"DIFERENTE","IGUAL")</f>
        <v>#REF!</v>
      </c>
      <c r="F12" s="141" t="str">
        <f>IFERROR(VLOOKUP(A12,#REF!,2,FALSE),"NO BUDGET")</f>
        <v>NO BUDGET</v>
      </c>
      <c r="G12" s="78"/>
      <c r="H12" s="291">
        <v>0</v>
      </c>
      <c r="I12" s="207">
        <v>7.2595499999999999</v>
      </c>
      <c r="J12" s="291" t="e">
        <f>#REF!</f>
        <v>#REF!</v>
      </c>
      <c r="K12" s="207"/>
      <c r="L12" s="291"/>
      <c r="M12" s="207"/>
      <c r="N12" s="291"/>
      <c r="O12" s="207"/>
      <c r="P12" s="307">
        <v>12</v>
      </c>
      <c r="Q12" s="207"/>
    </row>
    <row r="13" spans="1:17" s="21" customFormat="1" ht="30" customHeight="1">
      <c r="A13" s="78" t="s">
        <v>1471</v>
      </c>
      <c r="B13" s="8" t="s">
        <v>1464</v>
      </c>
      <c r="C13" s="3" t="s">
        <v>185</v>
      </c>
      <c r="D13" s="6" t="s">
        <v>217</v>
      </c>
      <c r="E13" s="6" t="e">
        <f>IF(D13&lt;&gt;#REF!,"DIFERENTE","IGUAL")</f>
        <v>#REF!</v>
      </c>
      <c r="F13" s="141" t="str">
        <f>IFERROR(VLOOKUP(A13,#REF!,2,FALSE),"NO BUDGET")</f>
        <v>NO BUDGET</v>
      </c>
      <c r="G13" s="78"/>
      <c r="H13" s="291">
        <v>0</v>
      </c>
      <c r="I13" s="207">
        <v>72.523650000000004</v>
      </c>
      <c r="J13" s="291" t="e">
        <f>#REF!</f>
        <v>#REF!</v>
      </c>
      <c r="K13" s="207"/>
      <c r="L13" s="291"/>
      <c r="M13" s="207"/>
      <c r="N13" s="291"/>
      <c r="O13" s="207"/>
      <c r="P13" s="307">
        <v>60</v>
      </c>
      <c r="Q13" s="207"/>
    </row>
    <row r="14" spans="1:17" s="21" customFormat="1" ht="30" customHeight="1">
      <c r="A14" s="78" t="s">
        <v>1472</v>
      </c>
      <c r="B14" s="141" t="s">
        <v>1748</v>
      </c>
      <c r="C14" s="3" t="s">
        <v>1492</v>
      </c>
      <c r="D14" s="6" t="s">
        <v>217</v>
      </c>
      <c r="E14" s="6" t="e">
        <f>IF(D14&lt;&gt;#REF!,"DIFERENTE","IGUAL")</f>
        <v>#REF!</v>
      </c>
      <c r="F14" s="141" t="str">
        <f>IFERROR(VLOOKUP(A14,#REF!,2,FALSE),"NO BUDGET")</f>
        <v>NO BUDGET</v>
      </c>
      <c r="G14" s="78"/>
      <c r="H14" s="291">
        <v>46.945869999999999</v>
      </c>
      <c r="I14" s="207">
        <v>0</v>
      </c>
      <c r="J14" s="291" t="e">
        <f>#REF!</f>
        <v>#REF!</v>
      </c>
      <c r="K14" s="207"/>
      <c r="L14" s="291"/>
      <c r="M14" s="207"/>
      <c r="N14" s="291"/>
      <c r="O14" s="207"/>
      <c r="P14" s="307">
        <v>49</v>
      </c>
      <c r="Q14" s="207"/>
    </row>
    <row r="15" spans="1:17" s="21" customFormat="1" ht="30" customHeight="1">
      <c r="A15" s="78" t="s">
        <v>1473</v>
      </c>
      <c r="B15" s="8" t="s">
        <v>1474</v>
      </c>
      <c r="C15" s="3" t="s">
        <v>1492</v>
      </c>
      <c r="D15" s="6" t="s">
        <v>217</v>
      </c>
      <c r="E15" s="6" t="e">
        <f>IF(D15&lt;&gt;#REF!,"DIFERENTE","IGUAL")</f>
        <v>#REF!</v>
      </c>
      <c r="F15" s="141" t="str">
        <f>IFERROR(VLOOKUP(A15,#REF!,2,FALSE),"NO BUDGET")</f>
        <v>NO BUDGET</v>
      </c>
      <c r="G15" s="78"/>
      <c r="H15" s="291">
        <v>35.394680000000001</v>
      </c>
      <c r="I15" s="207">
        <v>0</v>
      </c>
      <c r="J15" s="291" t="e">
        <f>#REF!</f>
        <v>#REF!</v>
      </c>
      <c r="K15" s="207"/>
      <c r="L15" s="291"/>
      <c r="M15" s="207"/>
      <c r="N15" s="291"/>
      <c r="O15" s="207"/>
      <c r="P15" s="307">
        <v>17</v>
      </c>
      <c r="Q15" s="207"/>
    </row>
    <row r="16" spans="1:17" s="21" customFormat="1" ht="30" customHeight="1">
      <c r="A16" s="78" t="s">
        <v>1475</v>
      </c>
      <c r="B16" s="8" t="s">
        <v>1463</v>
      </c>
      <c r="C16" s="3" t="s">
        <v>315</v>
      </c>
      <c r="D16" s="6" t="s">
        <v>217</v>
      </c>
      <c r="E16" s="6" t="e">
        <f>IF(D16&lt;&gt;#REF!,"DIFERENTE","IGUAL")</f>
        <v>#REF!</v>
      </c>
      <c r="F16" s="141" t="str">
        <f>IFERROR(VLOOKUP(A16,#REF!,2,FALSE),"NO BUDGET")</f>
        <v>NO BUDGET</v>
      </c>
      <c r="G16" s="78"/>
      <c r="H16" s="291">
        <v>81.422240000000002</v>
      </c>
      <c r="I16" s="207">
        <v>13.968999999999999</v>
      </c>
      <c r="J16" s="291" t="e">
        <f>#REF!</f>
        <v>#REF!</v>
      </c>
      <c r="K16" s="207"/>
      <c r="L16" s="291"/>
      <c r="M16" s="207"/>
      <c r="N16" s="291"/>
      <c r="O16" s="207"/>
      <c r="P16" s="307">
        <v>46</v>
      </c>
      <c r="Q16" s="207"/>
    </row>
    <row r="17" spans="1:17" s="21" customFormat="1" ht="30" customHeight="1">
      <c r="A17" s="78" t="s">
        <v>1476</v>
      </c>
      <c r="B17" s="8" t="s">
        <v>1480</v>
      </c>
      <c r="C17" s="3" t="s">
        <v>1492</v>
      </c>
      <c r="D17" s="6" t="s">
        <v>217</v>
      </c>
      <c r="E17" s="6" t="e">
        <f>IF(D17&lt;&gt;#REF!,"DIFERENTE","IGUAL")</f>
        <v>#REF!</v>
      </c>
      <c r="F17" s="141" t="str">
        <f>IFERROR(VLOOKUP(A17,#REF!,2,FALSE),"NO BUDGET")</f>
        <v>NO BUDGET</v>
      </c>
      <c r="G17" s="78"/>
      <c r="H17" s="291">
        <v>20.430520000000001</v>
      </c>
      <c r="I17" s="207">
        <v>3.8039100000000001</v>
      </c>
      <c r="J17" s="291" t="e">
        <f>#REF!</f>
        <v>#REF!</v>
      </c>
      <c r="K17" s="207"/>
      <c r="L17" s="291"/>
      <c r="M17" s="207"/>
      <c r="N17" s="291"/>
      <c r="O17" s="207"/>
      <c r="P17" s="307">
        <v>32</v>
      </c>
      <c r="Q17" s="207"/>
    </row>
    <row r="18" spans="1:17" s="21" customFormat="1" ht="30" customHeight="1">
      <c r="A18" s="78" t="s">
        <v>1477</v>
      </c>
      <c r="B18" s="8" t="s">
        <v>1481</v>
      </c>
      <c r="C18" s="3" t="s">
        <v>185</v>
      </c>
      <c r="D18" s="6" t="s">
        <v>217</v>
      </c>
      <c r="E18" s="6" t="e">
        <f>IF(D18&lt;&gt;#REF!,"DIFERENTE","IGUAL")</f>
        <v>#REF!</v>
      </c>
      <c r="F18" s="141" t="str">
        <f>IFERROR(VLOOKUP(A18,#REF!,2,FALSE),"NO BUDGET")</f>
        <v>NO BUDGET</v>
      </c>
      <c r="G18" s="78"/>
      <c r="H18" s="291">
        <v>1.2249300000000001</v>
      </c>
      <c r="I18" s="207">
        <v>52.195730000000005</v>
      </c>
      <c r="J18" s="291" t="e">
        <f>#REF!</f>
        <v>#REF!</v>
      </c>
      <c r="K18" s="207"/>
      <c r="L18" s="291"/>
      <c r="M18" s="207"/>
      <c r="N18" s="291"/>
      <c r="O18" s="207"/>
      <c r="P18" s="307">
        <v>93.079050000000009</v>
      </c>
      <c r="Q18" s="207"/>
    </row>
    <row r="19" spans="1:17" s="21" customFormat="1" ht="30" customHeight="1">
      <c r="A19" s="78" t="s">
        <v>1478</v>
      </c>
      <c r="B19" s="8" t="s">
        <v>1482</v>
      </c>
      <c r="C19" s="3" t="s">
        <v>1492</v>
      </c>
      <c r="D19" s="6" t="s">
        <v>217</v>
      </c>
      <c r="E19" s="6" t="e">
        <f>IF(D19&lt;&gt;#REF!,"DIFERENTE","IGUAL")</f>
        <v>#REF!</v>
      </c>
      <c r="F19" s="141" t="str">
        <f>IFERROR(VLOOKUP(A19,#REF!,2,FALSE),"NO BUDGET")</f>
        <v>NO BUDGET</v>
      </c>
      <c r="G19" s="78"/>
      <c r="H19" s="291">
        <v>58.371600000000001</v>
      </c>
      <c r="I19" s="207">
        <v>15.217030000000001</v>
      </c>
      <c r="J19" s="291" t="e">
        <f>#REF!</f>
        <v>#REF!</v>
      </c>
      <c r="K19" s="207"/>
      <c r="L19" s="291"/>
      <c r="M19" s="207"/>
      <c r="N19" s="291"/>
      <c r="O19" s="207"/>
      <c r="P19" s="307">
        <v>93.550250000000005</v>
      </c>
      <c r="Q19" s="207"/>
    </row>
    <row r="20" spans="1:17" s="21" customFormat="1" ht="30" customHeight="1">
      <c r="A20" s="78" t="s">
        <v>1479</v>
      </c>
      <c r="B20" s="8" t="s">
        <v>1483</v>
      </c>
      <c r="C20" s="3" t="s">
        <v>315</v>
      </c>
      <c r="D20" s="6" t="s">
        <v>217</v>
      </c>
      <c r="E20" s="6" t="e">
        <f>IF(D20&lt;&gt;#REF!,"DIFERENTE","IGUAL")</f>
        <v>#REF!</v>
      </c>
      <c r="F20" s="141" t="str">
        <f>IFERROR(VLOOKUP(A20,#REF!,2,FALSE),"NO BUDGET")</f>
        <v>NO BUDGET</v>
      </c>
      <c r="G20" s="78"/>
      <c r="H20" s="291">
        <v>0</v>
      </c>
      <c r="I20" s="207">
        <v>39.527419999999999</v>
      </c>
      <c r="J20" s="291" t="e">
        <f>#REF!</f>
        <v>#REF!</v>
      </c>
      <c r="K20" s="207"/>
      <c r="L20" s="291"/>
      <c r="M20" s="207"/>
      <c r="N20" s="291"/>
      <c r="O20" s="207"/>
      <c r="P20" s="307">
        <v>20.016999999999999</v>
      </c>
      <c r="Q20" s="207"/>
    </row>
    <row r="21" spans="1:17" s="21" customFormat="1" ht="30" customHeight="1">
      <c r="A21" s="78" t="s">
        <v>1484</v>
      </c>
      <c r="B21" s="8" t="s">
        <v>1485</v>
      </c>
      <c r="C21" s="3" t="s">
        <v>185</v>
      </c>
      <c r="D21" s="6" t="s">
        <v>217</v>
      </c>
      <c r="E21" s="6" t="e">
        <f>IF(D21&lt;&gt;#REF!,"DIFERENTE","IGUAL")</f>
        <v>#REF!</v>
      </c>
      <c r="F21" s="141" t="str">
        <f>IFERROR(VLOOKUP(A21,#REF!,2,FALSE),"NO BUDGET")</f>
        <v>NO BUDGET</v>
      </c>
      <c r="G21" s="78"/>
      <c r="H21" s="291">
        <v>48.931449999999998</v>
      </c>
      <c r="I21" s="207">
        <v>33.589390000000002</v>
      </c>
      <c r="J21" s="291" t="e">
        <f>#REF!</f>
        <v>#REF!</v>
      </c>
      <c r="K21" s="207"/>
      <c r="L21" s="291"/>
      <c r="M21" s="207"/>
      <c r="N21" s="291"/>
      <c r="O21" s="207"/>
      <c r="P21" s="307">
        <v>97.860160000000008</v>
      </c>
      <c r="Q21" s="207"/>
    </row>
    <row r="22" spans="1:17" s="21" customFormat="1" ht="30" customHeight="1">
      <c r="A22" s="78" t="s">
        <v>1486</v>
      </c>
      <c r="B22" s="8" t="s">
        <v>1487</v>
      </c>
      <c r="C22" s="3" t="s">
        <v>1492</v>
      </c>
      <c r="D22" s="6" t="s">
        <v>217</v>
      </c>
      <c r="E22" s="6" t="e">
        <f>IF(D22&lt;&gt;#REF!,"DIFERENTE","IGUAL")</f>
        <v>#REF!</v>
      </c>
      <c r="F22" s="141" t="str">
        <f>IFERROR(VLOOKUP(A22,#REF!,2,FALSE),"NO BUDGET")</f>
        <v>NO BUDGET</v>
      </c>
      <c r="G22" s="78"/>
      <c r="H22" s="291">
        <v>35.749299999999998</v>
      </c>
      <c r="I22" s="207">
        <v>1.5951900000000001</v>
      </c>
      <c r="J22" s="291" t="e">
        <f>#REF!</f>
        <v>#REF!</v>
      </c>
      <c r="K22" s="207"/>
      <c r="L22" s="291"/>
      <c r="M22" s="207"/>
      <c r="N22" s="291"/>
      <c r="O22" s="207"/>
      <c r="P22" s="307">
        <v>50.042499999999997</v>
      </c>
      <c r="Q22" s="207"/>
    </row>
    <row r="23" spans="1:17" s="21" customFormat="1" ht="30" customHeight="1">
      <c r="A23" s="78" t="s">
        <v>1590</v>
      </c>
      <c r="B23" s="8" t="s">
        <v>1591</v>
      </c>
      <c r="C23" s="3" t="s">
        <v>1492</v>
      </c>
      <c r="D23" s="6" t="s">
        <v>217</v>
      </c>
      <c r="E23" s="6" t="e">
        <f>IF(D23&lt;&gt;#REF!,"DIFERENTE","IGUAL")</f>
        <v>#REF!</v>
      </c>
      <c r="F23" s="141" t="str">
        <f>IFERROR(VLOOKUP(A23,#REF!,2,FALSE),"NO BUDGET")</f>
        <v>NO BUDGET</v>
      </c>
      <c r="G23" s="78"/>
      <c r="H23" s="291">
        <v>0</v>
      </c>
      <c r="I23" s="207">
        <v>16.880179999999999</v>
      </c>
      <c r="J23" s="291" t="e">
        <f>#REF!</f>
        <v>#REF!</v>
      </c>
      <c r="K23" s="207"/>
      <c r="L23" s="291"/>
      <c r="M23" s="207"/>
      <c r="N23" s="291"/>
      <c r="O23" s="207"/>
      <c r="P23" s="307">
        <v>20.016999999999999</v>
      </c>
      <c r="Q23" s="207"/>
    </row>
    <row r="24" spans="1:17" s="21" customFormat="1" ht="30" customHeight="1">
      <c r="A24" s="78" t="s">
        <v>1592</v>
      </c>
      <c r="B24" s="8" t="s">
        <v>1593</v>
      </c>
      <c r="C24" s="3" t="s">
        <v>1594</v>
      </c>
      <c r="D24" s="6" t="s">
        <v>217</v>
      </c>
      <c r="E24" s="6" t="e">
        <f>IF(D24&lt;&gt;#REF!,"DIFERENTE","IGUAL")</f>
        <v>#REF!</v>
      </c>
      <c r="F24" s="141" t="str">
        <f>IFERROR(VLOOKUP(A24,#REF!,2,FALSE),"NO BUDGET")</f>
        <v>NO BUDGET</v>
      </c>
      <c r="G24" s="78"/>
      <c r="H24" s="291">
        <v>35.327120000000001</v>
      </c>
      <c r="I24" s="207">
        <v>10.691050000000001</v>
      </c>
      <c r="J24" s="291" t="e">
        <f>#REF!</f>
        <v>#REF!</v>
      </c>
      <c r="K24" s="207"/>
      <c r="L24" s="291"/>
      <c r="M24" s="207"/>
      <c r="N24" s="291"/>
      <c r="O24" s="207"/>
      <c r="P24" s="307">
        <v>48</v>
      </c>
      <c r="Q24" s="207"/>
    </row>
    <row r="25" spans="1:17" s="21" customFormat="1" ht="30" customHeight="1">
      <c r="A25" s="78" t="s">
        <v>1631</v>
      </c>
      <c r="B25" s="8" t="s">
        <v>1609</v>
      </c>
      <c r="C25" s="3" t="s">
        <v>1492</v>
      </c>
      <c r="D25" s="6" t="s">
        <v>194</v>
      </c>
      <c r="E25" s="6" t="e">
        <f>IF(D25&lt;&gt;#REF!,"DIFERENTE","IGUAL")</f>
        <v>#REF!</v>
      </c>
      <c r="F25" s="141" t="str">
        <f>IFERROR(VLOOKUP(A25,#REF!,2,FALSE),"NO BUDGET")</f>
        <v>NO BUDGET</v>
      </c>
      <c r="G25" s="78"/>
      <c r="H25" s="291"/>
      <c r="I25" s="207">
        <v>40.598910000000004</v>
      </c>
      <c r="J25" s="291" t="e">
        <f>#REF!</f>
        <v>#REF!</v>
      </c>
      <c r="K25" s="207"/>
      <c r="L25" s="291"/>
      <c r="M25" s="207"/>
      <c r="N25" s="291"/>
      <c r="O25" s="207"/>
      <c r="P25" s="307">
        <v>83</v>
      </c>
      <c r="Q25" s="207">
        <v>17</v>
      </c>
    </row>
    <row r="26" spans="1:17" s="21" customFormat="1" ht="30" customHeight="1">
      <c r="A26" s="78" t="s">
        <v>1632</v>
      </c>
      <c r="B26" s="8" t="s">
        <v>1604</v>
      </c>
      <c r="C26" s="3" t="s">
        <v>1492</v>
      </c>
      <c r="D26" s="6" t="s">
        <v>217</v>
      </c>
      <c r="E26" s="6" t="e">
        <f>IF(D26&lt;&gt;#REF!,"DIFERENTE","IGUAL")</f>
        <v>#REF!</v>
      </c>
      <c r="F26" s="141" t="str">
        <f>IFERROR(VLOOKUP(A26,#REF!,2,FALSE),"NO BUDGET")</f>
        <v>NO BUDGET</v>
      </c>
      <c r="G26" s="78"/>
      <c r="H26" s="291"/>
      <c r="I26" s="207">
        <v>5.8725100000000001</v>
      </c>
      <c r="J26" s="291" t="e">
        <f>#REF!</f>
        <v>#REF!</v>
      </c>
      <c r="K26" s="207"/>
      <c r="L26" s="291"/>
      <c r="M26" s="207"/>
      <c r="N26" s="291"/>
      <c r="O26" s="207"/>
      <c r="P26" s="307">
        <v>5.9</v>
      </c>
      <c r="Q26" s="207">
        <v>0</v>
      </c>
    </row>
    <row r="27" spans="1:17" s="21" customFormat="1" ht="30" customHeight="1">
      <c r="A27" s="78" t="s">
        <v>1633</v>
      </c>
      <c r="B27" s="8" t="s">
        <v>1597</v>
      </c>
      <c r="C27" s="3" t="s">
        <v>185</v>
      </c>
      <c r="D27" s="6" t="s">
        <v>217</v>
      </c>
      <c r="E27" s="6" t="e">
        <f>IF(D27&lt;&gt;#REF!,"DIFERENTE","IGUAL")</f>
        <v>#REF!</v>
      </c>
      <c r="F27" s="141" t="str">
        <f>IFERROR(VLOOKUP(A27,#REF!,2,FALSE),"NO BUDGET")</f>
        <v>NO BUDGET</v>
      </c>
      <c r="G27" s="78"/>
      <c r="H27" s="291"/>
      <c r="I27" s="207">
        <v>11.068239999999999</v>
      </c>
      <c r="J27" s="291" t="e">
        <f>#REF!</f>
        <v>#REF!</v>
      </c>
      <c r="K27" s="207"/>
      <c r="L27" s="291"/>
      <c r="M27" s="207"/>
      <c r="N27" s="291"/>
      <c r="O27" s="207"/>
      <c r="P27" s="307">
        <v>40.033999999999999</v>
      </c>
      <c r="Q27" s="207">
        <v>27.9</v>
      </c>
    </row>
    <row r="28" spans="1:17" s="21" customFormat="1" ht="30" customHeight="1">
      <c r="A28" s="78" t="s">
        <v>1651</v>
      </c>
      <c r="B28" s="8" t="s">
        <v>1652</v>
      </c>
      <c r="C28" s="3" t="s">
        <v>315</v>
      </c>
      <c r="D28" s="6" t="s">
        <v>217</v>
      </c>
      <c r="E28" s="6" t="e">
        <f>IF(D28&lt;&gt;#REF!,"DIFERENTE","IGUAL")</f>
        <v>#REF!</v>
      </c>
      <c r="F28" s="141" t="str">
        <f>IFERROR(VLOOKUP(A28,#REF!,2,FALSE),"NO BUDGET")</f>
        <v>NO BUDGET</v>
      </c>
      <c r="G28" s="78"/>
      <c r="H28" s="291"/>
      <c r="I28" s="207">
        <v>0</v>
      </c>
      <c r="J28" s="291" t="e">
        <f>#REF!</f>
        <v>#REF!</v>
      </c>
      <c r="K28" s="207"/>
      <c r="L28" s="291"/>
      <c r="M28" s="207"/>
      <c r="N28" s="291"/>
      <c r="O28" s="207"/>
      <c r="P28" s="307">
        <v>99.98</v>
      </c>
      <c r="Q28" s="207">
        <v>62</v>
      </c>
    </row>
    <row r="29" spans="1:17" s="21" customFormat="1" ht="30" customHeight="1">
      <c r="A29" s="78" t="s">
        <v>1653</v>
      </c>
      <c r="B29" s="8" t="s">
        <v>1654</v>
      </c>
      <c r="C29" s="3" t="s">
        <v>185</v>
      </c>
      <c r="D29" s="6" t="s">
        <v>217</v>
      </c>
      <c r="E29" s="6" t="e">
        <f>IF(D29&lt;&gt;#REF!,"DIFERENTE","IGUAL")</f>
        <v>#REF!</v>
      </c>
      <c r="F29" s="141" t="str">
        <f>IFERROR(VLOOKUP(A29,#REF!,2,FALSE),"NO BUDGET")</f>
        <v>NO BUDGET</v>
      </c>
      <c r="G29" s="78"/>
      <c r="H29" s="291"/>
      <c r="I29" s="207">
        <v>14.10507</v>
      </c>
      <c r="J29" s="291" t="e">
        <f>#REF!</f>
        <v>#REF!</v>
      </c>
      <c r="K29" s="207"/>
      <c r="L29" s="291"/>
      <c r="M29" s="207"/>
      <c r="N29" s="291"/>
      <c r="O29" s="207"/>
      <c r="P29" s="307">
        <v>59.948610000000002</v>
      </c>
      <c r="Q29" s="207">
        <v>10.5</v>
      </c>
    </row>
    <row r="30" spans="1:17" s="21" customFormat="1" ht="30" customHeight="1">
      <c r="A30" s="78" t="s">
        <v>1711</v>
      </c>
      <c r="B30" s="8" t="s">
        <v>1647</v>
      </c>
      <c r="C30" s="3" t="s">
        <v>1594</v>
      </c>
      <c r="D30" s="6" t="s">
        <v>217</v>
      </c>
      <c r="E30" s="6" t="e">
        <f>IF(D30&lt;&gt;#REF!,"DIFERENTE","IGUAL")</f>
        <v>#REF!</v>
      </c>
      <c r="F30" s="141" t="str">
        <f>IFERROR(VLOOKUP(A30,#REF!,2,FALSE),"NO BUDGET")</f>
        <v>NO BUDGET</v>
      </c>
      <c r="G30" s="78"/>
      <c r="H30" s="291"/>
      <c r="I30" s="207">
        <v>15.721050000000002</v>
      </c>
      <c r="J30" s="291" t="e">
        <f>#REF!</f>
        <v>#REF!</v>
      </c>
      <c r="K30" s="207"/>
      <c r="L30" s="291"/>
      <c r="M30" s="207"/>
      <c r="N30" s="291"/>
      <c r="O30" s="207"/>
      <c r="P30" s="307">
        <v>36</v>
      </c>
      <c r="Q30" s="207">
        <v>0</v>
      </c>
    </row>
    <row r="31" spans="1:17" s="21" customFormat="1" ht="30" customHeight="1">
      <c r="A31" s="78" t="s">
        <v>1714</v>
      </c>
      <c r="B31" s="8" t="s">
        <v>1716</v>
      </c>
      <c r="C31" s="3" t="s">
        <v>1492</v>
      </c>
      <c r="D31" s="6" t="s">
        <v>217</v>
      </c>
      <c r="E31" s="6" t="e">
        <f>IF(D31&lt;&gt;#REF!,"DIFERENTE","IGUAL")</f>
        <v>#REF!</v>
      </c>
      <c r="F31" s="141" t="str">
        <f>IFERROR(VLOOKUP(A31,#REF!,2,FALSE),"NO BUDGET")</f>
        <v>NO BUDGET</v>
      </c>
      <c r="G31" s="78"/>
      <c r="H31" s="291"/>
      <c r="I31" s="207">
        <v>11.238109999999999</v>
      </c>
      <c r="J31" s="291" t="e">
        <f>#REF!</f>
        <v>#REF!</v>
      </c>
      <c r="K31" s="207"/>
      <c r="L31" s="291"/>
      <c r="M31" s="207"/>
      <c r="N31" s="291"/>
      <c r="O31" s="207"/>
      <c r="P31" s="307">
        <v>25.045380000000002</v>
      </c>
      <c r="Q31" s="207">
        <v>7</v>
      </c>
    </row>
    <row r="32" spans="1:17" s="21" customFormat="1" ht="30" customHeight="1">
      <c r="A32" s="78" t="s">
        <v>1769</v>
      </c>
      <c r="B32" s="8" t="s">
        <v>1766</v>
      </c>
      <c r="C32" s="3" t="s">
        <v>1492</v>
      </c>
      <c r="D32" s="6" t="s">
        <v>217</v>
      </c>
      <c r="E32" s="6" t="e">
        <f>IF(D32&lt;&gt;#REF!,"DIFERENTE","IGUAL")</f>
        <v>#REF!</v>
      </c>
      <c r="F32" s="141" t="str">
        <f>IFERROR(VLOOKUP(A32,#REF!,2,FALSE),"NO BUDGET")</f>
        <v>NO BUDGET</v>
      </c>
      <c r="G32" s="78"/>
      <c r="H32" s="291"/>
      <c r="I32" s="207">
        <v>93.34939</v>
      </c>
      <c r="J32" s="291" t="e">
        <f>#REF!</f>
        <v>#REF!</v>
      </c>
      <c r="K32" s="207"/>
      <c r="L32" s="291"/>
      <c r="M32" s="207"/>
      <c r="N32" s="291"/>
      <c r="O32" s="207"/>
      <c r="P32" s="307">
        <v>100</v>
      </c>
      <c r="Q32" s="207">
        <v>0</v>
      </c>
    </row>
    <row r="33" spans="1:17" s="21" customFormat="1" ht="30" customHeight="1">
      <c r="A33" s="78" t="s">
        <v>1776</v>
      </c>
      <c r="B33" s="8" t="s">
        <v>1712</v>
      </c>
      <c r="C33" s="3" t="s">
        <v>186</v>
      </c>
      <c r="D33" s="6" t="s">
        <v>194</v>
      </c>
      <c r="E33" s="6" t="e">
        <f>IF(D33&lt;&gt;#REF!,"DIFERENTE","IGUAL")</f>
        <v>#REF!</v>
      </c>
      <c r="F33" s="141" t="str">
        <f>IFERROR(VLOOKUP(A33,#REF!,2,FALSE),"NO BUDGET")</f>
        <v>NO BUDGET</v>
      </c>
      <c r="G33" s="78"/>
      <c r="H33" s="291"/>
      <c r="I33" s="207">
        <v>0</v>
      </c>
      <c r="J33" s="291" t="e">
        <f>#REF!</f>
        <v>#REF!</v>
      </c>
      <c r="K33" s="207"/>
      <c r="L33" s="291"/>
      <c r="M33" s="207"/>
      <c r="N33" s="291"/>
      <c r="O33" s="207"/>
      <c r="P33" s="307">
        <v>50</v>
      </c>
      <c r="Q33" s="207">
        <v>90</v>
      </c>
    </row>
    <row r="34" spans="1:17" s="21" customFormat="1" ht="30" customHeight="1">
      <c r="A34" s="78" t="s">
        <v>1779</v>
      </c>
      <c r="B34" s="8" t="s">
        <v>1841</v>
      </c>
      <c r="C34" s="3" t="s">
        <v>315</v>
      </c>
      <c r="D34" s="6" t="s">
        <v>194</v>
      </c>
      <c r="E34" s="6" t="e">
        <f>IF(D34&lt;&gt;#REF!,"DIFERENTE","IGUAL")</f>
        <v>#REF!</v>
      </c>
      <c r="F34" s="141" t="str">
        <f>IFERROR(VLOOKUP(A34,#REF!,2,FALSE),"NO BUDGET")</f>
        <v>NO BUDGET</v>
      </c>
      <c r="G34" s="78"/>
      <c r="H34" s="291"/>
      <c r="I34" s="207">
        <v>0</v>
      </c>
      <c r="J34" s="291" t="e">
        <f>#REF!</f>
        <v>#REF!</v>
      </c>
      <c r="K34" s="207"/>
      <c r="L34" s="291"/>
      <c r="M34" s="207"/>
      <c r="N34" s="291"/>
      <c r="O34" s="207"/>
      <c r="P34" s="307">
        <v>50</v>
      </c>
      <c r="Q34" s="207">
        <v>65</v>
      </c>
    </row>
    <row r="35" spans="1:17" s="21" customFormat="1" ht="30" customHeight="1">
      <c r="A35" s="78" t="s">
        <v>1850</v>
      </c>
      <c r="B35" s="8" t="s">
        <v>1780</v>
      </c>
      <c r="C35" s="3" t="s">
        <v>1492</v>
      </c>
      <c r="D35" s="6" t="s">
        <v>1768</v>
      </c>
      <c r="E35" s="6" t="e">
        <f>IF(D35&lt;&gt;#REF!,"DIFERENTE","IGUAL")</f>
        <v>#REF!</v>
      </c>
      <c r="F35" s="141" t="str">
        <f>IFERROR(VLOOKUP(A35,#REF!,2,FALSE),"NO BUDGET")</f>
        <v>NO BUDGET</v>
      </c>
      <c r="G35" s="78"/>
      <c r="H35" s="291"/>
      <c r="I35" s="207"/>
      <c r="J35" s="291"/>
      <c r="K35" s="207"/>
      <c r="L35" s="291"/>
      <c r="M35" s="207"/>
      <c r="N35" s="291"/>
      <c r="O35" s="207"/>
      <c r="P35" s="307">
        <v>42</v>
      </c>
      <c r="Q35" s="207">
        <v>42</v>
      </c>
    </row>
    <row r="36" spans="1:17" s="21" customFormat="1" ht="30" customHeight="1">
      <c r="A36" s="78" t="s">
        <v>1851</v>
      </c>
      <c r="B36" s="8" t="s">
        <v>1863</v>
      </c>
      <c r="C36" s="3" t="s">
        <v>1492</v>
      </c>
      <c r="D36" s="6" t="s">
        <v>1768</v>
      </c>
      <c r="E36" s="6" t="e">
        <f>IF(D36&lt;&gt;#REF!,"DIFERENTE","IGUAL")</f>
        <v>#REF!</v>
      </c>
      <c r="F36" s="141" t="str">
        <f>IFERROR(VLOOKUP(A36,#REF!,2,FALSE),"NO BUDGET")</f>
        <v>NO BUDGET</v>
      </c>
      <c r="G36" s="78"/>
      <c r="H36" s="291"/>
      <c r="I36" s="207"/>
      <c r="J36" s="291"/>
      <c r="K36" s="207"/>
      <c r="L36" s="291"/>
      <c r="M36" s="207"/>
      <c r="N36" s="291"/>
      <c r="O36" s="207"/>
      <c r="P36" s="307">
        <v>50</v>
      </c>
      <c r="Q36" s="207">
        <v>46</v>
      </c>
    </row>
    <row r="37" spans="1:17" s="21" customFormat="1" ht="30" customHeight="1">
      <c r="A37" s="78" t="s">
        <v>1852</v>
      </c>
      <c r="B37" s="8" t="s">
        <v>1862</v>
      </c>
      <c r="C37" s="3" t="s">
        <v>185</v>
      </c>
      <c r="D37" s="6" t="s">
        <v>194</v>
      </c>
      <c r="E37" s="6" t="e">
        <f>IF(D37&lt;&gt;#REF!,"DIFERENTE","IGUAL")</f>
        <v>#REF!</v>
      </c>
      <c r="F37" s="141" t="str">
        <f>IFERROR(VLOOKUP(A37,#REF!,2,FALSE),"NO BUDGET")</f>
        <v>NO BUDGET</v>
      </c>
      <c r="G37" s="78"/>
      <c r="H37" s="291"/>
      <c r="I37" s="207"/>
      <c r="J37" s="291"/>
      <c r="K37" s="207"/>
      <c r="L37" s="291"/>
      <c r="M37" s="207"/>
      <c r="N37" s="291"/>
      <c r="O37" s="207"/>
      <c r="P37" s="307"/>
      <c r="Q37" s="207">
        <v>54</v>
      </c>
    </row>
    <row r="38" spans="1:17" s="21" customFormat="1" ht="30" customHeight="1">
      <c r="A38" s="78" t="s">
        <v>1853</v>
      </c>
      <c r="B38" s="8" t="s">
        <v>1873</v>
      </c>
      <c r="C38" s="3" t="s">
        <v>315</v>
      </c>
      <c r="D38" s="6" t="s">
        <v>1768</v>
      </c>
      <c r="E38" s="6" t="e">
        <f>IF(D38&lt;&gt;#REF!,"DIFERENTE","IGUAL")</f>
        <v>#REF!</v>
      </c>
      <c r="F38" s="141" t="str">
        <f>IFERROR(VLOOKUP(A38,#REF!,2,FALSE),"NO BUDGET")</f>
        <v>NO BUDGET</v>
      </c>
      <c r="G38" s="78"/>
      <c r="H38" s="291"/>
      <c r="I38" s="207"/>
      <c r="J38" s="291"/>
      <c r="K38" s="207"/>
      <c r="L38" s="291"/>
      <c r="M38" s="207"/>
      <c r="N38" s="291"/>
      <c r="O38" s="207"/>
      <c r="P38" s="307">
        <v>8.3930000000000007</v>
      </c>
      <c r="Q38" s="207"/>
    </row>
    <row r="39" spans="1:17" s="21" customFormat="1" ht="30" customHeight="1">
      <c r="A39" s="78" t="s">
        <v>1854</v>
      </c>
      <c r="B39" s="8" t="s">
        <v>1877</v>
      </c>
      <c r="C39" s="3" t="s">
        <v>1492</v>
      </c>
      <c r="D39" s="6" t="s">
        <v>1768</v>
      </c>
      <c r="E39" s="6" t="e">
        <f>IF(D39&lt;&gt;#REF!,"DIFERENTE","IGUAL")</f>
        <v>#REF!</v>
      </c>
      <c r="F39" s="141" t="str">
        <f>IFERROR(VLOOKUP(A39,#REF!,2,FALSE),"NO BUDGET")</f>
        <v>NO BUDGET</v>
      </c>
      <c r="G39" s="78"/>
      <c r="H39" s="291"/>
      <c r="I39" s="207"/>
      <c r="J39" s="291"/>
      <c r="K39" s="207"/>
      <c r="L39" s="291"/>
      <c r="M39" s="207"/>
      <c r="N39" s="291"/>
      <c r="O39" s="207"/>
      <c r="P39" s="307">
        <v>45</v>
      </c>
      <c r="Q39" s="207">
        <v>45</v>
      </c>
    </row>
    <row r="40" spans="1:17" s="21" customFormat="1" ht="30" customHeight="1">
      <c r="A40" s="78" t="s">
        <v>1855</v>
      </c>
      <c r="B40" s="8" t="s">
        <v>1872</v>
      </c>
      <c r="C40" s="3" t="s">
        <v>315</v>
      </c>
      <c r="D40" s="6" t="s">
        <v>1768</v>
      </c>
      <c r="E40" s="6" t="e">
        <f>IF(D40&lt;&gt;#REF!,"DIFERENTE","IGUAL")</f>
        <v>#REF!</v>
      </c>
      <c r="F40" s="141" t="str">
        <f>IFERROR(VLOOKUP(A40,#REF!,2,FALSE),"NO BUDGET")</f>
        <v>NO BUDGET</v>
      </c>
      <c r="G40" s="78"/>
      <c r="H40" s="291"/>
      <c r="I40" s="207"/>
      <c r="J40" s="291"/>
      <c r="K40" s="207"/>
      <c r="L40" s="291"/>
      <c r="M40" s="207"/>
      <c r="N40" s="291"/>
      <c r="O40" s="207"/>
      <c r="P40" s="307"/>
      <c r="Q40" s="207"/>
    </row>
    <row r="41" spans="1:17" s="21" customFormat="1" ht="30" customHeight="1">
      <c r="A41" s="78" t="s">
        <v>1856</v>
      </c>
      <c r="B41" s="8" t="s">
        <v>1881</v>
      </c>
      <c r="C41" s="3" t="s">
        <v>315</v>
      </c>
      <c r="D41" s="6" t="s">
        <v>1768</v>
      </c>
      <c r="E41" s="6" t="e">
        <f>IF(D41&lt;&gt;#REF!,"DIFERENTE","IGUAL")</f>
        <v>#REF!</v>
      </c>
      <c r="F41" s="141" t="str">
        <f>IFERROR(VLOOKUP(A41,#REF!,2,FALSE),"NO BUDGET")</f>
        <v>NO BUDGET</v>
      </c>
      <c r="G41" s="78"/>
      <c r="H41" s="291"/>
      <c r="I41" s="207"/>
      <c r="J41" s="291"/>
      <c r="K41" s="207"/>
      <c r="L41" s="291"/>
      <c r="M41" s="207"/>
      <c r="N41" s="291"/>
      <c r="O41" s="207"/>
      <c r="P41" s="307">
        <v>51.4161</v>
      </c>
      <c r="Q41" s="207">
        <v>51.4161</v>
      </c>
    </row>
    <row r="42" spans="1:17" s="21" customFormat="1" ht="30" customHeight="1">
      <c r="A42" s="78" t="s">
        <v>1871</v>
      </c>
      <c r="B42" s="8" t="s">
        <v>1884</v>
      </c>
      <c r="C42" s="3" t="s">
        <v>1492</v>
      </c>
      <c r="D42" s="6" t="s">
        <v>1768</v>
      </c>
      <c r="E42" s="6" t="e">
        <f>IF(D42&lt;&gt;#REF!,"DIFERENTE","IGUAL")</f>
        <v>#REF!</v>
      </c>
      <c r="F42" s="141" t="str">
        <f>IFERROR(VLOOKUP(A42,#REF!,2,FALSE),"NO BUDGET")</f>
        <v>NO BUDGET</v>
      </c>
      <c r="G42" s="78"/>
      <c r="H42" s="291"/>
      <c r="I42" s="207"/>
      <c r="J42" s="291"/>
      <c r="K42" s="207"/>
      <c r="L42" s="291"/>
      <c r="M42" s="207"/>
      <c r="N42" s="291"/>
      <c r="O42" s="207"/>
      <c r="P42" s="307"/>
      <c r="Q42" s="207"/>
    </row>
    <row r="43" spans="1:17" s="21" customFormat="1" ht="30" customHeight="1">
      <c r="A43" s="78" t="s">
        <v>1857</v>
      </c>
      <c r="B43" s="8" t="s">
        <v>1892</v>
      </c>
      <c r="C43" s="3" t="s">
        <v>185</v>
      </c>
      <c r="D43" s="6" t="s">
        <v>1768</v>
      </c>
      <c r="E43" s="6" t="e">
        <f>IF(D43&lt;&gt;#REF!,"DIFERENTE","IGUAL")</f>
        <v>#REF!</v>
      </c>
      <c r="F43" s="141" t="str">
        <f>IFERROR(VLOOKUP(A43,#REF!,2,FALSE),"NO BUDGET")</f>
        <v>NO BUDGET</v>
      </c>
      <c r="G43" s="78"/>
      <c r="H43" s="291"/>
      <c r="I43" s="207"/>
      <c r="J43" s="291"/>
      <c r="K43" s="207"/>
      <c r="L43" s="291"/>
      <c r="M43" s="207"/>
      <c r="N43" s="291"/>
      <c r="O43" s="207"/>
      <c r="P43" s="307">
        <v>58.345999999999997</v>
      </c>
      <c r="Q43" s="207"/>
    </row>
    <row r="44" spans="1:17" s="21" customFormat="1" ht="30" customHeight="1">
      <c r="A44" s="78" t="s">
        <v>1858</v>
      </c>
      <c r="B44" s="8" t="s">
        <v>1891</v>
      </c>
      <c r="C44" s="3" t="s">
        <v>185</v>
      </c>
      <c r="D44" s="6" t="s">
        <v>1768</v>
      </c>
      <c r="E44" s="6" t="e">
        <f>IF(D44&lt;&gt;#REF!,"DIFERENTE","IGUAL")</f>
        <v>#REF!</v>
      </c>
      <c r="F44" s="141" t="str">
        <f>IFERROR(VLOOKUP(A44,#REF!,2,FALSE),"NO BUDGET")</f>
        <v>NO BUDGET</v>
      </c>
      <c r="G44" s="78"/>
      <c r="H44" s="291"/>
      <c r="I44" s="207"/>
      <c r="J44" s="291"/>
      <c r="K44" s="207"/>
      <c r="L44" s="291"/>
      <c r="M44" s="207"/>
      <c r="N44" s="291"/>
      <c r="O44" s="207"/>
      <c r="P44" s="307">
        <v>40.286000000000001</v>
      </c>
      <c r="Q44" s="207"/>
    </row>
  </sheetData>
  <autoFilter ref="A4:Q44" xr:uid="{5698B266-CC37-443B-A244-21AFCE77DFD4}"/>
  <conditionalFormatting sqref="D5:D6 D8:D28 D30:D34">
    <cfRule type="cellIs" dxfId="26" priority="33" operator="equal">
      <formula>"REL"</formula>
    </cfRule>
  </conditionalFormatting>
  <conditionalFormatting sqref="D5:D28">
    <cfRule type="cellIs" dxfId="25" priority="21" operator="equal">
      <formula>"CLSD"</formula>
    </cfRule>
    <cfRule type="cellIs" dxfId="24" priority="22" operator="equal">
      <formula>"TECO"</formula>
    </cfRule>
    <cfRule type="cellIs" dxfId="23" priority="24" operator="equal">
      <formula>"CRTD"</formula>
    </cfRule>
  </conditionalFormatting>
  <conditionalFormatting sqref="D7">
    <cfRule type="cellIs" dxfId="20" priority="23" operator="equal">
      <formula>"REL "</formula>
    </cfRule>
  </conditionalFormatting>
  <conditionalFormatting sqref="D29">
    <cfRule type="cellIs" dxfId="17" priority="17" operator="equal">
      <formula>"REL "</formula>
    </cfRule>
  </conditionalFormatting>
  <conditionalFormatting sqref="D29:D34">
    <cfRule type="cellIs" dxfId="16" priority="15" operator="equal">
      <formula>"CLSD"</formula>
    </cfRule>
    <cfRule type="cellIs" dxfId="15" priority="16" operator="equal">
      <formula>"TECO"</formula>
    </cfRule>
    <cfRule type="cellIs" dxfId="14" priority="18" operator="equal">
      <formula>"CRTD"</formula>
    </cfRule>
  </conditionalFormatting>
  <conditionalFormatting sqref="D35:D44">
    <cfRule type="cellIs" dxfId="11" priority="3" operator="equal">
      <formula>"CLSD"</formula>
    </cfRule>
    <cfRule type="cellIs" dxfId="10" priority="4" operator="equal">
      <formula>"TECO"</formula>
    </cfRule>
    <cfRule type="cellIs" dxfId="9" priority="5" operator="equal">
      <formula>"REL "</formula>
    </cfRule>
    <cfRule type="cellIs" dxfId="8" priority="6" operator="equal">
      <formula>"CRTD"</formula>
    </cfRule>
  </conditionalFormatting>
  <conditionalFormatting sqref="E5:E44">
    <cfRule type="cellIs" dxfId="7" priority="35" operator="equal">
      <formula>"CLSD"</formula>
    </cfRule>
    <cfRule type="cellIs" dxfId="6" priority="36" operator="equal">
      <formula>"TECO"</formula>
    </cfRule>
    <cfRule type="cellIs" dxfId="5" priority="37" operator="equal">
      <formula>"REL "</formula>
    </cfRule>
    <cfRule type="cellIs" dxfId="4" priority="38" operator="equal">
      <formula>"CRTD"</formula>
    </cfRule>
  </conditionalFormatting>
  <conditionalFormatting sqref="H5:Q44">
    <cfRule type="cellIs" dxfId="3" priority="45" operator="equal">
      <formula>"Behind Schedule"</formula>
    </cfRule>
    <cfRule type="cellIs" dxfId="2" priority="46" operator="equal">
      <formula>"TBD"</formula>
    </cfRule>
    <cfRule type="cellIs" dxfId="1" priority="47" operator="equal">
      <formula>"In Progress"</formula>
    </cfRule>
    <cfRule type="cellIs" dxfId="0" priority="48" operator="equal">
      <formula>"Completed"</formula>
    </cfRule>
  </conditionalFormatting>
  <dataValidations count="1">
    <dataValidation type="list" allowBlank="1" showInputMessage="1" showErrorMessage="1" sqref="D5:D6 D8:D28 D30:D34" xr:uid="{94E5B8D1-00DA-40BA-9AC7-86B13177C28C}">
      <formula1>"CRTD, CLSD, REL, TECO"</formula1>
    </dataValidation>
  </dataValidations>
  <printOptions horizontalCentered="1" verticalCentered="1"/>
  <pageMargins left="0.25" right="0.25" top="0.75" bottom="0.75" header="0.3" footer="0.3"/>
  <pageSetup scale="6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843187EB-171A-4D87-9BDC-F56143135F09}">
            <xm:f>NOT(ISERROR(SEARCH("NO BUDGET",D7)))</xm:f>
            <xm:f>"NO BUDGET"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0" operator="containsText" id="{E12F959F-576C-4E95-8F17-D628C7DB6468}">
            <xm:f>NOT(ISERROR(SEARCH("NO BUDGET",D7)))</xm:f>
            <xm:f>"NO BUDGET"</xm:f>
            <x14:dxf>
              <font>
                <b val="0"/>
                <i val="0"/>
              </font>
              <fill>
                <patternFill>
                  <bgColor theme="0" tint="-0.14996795556505021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ontainsText" priority="13" operator="containsText" id="{B92C3FC2-5F41-447E-A33F-B8B303FBEBBA}">
            <xm:f>NOT(ISERROR(SEARCH("NO BUDGET",D29)))</xm:f>
            <xm:f>"NO BUDGET"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4" operator="containsText" id="{683D4208-E94F-4B9D-A718-82EE1574C89C}">
            <xm:f>NOT(ISERROR(SEARCH("NO BUDGET",D29)))</xm:f>
            <xm:f>"NO BUDGET"</xm:f>
            <x14:dxf>
              <font>
                <b val="0"/>
                <i val="0"/>
              </font>
              <fill>
                <patternFill>
                  <bgColor theme="0" tint="-0.14996795556505021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ontainsText" priority="1" operator="containsText" id="{FE89AEAE-A719-4C17-9DBC-DB33C5362DAC}">
            <xm:f>NOT(ISERROR(SEARCH("NO BUDGET",D35)))</xm:f>
            <xm:f>"NO BUDGET"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" operator="containsText" id="{3923E291-05D0-4B64-B474-6D704C1367D8}">
            <xm:f>NOT(ISERROR(SEARCH("NO BUDGET",D35)))</xm:f>
            <xm:f>"NO BUDGET"</xm:f>
            <x14:dxf>
              <font>
                <b val="0"/>
                <i val="0"/>
              </font>
              <fill>
                <patternFill>
                  <bgColor theme="0" tint="-0.14996795556505021"/>
                </patternFill>
              </fill>
            </x14:dxf>
          </x14:cfRule>
          <xm:sqref>D35:D44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90DB3-DC17-40EE-B6EF-ED2F6307E550}">
  <sheetPr codeName="Planilha26">
    <tabColor theme="9" tint="0.39997558519241921"/>
  </sheetPr>
  <dimension ref="B2:O21"/>
  <sheetViews>
    <sheetView showGridLines="0" zoomScale="85" zoomScaleNormal="85" workbookViewId="0">
      <selection activeCell="P23" sqref="P23"/>
    </sheetView>
  </sheetViews>
  <sheetFormatPr defaultRowHeight="14.5"/>
  <cols>
    <col min="2" max="2" width="19.26953125" style="103" customWidth="1"/>
    <col min="3" max="3" width="12.453125" style="103" customWidth="1"/>
    <col min="4" max="4" width="14.26953125" style="103" customWidth="1"/>
    <col min="5" max="6" width="11.26953125" style="103" customWidth="1"/>
    <col min="7" max="7" width="4" style="103" customWidth="1"/>
    <col min="11" max="15" width="0" hidden="1" customWidth="1"/>
  </cols>
  <sheetData>
    <row r="2" spans="2:15" ht="23.5">
      <c r="B2" s="353" t="s">
        <v>615</v>
      </c>
      <c r="C2" s="353"/>
      <c r="D2" s="353"/>
      <c r="E2" s="353"/>
      <c r="F2" s="353"/>
      <c r="G2" s="353"/>
      <c r="H2" s="117"/>
    </row>
    <row r="4" spans="2:15" s="103" customFormat="1" ht="15" thickBot="1">
      <c r="B4" s="134" t="s">
        <v>598</v>
      </c>
      <c r="C4" s="118"/>
      <c r="D4" s="119"/>
      <c r="E4" s="118"/>
      <c r="F4" s="118"/>
      <c r="H4"/>
      <c r="I4"/>
      <c r="J4"/>
      <c r="K4"/>
      <c r="L4"/>
      <c r="M4"/>
      <c r="N4"/>
      <c r="O4"/>
    </row>
    <row r="5" spans="2:15" ht="15.5" thickTop="1" thickBot="1">
      <c r="B5" s="133" t="e">
        <f>SUM(D8,D11,D14,D17,D20,D23)</f>
        <v>#REF!</v>
      </c>
    </row>
    <row r="6" spans="2:15" ht="15" thickTop="1"/>
    <row r="7" spans="2:15">
      <c r="D7" s="103" t="s">
        <v>599</v>
      </c>
    </row>
    <row r="8" spans="2:15">
      <c r="D8" s="126" t="e">
        <f>#REF!</f>
        <v>#REF!</v>
      </c>
      <c r="F8" s="127" t="e">
        <f>D8/$B$5</f>
        <v>#REF!</v>
      </c>
    </row>
    <row r="10" spans="2:15">
      <c r="D10" s="103" t="s">
        <v>595</v>
      </c>
    </row>
    <row r="11" spans="2:15">
      <c r="D11" s="126" t="e">
        <f>#REF!</f>
        <v>#REF!</v>
      </c>
      <c r="F11" s="127" t="e">
        <f>D11/$B$5</f>
        <v>#REF!</v>
      </c>
      <c r="J11" s="103"/>
      <c r="K11" s="127" t="e">
        <f>#REF!/$B$5</f>
        <v>#REF!</v>
      </c>
    </row>
    <row r="13" spans="2:15">
      <c r="D13" s="103" t="s">
        <v>600</v>
      </c>
    </row>
    <row r="14" spans="2:15">
      <c r="D14" s="126" t="e">
        <f>#REF!</f>
        <v>#REF!</v>
      </c>
      <c r="F14" s="127" t="e">
        <f>D14/$B$5</f>
        <v>#REF!</v>
      </c>
    </row>
    <row r="16" spans="2:15">
      <c r="D16" s="103" t="s">
        <v>601</v>
      </c>
    </row>
    <row r="17" spans="2:6">
      <c r="D17" s="126" t="e">
        <f>#REF!</f>
        <v>#REF!</v>
      </c>
      <c r="F17" s="127" t="e">
        <f>D17/$B$5</f>
        <v>#REF!</v>
      </c>
    </row>
    <row r="19" spans="2:6">
      <c r="D19" s="103" t="s">
        <v>596</v>
      </c>
    </row>
    <row r="20" spans="2:6">
      <c r="D20" s="126" t="e">
        <f>#REF!</f>
        <v>#REF!</v>
      </c>
      <c r="F20" s="127" t="e">
        <f>D20/$B$5</f>
        <v>#REF!</v>
      </c>
    </row>
    <row r="21" spans="2:6">
      <c r="B21" s="120"/>
    </row>
  </sheetData>
  <mergeCells count="1">
    <mergeCell ref="B2:G2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FD31-91A7-4ABC-8506-D9B9E12FD1D4}">
  <sheetPr codeName="Planilha36">
    <tabColor rgb="FF92D050"/>
  </sheetPr>
  <dimension ref="B2:L19"/>
  <sheetViews>
    <sheetView showGridLines="0" zoomScale="115" zoomScaleNormal="115" workbookViewId="0">
      <selection activeCell="M15" sqref="M15"/>
    </sheetView>
  </sheetViews>
  <sheetFormatPr defaultRowHeight="14.5"/>
  <cols>
    <col min="1" max="1" width="4" customWidth="1"/>
    <col min="2" max="2" width="9.26953125" style="103" bestFit="1" customWidth="1"/>
    <col min="3" max="3" width="1.7265625" style="103" bestFit="1" customWidth="1"/>
    <col min="4" max="4" width="8.26953125" style="103" bestFit="1" customWidth="1"/>
    <col min="5" max="5" width="2" style="103" bestFit="1" customWidth="1"/>
    <col min="6" max="6" width="14.7265625" style="103" bestFit="1" customWidth="1"/>
    <col min="7" max="7" width="2" style="103" bestFit="1" customWidth="1"/>
    <col min="8" max="8" width="19.26953125" bestFit="1" customWidth="1"/>
    <col min="9" max="9" width="2" bestFit="1" customWidth="1"/>
    <col min="10" max="10" width="11.26953125" bestFit="1" customWidth="1"/>
    <col min="11" max="11" width="9.26953125" customWidth="1"/>
    <col min="12" max="12" width="7.54296875" customWidth="1"/>
    <col min="13" max="13" width="9.26953125" customWidth="1"/>
  </cols>
  <sheetData>
    <row r="2" spans="2:12">
      <c r="B2" s="354" t="s">
        <v>616</v>
      </c>
      <c r="C2" s="354"/>
      <c r="D2" s="354"/>
      <c r="E2" s="354"/>
      <c r="F2" s="354"/>
      <c r="G2" s="354"/>
      <c r="H2" s="354"/>
      <c r="I2" s="354"/>
      <c r="J2" s="354"/>
    </row>
    <row r="3" spans="2:12" ht="14.65" customHeight="1"/>
    <row r="4" spans="2:12">
      <c r="B4" s="355" t="s">
        <v>618</v>
      </c>
      <c r="C4" s="355"/>
      <c r="D4" s="355"/>
      <c r="E4" s="355"/>
      <c r="F4" s="355"/>
      <c r="G4" s="355"/>
      <c r="H4" s="355"/>
      <c r="I4" s="355"/>
      <c r="J4" s="355"/>
    </row>
    <row r="6" spans="2:12">
      <c r="B6" s="125" t="s">
        <v>177</v>
      </c>
      <c r="C6" s="128"/>
      <c r="D6" s="125" t="s">
        <v>609</v>
      </c>
      <c r="E6" s="128"/>
      <c r="F6" s="125" t="s">
        <v>611</v>
      </c>
      <c r="G6" s="128"/>
      <c r="H6" s="125" t="s">
        <v>613</v>
      </c>
      <c r="I6" s="128"/>
      <c r="J6" s="125" t="s">
        <v>614</v>
      </c>
    </row>
    <row r="7" spans="2:12">
      <c r="B7" s="129">
        <v>12738.391138440944</v>
      </c>
      <c r="C7" s="128" t="s">
        <v>265</v>
      </c>
      <c r="D7" s="129" t="e">
        <f>'CAPEX RISK'!B5</f>
        <v>#REF!</v>
      </c>
      <c r="E7" s="128" t="s">
        <v>610</v>
      </c>
      <c r="F7" s="129" t="e">
        <f>B7-D7</f>
        <v>#REF!</v>
      </c>
      <c r="G7" s="128" t="s">
        <v>612</v>
      </c>
      <c r="H7" s="129">
        <v>969</v>
      </c>
      <c r="I7" s="128" t="s">
        <v>610</v>
      </c>
      <c r="J7" s="130" t="e">
        <f>F7+H7</f>
        <v>#REF!</v>
      </c>
    </row>
    <row r="9" spans="2:12">
      <c r="B9" s="125" t="s">
        <v>175</v>
      </c>
      <c r="C9" s="128"/>
      <c r="D9" s="125" t="s">
        <v>609</v>
      </c>
      <c r="E9" s="128"/>
      <c r="F9" s="125" t="s">
        <v>611</v>
      </c>
      <c r="G9" s="128"/>
      <c r="H9" s="125" t="s">
        <v>613</v>
      </c>
      <c r="I9" s="128"/>
      <c r="J9" s="125" t="s">
        <v>614</v>
      </c>
    </row>
    <row r="10" spans="2:12">
      <c r="B10" s="129">
        <v>8945.8878375675667</v>
      </c>
      <c r="C10" s="128" t="s">
        <v>265</v>
      </c>
      <c r="D10" s="129">
        <v>999.74499999999989</v>
      </c>
      <c r="E10" s="128" t="s">
        <v>610</v>
      </c>
      <c r="F10" s="129">
        <f>B10-D10</f>
        <v>7946.1428375675669</v>
      </c>
      <c r="G10" s="128" t="s">
        <v>612</v>
      </c>
      <c r="H10" s="129">
        <v>591</v>
      </c>
      <c r="I10" s="128" t="s">
        <v>610</v>
      </c>
      <c r="J10" s="130">
        <f>F10+H10</f>
        <v>8537.1428375675678</v>
      </c>
      <c r="L10" s="136"/>
    </row>
    <row r="13" spans="2:12">
      <c r="B13" s="355" t="s">
        <v>617</v>
      </c>
      <c r="C13" s="355"/>
      <c r="D13" s="355"/>
      <c r="E13" s="355"/>
      <c r="F13" s="355"/>
      <c r="G13" s="355"/>
      <c r="H13" s="355"/>
      <c r="I13" s="355"/>
      <c r="J13" s="355"/>
    </row>
    <row r="15" spans="2:12">
      <c r="B15" s="125" t="s">
        <v>177</v>
      </c>
      <c r="C15" s="128"/>
      <c r="D15" s="125" t="s">
        <v>609</v>
      </c>
      <c r="E15" s="128"/>
      <c r="F15" s="125" t="s">
        <v>611</v>
      </c>
      <c r="G15" s="128"/>
      <c r="H15" s="125" t="s">
        <v>613</v>
      </c>
      <c r="I15" s="128"/>
      <c r="J15" s="125" t="s">
        <v>614</v>
      </c>
    </row>
    <row r="16" spans="2:12">
      <c r="B16" s="129">
        <v>12738.391138440944</v>
      </c>
      <c r="C16" s="128" t="s">
        <v>265</v>
      </c>
      <c r="D16" s="129">
        <v>0</v>
      </c>
      <c r="E16" s="128" t="s">
        <v>610</v>
      </c>
      <c r="F16" s="129">
        <f>B16-D16</f>
        <v>12738.391138440944</v>
      </c>
      <c r="G16" s="128" t="s">
        <v>612</v>
      </c>
      <c r="H16" s="129">
        <v>969</v>
      </c>
      <c r="I16" s="128" t="s">
        <v>610</v>
      </c>
      <c r="J16" s="130">
        <f>F16+H16</f>
        <v>13707.391138440944</v>
      </c>
    </row>
    <row r="18" spans="2:12">
      <c r="B18" s="125" t="s">
        <v>175</v>
      </c>
      <c r="C18" s="128"/>
      <c r="D18" s="125" t="s">
        <v>609</v>
      </c>
      <c r="E18" s="128"/>
      <c r="F18" s="125" t="s">
        <v>611</v>
      </c>
      <c r="G18" s="128"/>
      <c r="H18" s="125" t="s">
        <v>613</v>
      </c>
      <c r="I18" s="128"/>
      <c r="J18" s="125" t="s">
        <v>614</v>
      </c>
    </row>
    <row r="19" spans="2:12">
      <c r="B19" s="129">
        <v>8945.8878375675667</v>
      </c>
      <c r="C19" s="128" t="s">
        <v>265</v>
      </c>
      <c r="D19" s="129">
        <v>0</v>
      </c>
      <c r="E19" s="128" t="s">
        <v>610</v>
      </c>
      <c r="F19" s="129">
        <f>B19-D19</f>
        <v>8945.8878375675667</v>
      </c>
      <c r="G19" s="128" t="s">
        <v>612</v>
      </c>
      <c r="H19" s="129">
        <v>591</v>
      </c>
      <c r="I19" s="128" t="s">
        <v>610</v>
      </c>
      <c r="J19" s="130">
        <f>F19+H19</f>
        <v>9536.8878375675667</v>
      </c>
      <c r="L19" s="135"/>
    </row>
  </sheetData>
  <mergeCells count="3">
    <mergeCell ref="B2:J2"/>
    <mergeCell ref="B4:J4"/>
    <mergeCell ref="B13:J13"/>
  </mergeCells>
  <pageMargins left="0.511811024" right="0.511811024" top="0.78740157499999996" bottom="0.78740157499999996" header="0.31496062000000002" footer="0.31496062000000002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CA98A47DB13A4F921951A4380D8F44" ma:contentTypeVersion="15" ma:contentTypeDescription="Create a new document." ma:contentTypeScope="" ma:versionID="387b3fd5b957240eab82b9b1409eba7b">
  <xsd:schema xmlns:xsd="http://www.w3.org/2001/XMLSchema" xmlns:xs="http://www.w3.org/2001/XMLSchema" xmlns:p="http://schemas.microsoft.com/office/2006/metadata/properties" xmlns:ns2="e37f2a6d-6852-45cb-9edd-51686047de58" xmlns:ns3="4c513b68-d4dc-4374-9e23-57b38fcda683" xmlns:ns4="ede2196a-f95a-4ce9-a5d1-0ad1e2957685" targetNamespace="http://schemas.microsoft.com/office/2006/metadata/properties" ma:root="true" ma:fieldsID="7d0da10df6337e37c1472019baafb1fd" ns2:_="" ns3:_="" ns4:_="">
    <xsd:import namespace="e37f2a6d-6852-45cb-9edd-51686047de58"/>
    <xsd:import namespace="4c513b68-d4dc-4374-9e23-57b38fcda683"/>
    <xsd:import namespace="ede2196a-f95a-4ce9-a5d1-0ad1e29576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7f2a6d-6852-45cb-9edd-51686047de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5a26052-1bf0-409f-8a84-82be1c828a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513b68-d4dc-4374-9e23-57b38fcda68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e2196a-f95a-4ce9-a5d1-0ad1e2957685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dc9402b2-9bd3-42d8-af8e-fdb9c2bef1c8}" ma:internalName="TaxCatchAll" ma:showField="CatchAllData" ma:web="58c92835-6d6c-4d60-abd8-3b3884e07b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de2196a-f95a-4ce9-a5d1-0ad1e2957685" xsi:nil="true"/>
    <lcf76f155ced4ddcb4097134ff3c332f xmlns="e37f2a6d-6852-45cb-9edd-51686047de5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1BA098D-93BB-434C-85AA-87AC3C6674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A7B564-1F00-472B-9FBE-2BE14C16B4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7f2a6d-6852-45cb-9edd-51686047de58"/>
    <ds:schemaRef ds:uri="4c513b68-d4dc-4374-9e23-57b38fcda683"/>
    <ds:schemaRef ds:uri="ede2196a-f95a-4ce9-a5d1-0ad1e29576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D0E9FB-F5F4-4FF2-AEF8-EE13198C2468}">
  <ds:schemaRefs>
    <ds:schemaRef ds:uri="http://schemas.microsoft.com/office/2006/documentManagement/types"/>
    <ds:schemaRef ds:uri="e37f2a6d-6852-45cb-9edd-51686047de58"/>
    <ds:schemaRef ds:uri="ede2196a-f95a-4ce9-a5d1-0ad1e2957685"/>
    <ds:schemaRef ds:uri="http://purl.org/dc/elements/1.1/"/>
    <ds:schemaRef ds:uri="http://www.w3.org/XML/1998/namespace"/>
    <ds:schemaRef ds:uri="http://schemas.microsoft.com/office/infopath/2007/PartnerControls"/>
    <ds:schemaRef ds:uri="http://purl.org/dc/terms/"/>
    <ds:schemaRef ds:uri="4c513b68-d4dc-4374-9e23-57b38fcda683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4</vt:i4>
      </vt:variant>
    </vt:vector>
  </HeadingPairs>
  <TitlesOfParts>
    <vt:vector size="14" baseType="lpstr">
      <vt:lpstr>Proj. por Eng.</vt:lpstr>
      <vt:lpstr>Comparativo 7+5 e 8+4 </vt:lpstr>
      <vt:lpstr>CONTINGENCIA 8+4</vt:lpstr>
      <vt:lpstr>WORST</vt:lpstr>
      <vt:lpstr>AME - Quarterly 2021</vt:lpstr>
      <vt:lpstr>Capex</vt:lpstr>
      <vt:lpstr>AME - Quarterly</vt:lpstr>
      <vt:lpstr>CAPEX RISK</vt:lpstr>
      <vt:lpstr>COMPARATIVO CENARIOS 8+4</vt:lpstr>
      <vt:lpstr>Capex 4+8</vt:lpstr>
      <vt:lpstr>'AME - Quarterly'!Area_de_impressao</vt:lpstr>
      <vt:lpstr>'AME - Quarterly 2021'!Area_de_impressao</vt:lpstr>
      <vt:lpstr>Capex!Area_de_impressao</vt:lpstr>
      <vt:lpstr>WORST!Area_de_impressao</vt:lpstr>
    </vt:vector>
  </TitlesOfParts>
  <Company>GOODYEAR DO BRASIL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Ebenezer Dainez</dc:creator>
  <cp:lastModifiedBy>Gabriel Paulino</cp:lastModifiedBy>
  <cp:lastPrinted>2025-03-11T14:40:16Z</cp:lastPrinted>
  <dcterms:created xsi:type="dcterms:W3CDTF">2013-07-30T17:32:38Z</dcterms:created>
  <dcterms:modified xsi:type="dcterms:W3CDTF">2025-07-11T11:03:53Z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0x01010069CA98A47DB13A4F921951A4380D8F44</vt:lpwstr>
  </property>
  <property fmtid="{D5CDD505-2E9C-101B-9397-08002B2CF9AE}" pid="5" name="MediaServiceImageTags">
    <vt:lpwstr/>
  </property>
</Properties>
</file>