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abriel5leonard/Desktop/University/2022 S2/MECH3460/A2/"/>
    </mc:Choice>
  </mc:AlternateContent>
  <xr:revisionPtr revIDLastSave="0" documentId="13_ncr:1_{40C35646-F188-B944-9C5C-FF6DDC43BE40}" xr6:coauthVersionLast="47" xr6:coauthVersionMax="47" xr10:uidLastSave="{00000000-0000-0000-0000-000000000000}"/>
  <bookViews>
    <workbookView xWindow="0" yWindow="0" windowWidth="28800" windowHeight="18000" xr2:uid="{A89120EA-B805-AA4C-A66D-585ECD907D76}"/>
  </bookViews>
  <sheets>
    <sheet name="Part A" sheetId="1" r:id="rId1"/>
    <sheet name="Part B" sheetId="2" r:id="rId2"/>
    <sheet name="Sheet1" sheetId="3" r:id="rId3"/>
  </sheets>
  <definedNames>
    <definedName name="A">'Part A'!$G$64</definedName>
    <definedName name="b">'Part A'!$C$57</definedName>
    <definedName name="BL">'Part A'!$C$11</definedName>
    <definedName name="d">'Part A'!$D$57</definedName>
    <definedName name="F">'Part A'!$C$18</definedName>
    <definedName name="FS">'Part A'!$C$15</definedName>
    <definedName name="ft">'Part A'!$C$78</definedName>
    <definedName name="HBO">'Part A'!$C$12</definedName>
    <definedName name="HD">'Part A'!$C$13</definedName>
    <definedName name="J_W">'Part A'!$E$64</definedName>
    <definedName name="l">'Part A'!$F$64</definedName>
    <definedName name="M">'Part A'!$C$67</definedName>
    <definedName name="rx">'Part A'!$C$71</definedName>
    <definedName name="ry">'Part A'!$D$71</definedName>
    <definedName name="SID">'Part A'!$J$3</definedName>
    <definedName name="solver_adj" localSheetId="0" hidden="1">'Part A'!$D$57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'Part A'!$C$80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'Part A'!$C$80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  <definedName name="th">'Part A'!$E$57</definedName>
    <definedName name="tmax">'Part A'!#REF!</definedName>
    <definedName name="tr">'Part A'!$C$68</definedName>
    <definedName name="tu">'Part A'!$C$68</definedName>
    <definedName name="w">'Part A'!$E$57</definedName>
    <definedName name="Z_B">'Part A'!$D$64</definedName>
    <definedName name="Z_T">'Part A'!$C$64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1" i="1" l="1"/>
  <c r="C18" i="3"/>
  <c r="C12" i="3"/>
  <c r="M76" i="1"/>
  <c r="H35" i="1"/>
  <c r="H32" i="1"/>
  <c r="H33" i="1"/>
  <c r="H34" i="1"/>
  <c r="H31" i="1"/>
  <c r="H30" i="1"/>
  <c r="D71" i="1"/>
  <c r="C71" i="1"/>
  <c r="C61" i="1"/>
  <c r="D36" i="1"/>
  <c r="E36" i="1"/>
  <c r="F36" i="1"/>
  <c r="G36" i="1"/>
  <c r="C36" i="1"/>
  <c r="C22" i="2"/>
  <c r="C16" i="2"/>
  <c r="C23" i="2" s="1"/>
  <c r="C24" i="2" s="1"/>
  <c r="C10" i="2"/>
  <c r="T138" i="1"/>
  <c r="U138" i="1" s="1"/>
  <c r="S138" i="1"/>
  <c r="Q138" i="1"/>
  <c r="T137" i="1"/>
  <c r="U137" i="1" s="1"/>
  <c r="S137" i="1"/>
  <c r="R137" i="1"/>
  <c r="Q137" i="1"/>
  <c r="T136" i="1"/>
  <c r="U136" i="1" s="1"/>
  <c r="S136" i="1"/>
  <c r="Q136" i="1"/>
  <c r="F63" i="1"/>
  <c r="G63" i="1" s="1"/>
  <c r="F62" i="1"/>
  <c r="G62" i="1" s="1"/>
  <c r="F61" i="1"/>
  <c r="B2" i="1"/>
  <c r="E63" i="1"/>
  <c r="C63" i="1"/>
  <c r="E62" i="1"/>
  <c r="D62" i="1"/>
  <c r="D64" i="1" s="1"/>
  <c r="C62" i="1"/>
  <c r="C12" i="1"/>
  <c r="C18" i="1"/>
  <c r="C67" i="1" s="1"/>
  <c r="C68" i="1" l="1"/>
  <c r="C24" i="1"/>
  <c r="E26" i="1"/>
  <c r="C23" i="1"/>
  <c r="E27" i="1" s="1"/>
  <c r="F64" i="1"/>
  <c r="D74" i="1" s="1"/>
  <c r="E64" i="1"/>
  <c r="C64" i="1"/>
  <c r="G61" i="1"/>
  <c r="G64" i="1" s="1"/>
  <c r="C76" i="1" l="1"/>
  <c r="C77" i="1" s="1"/>
  <c r="E75" i="1"/>
  <c r="E77" i="1" s="1"/>
  <c r="D76" i="1"/>
  <c r="D77" i="1" s="1"/>
  <c r="C78" i="1" l="1"/>
  <c r="C80" i="1" s="1"/>
</calcChain>
</file>

<file path=xl/sharedStrings.xml><?xml version="1.0" encoding="utf-8"?>
<sst xmlns="http://schemas.openxmlformats.org/spreadsheetml/2006/main" count="119" uniqueCount="81">
  <si>
    <t>Supplied Data</t>
  </si>
  <si>
    <t>End Plate</t>
  </si>
  <si>
    <t>Base Plate</t>
  </si>
  <si>
    <t>Beam Length</t>
  </si>
  <si>
    <t>Factor of Saftey</t>
  </si>
  <si>
    <t>Hole B Offset</t>
  </si>
  <si>
    <t>Hole Diameter</t>
  </si>
  <si>
    <t>(mm)</t>
  </si>
  <si>
    <t>(kN)</t>
  </si>
  <si>
    <t>F shear force</t>
  </si>
  <si>
    <t>tau allowable shear</t>
  </si>
  <si>
    <t>f_s force per length</t>
  </si>
  <si>
    <t>Bending About X-X</t>
  </si>
  <si>
    <t>Twisting</t>
  </si>
  <si>
    <t>dimensions</t>
  </si>
  <si>
    <t>Bending (about X-X)</t>
  </si>
  <si>
    <r>
      <t xml:space="preserve">b </t>
    </r>
    <r>
      <rPr>
        <b/>
        <sz val="12"/>
        <color theme="0"/>
        <rFont val="Calibri"/>
        <family val="2"/>
        <scheme val="minor"/>
      </rPr>
      <t>(mm)</t>
    </r>
  </si>
  <si>
    <r>
      <t xml:space="preserve">d </t>
    </r>
    <r>
      <rPr>
        <b/>
        <sz val="12"/>
        <color theme="0"/>
        <rFont val="Calibri"/>
        <family val="2"/>
        <scheme val="minor"/>
      </rPr>
      <t>(mm)</t>
    </r>
  </si>
  <si>
    <t>:SID</t>
  </si>
  <si>
    <t>Reference</t>
  </si>
  <si>
    <t>Selected</t>
  </si>
  <si>
    <t>Translational Forces at Weld</t>
  </si>
  <si>
    <t>(kN • mm)</t>
  </si>
  <si>
    <r>
      <t>Z</t>
    </r>
    <r>
      <rPr>
        <vertAlign val="subscript"/>
        <sz val="12"/>
        <color theme="0"/>
        <rFont val="Calibri (Body)"/>
      </rPr>
      <t xml:space="preserve">bottom </t>
    </r>
    <r>
      <rPr>
        <sz val="12"/>
        <color theme="0"/>
        <rFont val="Calibri"/>
        <family val="2"/>
        <scheme val="minor"/>
      </rPr>
      <t>(mm</t>
    </r>
    <r>
      <rPr>
        <vertAlign val="superscript"/>
        <sz val="12"/>
        <color theme="0"/>
        <rFont val="Calibri (Body)"/>
      </rPr>
      <t>2</t>
    </r>
    <r>
      <rPr>
        <sz val="12"/>
        <color theme="0"/>
        <rFont val="Calibri"/>
        <family val="2"/>
        <scheme val="minor"/>
      </rPr>
      <t>)</t>
    </r>
  </si>
  <si>
    <r>
      <t>Z</t>
    </r>
    <r>
      <rPr>
        <vertAlign val="subscript"/>
        <sz val="12"/>
        <color theme="0"/>
        <rFont val="Calibri (Body)"/>
      </rPr>
      <t xml:space="preserve">top </t>
    </r>
    <r>
      <rPr>
        <sz val="12"/>
        <color theme="0"/>
        <rFont val="Calibri"/>
        <family val="2"/>
        <scheme val="minor"/>
      </rPr>
      <t>(mm</t>
    </r>
    <r>
      <rPr>
        <i/>
        <vertAlign val="superscript"/>
        <sz val="12"/>
        <color theme="0"/>
        <rFont val="Calibri (Body)"/>
      </rPr>
      <t>2</t>
    </r>
    <r>
      <rPr>
        <sz val="12"/>
        <color theme="0"/>
        <rFont val="Calibri (Body)"/>
      </rPr>
      <t>)</t>
    </r>
  </si>
  <si>
    <r>
      <t>J</t>
    </r>
    <r>
      <rPr>
        <vertAlign val="subscript"/>
        <sz val="12"/>
        <color theme="0"/>
        <rFont val="Calibri (Body)"/>
      </rPr>
      <t>W</t>
    </r>
    <r>
      <rPr>
        <sz val="12"/>
        <color theme="0"/>
        <rFont val="Calibri"/>
        <family val="2"/>
        <scheme val="minor"/>
      </rPr>
      <t xml:space="preserve"> (mm</t>
    </r>
    <r>
      <rPr>
        <vertAlign val="superscript"/>
        <sz val="12"/>
        <color theme="0"/>
        <rFont val="Calibri (Body)"/>
      </rPr>
      <t>3</t>
    </r>
    <r>
      <rPr>
        <sz val="12"/>
        <color theme="0"/>
        <rFont val="Calibri"/>
        <family val="2"/>
        <scheme val="minor"/>
      </rPr>
      <t>)</t>
    </r>
  </si>
  <si>
    <t>Moment</t>
  </si>
  <si>
    <t>Torque</t>
  </si>
  <si>
    <t>Properties of Weld</t>
  </si>
  <si>
    <t>Force</t>
  </si>
  <si>
    <t>l (mm)</t>
  </si>
  <si>
    <r>
      <t>A (mm</t>
    </r>
    <r>
      <rPr>
        <vertAlign val="superscript"/>
        <sz val="12"/>
        <color theme="0"/>
        <rFont val="Calibri (Body)"/>
      </rPr>
      <t>2</t>
    </r>
    <r>
      <rPr>
        <sz val="12"/>
        <color theme="0"/>
        <rFont val="Calibri"/>
        <family val="2"/>
        <scheme val="minor"/>
      </rPr>
      <t>)</t>
    </r>
  </si>
  <si>
    <r>
      <t xml:space="preserve">w </t>
    </r>
    <r>
      <rPr>
        <b/>
        <sz val="12"/>
        <color theme="0"/>
        <rFont val="Calibri"/>
        <family val="2"/>
        <scheme val="minor"/>
      </rPr>
      <t>(mm)</t>
    </r>
  </si>
  <si>
    <t>x</t>
  </si>
  <si>
    <t>y</t>
  </si>
  <si>
    <t>z</t>
  </si>
  <si>
    <t>r (mm)</t>
  </si>
  <si>
    <t>Norm</t>
  </si>
  <si>
    <t>choosen w</t>
  </si>
  <si>
    <t>Torsion on beam</t>
  </si>
  <si>
    <t>(kN mm)</t>
  </si>
  <si>
    <t>tmax</t>
  </si>
  <si>
    <t>Wave Force</t>
  </si>
  <si>
    <t xml:space="preserve">Z = </t>
  </si>
  <si>
    <r>
      <t>width</t>
    </r>
    <r>
      <rPr>
        <b/>
        <sz val="12"/>
        <color theme="0"/>
        <rFont val="SupremeLLTT-Regular"/>
      </rPr>
      <t xml:space="preserve"> (mm)</t>
    </r>
  </si>
  <si>
    <r>
      <t>height</t>
    </r>
    <r>
      <rPr>
        <b/>
        <sz val="12"/>
        <color theme="0"/>
        <rFont val="SupremeLLTT-Regular"/>
      </rPr>
      <t xml:space="preserve"> (mm)</t>
    </r>
  </si>
  <si>
    <r>
      <t xml:space="preserve">thicknes </t>
    </r>
    <r>
      <rPr>
        <b/>
        <sz val="12"/>
        <color theme="0"/>
        <rFont val="SupremeLLTT-Regular"/>
      </rPr>
      <t>(mm)</t>
    </r>
  </si>
  <si>
    <t xml:space="preserve">D = </t>
  </si>
  <si>
    <t>FT =</t>
  </si>
  <si>
    <t xml:space="preserve">M = </t>
  </si>
  <si>
    <t>E</t>
  </si>
  <si>
    <t>min def (mm)</t>
  </si>
  <si>
    <t>Moment on beam</t>
  </si>
  <si>
    <r>
      <t>width</t>
    </r>
    <r>
      <rPr>
        <b/>
        <sz val="12"/>
        <color theme="0"/>
        <rFont val="SupremeLLTT-Light"/>
      </rPr>
      <t xml:space="preserve"> (mm)</t>
    </r>
  </si>
  <si>
    <r>
      <t>height</t>
    </r>
    <r>
      <rPr>
        <b/>
        <sz val="12"/>
        <color theme="0"/>
        <rFont val="SupremeLLTT-Light"/>
      </rPr>
      <t xml:space="preserve"> (mm)</t>
    </r>
  </si>
  <si>
    <r>
      <t xml:space="preserve">thicknes </t>
    </r>
    <r>
      <rPr>
        <b/>
        <sz val="12"/>
        <color theme="0"/>
        <rFont val="SupremeLLTT-Light"/>
      </rPr>
      <t>(mm)</t>
    </r>
  </si>
  <si>
    <t>G</t>
  </si>
  <si>
    <t>Applied Forces</t>
  </si>
  <si>
    <r>
      <t xml:space="preserve"> (kN/mm</t>
    </r>
    <r>
      <rPr>
        <b/>
        <vertAlign val="superscript"/>
        <sz val="11"/>
        <color theme="0"/>
        <rFont val="SupremeLLTT-Light"/>
      </rPr>
      <t>2</t>
    </r>
    <r>
      <rPr>
        <b/>
        <sz val="11"/>
        <color theme="0"/>
        <rFont val="SupremeLLTT-Light"/>
      </rPr>
      <t>)</t>
    </r>
  </si>
  <si>
    <t>Requirements</t>
  </si>
  <si>
    <t>Computed Requirements</t>
  </si>
  <si>
    <t>Material Properties</t>
  </si>
  <si>
    <t>Section Selection</t>
  </si>
  <si>
    <r>
      <t>min I</t>
    </r>
    <r>
      <rPr>
        <vertAlign val="subscript"/>
        <sz val="11"/>
        <color theme="0"/>
        <rFont val="SupremeLLTT-Light"/>
      </rPr>
      <t>x</t>
    </r>
    <r>
      <rPr>
        <sz val="11"/>
        <color theme="0"/>
        <rFont val="SupremeLLTT-Light"/>
      </rPr>
      <t xml:space="preserve"> (10</t>
    </r>
    <r>
      <rPr>
        <vertAlign val="superscript"/>
        <sz val="11"/>
        <color theme="0"/>
        <rFont val="SupremeLLTT-Light"/>
      </rPr>
      <t>6</t>
    </r>
    <r>
      <rPr>
        <sz val="11"/>
        <color theme="0"/>
        <rFont val="SupremeLLTT-Light"/>
      </rPr>
      <t>mm</t>
    </r>
    <r>
      <rPr>
        <vertAlign val="superscript"/>
        <sz val="11"/>
        <color theme="0"/>
        <rFont val="SupremeLLTT-Light"/>
      </rPr>
      <t>4</t>
    </r>
    <r>
      <rPr>
        <sz val="11"/>
        <color theme="0"/>
        <rFont val="SupremeLLTT-Light"/>
      </rPr>
      <t>)</t>
    </r>
  </si>
  <si>
    <r>
      <t>min J (10</t>
    </r>
    <r>
      <rPr>
        <vertAlign val="superscript"/>
        <sz val="11"/>
        <color theme="0"/>
        <rFont val="SupremeLLTT-Light"/>
      </rPr>
      <t>6</t>
    </r>
    <r>
      <rPr>
        <sz val="11"/>
        <color theme="0"/>
        <rFont val="SupremeLLTT-Light"/>
      </rPr>
      <t>mm</t>
    </r>
    <r>
      <rPr>
        <vertAlign val="superscript"/>
        <sz val="11"/>
        <color theme="0"/>
        <rFont val="SupremeLLTT-Light"/>
      </rPr>
      <t>4</t>
    </r>
    <r>
      <rPr>
        <sz val="11"/>
        <color theme="0"/>
        <rFont val="SupremeLLTT-Light"/>
      </rPr>
      <t>)</t>
    </r>
  </si>
  <si>
    <t>d (mm)</t>
  </si>
  <si>
    <t>b (mm)</t>
  </si>
  <si>
    <t>t (mm)</t>
  </si>
  <si>
    <r>
      <t>I</t>
    </r>
    <r>
      <rPr>
        <vertAlign val="subscript"/>
        <sz val="12"/>
        <color theme="0"/>
        <rFont val="SupremeLLTT-Light"/>
      </rPr>
      <t>x</t>
    </r>
    <r>
      <rPr>
        <sz val="12"/>
        <color theme="0"/>
        <rFont val="SupremeLLTT-Light"/>
      </rPr>
      <t xml:space="preserve"> (10</t>
    </r>
    <r>
      <rPr>
        <vertAlign val="superscript"/>
        <sz val="12"/>
        <color theme="0"/>
        <rFont val="SupremeLLTT-Light"/>
      </rPr>
      <t>6</t>
    </r>
    <r>
      <rPr>
        <sz val="12"/>
        <color theme="0"/>
        <rFont val="SupremeLLTT-Light"/>
      </rPr>
      <t>mm</t>
    </r>
    <r>
      <rPr>
        <vertAlign val="superscript"/>
        <sz val="12"/>
        <color theme="0"/>
        <rFont val="SupremeLLTT-Light"/>
      </rPr>
      <t>4</t>
    </r>
    <r>
      <rPr>
        <sz val="12"/>
        <color theme="0"/>
        <rFont val="SupremeLLTT-Light"/>
      </rPr>
      <t>)</t>
    </r>
  </si>
  <si>
    <r>
      <t>J (10</t>
    </r>
    <r>
      <rPr>
        <vertAlign val="superscript"/>
        <sz val="12"/>
        <color theme="0"/>
        <rFont val="SupremeLLTT-Light"/>
      </rPr>
      <t>6</t>
    </r>
    <r>
      <rPr>
        <sz val="12"/>
        <color theme="0"/>
        <rFont val="SupremeLLTT-Light"/>
      </rPr>
      <t>mm</t>
    </r>
    <r>
      <rPr>
        <vertAlign val="superscript"/>
        <sz val="12"/>
        <color theme="0"/>
        <rFont val="SupremeLLTT-Light"/>
      </rPr>
      <t>4</t>
    </r>
    <r>
      <rPr>
        <sz val="12"/>
        <color theme="0"/>
        <rFont val="SupremeLLTT-Light"/>
      </rPr>
      <t>)</t>
    </r>
  </si>
  <si>
    <t>Circular</t>
  </si>
  <si>
    <t>Rectangular</t>
  </si>
  <si>
    <t>Square</t>
  </si>
  <si>
    <t>Angle</t>
  </si>
  <si>
    <t>A</t>
  </si>
  <si>
    <t>min (rad)</t>
  </si>
  <si>
    <r>
      <t>f</t>
    </r>
    <r>
      <rPr>
        <i/>
        <vertAlign val="subscript"/>
        <sz val="12"/>
        <color theme="0"/>
        <rFont val="Times New Roman"/>
        <family val="1"/>
      </rPr>
      <t>s</t>
    </r>
  </si>
  <si>
    <r>
      <t>f</t>
    </r>
    <r>
      <rPr>
        <i/>
        <vertAlign val="subscript"/>
        <sz val="12"/>
        <color theme="0"/>
        <rFont val="Times New Roman"/>
        <family val="1"/>
      </rPr>
      <t>b</t>
    </r>
  </si>
  <si>
    <r>
      <t>f</t>
    </r>
    <r>
      <rPr>
        <i/>
        <vertAlign val="subscript"/>
        <sz val="12"/>
        <color theme="0"/>
        <rFont val="Times New Roman"/>
        <family val="1"/>
      </rPr>
      <t>j</t>
    </r>
  </si>
  <si>
    <r>
      <t>f</t>
    </r>
    <r>
      <rPr>
        <vertAlign val="subscript"/>
        <sz val="12"/>
        <color theme="0"/>
        <rFont val="Times New Roman Italic"/>
      </rPr>
      <t>t</t>
    </r>
    <r>
      <rPr>
        <sz val="12"/>
        <color theme="0"/>
        <rFont val="Times New Roman Italic"/>
      </rPr>
      <t xml:space="preserve"> </t>
    </r>
  </si>
  <si>
    <r>
      <t>x</t>
    </r>
    <r>
      <rPr>
        <sz val="12"/>
        <color theme="0"/>
        <rFont val="Supreme LL TT Book"/>
      </rPr>
      <t xml:space="preserve"> (kN mm)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</si>
</sst>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 (Body)"/>
    </font>
    <font>
      <b/>
      <sz val="16"/>
      <color theme="1"/>
      <name val="Calibri"/>
      <family val="2"/>
      <scheme val="minor"/>
    </font>
    <font>
      <sz val="12"/>
      <color theme="0"/>
      <name val="Calibri (Body)"/>
    </font>
    <font>
      <i/>
      <vertAlign val="superscript"/>
      <sz val="12"/>
      <color theme="0"/>
      <name val="Calibri (Body)"/>
    </font>
    <font>
      <vertAlign val="subscript"/>
      <sz val="12"/>
      <color theme="0"/>
      <name val="Calibri (Body)"/>
    </font>
    <font>
      <vertAlign val="superscript"/>
      <sz val="12"/>
      <color theme="0"/>
      <name val="Calibri (Body)"/>
    </font>
    <font>
      <b/>
      <sz val="11"/>
      <color theme="1"/>
      <name val="Calibri (Body)"/>
    </font>
    <font>
      <b/>
      <sz val="16"/>
      <color theme="1"/>
      <name val="SupremeLLTT-Regular"/>
    </font>
    <font>
      <sz val="12"/>
      <color theme="1"/>
      <name val="SupremeLLTT-Regular"/>
    </font>
    <font>
      <sz val="12"/>
      <color theme="0"/>
      <name val="SupremeLLTT-Regular"/>
    </font>
    <font>
      <b/>
      <sz val="12"/>
      <color theme="0"/>
      <name val="SupremeLLTT-Regular"/>
    </font>
    <font>
      <sz val="11"/>
      <color theme="1"/>
      <name val="Calibri"/>
      <family val="2"/>
      <scheme val="minor"/>
    </font>
    <font>
      <sz val="12"/>
      <color theme="0"/>
      <name val="SupremeLLTT-Light"/>
    </font>
    <font>
      <vertAlign val="superscript"/>
      <sz val="12"/>
      <color theme="0"/>
      <name val="SupremeLLTT-Light"/>
    </font>
    <font>
      <sz val="12"/>
      <color theme="1"/>
      <name val="SupremeLLTT-Light"/>
    </font>
    <font>
      <sz val="11"/>
      <color theme="0"/>
      <name val="SupremeLLTT-Light"/>
    </font>
    <font>
      <vertAlign val="superscript"/>
      <sz val="11"/>
      <color theme="0"/>
      <name val="SupremeLLTT-Light"/>
    </font>
    <font>
      <sz val="11"/>
      <color theme="1"/>
      <name val="SupremeLLTT-Light"/>
    </font>
    <font>
      <vertAlign val="subscript"/>
      <sz val="12"/>
      <color theme="0"/>
      <name val="SupremeLLTT-Light"/>
    </font>
    <font>
      <sz val="48"/>
      <color theme="1"/>
      <name val="SupremeLLTT-Book"/>
    </font>
    <font>
      <sz val="12"/>
      <color theme="1"/>
      <name val="SupremeLLTT-Book"/>
    </font>
    <font>
      <b/>
      <sz val="12"/>
      <color theme="1"/>
      <name val="SupremeLLTT-Book"/>
    </font>
    <font>
      <b/>
      <sz val="16"/>
      <color theme="1"/>
      <name val="SupremeLLTT-Book"/>
    </font>
    <font>
      <b/>
      <sz val="12"/>
      <color theme="0"/>
      <name val="SupremeLLTT-Light"/>
    </font>
    <font>
      <b/>
      <sz val="11"/>
      <color theme="0"/>
      <name val="SupremeLLTT-Light"/>
    </font>
    <font>
      <b/>
      <vertAlign val="superscript"/>
      <sz val="11"/>
      <color theme="0"/>
      <name val="SupremeLLTT-Light"/>
    </font>
    <font>
      <sz val="14"/>
      <color theme="1"/>
      <name val="SupremeLLTT-Book"/>
    </font>
    <font>
      <sz val="11"/>
      <color theme="1"/>
      <name val="SupremeLLTT-Book"/>
    </font>
    <font>
      <vertAlign val="subscript"/>
      <sz val="11"/>
      <color theme="0"/>
      <name val="SupremeLLTT-Light"/>
    </font>
    <font>
      <sz val="12"/>
      <color theme="0"/>
      <name val="SupremeLLTT-Book"/>
    </font>
    <font>
      <i/>
      <sz val="12"/>
      <color theme="0"/>
      <name val="Times New Roman"/>
      <family val="1"/>
    </font>
    <font>
      <i/>
      <vertAlign val="subscript"/>
      <sz val="12"/>
      <color theme="0"/>
      <name val="Times New Roman"/>
      <family val="1"/>
    </font>
    <font>
      <sz val="12"/>
      <color theme="0"/>
      <name val="Times New Roman Italic"/>
    </font>
    <font>
      <vertAlign val="subscript"/>
      <sz val="12"/>
      <color theme="0"/>
      <name val="Times New Roman Italic"/>
    </font>
    <font>
      <sz val="12"/>
      <color theme="1"/>
      <name val="Times Italic"/>
    </font>
    <font>
      <sz val="12"/>
      <color theme="0"/>
      <name val="Times Italic"/>
    </font>
    <font>
      <sz val="12"/>
      <color theme="0"/>
      <name val="Supreme LL TT Book"/>
    </font>
  </fonts>
  <fills count="7">
    <fill>
      <patternFill patternType="none"/>
    </fill>
    <fill>
      <patternFill patternType="gray125"/>
    </fill>
    <fill>
      <patternFill patternType="solid">
        <fgColor rgb="FFCED0D7"/>
        <bgColor indexed="64"/>
      </patternFill>
    </fill>
    <fill>
      <patternFill patternType="solid">
        <fgColor rgb="FF43454E"/>
        <bgColor indexed="64"/>
      </patternFill>
    </fill>
    <fill>
      <patternFill patternType="solid">
        <fgColor rgb="FFCCCC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B8AA"/>
        <bgColor indexed="64"/>
      </patternFill>
    </fill>
  </fills>
  <borders count="56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dashDot">
        <color theme="0"/>
      </right>
      <top/>
      <bottom style="dashDot">
        <color theme="0"/>
      </bottom>
      <diagonal/>
    </border>
    <border>
      <left style="dashDot">
        <color theme="0"/>
      </left>
      <right style="dashDot">
        <color theme="0"/>
      </right>
      <top/>
      <bottom style="dashDot">
        <color theme="0"/>
      </bottom>
      <diagonal/>
    </border>
    <border>
      <left/>
      <right style="dashDot">
        <color theme="0"/>
      </right>
      <top style="dashDot">
        <color theme="0"/>
      </top>
      <bottom style="dashDot">
        <color theme="0"/>
      </bottom>
      <diagonal/>
    </border>
    <border>
      <left style="dashDot">
        <color theme="0"/>
      </left>
      <right style="dashDot">
        <color theme="0"/>
      </right>
      <top style="dashDot">
        <color theme="0"/>
      </top>
      <bottom style="dashDot">
        <color theme="0"/>
      </bottom>
      <diagonal/>
    </border>
    <border>
      <left style="dashDot">
        <color theme="0"/>
      </left>
      <right style="medium">
        <color theme="1"/>
      </right>
      <top style="dashDot">
        <color theme="0"/>
      </top>
      <bottom style="dashDot">
        <color theme="0"/>
      </bottom>
      <diagonal/>
    </border>
    <border>
      <left style="dashDot">
        <color theme="0"/>
      </left>
      <right style="dashDot">
        <color theme="0"/>
      </right>
      <top style="dashDot">
        <color theme="0"/>
      </top>
      <bottom style="medium">
        <color theme="1"/>
      </bottom>
      <diagonal/>
    </border>
    <border>
      <left style="dashDot">
        <color theme="0"/>
      </left>
      <right style="medium">
        <color theme="1"/>
      </right>
      <top style="dashDot">
        <color theme="0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dashDot">
        <color theme="0"/>
      </right>
      <top style="dashDot">
        <color theme="0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/>
      <top style="thin">
        <color theme="0"/>
      </top>
      <bottom style="medium">
        <color theme="1"/>
      </bottom>
      <diagonal/>
    </border>
    <border>
      <left style="dashDot">
        <color theme="0"/>
      </left>
      <right style="medium">
        <color theme="1"/>
      </right>
      <top/>
      <bottom style="dashDot">
        <color theme="0"/>
      </bottom>
      <diagonal/>
    </border>
    <border>
      <left style="medium">
        <color theme="1"/>
      </left>
      <right/>
      <top style="medium">
        <color theme="1"/>
      </top>
      <bottom style="thin">
        <color theme="0"/>
      </bottom>
      <diagonal/>
    </border>
    <border>
      <left/>
      <right/>
      <top style="medium">
        <color theme="1"/>
      </top>
      <bottom style="thin">
        <color theme="0"/>
      </bottom>
      <diagonal/>
    </border>
    <border>
      <left/>
      <right style="medium">
        <color theme="1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/>
      <top style="thin">
        <color theme="0"/>
      </top>
      <bottom style="medium">
        <color theme="1"/>
      </bottom>
      <diagonal/>
    </border>
    <border>
      <left/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Dot">
        <color theme="0"/>
      </right>
      <top style="medium">
        <color indexed="64"/>
      </top>
      <bottom style="dashDot">
        <color theme="0"/>
      </bottom>
      <diagonal/>
    </border>
    <border>
      <left style="dashDot">
        <color theme="0"/>
      </left>
      <right style="dashDot">
        <color theme="0"/>
      </right>
      <top style="medium">
        <color indexed="64"/>
      </top>
      <bottom style="dashDot">
        <color theme="0"/>
      </bottom>
      <diagonal/>
    </border>
    <border>
      <left style="dashDot">
        <color theme="0"/>
      </left>
      <right style="medium">
        <color indexed="64"/>
      </right>
      <top style="medium">
        <color indexed="64"/>
      </top>
      <bottom style="dashDot">
        <color theme="0"/>
      </bottom>
      <diagonal/>
    </border>
    <border>
      <left style="dashDot">
        <color theme="0"/>
      </left>
      <right style="medium">
        <color indexed="64"/>
      </right>
      <top style="dashDot">
        <color theme="0"/>
      </top>
      <bottom style="dashDot">
        <color theme="0"/>
      </bottom>
      <diagonal/>
    </border>
    <border>
      <left/>
      <right style="dashDot">
        <color theme="0"/>
      </right>
      <top style="dashDot">
        <color theme="0"/>
      </top>
      <bottom style="medium">
        <color indexed="64"/>
      </bottom>
      <diagonal/>
    </border>
    <border>
      <left style="dashDot">
        <color theme="0"/>
      </left>
      <right style="dashDot">
        <color theme="0"/>
      </right>
      <top style="dashDot">
        <color theme="0"/>
      </top>
      <bottom style="medium">
        <color indexed="64"/>
      </bottom>
      <diagonal/>
    </border>
    <border>
      <left style="dashDot">
        <color theme="0"/>
      </left>
      <right style="medium">
        <color indexed="64"/>
      </right>
      <top style="dashDot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3" fillId="3" borderId="23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24" xfId="0" applyBorder="1"/>
    <xf numFmtId="0" fontId="0" fillId="0" borderId="3" xfId="0" applyBorder="1"/>
    <xf numFmtId="0" fontId="0" fillId="0" borderId="2" xfId="0" applyBorder="1"/>
    <xf numFmtId="0" fontId="0" fillId="0" borderId="32" xfId="0" applyBorder="1"/>
    <xf numFmtId="0" fontId="0" fillId="4" borderId="23" xfId="0" applyFill="1" applyBorder="1" applyAlignment="1">
      <alignment horizontal="center" vertical="center"/>
    </xf>
    <xf numFmtId="0" fontId="0" fillId="2" borderId="23" xfId="0" applyFill="1" applyBorder="1"/>
    <xf numFmtId="0" fontId="0" fillId="0" borderId="0" xfId="0" applyAlignment="1">
      <alignment horizontal="right"/>
    </xf>
    <xf numFmtId="0" fontId="3" fillId="3" borderId="23" xfId="0" applyFont="1" applyFill="1" applyBorder="1" applyAlignment="1">
      <alignment horizontal="right"/>
    </xf>
    <xf numFmtId="0" fontId="3" fillId="3" borderId="23" xfId="0" applyFont="1" applyFill="1" applyBorder="1"/>
    <xf numFmtId="0" fontId="0" fillId="0" borderId="23" xfId="0" applyBorder="1" applyAlignment="1">
      <alignment horizontal="center"/>
    </xf>
    <xf numFmtId="1" fontId="0" fillId="2" borderId="23" xfId="0" applyNumberFormat="1" applyFill="1" applyBorder="1" applyAlignment="1">
      <alignment horizontal="center" vertical="center"/>
    </xf>
    <xf numFmtId="1" fontId="2" fillId="2" borderId="23" xfId="0" applyNumberFormat="1" applyFont="1" applyFill="1" applyBorder="1"/>
    <xf numFmtId="0" fontId="0" fillId="5" borderId="0" xfId="0" applyFill="1"/>
    <xf numFmtId="0" fontId="1" fillId="3" borderId="38" xfId="0" applyFont="1" applyFill="1" applyBorder="1" applyAlignment="1">
      <alignment horizontal="center"/>
    </xf>
    <xf numFmtId="0" fontId="0" fillId="5" borderId="9" xfId="0" applyFill="1" applyBorder="1"/>
    <xf numFmtId="0" fontId="0" fillId="5" borderId="8" xfId="0" applyFill="1" applyBorder="1"/>
    <xf numFmtId="0" fontId="0" fillId="5" borderId="15" xfId="0" applyFill="1" applyBorder="1"/>
    <xf numFmtId="0" fontId="0" fillId="5" borderId="13" xfId="0" applyFill="1" applyBorder="1"/>
    <xf numFmtId="0" fontId="0" fillId="0" borderId="14" xfId="0" applyBorder="1"/>
    <xf numFmtId="0" fontId="3" fillId="3" borderId="41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right"/>
    </xf>
    <xf numFmtId="1" fontId="2" fillId="2" borderId="43" xfId="0" applyNumberFormat="1" applyFont="1" applyFill="1" applyBorder="1"/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44" xfId="0" applyFont="1" applyFill="1" applyBorder="1" applyAlignment="1">
      <alignment horizontal="center"/>
    </xf>
    <xf numFmtId="0" fontId="5" fillId="0" borderId="45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Border="1"/>
    <xf numFmtId="0" fontId="0" fillId="3" borderId="0" xfId="0" applyFill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11" fillId="0" borderId="0" xfId="0" applyFont="1" applyBorder="1" applyAlignment="1">
      <alignment horizontal="center" vertical="center"/>
    </xf>
    <xf numFmtId="0" fontId="12" fillId="3" borderId="0" xfId="0" applyFont="1" applyFill="1" applyBorder="1"/>
    <xf numFmtId="0" fontId="13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right"/>
    </xf>
    <xf numFmtId="0" fontId="12" fillId="2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4" fillId="3" borderId="0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/>
    </xf>
    <xf numFmtId="0" fontId="12" fillId="5" borderId="0" xfId="0" applyFont="1" applyFill="1" applyBorder="1"/>
    <xf numFmtId="0" fontId="0" fillId="0" borderId="0" xfId="0" applyAlignment="1">
      <alignment horizontal="left"/>
    </xf>
    <xf numFmtId="0" fontId="0" fillId="0" borderId="0" xfId="0" applyAlignment="1"/>
    <xf numFmtId="0" fontId="3" fillId="3" borderId="47" xfId="0" applyFont="1" applyFill="1" applyBorder="1" applyAlignment="1">
      <alignment horizontal="center"/>
    </xf>
    <xf numFmtId="0" fontId="0" fillId="2" borderId="47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/>
    </xf>
    <xf numFmtId="0" fontId="16" fillId="3" borderId="47" xfId="0" applyFont="1" applyFill="1" applyBorder="1" applyAlignment="1">
      <alignment horizontal="center"/>
    </xf>
    <xf numFmtId="0" fontId="21" fillId="2" borderId="47" xfId="0" applyFont="1" applyFill="1" applyBorder="1" applyAlignment="1">
      <alignment horizontal="center" vertical="center"/>
    </xf>
    <xf numFmtId="0" fontId="18" fillId="2" borderId="47" xfId="0" applyFont="1" applyFill="1" applyBorder="1" applyAlignment="1">
      <alignment horizontal="center"/>
    </xf>
    <xf numFmtId="0" fontId="23" fillId="0" borderId="33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4" fillId="0" borderId="36" xfId="0" applyFont="1" applyBorder="1"/>
    <xf numFmtId="0" fontId="24" fillId="0" borderId="29" xfId="0" applyFont="1" applyBorder="1"/>
    <xf numFmtId="0" fontId="24" fillId="0" borderId="31" xfId="0" applyFont="1" applyBorder="1"/>
    <xf numFmtId="0" fontId="24" fillId="0" borderId="37" xfId="0" applyFont="1" applyBorder="1"/>
    <xf numFmtId="1" fontId="25" fillId="0" borderId="31" xfId="0" applyNumberFormat="1" applyFont="1" applyBorder="1" applyAlignment="1">
      <alignment horizontal="right" vertical="center"/>
    </xf>
    <xf numFmtId="0" fontId="25" fillId="0" borderId="30" xfId="0" applyFont="1" applyBorder="1" applyAlignment="1">
      <alignment horizontal="left" vertical="center"/>
    </xf>
    <xf numFmtId="0" fontId="26" fillId="0" borderId="8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18" fillId="3" borderId="25" xfId="0" applyFont="1" applyFill="1" applyBorder="1"/>
    <xf numFmtId="0" fontId="16" fillId="3" borderId="23" xfId="0" applyFont="1" applyFill="1" applyBorder="1" applyAlignment="1">
      <alignment horizontal="center" vertical="center"/>
    </xf>
    <xf numFmtId="0" fontId="16" fillId="3" borderId="26" xfId="0" applyFon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9" xfId="0" applyFont="1" applyBorder="1" applyAlignment="1">
      <alignment horizontal="center"/>
    </xf>
    <xf numFmtId="0" fontId="27" fillId="3" borderId="2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4" borderId="23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2" borderId="28" xfId="0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3" borderId="25" xfId="0" applyFont="1" applyFill="1" applyBorder="1" applyAlignment="1">
      <alignment horizontal="center"/>
    </xf>
    <xf numFmtId="0" fontId="16" fillId="3" borderId="25" xfId="0" applyFont="1" applyFill="1" applyBorder="1" applyAlignment="1">
      <alignment horizontal="center"/>
    </xf>
    <xf numFmtId="0" fontId="16" fillId="3" borderId="27" xfId="0" applyFont="1" applyFill="1" applyBorder="1" applyAlignment="1">
      <alignment horizontal="center"/>
    </xf>
    <xf numFmtId="0" fontId="19" fillId="3" borderId="47" xfId="0" applyFont="1" applyFill="1" applyBorder="1"/>
    <xf numFmtId="0" fontId="28" fillId="3" borderId="47" xfId="0" applyFont="1" applyFill="1" applyBorder="1" applyAlignment="1">
      <alignment horizontal="center" vertical="center"/>
    </xf>
    <xf numFmtId="0" fontId="21" fillId="3" borderId="47" xfId="0" applyFont="1" applyFill="1" applyBorder="1" applyAlignment="1">
      <alignment horizontal="center"/>
    </xf>
    <xf numFmtId="0" fontId="28" fillId="3" borderId="47" xfId="0" applyFont="1" applyFill="1" applyBorder="1" applyAlignment="1">
      <alignment horizontal="center"/>
    </xf>
    <xf numFmtId="0" fontId="15" fillId="0" borderId="0" xfId="0" applyFont="1"/>
    <xf numFmtId="0" fontId="10" fillId="0" borderId="0" xfId="0" applyFont="1" applyBorder="1" applyAlignment="1">
      <alignment vertical="center"/>
    </xf>
    <xf numFmtId="0" fontId="21" fillId="2" borderId="47" xfId="0" applyFont="1" applyFill="1" applyBorder="1" applyAlignment="1">
      <alignment horizontal="center"/>
    </xf>
    <xf numFmtId="0" fontId="21" fillId="4" borderId="47" xfId="0" applyFont="1" applyFill="1" applyBorder="1" applyAlignment="1">
      <alignment horizontal="center" vertical="center"/>
    </xf>
    <xf numFmtId="0" fontId="21" fillId="4" borderId="47" xfId="0" applyFont="1" applyFill="1" applyBorder="1" applyAlignment="1">
      <alignment horizontal="center"/>
    </xf>
    <xf numFmtId="0" fontId="31" fillId="0" borderId="47" xfId="0" applyFont="1" applyBorder="1" applyAlignment="1">
      <alignment horizontal="center" vertical="center"/>
    </xf>
    <xf numFmtId="1" fontId="21" fillId="2" borderId="47" xfId="0" applyNumberFormat="1" applyFont="1" applyFill="1" applyBorder="1" applyAlignment="1">
      <alignment horizontal="center" vertical="center"/>
    </xf>
    <xf numFmtId="0" fontId="30" fillId="0" borderId="47" xfId="0" applyFont="1" applyBorder="1" applyAlignment="1">
      <alignment horizontal="center" vertical="center"/>
    </xf>
    <xf numFmtId="0" fontId="3" fillId="3" borderId="47" xfId="0" applyFont="1" applyFill="1" applyBorder="1" applyAlignment="1">
      <alignment horizontal="right"/>
    </xf>
    <xf numFmtId="0" fontId="16" fillId="3" borderId="47" xfId="0" applyFont="1" applyFill="1" applyBorder="1" applyAlignment="1">
      <alignment horizontal="right"/>
    </xf>
    <xf numFmtId="0" fontId="18" fillId="6" borderId="47" xfId="0" applyFont="1" applyFill="1" applyBorder="1" applyAlignment="1">
      <alignment horizontal="center"/>
    </xf>
    <xf numFmtId="0" fontId="18" fillId="0" borderId="47" xfId="0" applyFont="1" applyFill="1" applyBorder="1" applyAlignment="1">
      <alignment horizontal="center"/>
    </xf>
    <xf numFmtId="0" fontId="33" fillId="3" borderId="55" xfId="0" applyFont="1" applyFill="1" applyBorder="1" applyAlignment="1">
      <alignment horizontal="right"/>
    </xf>
    <xf numFmtId="0" fontId="16" fillId="3" borderId="55" xfId="0" applyFont="1" applyFill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24" fillId="2" borderId="47" xfId="0" applyFont="1" applyFill="1" applyBorder="1" applyAlignment="1">
      <alignment horizontal="center"/>
    </xf>
    <xf numFmtId="0" fontId="19" fillId="3" borderId="47" xfId="0" applyFont="1" applyFill="1" applyBorder="1" applyAlignment="1">
      <alignment horizontal="right"/>
    </xf>
    <xf numFmtId="0" fontId="19" fillId="3" borderId="47" xfId="0" applyFont="1" applyFill="1" applyBorder="1" applyAlignment="1">
      <alignment horizontal="right" vertical="center"/>
    </xf>
    <xf numFmtId="164" fontId="0" fillId="2" borderId="47" xfId="0" applyNumberFormat="1" applyFill="1" applyBorder="1" applyAlignment="1">
      <alignment horizontal="center" vertical="center"/>
    </xf>
    <xf numFmtId="164" fontId="0" fillId="2" borderId="47" xfId="0" applyNumberFormat="1" applyFill="1" applyBorder="1" applyAlignment="1">
      <alignment horizontal="center"/>
    </xf>
    <xf numFmtId="1" fontId="0" fillId="2" borderId="47" xfId="0" applyNumberFormat="1" applyFill="1" applyBorder="1" applyAlignment="1">
      <alignment horizontal="center"/>
    </xf>
    <xf numFmtId="0" fontId="34" fillId="3" borderId="47" xfId="0" applyFont="1" applyFill="1" applyBorder="1" applyAlignment="1">
      <alignment horizontal="right"/>
    </xf>
    <xf numFmtId="0" fontId="36" fillId="3" borderId="47" xfId="0" applyFont="1" applyFill="1" applyBorder="1" applyAlignment="1">
      <alignment horizontal="right"/>
    </xf>
    <xf numFmtId="0" fontId="33" fillId="3" borderId="47" xfId="0" applyFont="1" applyFill="1" applyBorder="1" applyAlignment="1">
      <alignment horizontal="right"/>
    </xf>
    <xf numFmtId="0" fontId="36" fillId="3" borderId="47" xfId="0" applyFont="1" applyFill="1" applyBorder="1" applyAlignment="1">
      <alignment horizontal="center" vertical="center"/>
    </xf>
    <xf numFmtId="2" fontId="0" fillId="2" borderId="47" xfId="0" applyNumberFormat="1" applyFill="1" applyBorder="1" applyAlignment="1">
      <alignment horizontal="center"/>
    </xf>
    <xf numFmtId="0" fontId="38" fillId="3" borderId="47" xfId="0" applyFont="1" applyFill="1" applyBorder="1" applyAlignment="1">
      <alignment horizontal="center"/>
    </xf>
    <xf numFmtId="0" fontId="39" fillId="3" borderId="47" xfId="0" applyFont="1" applyFill="1" applyBorder="1" applyAlignment="1">
      <alignment horizontal="center"/>
    </xf>
    <xf numFmtId="0" fontId="0" fillId="0" borderId="17" xfId="0" applyBorder="1" applyAlignment="1"/>
    <xf numFmtId="0" fontId="0" fillId="0" borderId="19" xfId="0" applyBorder="1" applyAlignment="1"/>
    <xf numFmtId="0" fontId="0" fillId="0" borderId="21" xfId="0" applyBorder="1" applyAlignment="1"/>
    <xf numFmtId="0" fontId="16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EBB8AA"/>
        </patternFill>
      </fill>
    </dxf>
  </dxfs>
  <tableStyles count="0" defaultTableStyle="TableStyleMedium2" defaultPivotStyle="PivotStyleLight16"/>
  <colors>
    <mruColors>
      <color rgb="FFCED0D7"/>
      <color rgb="FF43454E"/>
      <color rgb="FFEBB8AA"/>
      <color rgb="FFCCCCE5"/>
      <color rgb="FFCBD5EE"/>
      <color rgb="FFDAD6ED"/>
      <color rgb="FFE0DFEC"/>
      <color rgb="FFFFFAEB"/>
      <color rgb="FFC4C6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svg"/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65058</xdr:colOff>
      <xdr:row>3</xdr:row>
      <xdr:rowOff>145143</xdr:rowOff>
    </xdr:from>
    <xdr:to>
      <xdr:col>10</xdr:col>
      <xdr:colOff>175052</xdr:colOff>
      <xdr:row>17</xdr:row>
      <xdr:rowOff>81645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77BA26-8B04-4C97-1A61-93103AC365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607" t="3586" r="13105" b="4357"/>
        <a:stretch/>
      </xdr:blipFill>
      <xdr:spPr>
        <a:xfrm>
          <a:off x="4927344" y="762000"/>
          <a:ext cx="3714997" cy="2794000"/>
        </a:xfrm>
        <a:prstGeom prst="rect">
          <a:avLst/>
        </a:prstGeom>
      </xdr:spPr>
    </xdr:pic>
    <xdr:clientData/>
  </xdr:twoCellAnchor>
  <xdr:oneCellAnchor>
    <xdr:from>
      <xdr:col>12</xdr:col>
      <xdr:colOff>70173</xdr:colOff>
      <xdr:row>3</xdr:row>
      <xdr:rowOff>214</xdr:rowOff>
    </xdr:from>
    <xdr:ext cx="649857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0311F52-88D8-A5D1-3CA3-93A074D95F22}"/>
                </a:ext>
              </a:extLst>
            </xdr:cNvPr>
            <xdr:cNvSpPr txBox="1"/>
          </xdr:nvSpPr>
          <xdr:spPr>
            <a:xfrm>
              <a:off x="10402376" y="624451"/>
              <a:ext cx="649857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0" i="1">
                        <a:latin typeface="Cambria Math" panose="02040503050406030204" pitchFamily="18" charset="0"/>
                      </a:rPr>
                      <m:t>𝑤</m:t>
                    </m:r>
                    <m:r>
                      <a:rPr lang="en-AU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𝐹𝑆</m:t>
                        </m:r>
                      </m:num>
                      <m:den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den>
                    </m:f>
                    <m:sSub>
                      <m:sSub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0311F52-88D8-A5D1-3CA3-93A074D95F22}"/>
                </a:ext>
              </a:extLst>
            </xdr:cNvPr>
            <xdr:cNvSpPr txBox="1"/>
          </xdr:nvSpPr>
          <xdr:spPr>
            <a:xfrm>
              <a:off x="10402376" y="624451"/>
              <a:ext cx="649857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0" i="0">
                  <a:latin typeface="Cambria Math" panose="02040503050406030204" pitchFamily="18" charset="0"/>
                </a:rPr>
                <a:t>𝑤=( 𝐹𝑆)/</a:t>
              </a:r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 </a:t>
              </a:r>
              <a:r>
                <a:rPr lang="en-AU" sz="1100" b="0" i="0">
                  <a:latin typeface="Cambria Math" panose="02040503050406030204" pitchFamily="18" charset="0"/>
                </a:rPr>
                <a:t>𝑓_𝑠</a:t>
              </a:r>
              <a:endParaRPr lang="en-GB" sz="1100"/>
            </a:p>
          </xdr:txBody>
        </xdr:sp>
      </mc:Fallback>
    </mc:AlternateContent>
    <xdr:clientData/>
  </xdr:oneCellAnchor>
  <xdr:twoCellAnchor editAs="oneCell">
    <xdr:from>
      <xdr:col>11</xdr:col>
      <xdr:colOff>814369</xdr:colOff>
      <xdr:row>8</xdr:row>
      <xdr:rowOff>4066</xdr:rowOff>
    </xdr:from>
    <xdr:to>
      <xdr:col>17</xdr:col>
      <xdr:colOff>23082</xdr:colOff>
      <xdr:row>17</xdr:row>
      <xdr:rowOff>82704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23F278-76DA-F1FD-A5DB-857331DAB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03940" y="1715568"/>
          <a:ext cx="4340253" cy="1893704"/>
        </a:xfrm>
        <a:prstGeom prst="rect">
          <a:avLst/>
        </a:prstGeom>
      </xdr:spPr>
    </xdr:pic>
    <xdr:clientData/>
  </xdr:twoCellAnchor>
  <xdr:twoCellAnchor editAs="oneCell">
    <xdr:from>
      <xdr:col>12</xdr:col>
      <xdr:colOff>35989</xdr:colOff>
      <xdr:row>17</xdr:row>
      <xdr:rowOff>132447</xdr:rowOff>
    </xdr:from>
    <xdr:to>
      <xdr:col>21</xdr:col>
      <xdr:colOff>86789</xdr:colOff>
      <xdr:row>37</xdr:row>
      <xdr:rowOff>150488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B042E93-B887-DA34-FF19-273CC1581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48389" y="3668127"/>
          <a:ext cx="7680960" cy="6714841"/>
        </a:xfrm>
        <a:prstGeom prst="rect">
          <a:avLst/>
        </a:prstGeom>
      </xdr:spPr>
    </xdr:pic>
    <xdr:clientData/>
  </xdr:twoCellAnchor>
  <xdr:twoCellAnchor editAs="oneCell">
    <xdr:from>
      <xdr:col>1</xdr:col>
      <xdr:colOff>650598</xdr:colOff>
      <xdr:row>18</xdr:row>
      <xdr:rowOff>61381</xdr:rowOff>
    </xdr:from>
    <xdr:to>
      <xdr:col>10</xdr:col>
      <xdr:colOff>37748</xdr:colOff>
      <xdr:row>18</xdr:row>
      <xdr:rowOff>2110956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63F5EB11-E116-4AA8-D59C-3C411F381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870731" y="7893048"/>
          <a:ext cx="7178145" cy="2049575"/>
        </a:xfrm>
        <a:prstGeom prst="rect">
          <a:avLst/>
        </a:prstGeom>
      </xdr:spPr>
    </xdr:pic>
    <xdr:clientData/>
  </xdr:twoCellAnchor>
  <xdr:twoCellAnchor editAs="oneCell">
    <xdr:from>
      <xdr:col>14</xdr:col>
      <xdr:colOff>786725</xdr:colOff>
      <xdr:row>110</xdr:row>
      <xdr:rowOff>168583</xdr:rowOff>
    </xdr:from>
    <xdr:to>
      <xdr:col>16</xdr:col>
      <xdr:colOff>298620</xdr:colOff>
      <xdr:row>115</xdr:row>
      <xdr:rowOff>160377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E4156149-A6A0-5C92-FD35-841FEE8BD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019365" y="22916823"/>
          <a:ext cx="1137493" cy="1007796"/>
        </a:xfrm>
        <a:prstGeom prst="rect">
          <a:avLst/>
        </a:prstGeom>
      </xdr:spPr>
    </xdr:pic>
    <xdr:clientData/>
  </xdr:twoCellAnchor>
  <xdr:twoCellAnchor editAs="oneCell">
    <xdr:from>
      <xdr:col>8</xdr:col>
      <xdr:colOff>663097</xdr:colOff>
      <xdr:row>72</xdr:row>
      <xdr:rowOff>101150</xdr:rowOff>
    </xdr:from>
    <xdr:to>
      <xdr:col>10</xdr:col>
      <xdr:colOff>71980</xdr:colOff>
      <xdr:row>78</xdr:row>
      <xdr:rowOff>52131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2D22016F-5363-FDFC-AE27-47911A53F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957977" y="15534190"/>
          <a:ext cx="1110565" cy="1275394"/>
        </a:xfrm>
        <a:prstGeom prst="rect">
          <a:avLst/>
        </a:prstGeom>
      </xdr:spPr>
    </xdr:pic>
    <xdr:clientData/>
  </xdr:twoCellAnchor>
  <xdr:twoCellAnchor editAs="oneCell">
    <xdr:from>
      <xdr:col>1</xdr:col>
      <xdr:colOff>18306</xdr:colOff>
      <xdr:row>61</xdr:row>
      <xdr:rowOff>26701</xdr:rowOff>
    </xdr:from>
    <xdr:to>
      <xdr:col>1</xdr:col>
      <xdr:colOff>1065697</xdr:colOff>
      <xdr:row>61</xdr:row>
      <xdr:rowOff>749699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32C0B63B-FC38-F25C-367F-0B5D58DD6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099051" y="9663760"/>
          <a:ext cx="1047391" cy="717057"/>
        </a:xfrm>
        <a:prstGeom prst="rect">
          <a:avLst/>
        </a:prstGeom>
      </xdr:spPr>
    </xdr:pic>
    <xdr:clientData/>
  </xdr:twoCellAnchor>
  <xdr:twoCellAnchor editAs="oneCell">
    <xdr:from>
      <xdr:col>1</xdr:col>
      <xdr:colOff>53987</xdr:colOff>
      <xdr:row>60</xdr:row>
      <xdr:rowOff>21050</xdr:rowOff>
    </xdr:from>
    <xdr:to>
      <xdr:col>1</xdr:col>
      <xdr:colOff>1030041</xdr:colOff>
      <xdr:row>60</xdr:row>
      <xdr:rowOff>889955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65B425A8-DD1A-B38B-3248-F29B6E985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67347" y="12731210"/>
          <a:ext cx="976054" cy="859994"/>
        </a:xfrm>
        <a:prstGeom prst="rect">
          <a:avLst/>
        </a:prstGeom>
      </xdr:spPr>
    </xdr:pic>
    <xdr:clientData/>
  </xdr:twoCellAnchor>
  <xdr:twoCellAnchor editAs="oneCell">
    <xdr:from>
      <xdr:col>1</xdr:col>
      <xdr:colOff>110807</xdr:colOff>
      <xdr:row>62</xdr:row>
      <xdr:rowOff>20126</xdr:rowOff>
    </xdr:from>
    <xdr:to>
      <xdr:col>1</xdr:col>
      <xdr:colOff>974407</xdr:colOff>
      <xdr:row>62</xdr:row>
      <xdr:rowOff>1022969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243CD1C7-D955-1DF9-A65D-94B545CC3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91552" y="10419185"/>
          <a:ext cx="863600" cy="990174"/>
        </a:xfrm>
        <a:prstGeom prst="rect">
          <a:avLst/>
        </a:prstGeom>
      </xdr:spPr>
    </xdr:pic>
    <xdr:clientData/>
  </xdr:twoCellAnchor>
  <xdr:oneCellAnchor>
    <xdr:from>
      <xdr:col>15</xdr:col>
      <xdr:colOff>18306</xdr:colOff>
      <xdr:row>136</xdr:row>
      <xdr:rowOff>26701</xdr:rowOff>
    </xdr:from>
    <xdr:ext cx="1047391" cy="717057"/>
    <xdr:pic>
      <xdr:nvPicPr>
        <xdr:cNvPr id="13" name="Graphic 12">
          <a:extLst>
            <a:ext uri="{FF2B5EF4-FFF2-40B4-BE49-F238E27FC236}">
              <a16:creationId xmlns:a16="http://schemas.microsoft.com/office/drawing/2014/main" id="{05711EA6-4AAA-D44E-B4CD-42A891B44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38439" y="13387101"/>
          <a:ext cx="1047391" cy="717057"/>
        </a:xfrm>
        <a:prstGeom prst="rect">
          <a:avLst/>
        </a:prstGeom>
      </xdr:spPr>
    </xdr:pic>
    <xdr:clientData/>
  </xdr:oneCellAnchor>
  <xdr:oneCellAnchor>
    <xdr:from>
      <xdr:col>15</xdr:col>
      <xdr:colOff>53987</xdr:colOff>
      <xdr:row>135</xdr:row>
      <xdr:rowOff>21050</xdr:rowOff>
    </xdr:from>
    <xdr:ext cx="976054" cy="859994"/>
    <xdr:pic>
      <xdr:nvPicPr>
        <xdr:cNvPr id="14" name="Graphic 13">
          <a:extLst>
            <a:ext uri="{FF2B5EF4-FFF2-40B4-BE49-F238E27FC236}">
              <a16:creationId xmlns:a16="http://schemas.microsoft.com/office/drawing/2014/main" id="{A36A01D1-30F1-D740-A945-4F546CEB3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74120" y="12483983"/>
          <a:ext cx="976054" cy="859994"/>
        </a:xfrm>
        <a:prstGeom prst="rect">
          <a:avLst/>
        </a:prstGeom>
      </xdr:spPr>
    </xdr:pic>
    <xdr:clientData/>
  </xdr:oneCellAnchor>
  <xdr:oneCellAnchor>
    <xdr:from>
      <xdr:col>15</xdr:col>
      <xdr:colOff>110807</xdr:colOff>
      <xdr:row>137</xdr:row>
      <xdr:rowOff>20126</xdr:rowOff>
    </xdr:from>
    <xdr:ext cx="863600" cy="997644"/>
    <xdr:pic>
      <xdr:nvPicPr>
        <xdr:cNvPr id="15" name="Graphic 14">
          <a:extLst>
            <a:ext uri="{FF2B5EF4-FFF2-40B4-BE49-F238E27FC236}">
              <a16:creationId xmlns:a16="http://schemas.microsoft.com/office/drawing/2014/main" id="{A2402786-549D-4B4A-8A24-32AF9526B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330940" y="14142526"/>
          <a:ext cx="863600" cy="99764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65058</xdr:colOff>
      <xdr:row>1</xdr:row>
      <xdr:rowOff>145143</xdr:rowOff>
    </xdr:from>
    <xdr:to>
      <xdr:col>9</xdr:col>
      <xdr:colOff>473293</xdr:colOff>
      <xdr:row>15</xdr:row>
      <xdr:rowOff>145144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0DA829-F662-EF46-902F-DCE1ED3026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607" t="3586" r="13105" b="4357"/>
        <a:stretch/>
      </xdr:blipFill>
      <xdr:spPr>
        <a:xfrm>
          <a:off x="4929158" y="3637643"/>
          <a:ext cx="3710235" cy="2844801"/>
        </a:xfrm>
        <a:prstGeom prst="rect">
          <a:avLst/>
        </a:prstGeom>
      </xdr:spPr>
    </xdr:pic>
    <xdr:clientData/>
  </xdr:twoCellAnchor>
  <xdr:twoCellAnchor editAs="oneCell">
    <xdr:from>
      <xdr:col>4</xdr:col>
      <xdr:colOff>715252</xdr:colOff>
      <xdr:row>16</xdr:row>
      <xdr:rowOff>84097</xdr:rowOff>
    </xdr:from>
    <xdr:to>
      <xdr:col>7</xdr:col>
      <xdr:colOff>191569</xdr:colOff>
      <xdr:row>26</xdr:row>
      <xdr:rowOff>198727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EA470B6C-E60B-371A-320E-94760412D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336326" y="3358808"/>
          <a:ext cx="2117777" cy="21438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90458</xdr:colOff>
      <xdr:row>3</xdr:row>
      <xdr:rowOff>132443</xdr:rowOff>
    </xdr:from>
    <xdr:to>
      <xdr:col>10</xdr:col>
      <xdr:colOff>276652</xdr:colOff>
      <xdr:row>17</xdr:row>
      <xdr:rowOff>132445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15BE00-F485-4148-9EC6-0D19678AD7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607" t="3586" r="13105" b="4357"/>
        <a:stretch/>
      </xdr:blipFill>
      <xdr:spPr>
        <a:xfrm>
          <a:off x="4217958" y="3421743"/>
          <a:ext cx="3704094" cy="28448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5525-325B-A249-BAE0-CE6DC71C0E1F}">
  <sheetPr codeName="Sheet1"/>
  <dimension ref="B1:X138"/>
  <sheetViews>
    <sheetView tabSelected="1" topLeftCell="A2" zoomScale="139" zoomScaleNormal="17" workbookViewId="0">
      <selection activeCell="D76" sqref="D76"/>
    </sheetView>
  </sheetViews>
  <sheetFormatPr baseColWidth="10" defaultRowHeight="16"/>
  <cols>
    <col min="1" max="1" width="2.83203125" customWidth="1"/>
    <col min="2" max="2" width="15.83203125" bestFit="1" customWidth="1"/>
    <col min="3" max="3" width="12.1640625" bestFit="1" customWidth="1"/>
    <col min="4" max="4" width="14.33203125" customWidth="1"/>
    <col min="5" max="5" width="12.33203125" bestFit="1" customWidth="1"/>
    <col min="6" max="6" width="12.1640625" bestFit="1" customWidth="1"/>
    <col min="7" max="7" width="10.33203125" bestFit="1" customWidth="1"/>
    <col min="8" max="8" width="8.1640625" bestFit="1" customWidth="1"/>
    <col min="9" max="9" width="2.83203125" customWidth="1"/>
    <col min="10" max="10" width="13.6640625" bestFit="1" customWidth="1"/>
    <col min="11" max="11" width="3.5" customWidth="1"/>
    <col min="12" max="12" width="2.83203125" customWidth="1"/>
    <col min="13" max="13" width="14.33203125" customWidth="1"/>
    <col min="15" max="15" width="10.5" customWidth="1"/>
    <col min="17" max="17" width="10.33203125" customWidth="1"/>
  </cols>
  <sheetData>
    <row r="1" spans="2:17" ht="16" customHeight="1" thickBot="1"/>
    <row r="2" spans="2:17" ht="316" customHeight="1">
      <c r="B2" s="79" t="str">
        <f>_xlfn.CONCAT("Mechanical Design Bolt", CHAR(10),"and", CHAR(10)," Welding Report")</f>
        <v>Mechanical Design Bolt
and
 Welding Report</v>
      </c>
      <c r="C2" s="80"/>
      <c r="D2" s="80"/>
      <c r="E2" s="80"/>
      <c r="F2" s="80"/>
      <c r="G2" s="80"/>
      <c r="H2" s="80"/>
      <c r="I2" s="80"/>
      <c r="J2" s="80"/>
      <c r="K2" s="81"/>
    </row>
    <row r="3" spans="2:17" ht="38" customHeight="1" thickBot="1">
      <c r="B3" s="82"/>
      <c r="C3" s="83"/>
      <c r="D3" s="83"/>
      <c r="E3" s="83"/>
      <c r="F3" s="84"/>
      <c r="G3" s="84"/>
      <c r="H3" s="83"/>
      <c r="I3" s="85"/>
      <c r="J3" s="86">
        <v>470205736</v>
      </c>
      <c r="K3" s="87" t="s">
        <v>18</v>
      </c>
      <c r="M3" s="36" t="s">
        <v>19</v>
      </c>
      <c r="N3" s="36"/>
      <c r="O3" s="36"/>
      <c r="P3" s="36"/>
      <c r="Q3" s="36"/>
    </row>
    <row r="4" spans="2:17" ht="21" customHeight="1">
      <c r="B4" s="88" t="s">
        <v>0</v>
      </c>
      <c r="C4" s="89"/>
      <c r="D4" s="89"/>
      <c r="E4" s="90"/>
      <c r="F4" s="3"/>
      <c r="G4" s="4"/>
      <c r="H4" s="4"/>
      <c r="I4" s="4"/>
      <c r="J4" s="4"/>
      <c r="K4" s="15"/>
      <c r="N4" t="s">
        <v>9</v>
      </c>
    </row>
    <row r="5" spans="2:17" ht="16" customHeight="1">
      <c r="B5" s="88"/>
      <c r="C5" s="89"/>
      <c r="D5" s="89"/>
      <c r="E5" s="90"/>
      <c r="F5" s="5"/>
      <c r="G5" s="6"/>
      <c r="H5" s="6"/>
      <c r="I5" s="6"/>
      <c r="J5" s="6"/>
      <c r="K5" s="7"/>
      <c r="N5" t="s">
        <v>10</v>
      </c>
    </row>
    <row r="6" spans="2:17">
      <c r="B6" s="116"/>
      <c r="C6" s="92" t="s">
        <v>53</v>
      </c>
      <c r="D6" s="92" t="s">
        <v>54</v>
      </c>
      <c r="E6" s="93" t="s">
        <v>55</v>
      </c>
      <c r="F6" s="5"/>
      <c r="G6" s="6"/>
      <c r="H6" s="6"/>
      <c r="I6" s="6"/>
      <c r="J6" s="6"/>
      <c r="K6" s="7"/>
      <c r="N6" t="s">
        <v>11</v>
      </c>
    </row>
    <row r="7" spans="2:17">
      <c r="B7" s="117" t="s">
        <v>1</v>
      </c>
      <c r="C7" s="94">
        <v>400</v>
      </c>
      <c r="D7" s="94">
        <v>350</v>
      </c>
      <c r="E7" s="95">
        <v>16</v>
      </c>
      <c r="F7" s="5"/>
      <c r="G7" s="6"/>
      <c r="H7" s="6"/>
      <c r="I7" s="6"/>
      <c r="J7" s="6"/>
      <c r="K7" s="7"/>
    </row>
    <row r="8" spans="2:17">
      <c r="B8" s="117" t="s">
        <v>2</v>
      </c>
      <c r="C8" s="94">
        <v>500</v>
      </c>
      <c r="D8" s="94">
        <v>500</v>
      </c>
      <c r="E8" s="95">
        <v>16</v>
      </c>
      <c r="F8" s="5"/>
      <c r="G8" s="6"/>
      <c r="H8" s="6"/>
      <c r="I8" s="6"/>
      <c r="J8" s="6"/>
      <c r="K8" s="7"/>
      <c r="N8" s="36" t="s">
        <v>12</v>
      </c>
      <c r="O8" s="36"/>
      <c r="P8" s="36" t="s">
        <v>13</v>
      </c>
      <c r="Q8" s="36"/>
    </row>
    <row r="9" spans="2:17">
      <c r="B9" s="96"/>
      <c r="C9" s="97"/>
      <c r="D9" s="97"/>
      <c r="E9" s="98"/>
      <c r="F9" s="5"/>
      <c r="G9" s="6"/>
      <c r="H9" s="6"/>
      <c r="I9" s="6"/>
      <c r="J9" s="6"/>
      <c r="K9" s="7"/>
    </row>
    <row r="10" spans="2:17">
      <c r="B10" s="91"/>
      <c r="C10" s="99" t="s">
        <v>7</v>
      </c>
      <c r="D10" s="100"/>
      <c r="E10" s="101"/>
      <c r="F10" s="5"/>
      <c r="G10" s="6"/>
      <c r="H10" s="6"/>
      <c r="I10" s="6"/>
      <c r="J10" s="6"/>
      <c r="K10" s="7"/>
    </row>
    <row r="11" spans="2:17">
      <c r="B11" s="117" t="s">
        <v>3</v>
      </c>
      <c r="C11" s="94">
        <v>1500</v>
      </c>
      <c r="D11" s="102"/>
      <c r="E11" s="103"/>
      <c r="F11" s="5"/>
      <c r="G11" s="6"/>
      <c r="H11" s="6"/>
      <c r="I11" s="6"/>
      <c r="J11" s="6"/>
      <c r="K11" s="7"/>
    </row>
    <row r="12" spans="2:17">
      <c r="B12" s="117" t="s">
        <v>5</v>
      </c>
      <c r="C12" s="94">
        <f>150 + MOD(SID, 100)</f>
        <v>186</v>
      </c>
      <c r="D12" s="102"/>
      <c r="E12" s="103"/>
      <c r="F12" s="5"/>
      <c r="G12" s="6"/>
      <c r="H12" s="6"/>
      <c r="I12" s="6"/>
      <c r="J12" s="6"/>
      <c r="K12" s="7"/>
    </row>
    <row r="13" spans="2:17">
      <c r="B13" s="117" t="s">
        <v>6</v>
      </c>
      <c r="C13" s="94">
        <v>16</v>
      </c>
      <c r="D13" s="104"/>
      <c r="E13" s="105"/>
      <c r="F13" s="5"/>
      <c r="G13" s="6"/>
      <c r="H13" s="6"/>
      <c r="I13" s="6"/>
      <c r="J13" s="6"/>
      <c r="K13" s="7"/>
    </row>
    <row r="14" spans="2:17">
      <c r="B14" s="96"/>
      <c r="C14" s="97"/>
      <c r="D14" s="106"/>
      <c r="E14" s="107"/>
      <c r="F14" s="5"/>
      <c r="G14" s="6"/>
      <c r="H14" s="6"/>
      <c r="I14" s="6"/>
      <c r="J14" s="6"/>
      <c r="K14" s="7"/>
    </row>
    <row r="15" spans="2:17">
      <c r="B15" s="117" t="s">
        <v>4</v>
      </c>
      <c r="C15" s="108">
        <v>1.5</v>
      </c>
      <c r="D15" s="109"/>
      <c r="E15" s="110"/>
      <c r="F15" s="5"/>
      <c r="G15" s="6"/>
      <c r="H15" s="6"/>
      <c r="I15" s="6"/>
      <c r="J15" s="6"/>
      <c r="K15" s="7"/>
    </row>
    <row r="16" spans="2:17">
      <c r="B16" s="96"/>
      <c r="C16" s="97"/>
      <c r="D16" s="111"/>
      <c r="E16" s="112"/>
      <c r="F16" s="5"/>
      <c r="G16" s="6"/>
      <c r="H16" s="6"/>
      <c r="I16" s="6"/>
      <c r="J16" s="6"/>
      <c r="K16" s="7"/>
    </row>
    <row r="17" spans="2:12">
      <c r="B17" s="91"/>
      <c r="C17" s="99" t="s">
        <v>8</v>
      </c>
      <c r="D17" s="111"/>
      <c r="E17" s="112"/>
      <c r="F17" s="5"/>
      <c r="G17" s="6"/>
      <c r="H17" s="6"/>
      <c r="I17" s="6"/>
      <c r="J17" s="6"/>
      <c r="K17" s="7"/>
    </row>
    <row r="18" spans="2:12" ht="17" thickBot="1">
      <c r="B18" s="118" t="s">
        <v>29</v>
      </c>
      <c r="C18" s="113">
        <f>IF(MOD(SID, 2), -5,5)</f>
        <v>5</v>
      </c>
      <c r="D18" s="114"/>
      <c r="E18" s="115"/>
      <c r="F18" s="12"/>
      <c r="G18" s="8"/>
      <c r="H18" s="8"/>
      <c r="I18" s="8"/>
      <c r="J18" s="8"/>
      <c r="K18" s="9"/>
    </row>
    <row r="19" spans="2:12" ht="168" customHeight="1">
      <c r="B19" s="38"/>
      <c r="C19" s="39"/>
      <c r="D19" s="39"/>
      <c r="E19" s="39"/>
      <c r="F19" s="39"/>
      <c r="G19" s="39"/>
      <c r="H19" s="39"/>
      <c r="I19" s="39"/>
      <c r="J19" s="39"/>
      <c r="K19" s="40"/>
    </row>
    <row r="20" spans="2:12" ht="33" customHeight="1">
      <c r="B20" s="130" t="s">
        <v>62</v>
      </c>
      <c r="C20" s="130"/>
      <c r="D20" s="130"/>
      <c r="E20" s="130"/>
      <c r="G20" s="47"/>
      <c r="H20" s="47"/>
      <c r="I20" s="47"/>
      <c r="J20" s="47"/>
      <c r="K20" s="47"/>
    </row>
    <row r="21" spans="2:12" ht="32" customHeight="1">
      <c r="B21" s="128" t="s">
        <v>57</v>
      </c>
      <c r="C21" s="128"/>
      <c r="D21" s="128" t="s">
        <v>61</v>
      </c>
      <c r="E21" s="128"/>
      <c r="F21" s="123"/>
      <c r="G21" s="124"/>
      <c r="H21" s="48"/>
      <c r="I21" s="48"/>
      <c r="J21" s="48"/>
      <c r="K21" s="47"/>
    </row>
    <row r="22" spans="2:12">
      <c r="B22" s="119"/>
      <c r="C22" s="120" t="s">
        <v>40</v>
      </c>
      <c r="D22" s="121"/>
      <c r="E22" s="122" t="s">
        <v>58</v>
      </c>
      <c r="H22" s="47"/>
      <c r="I22" s="47"/>
      <c r="J22" s="47"/>
      <c r="K22" s="47"/>
    </row>
    <row r="23" spans="2:12">
      <c r="B23" s="140" t="s">
        <v>39</v>
      </c>
      <c r="C23" s="77">
        <f>F*HBO</f>
        <v>930</v>
      </c>
      <c r="D23" s="140" t="s">
        <v>56</v>
      </c>
      <c r="E23" s="126">
        <v>80</v>
      </c>
      <c r="H23" s="47"/>
      <c r="I23" s="47"/>
      <c r="J23" s="47"/>
      <c r="K23" s="47"/>
    </row>
    <row r="24" spans="2:12">
      <c r="B24" s="140" t="s">
        <v>52</v>
      </c>
      <c r="C24" s="125">
        <f xml:space="preserve"> F * BL</f>
        <v>7500</v>
      </c>
      <c r="D24" s="141" t="s">
        <v>50</v>
      </c>
      <c r="E24" s="126">
        <v>210</v>
      </c>
      <c r="G24" s="50"/>
      <c r="H24" s="50"/>
      <c r="I24" s="50"/>
      <c r="J24" s="50"/>
      <c r="K24" s="50"/>
    </row>
    <row r="25" spans="2:12" ht="30" customHeight="1">
      <c r="B25" s="128" t="s">
        <v>59</v>
      </c>
      <c r="C25" s="128"/>
      <c r="D25" s="128" t="s">
        <v>60</v>
      </c>
      <c r="E25" s="128"/>
      <c r="G25" s="47"/>
      <c r="H25" s="47"/>
      <c r="I25" s="47"/>
      <c r="J25" s="47"/>
      <c r="K25" s="47"/>
    </row>
    <row r="26" spans="2:12" ht="17">
      <c r="B26" s="141" t="s">
        <v>51</v>
      </c>
      <c r="C26" s="126">
        <v>5</v>
      </c>
      <c r="D26" s="140" t="s">
        <v>63</v>
      </c>
      <c r="E26" s="129">
        <f>(F * BL^3)/(3 * E24 * C26 * 1000000)</f>
        <v>5.3571428571428568</v>
      </c>
      <c r="G26" s="47"/>
      <c r="H26" s="47"/>
      <c r="I26" s="47"/>
      <c r="J26" s="47"/>
      <c r="K26" s="47"/>
    </row>
    <row r="27" spans="2:12">
      <c r="B27" s="140" t="s">
        <v>75</v>
      </c>
      <c r="C27" s="127">
        <v>5.0000000000000001E-3</v>
      </c>
      <c r="D27" s="140" t="s">
        <v>64</v>
      </c>
      <c r="E27" s="77">
        <f>C23 * BL / (E23 * C27 * 1000000)</f>
        <v>3.4874999999999998</v>
      </c>
      <c r="G27" s="47"/>
      <c r="H27" s="47"/>
      <c r="I27" s="47"/>
      <c r="J27" s="47"/>
      <c r="K27" s="47"/>
    </row>
    <row r="28" spans="2:12">
      <c r="B28" s="49"/>
      <c r="C28" s="50"/>
      <c r="D28" s="50"/>
      <c r="G28" s="50"/>
      <c r="H28" s="50"/>
      <c r="I28" s="50"/>
      <c r="J28" s="50"/>
      <c r="K28" s="50"/>
      <c r="L28" s="14"/>
    </row>
    <row r="29" spans="2:12" ht="19">
      <c r="B29" s="132"/>
      <c r="C29" s="76" t="s">
        <v>65</v>
      </c>
      <c r="D29" s="76" t="s">
        <v>66</v>
      </c>
      <c r="E29" s="76" t="s">
        <v>67</v>
      </c>
      <c r="F29" s="76" t="s">
        <v>68</v>
      </c>
      <c r="G29" s="76" t="s">
        <v>69</v>
      </c>
      <c r="H29" s="136" t="s">
        <v>74</v>
      </c>
      <c r="L29" s="13"/>
    </row>
    <row r="30" spans="2:12">
      <c r="B30" s="132" t="s">
        <v>70</v>
      </c>
      <c r="C30" s="133">
        <v>88.9</v>
      </c>
      <c r="D30" s="133"/>
      <c r="E30" s="133">
        <v>5.9</v>
      </c>
      <c r="F30" s="133">
        <v>1.3</v>
      </c>
      <c r="G30" s="133">
        <v>2.66</v>
      </c>
      <c r="H30" s="137">
        <f>PI() *( (C30/2)^2 - (C30/2 - E30)^2)</f>
        <v>1538.4379224629211</v>
      </c>
      <c r="I30" s="134">
        <v>0</v>
      </c>
      <c r="L30" s="13"/>
    </row>
    <row r="31" spans="2:12">
      <c r="B31" s="132" t="s">
        <v>71</v>
      </c>
      <c r="C31" s="78">
        <v>200</v>
      </c>
      <c r="D31" s="78">
        <v>100</v>
      </c>
      <c r="E31" s="78">
        <v>6</v>
      </c>
      <c r="F31" s="78">
        <v>16.7</v>
      </c>
      <c r="G31" s="78">
        <v>14.2</v>
      </c>
      <c r="H31" s="138">
        <f>C31*D31 - (C31 - 2*E31) - (D31 - 2*E31)</f>
        <v>19724</v>
      </c>
      <c r="I31" s="134">
        <v>0</v>
      </c>
      <c r="L31" s="13"/>
    </row>
    <row r="32" spans="2:12">
      <c r="B32" s="132"/>
      <c r="C32" s="78">
        <v>200</v>
      </c>
      <c r="D32" s="78">
        <v>100</v>
      </c>
      <c r="E32" s="78">
        <v>4</v>
      </c>
      <c r="F32" s="78">
        <v>11.9</v>
      </c>
      <c r="G32" s="78">
        <v>9.89</v>
      </c>
      <c r="H32" s="138">
        <f t="shared" ref="H32:H34" si="0">C32*D32 - (C32 - 2*E32) - (D32 - 2*E32)</f>
        <v>19716</v>
      </c>
      <c r="I32" s="134">
        <v>1</v>
      </c>
      <c r="L32" s="13"/>
    </row>
    <row r="33" spans="2:12">
      <c r="B33" s="132"/>
      <c r="C33" s="78">
        <v>150</v>
      </c>
      <c r="D33" s="78">
        <v>100</v>
      </c>
      <c r="E33" s="78">
        <v>6</v>
      </c>
      <c r="F33" s="78">
        <v>8.17</v>
      </c>
      <c r="G33" s="78">
        <v>9.51</v>
      </c>
      <c r="H33" s="138">
        <f t="shared" si="0"/>
        <v>14774</v>
      </c>
      <c r="I33" s="134">
        <v>0</v>
      </c>
      <c r="L33" s="13"/>
    </row>
    <row r="34" spans="2:12">
      <c r="B34" s="132" t="s">
        <v>72</v>
      </c>
      <c r="C34" s="133">
        <v>100</v>
      </c>
      <c r="D34" s="133">
        <v>100</v>
      </c>
      <c r="E34" s="133">
        <v>6</v>
      </c>
      <c r="F34" s="133">
        <v>3.04</v>
      </c>
      <c r="G34" s="133">
        <v>5.15</v>
      </c>
      <c r="H34" s="138">
        <f t="shared" si="0"/>
        <v>9824</v>
      </c>
      <c r="I34" s="134">
        <v>0</v>
      </c>
      <c r="L34" s="13"/>
    </row>
    <row r="35" spans="2:12">
      <c r="B35" s="132" t="s">
        <v>73</v>
      </c>
      <c r="C35" s="133">
        <v>150</v>
      </c>
      <c r="D35" s="133">
        <v>100</v>
      </c>
      <c r="E35" s="133">
        <v>6</v>
      </c>
      <c r="F35" s="133">
        <v>3.42</v>
      </c>
      <c r="G35" s="133">
        <v>17.2</v>
      </c>
      <c r="H35" s="138">
        <f>C35 * D35 - (C35 - E35) * (D35 - E35)</f>
        <v>1464</v>
      </c>
      <c r="I35" s="134">
        <v>0</v>
      </c>
      <c r="L35" s="13"/>
    </row>
    <row r="36" spans="2:12">
      <c r="B36" s="135" t="s">
        <v>20</v>
      </c>
      <c r="C36" s="139">
        <f>SUMPRODUCT($I30:$I35, C30:C35)</f>
        <v>200</v>
      </c>
      <c r="D36" s="139">
        <f>SUMPRODUCT($I30:$I35, D30:D35)</f>
        <v>100</v>
      </c>
      <c r="E36" s="139">
        <f>SUMPRODUCT($I30:$I35, E30:E35)</f>
        <v>4</v>
      </c>
      <c r="F36" s="139">
        <f>SUMPRODUCT($I30:$I35, F30:F35)</f>
        <v>11.9</v>
      </c>
      <c r="G36" s="139">
        <f>SUMPRODUCT($I30:$I35, G30:G35)</f>
        <v>9.89</v>
      </c>
      <c r="H36" s="2"/>
      <c r="L36" s="13"/>
    </row>
    <row r="37" spans="2:12">
      <c r="H37" s="2"/>
      <c r="L37" s="13"/>
    </row>
    <row r="53" spans="2:11">
      <c r="H53" s="46"/>
      <c r="I53" s="46"/>
    </row>
    <row r="54" spans="2:11">
      <c r="H54" s="24"/>
      <c r="I54" s="24"/>
    </row>
    <row r="55" spans="2:11" ht="21">
      <c r="B55" s="43" t="s">
        <v>28</v>
      </c>
      <c r="C55" s="44"/>
      <c r="D55" s="44"/>
      <c r="E55" s="44"/>
      <c r="F55" s="45"/>
      <c r="G55" s="46"/>
      <c r="H55" s="24"/>
      <c r="I55" s="24"/>
      <c r="J55" s="46"/>
      <c r="K55" s="26"/>
    </row>
    <row r="56" spans="2:11">
      <c r="B56" s="24"/>
      <c r="C56" s="10" t="s">
        <v>16</v>
      </c>
      <c r="D56" s="10" t="s">
        <v>17</v>
      </c>
      <c r="E56" s="10" t="s">
        <v>32</v>
      </c>
      <c r="F56" s="24"/>
      <c r="G56" s="24"/>
      <c r="H56" s="24"/>
      <c r="I56" s="24"/>
      <c r="J56" s="24"/>
      <c r="K56" s="26"/>
    </row>
    <row r="57" spans="2:11">
      <c r="B57" s="19" t="s">
        <v>14</v>
      </c>
      <c r="C57" s="16">
        <v>100</v>
      </c>
      <c r="D57" s="16">
        <v>200</v>
      </c>
      <c r="E57" s="16"/>
      <c r="F57" s="24"/>
      <c r="G57" s="24"/>
      <c r="H57" s="24"/>
      <c r="I57" s="24"/>
      <c r="J57" s="24"/>
      <c r="K57" s="26"/>
    </row>
    <row r="58" spans="2:11">
      <c r="B58" s="27"/>
      <c r="C58" s="30"/>
      <c r="D58" s="24"/>
      <c r="E58" s="30"/>
      <c r="F58" s="24"/>
      <c r="G58" s="24"/>
      <c r="I58" s="24"/>
      <c r="J58" s="24"/>
      <c r="K58" s="26"/>
    </row>
    <row r="59" spans="2:11">
      <c r="B59" s="27"/>
      <c r="C59" s="41" t="s">
        <v>15</v>
      </c>
      <c r="D59" s="42"/>
      <c r="E59" s="25" t="s">
        <v>13</v>
      </c>
      <c r="F59" s="24"/>
      <c r="G59" s="24"/>
      <c r="I59" s="24"/>
      <c r="J59" s="24"/>
      <c r="K59" s="26"/>
    </row>
    <row r="60" spans="2:11" ht="20">
      <c r="B60" s="27"/>
      <c r="C60" s="31" t="s">
        <v>24</v>
      </c>
      <c r="D60" s="32" t="s">
        <v>23</v>
      </c>
      <c r="E60" s="32" t="s">
        <v>25</v>
      </c>
      <c r="F60" s="20" t="s">
        <v>30</v>
      </c>
      <c r="G60" s="35" t="s">
        <v>31</v>
      </c>
      <c r="H60" s="20" t="s">
        <v>20</v>
      </c>
      <c r="I60" s="24"/>
      <c r="J60" s="24"/>
      <c r="K60" s="26"/>
    </row>
    <row r="61" spans="2:11" ht="84" customHeight="1">
      <c r="B61" s="21"/>
      <c r="C61" s="22">
        <f xml:space="preserve"> b * d + d^2/3</f>
        <v>33333.333333333336</v>
      </c>
      <c r="D61" s="22"/>
      <c r="E61" s="22">
        <f xml:space="preserve"> (b + d)^ 3/6</f>
        <v>4500000</v>
      </c>
      <c r="F61" s="11">
        <f>d*2 + b*2</f>
        <v>600</v>
      </c>
      <c r="G61" s="17">
        <f>F61 *w</f>
        <v>0</v>
      </c>
      <c r="H61" s="16">
        <v>1</v>
      </c>
      <c r="I61" s="24"/>
      <c r="J61" s="24"/>
      <c r="K61" s="26"/>
    </row>
    <row r="62" spans="2:11" ht="77" customHeight="1" thickBot="1">
      <c r="B62" s="21"/>
      <c r="C62" s="22">
        <f xml:space="preserve"> (2 * b * d + d * d)/3</f>
        <v>26666.666666666668</v>
      </c>
      <c r="D62" s="22">
        <f>d * d * ( 2 * b + d)/ (3 * (b + d))</f>
        <v>17777.777777777777</v>
      </c>
      <c r="E62" s="22">
        <f>POWER(b + 2 * d, 3)/12 - POWER(d*(b + d), 2)/(b + 2 *d)</f>
        <v>3216666.666666666</v>
      </c>
      <c r="F62" s="11">
        <f>d * 2 + b</f>
        <v>500</v>
      </c>
      <c r="G62" s="17">
        <f>F62 *w</f>
        <v>0</v>
      </c>
      <c r="H62" s="16">
        <v>0</v>
      </c>
      <c r="I62" s="28"/>
      <c r="J62" s="24"/>
      <c r="K62" s="26"/>
    </row>
    <row r="63" spans="2:11" ht="81" customHeight="1">
      <c r="B63" s="21"/>
      <c r="C63" s="22">
        <f>b * d + d*d/6</f>
        <v>26666.666666666668</v>
      </c>
      <c r="D63" s="22"/>
      <c r="E63" s="22">
        <f>POWER(2 * b + d, 3)/12 - POWER(b * (b + d), 2)/(2 * b + d)</f>
        <v>3083333.333333333</v>
      </c>
      <c r="F63" s="11">
        <f>d + b * 2</f>
        <v>400</v>
      </c>
      <c r="G63" s="17">
        <f>F63 *w</f>
        <v>0</v>
      </c>
      <c r="H63" s="16">
        <v>0</v>
      </c>
      <c r="J63" s="24"/>
      <c r="K63" s="26"/>
    </row>
    <row r="64" spans="2:11" ht="17" thickBot="1">
      <c r="B64" s="33" t="s">
        <v>20</v>
      </c>
      <c r="C64" s="34">
        <f>SUMPRODUCT($H61:$H63, C61:C63)</f>
        <v>33333.333333333336</v>
      </c>
      <c r="D64" s="34">
        <f>SUMPRODUCT($H61:$H63, D61:D63)</f>
        <v>0</v>
      </c>
      <c r="E64" s="34">
        <f>SUMPRODUCT($H61:$H63, E61:E63)</f>
        <v>4500000</v>
      </c>
      <c r="F64" s="23">
        <f>SUMPRODUCT($H61:$H63, F61:F63)</f>
        <v>600</v>
      </c>
      <c r="G64" s="23">
        <f>SUMPRODUCT($H61:$H63, G61:G63)</f>
        <v>0</v>
      </c>
      <c r="J64" s="28"/>
      <c r="K64" s="29"/>
    </row>
    <row r="65" spans="2:14" ht="21">
      <c r="B65" s="37" t="s">
        <v>21</v>
      </c>
      <c r="C65" s="37"/>
      <c r="D65" s="37"/>
      <c r="E65" s="37"/>
      <c r="F65" s="37"/>
    </row>
    <row r="66" spans="2:14">
      <c r="B66" s="131"/>
      <c r="C66" s="73" t="s">
        <v>22</v>
      </c>
    </row>
    <row r="67" spans="2:14">
      <c r="B67" s="131" t="s">
        <v>26</v>
      </c>
      <c r="C67" s="75">
        <f>BL * F</f>
        <v>7500</v>
      </c>
    </row>
    <row r="68" spans="2:14">
      <c r="B68" s="131" t="s">
        <v>27</v>
      </c>
      <c r="C68" s="75">
        <f xml:space="preserve"> F * HBO</f>
        <v>930</v>
      </c>
    </row>
    <row r="70" spans="2:14">
      <c r="B70" s="150"/>
      <c r="C70" s="151" t="s">
        <v>33</v>
      </c>
      <c r="D70" s="151" t="s">
        <v>34</v>
      </c>
    </row>
    <row r="71" spans="2:14">
      <c r="B71" s="131" t="s">
        <v>36</v>
      </c>
      <c r="C71" s="75">
        <f>-b/2</f>
        <v>-50</v>
      </c>
      <c r="D71" s="75">
        <f>d/2</f>
        <v>100</v>
      </c>
    </row>
    <row r="72" spans="2:14">
      <c r="M72">
        <v>1</v>
      </c>
      <c r="N72">
        <v>2</v>
      </c>
    </row>
    <row r="73" spans="2:14">
      <c r="B73" s="51"/>
      <c r="C73" s="148" t="s">
        <v>80</v>
      </c>
      <c r="D73" s="148" t="s">
        <v>34</v>
      </c>
      <c r="E73" s="148" t="s">
        <v>35</v>
      </c>
      <c r="M73">
        <v>2</v>
      </c>
      <c r="N73">
        <v>4</v>
      </c>
    </row>
    <row r="74" spans="2:14" ht="18">
      <c r="B74" s="145" t="s">
        <v>76</v>
      </c>
      <c r="C74" s="74"/>
      <c r="D74" s="142">
        <f>-1000 * F/l</f>
        <v>-8.3333333333333339</v>
      </c>
      <c r="E74" s="74"/>
      <c r="M74">
        <v>3</v>
      </c>
      <c r="N74">
        <v>6</v>
      </c>
    </row>
    <row r="75" spans="2:14" ht="18">
      <c r="B75" s="145" t="s">
        <v>77</v>
      </c>
      <c r="C75" s="74"/>
      <c r="D75" s="74"/>
      <c r="E75" s="142">
        <f>-1000 * M / (MAX(C64:D64) )</f>
        <v>-224.99999999999997</v>
      </c>
    </row>
    <row r="76" spans="2:14" ht="18">
      <c r="B76" s="145" t="s">
        <v>78</v>
      </c>
      <c r="C76" s="143">
        <f>-(rx * tr * 1000) / (J_W)</f>
        <v>10.333333333333334</v>
      </c>
      <c r="D76" s="143">
        <f xml:space="preserve"> (ry * tr * 1000) / J_W</f>
        <v>20.666666666666668</v>
      </c>
      <c r="E76" s="75"/>
      <c r="M76">
        <f>SQRT(SUMPRODUCT(M72:M74,M72:M74))</f>
        <v>3.7416573867739413</v>
      </c>
    </row>
    <row r="77" spans="2:14" ht="18">
      <c r="B77" s="146" t="s">
        <v>79</v>
      </c>
      <c r="C77" s="143">
        <f>SUM(C74:C76)</f>
        <v>10.333333333333334</v>
      </c>
      <c r="D77" s="143">
        <f>SUM(D74:D76)</f>
        <v>12.333333333333334</v>
      </c>
      <c r="E77" s="143">
        <f>SUM(E74:E76)</f>
        <v>-224.99999999999997</v>
      </c>
    </row>
    <row r="78" spans="2:14">
      <c r="B78" s="147" t="s">
        <v>37</v>
      </c>
      <c r="C78" s="144">
        <f>SQRT(SUMPRODUCT(C77:E77,C77:E77))</f>
        <v>225.57457500544888</v>
      </c>
    </row>
    <row r="80" spans="2:14">
      <c r="B80" s="73" t="s">
        <v>38</v>
      </c>
      <c r="C80" s="149">
        <f xml:space="preserve"> ft * FS/E80</f>
        <v>3.3836186250817333</v>
      </c>
      <c r="D80" s="73" t="s">
        <v>41</v>
      </c>
      <c r="E80" s="75">
        <v>100</v>
      </c>
    </row>
    <row r="133" spans="16:24">
      <c r="P133" s="27"/>
      <c r="Q133" s="30"/>
      <c r="R133" s="24"/>
      <c r="S133" s="30"/>
      <c r="T133" s="24"/>
      <c r="U133" s="24"/>
      <c r="V133" s="24"/>
      <c r="W133" s="24"/>
      <c r="X133" s="24"/>
    </row>
    <row r="134" spans="16:24">
      <c r="P134" s="27"/>
      <c r="Q134" s="41" t="s">
        <v>15</v>
      </c>
      <c r="R134" s="42"/>
      <c r="S134" s="25" t="s">
        <v>13</v>
      </c>
      <c r="T134" s="24"/>
      <c r="U134" s="24"/>
      <c r="V134" s="24"/>
      <c r="W134" s="24"/>
      <c r="X134" s="24"/>
    </row>
    <row r="135" spans="16:24" ht="20">
      <c r="P135" s="27"/>
      <c r="Q135" s="31" t="s">
        <v>24</v>
      </c>
      <c r="R135" s="32" t="s">
        <v>23</v>
      </c>
      <c r="S135" s="32" t="s">
        <v>25</v>
      </c>
      <c r="T135" s="20" t="s">
        <v>30</v>
      </c>
      <c r="U135" s="35" t="s">
        <v>31</v>
      </c>
      <c r="V135" s="20" t="s">
        <v>20</v>
      </c>
      <c r="W135" s="24"/>
      <c r="X135" s="24"/>
    </row>
    <row r="136" spans="16:24">
      <c r="P136" s="21"/>
      <c r="Q136" s="22">
        <f xml:space="preserve"> b * d + POWER(d, 2)/3</f>
        <v>33333.333333333336</v>
      </c>
      <c r="R136" s="22"/>
      <c r="S136" s="22">
        <f xml:space="preserve"> POWER(b + d, 3)/6</f>
        <v>4500000</v>
      </c>
      <c r="T136" s="11">
        <f>d*2 + b*2</f>
        <v>600</v>
      </c>
      <c r="U136" s="17">
        <f>T136 *w</f>
        <v>0</v>
      </c>
      <c r="V136" s="16">
        <v>0</v>
      </c>
      <c r="W136" s="24"/>
      <c r="X136" s="24"/>
    </row>
    <row r="137" spans="16:24">
      <c r="P137" s="21"/>
      <c r="Q137" s="22">
        <f xml:space="preserve"> (2 * b * d + d * d)/3</f>
        <v>26666.666666666668</v>
      </c>
      <c r="R137" s="22">
        <f>d * d * ( 2 * b + d)/ (3 * (b + d))</f>
        <v>17777.777777777777</v>
      </c>
      <c r="S137" s="22">
        <f>POWER(b + 2 * d, 3)/12 - POWER(d*(b + d), 2)/(b + 2 *d)</f>
        <v>3216666.666666666</v>
      </c>
      <c r="T137" s="11">
        <f>d * 2 + b</f>
        <v>500</v>
      </c>
      <c r="U137" s="17">
        <f>T137 *w</f>
        <v>0</v>
      </c>
      <c r="V137" s="16">
        <v>0</v>
      </c>
      <c r="W137" s="24"/>
      <c r="X137" s="24"/>
    </row>
    <row r="138" spans="16:24">
      <c r="P138" s="21"/>
      <c r="Q138" s="22">
        <f>b * d + d*d/6</f>
        <v>26666.666666666668</v>
      </c>
      <c r="R138" s="22"/>
      <c r="S138" s="22">
        <f>POWER(2 * b + d, 3)/12 - POWER(b * (b + d), 2)/(2 * b + d)</f>
        <v>3083333.333333333</v>
      </c>
      <c r="T138" s="11">
        <f>d + b * 2</f>
        <v>400</v>
      </c>
      <c r="U138" s="17">
        <f>T138 *w</f>
        <v>0</v>
      </c>
      <c r="V138" s="16">
        <v>1</v>
      </c>
      <c r="W138" s="24"/>
      <c r="X138" s="24"/>
    </row>
  </sheetData>
  <mergeCells count="21">
    <mergeCell ref="B20:E20"/>
    <mergeCell ref="Q134:R134"/>
    <mergeCell ref="B21:C21"/>
    <mergeCell ref="D21:E21"/>
    <mergeCell ref="B25:C25"/>
    <mergeCell ref="D25:E25"/>
    <mergeCell ref="C59:D59"/>
    <mergeCell ref="B65:F65"/>
    <mergeCell ref="B2:K2"/>
    <mergeCell ref="M3:Q3"/>
    <mergeCell ref="B55:F55"/>
    <mergeCell ref="D17:E18"/>
    <mergeCell ref="P8:Q8"/>
    <mergeCell ref="N8:O8"/>
    <mergeCell ref="B19:K19"/>
    <mergeCell ref="B4:E5"/>
    <mergeCell ref="B9:E9"/>
    <mergeCell ref="B14:E14"/>
    <mergeCell ref="B16:E16"/>
    <mergeCell ref="D10:E13"/>
    <mergeCell ref="D15:E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6CCBF-04DD-064A-92C6-9B9828C9713A}">
  <sheetPr codeName="Sheet2"/>
  <dimension ref="B1:K24"/>
  <sheetViews>
    <sheetView zoomScale="246" workbookViewId="0">
      <selection activeCell="C24" sqref="C24"/>
    </sheetView>
  </sheetViews>
  <sheetFormatPr baseColWidth="10" defaultRowHeight="16"/>
  <cols>
    <col min="2" max="2" width="14.1640625" bestFit="1" customWidth="1"/>
    <col min="3" max="3" width="11" bestFit="1" customWidth="1"/>
    <col min="4" max="4" width="11.5" bestFit="1" customWidth="1"/>
    <col min="5" max="5" width="13" bestFit="1" customWidth="1"/>
  </cols>
  <sheetData>
    <row r="1" spans="2:11" ht="17" thickBot="1"/>
    <row r="2" spans="2:11">
      <c r="B2" s="59" t="s">
        <v>0</v>
      </c>
      <c r="C2" s="59"/>
      <c r="D2" s="59"/>
      <c r="E2" s="59"/>
      <c r="F2" s="52"/>
      <c r="G2" s="53"/>
      <c r="H2" s="53"/>
      <c r="I2" s="53"/>
      <c r="J2" s="54"/>
      <c r="K2" s="50"/>
    </row>
    <row r="3" spans="2:11">
      <c r="B3" s="59"/>
      <c r="C3" s="59"/>
      <c r="D3" s="59"/>
      <c r="E3" s="59"/>
      <c r="F3" s="5"/>
      <c r="G3" s="6"/>
      <c r="H3" s="6"/>
      <c r="I3" s="6"/>
      <c r="J3" s="55"/>
      <c r="K3" s="50"/>
    </row>
    <row r="4" spans="2:11">
      <c r="B4" s="60"/>
      <c r="C4" s="61" t="s">
        <v>44</v>
      </c>
      <c r="D4" s="61" t="s">
        <v>45</v>
      </c>
      <c r="E4" s="61" t="s">
        <v>46</v>
      </c>
      <c r="F4" s="5"/>
      <c r="G4" s="6"/>
      <c r="H4" s="6"/>
      <c r="I4" s="6"/>
      <c r="J4" s="55"/>
      <c r="K4" s="50"/>
    </row>
    <row r="5" spans="2:11">
      <c r="B5" s="62" t="s">
        <v>1</v>
      </c>
      <c r="C5" s="63">
        <v>400</v>
      </c>
      <c r="D5" s="63">
        <v>350</v>
      </c>
      <c r="E5" s="63">
        <v>16</v>
      </c>
      <c r="F5" s="5"/>
      <c r="G5" s="6"/>
      <c r="H5" s="6"/>
      <c r="I5" s="6"/>
      <c r="J5" s="55"/>
      <c r="K5" s="50"/>
    </row>
    <row r="6" spans="2:11">
      <c r="B6" s="62" t="s">
        <v>2</v>
      </c>
      <c r="C6" s="63">
        <v>500</v>
      </c>
      <c r="D6" s="63">
        <v>500</v>
      </c>
      <c r="E6" s="63">
        <v>16</v>
      </c>
      <c r="F6" s="5"/>
      <c r="G6" s="6"/>
      <c r="H6" s="6"/>
      <c r="I6" s="6"/>
      <c r="J6" s="55"/>
      <c r="K6" s="50"/>
    </row>
    <row r="7" spans="2:11">
      <c r="B7" s="64"/>
      <c r="C7" s="64"/>
      <c r="D7" s="64"/>
      <c r="E7" s="64"/>
      <c r="F7" s="5"/>
      <c r="G7" s="6"/>
      <c r="H7" s="6"/>
      <c r="I7" s="6"/>
      <c r="J7" s="55"/>
      <c r="K7" s="50"/>
    </row>
    <row r="8" spans="2:11">
      <c r="B8" s="60"/>
      <c r="C8" s="65" t="s">
        <v>7</v>
      </c>
      <c r="D8" s="66"/>
      <c r="E8" s="66"/>
      <c r="F8" s="5"/>
      <c r="G8" s="6"/>
      <c r="H8" s="6"/>
      <c r="I8" s="6"/>
      <c r="J8" s="55"/>
      <c r="K8" s="50"/>
    </row>
    <row r="9" spans="2:11">
      <c r="B9" s="62" t="s">
        <v>3</v>
      </c>
      <c r="C9" s="63">
        <v>1500</v>
      </c>
      <c r="D9" s="66"/>
      <c r="E9" s="66"/>
      <c r="F9" s="5"/>
      <c r="G9" s="6"/>
      <c r="H9" s="6"/>
      <c r="I9" s="6"/>
      <c r="J9" s="55"/>
      <c r="K9" s="50"/>
    </row>
    <row r="10" spans="2:11">
      <c r="B10" s="62" t="s">
        <v>5</v>
      </c>
      <c r="C10" s="63">
        <f>150 + MOD(SID, 100)</f>
        <v>186</v>
      </c>
      <c r="D10" s="66"/>
      <c r="E10" s="66"/>
      <c r="F10" s="5"/>
      <c r="G10" s="6"/>
      <c r="H10" s="6"/>
      <c r="I10" s="6"/>
      <c r="J10" s="55"/>
      <c r="K10" s="50"/>
    </row>
    <row r="11" spans="2:11">
      <c r="B11" s="62" t="s">
        <v>6</v>
      </c>
      <c r="C11" s="63">
        <v>16</v>
      </c>
      <c r="D11" s="66"/>
      <c r="E11" s="66"/>
      <c r="F11" s="5"/>
      <c r="G11" s="6"/>
      <c r="H11" s="6"/>
      <c r="I11" s="6"/>
      <c r="J11" s="55"/>
      <c r="K11" s="50"/>
    </row>
    <row r="12" spans="2:11">
      <c r="B12" s="67"/>
      <c r="C12" s="67"/>
      <c r="D12" s="67"/>
      <c r="E12" s="67"/>
      <c r="F12" s="5"/>
      <c r="G12" s="6"/>
      <c r="H12" s="6"/>
      <c r="I12" s="6"/>
      <c r="J12" s="55"/>
      <c r="K12" s="50"/>
    </row>
    <row r="13" spans="2:11">
      <c r="B13" s="62" t="s">
        <v>4</v>
      </c>
      <c r="C13" s="68">
        <v>2</v>
      </c>
      <c r="D13" s="67"/>
      <c r="E13" s="67"/>
      <c r="F13" s="5"/>
      <c r="G13" s="6"/>
      <c r="H13" s="6"/>
      <c r="I13" s="6"/>
      <c r="J13" s="55"/>
      <c r="K13" s="50"/>
    </row>
    <row r="14" spans="2:11">
      <c r="B14" s="64"/>
      <c r="C14" s="64"/>
      <c r="D14" s="64"/>
      <c r="E14" s="64"/>
      <c r="F14" s="5"/>
      <c r="G14" s="6"/>
      <c r="H14" s="6"/>
      <c r="I14" s="6"/>
      <c r="J14" s="55"/>
      <c r="K14" s="50"/>
    </row>
    <row r="15" spans="2:11">
      <c r="B15" s="60"/>
      <c r="C15" s="65" t="s">
        <v>8</v>
      </c>
      <c r="D15" s="67"/>
      <c r="E15" s="67"/>
      <c r="F15" s="5"/>
      <c r="G15" s="6"/>
      <c r="H15" s="6"/>
      <c r="I15" s="6"/>
      <c r="J15" s="55"/>
      <c r="K15" s="50"/>
    </row>
    <row r="16" spans="2:11" ht="17" thickBot="1">
      <c r="B16" s="62" t="s">
        <v>29</v>
      </c>
      <c r="C16" s="63">
        <f>IF(MOD(SID, 2), -5,5)</f>
        <v>5</v>
      </c>
      <c r="D16" s="67"/>
      <c r="E16" s="67"/>
      <c r="F16" s="56"/>
      <c r="G16" s="57"/>
      <c r="H16" s="57"/>
      <c r="I16" s="57"/>
      <c r="J16" s="58"/>
      <c r="K16" s="50"/>
    </row>
    <row r="17" spans="2:5">
      <c r="B17" s="62" t="s">
        <v>42</v>
      </c>
      <c r="C17" s="69">
        <v>3</v>
      </c>
      <c r="D17" s="70"/>
      <c r="E17" s="70"/>
    </row>
    <row r="20" spans="2:5">
      <c r="B20" s="1"/>
      <c r="C20" s="1" t="s">
        <v>7</v>
      </c>
    </row>
    <row r="21" spans="2:5">
      <c r="B21" s="18" t="s">
        <v>47</v>
      </c>
      <c r="C21" s="71">
        <v>380</v>
      </c>
    </row>
    <row r="22" spans="2:5">
      <c r="B22" s="18" t="s">
        <v>43</v>
      </c>
      <c r="C22" s="71">
        <f xml:space="preserve"> 2 * C21</f>
        <v>760</v>
      </c>
    </row>
    <row r="23" spans="2:5">
      <c r="B23" s="18" t="s">
        <v>49</v>
      </c>
      <c r="C23" s="71">
        <f xml:space="preserve"> (C16+C17) * 1500</f>
        <v>12000</v>
      </c>
    </row>
    <row r="24" spans="2:5">
      <c r="B24" s="18" t="s">
        <v>48</v>
      </c>
      <c r="C24" s="71">
        <f>C23/C22</f>
        <v>15.789473684210526</v>
      </c>
    </row>
  </sheetData>
  <mergeCells count="7">
    <mergeCell ref="D15:E16"/>
    <mergeCell ref="B2:E3"/>
    <mergeCell ref="B7:E7"/>
    <mergeCell ref="D8:E11"/>
    <mergeCell ref="B12:E12"/>
    <mergeCell ref="D13:E13"/>
    <mergeCell ref="B14:E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98045-A146-9F4D-B2C3-9017D6F15DDC}">
  <sheetPr codeName="Sheet3"/>
  <dimension ref="B1:K18"/>
  <sheetViews>
    <sheetView topLeftCell="A10" workbookViewId="0">
      <selection activeCell="C11" sqref="C11"/>
    </sheetView>
  </sheetViews>
  <sheetFormatPr baseColWidth="10" defaultRowHeight="16"/>
  <cols>
    <col min="1" max="1" width="3" customWidth="1"/>
    <col min="2" max="2" width="14.83203125" bestFit="1" customWidth="1"/>
    <col min="6" max="6" width="6" customWidth="1"/>
    <col min="7" max="7" width="9.33203125" customWidth="1"/>
    <col min="8" max="8" width="9.83203125" customWidth="1"/>
    <col min="9" max="9" width="9" customWidth="1"/>
    <col min="10" max="10" width="12" style="72" bestFit="1" customWidth="1"/>
    <col min="11" max="11" width="5" bestFit="1" customWidth="1"/>
  </cols>
  <sheetData>
    <row r="1" spans="2:11" ht="17" thickBot="1"/>
    <row r="2" spans="2:11" ht="338" customHeight="1">
      <c r="B2" s="155" t="s">
        <v>4</v>
      </c>
      <c r="C2" s="80"/>
      <c r="D2" s="80"/>
      <c r="E2" s="80"/>
      <c r="F2" s="80"/>
      <c r="G2" s="80"/>
      <c r="H2" s="80"/>
      <c r="I2" s="80"/>
      <c r="J2" s="80"/>
      <c r="K2" s="81"/>
    </row>
    <row r="3" spans="2:11" ht="17" thickBot="1">
      <c r="B3" s="82"/>
      <c r="C3" s="83"/>
      <c r="D3" s="83"/>
      <c r="E3" s="83"/>
      <c r="F3" s="84"/>
      <c r="G3" s="84"/>
      <c r="H3" s="83"/>
      <c r="I3" s="85"/>
      <c r="J3" s="86">
        <v>470205736</v>
      </c>
      <c r="K3" s="87" t="s">
        <v>18</v>
      </c>
    </row>
    <row r="4" spans="2:11">
      <c r="B4" s="88" t="s">
        <v>0</v>
      </c>
      <c r="C4" s="89"/>
      <c r="D4" s="89"/>
      <c r="E4" s="90"/>
      <c r="F4" s="3"/>
      <c r="G4" s="4"/>
      <c r="H4" s="4"/>
      <c r="I4" s="4"/>
      <c r="J4" s="152"/>
      <c r="K4" s="15"/>
    </row>
    <row r="5" spans="2:11">
      <c r="B5" s="88"/>
      <c r="C5" s="89"/>
      <c r="D5" s="89"/>
      <c r="E5" s="90"/>
      <c r="F5" s="5"/>
      <c r="G5" s="6"/>
      <c r="H5" s="6"/>
      <c r="I5" s="6"/>
      <c r="J5" s="153"/>
      <c r="K5" s="7"/>
    </row>
    <row r="6" spans="2:11">
      <c r="B6" s="116"/>
      <c r="C6" s="92" t="s">
        <v>53</v>
      </c>
      <c r="D6" s="92" t="s">
        <v>54</v>
      </c>
      <c r="E6" s="93" t="s">
        <v>55</v>
      </c>
      <c r="F6" s="5"/>
      <c r="G6" s="6"/>
      <c r="H6" s="6"/>
      <c r="I6" s="6"/>
      <c r="J6" s="153"/>
      <c r="K6" s="7"/>
    </row>
    <row r="7" spans="2:11">
      <c r="B7" s="117" t="s">
        <v>1</v>
      </c>
      <c r="C7" s="94">
        <v>400</v>
      </c>
      <c r="D7" s="94">
        <v>350</v>
      </c>
      <c r="E7" s="95">
        <v>16</v>
      </c>
      <c r="F7" s="5"/>
      <c r="G7" s="6"/>
      <c r="H7" s="6"/>
      <c r="I7" s="6"/>
      <c r="J7" s="153"/>
      <c r="K7" s="7"/>
    </row>
    <row r="8" spans="2:11">
      <c r="B8" s="117" t="s">
        <v>2</v>
      </c>
      <c r="C8" s="94">
        <v>500</v>
      </c>
      <c r="D8" s="94">
        <v>500</v>
      </c>
      <c r="E8" s="95">
        <v>16</v>
      </c>
      <c r="F8" s="5"/>
      <c r="G8" s="6"/>
      <c r="H8" s="6"/>
      <c r="I8" s="6"/>
      <c r="J8" s="153"/>
      <c r="K8" s="7"/>
    </row>
    <row r="9" spans="2:11">
      <c r="B9" s="96"/>
      <c r="C9" s="97"/>
      <c r="D9" s="97"/>
      <c r="E9" s="98"/>
      <c r="F9" s="5"/>
      <c r="G9" s="6"/>
      <c r="H9" s="6"/>
      <c r="I9" s="6"/>
      <c r="J9" s="153"/>
      <c r="K9" s="7"/>
    </row>
    <row r="10" spans="2:11">
      <c r="B10" s="91"/>
      <c r="C10" s="99" t="s">
        <v>7</v>
      </c>
      <c r="D10" s="100"/>
      <c r="E10" s="101"/>
      <c r="F10" s="5"/>
      <c r="G10" s="6"/>
      <c r="H10" s="6"/>
      <c r="I10" s="6"/>
      <c r="J10" s="153"/>
      <c r="K10" s="7"/>
    </row>
    <row r="11" spans="2:11">
      <c r="B11" s="117" t="s">
        <v>3</v>
      </c>
      <c r="C11" s="94">
        <v>1500</v>
      </c>
      <c r="D11" s="102"/>
      <c r="E11" s="103"/>
      <c r="F11" s="5"/>
      <c r="G11" s="6"/>
      <c r="H11" s="6"/>
      <c r="I11" s="6"/>
      <c r="J11" s="153"/>
      <c r="K11" s="7"/>
    </row>
    <row r="12" spans="2:11">
      <c r="B12" s="117" t="s">
        <v>5</v>
      </c>
      <c r="C12" s="94">
        <f>150 + MOD(SID, 100)</f>
        <v>186</v>
      </c>
      <c r="D12" s="102"/>
      <c r="E12" s="103"/>
      <c r="F12" s="5"/>
      <c r="G12" s="6"/>
      <c r="H12" s="6"/>
      <c r="I12" s="6"/>
      <c r="J12" s="153"/>
      <c r="K12" s="7"/>
    </row>
    <row r="13" spans="2:11">
      <c r="B13" s="117" t="s">
        <v>6</v>
      </c>
      <c r="C13" s="94">
        <v>16</v>
      </c>
      <c r="D13" s="104"/>
      <c r="E13" s="105"/>
      <c r="F13" s="5"/>
      <c r="G13" s="6"/>
      <c r="H13" s="6"/>
      <c r="I13" s="6"/>
      <c r="J13" s="153"/>
      <c r="K13" s="7"/>
    </row>
    <row r="14" spans="2:11">
      <c r="B14" s="96"/>
      <c r="C14" s="97"/>
      <c r="D14" s="106"/>
      <c r="E14" s="107"/>
      <c r="F14" s="5"/>
      <c r="G14" s="6"/>
      <c r="H14" s="6"/>
      <c r="I14" s="6"/>
      <c r="J14" s="153"/>
      <c r="K14" s="7"/>
    </row>
    <row r="15" spans="2:11">
      <c r="B15" s="117" t="s">
        <v>4</v>
      </c>
      <c r="C15" s="108">
        <v>1.5</v>
      </c>
      <c r="D15" s="109"/>
      <c r="E15" s="110"/>
      <c r="F15" s="5"/>
      <c r="G15" s="6"/>
      <c r="H15" s="6"/>
      <c r="I15" s="6"/>
      <c r="J15" s="153"/>
      <c r="K15" s="7"/>
    </row>
    <row r="16" spans="2:11">
      <c r="B16" s="96"/>
      <c r="C16" s="97"/>
      <c r="D16" s="111"/>
      <c r="E16" s="112"/>
      <c r="F16" s="5"/>
      <c r="G16" s="6"/>
      <c r="H16" s="6"/>
      <c r="I16" s="6"/>
      <c r="J16" s="153"/>
      <c r="K16" s="7"/>
    </row>
    <row r="17" spans="2:11">
      <c r="B17" s="91"/>
      <c r="C17" s="99" t="s">
        <v>8</v>
      </c>
      <c r="D17" s="111"/>
      <c r="E17" s="112"/>
      <c r="F17" s="5"/>
      <c r="G17" s="6"/>
      <c r="H17" s="6"/>
      <c r="I17" s="6"/>
      <c r="J17" s="153"/>
      <c r="K17" s="7"/>
    </row>
    <row r="18" spans="2:11" ht="17" thickBot="1">
      <c r="B18" s="118" t="s">
        <v>29</v>
      </c>
      <c r="C18" s="113">
        <f>IF(MOD(SID, 2), -5,5)</f>
        <v>5</v>
      </c>
      <c r="D18" s="114"/>
      <c r="E18" s="115"/>
      <c r="F18" s="12"/>
      <c r="G18" s="8"/>
      <c r="H18" s="8"/>
      <c r="I18" s="8"/>
      <c r="J18" s="154"/>
      <c r="K18" s="9"/>
    </row>
  </sheetData>
  <mergeCells count="8">
    <mergeCell ref="B16:E16"/>
    <mergeCell ref="D17:E18"/>
    <mergeCell ref="B2:K2"/>
    <mergeCell ref="B4:E5"/>
    <mergeCell ref="B9:E9"/>
    <mergeCell ref="D10:E13"/>
    <mergeCell ref="B14:E14"/>
    <mergeCell ref="D15:E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Part A</vt:lpstr>
      <vt:lpstr>Part B</vt:lpstr>
      <vt:lpstr>Sheet1</vt:lpstr>
      <vt:lpstr>A</vt:lpstr>
      <vt:lpstr>b</vt:lpstr>
      <vt:lpstr>BL</vt:lpstr>
      <vt:lpstr>d</vt:lpstr>
      <vt:lpstr>F</vt:lpstr>
      <vt:lpstr>FS</vt:lpstr>
      <vt:lpstr>ft</vt:lpstr>
      <vt:lpstr>HBO</vt:lpstr>
      <vt:lpstr>HD</vt:lpstr>
      <vt:lpstr>J_W</vt:lpstr>
      <vt:lpstr>l</vt:lpstr>
      <vt:lpstr>M</vt:lpstr>
      <vt:lpstr>rx</vt:lpstr>
      <vt:lpstr>ry</vt:lpstr>
      <vt:lpstr>SID</vt:lpstr>
      <vt:lpstr>th</vt:lpstr>
      <vt:lpstr>tr</vt:lpstr>
      <vt:lpstr>tu</vt:lpstr>
      <vt:lpstr>w</vt:lpstr>
      <vt:lpstr>Z_B</vt:lpstr>
      <vt:lpstr>Z_T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Leonard</dc:creator>
  <cp:lastModifiedBy>Gabriel Leonard</cp:lastModifiedBy>
  <dcterms:created xsi:type="dcterms:W3CDTF">2022-09-13T03:47:23Z</dcterms:created>
  <dcterms:modified xsi:type="dcterms:W3CDTF">2022-09-20T09:59:10Z</dcterms:modified>
</cp:coreProperties>
</file>